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0" yWindow="240" windowWidth="15192" windowHeight="9036" tabRatio="966"/>
  </bookViews>
  <sheets>
    <sheet name="Documentation" sheetId="45" r:id="rId1"/>
    <sheet name="MWh by month" sheetId="36" r:id="rId2"/>
    <sheet name="MWh by month- AllWgtbyCDH" sheetId="44" r:id="rId3"/>
    <sheet name="MWhbymo-WgtbyActulCDH&amp;Dylthrs" sheetId="42" r:id="rId4"/>
    <sheet name="MWh by mo-WgtbyActulCDH&amp;Days" sheetId="41" r:id="rId5"/>
    <sheet name="MWhbymo-WgtbyActCDH&amp;DaysNoWinAC" sheetId="43" r:id="rId6"/>
    <sheet name="MWh by month- WgtbyCDH&amp;Days" sheetId="40" r:id="rId7"/>
    <sheet name="MWh by month-WgtbyCDH&amp;DayLtHrs" sheetId="38" r:id="rId8"/>
    <sheet name="MW Summer Impact Summary" sheetId="2" r:id="rId9"/>
    <sheet name="MW Winter Impact Summary" sheetId="17" r:id="rId10"/>
    <sheet name="MWh Impact Summary" sheetId="8" r:id="rId11"/>
    <sheet name="LED Impact Forecast" sheetId="39" r:id="rId12"/>
    <sheet name="CFL Impact Forecast" sheetId="31" r:id="rId13"/>
    <sheet name="EISA Incand Impact Forecast" sheetId="32" r:id="rId14"/>
    <sheet name="CI SPVU Ld Frcst" sheetId="30" r:id="rId15"/>
    <sheet name="RNC Code Impact Forecast" sheetId="29" r:id="rId16"/>
    <sheet name="Res WH Forecast (over 55 gal)" sheetId="28" r:id="rId17"/>
    <sheet name="CI - WH Forecast (over 55)" sheetId="27" r:id="rId18"/>
    <sheet name="Res AC" sheetId="1" r:id="rId19"/>
    <sheet name="CI DX" sheetId="3" r:id="rId20"/>
    <sheet name="CI Chiller" sheetId="7" r:id="rId21"/>
    <sheet name="CI Lighting" sheetId="4" r:id="rId22"/>
    <sheet name="CI Stand Alone Refrig" sheetId="5" r:id="rId23"/>
    <sheet name="Fed Sect 104" sheetId="6" r:id="rId24"/>
    <sheet name="CI Walk-in Refrig" sheetId="26" r:id="rId25"/>
  </sheets>
  <calcPr calcId="145621"/>
</workbook>
</file>

<file path=xl/calcChain.xml><?xml version="1.0" encoding="utf-8"?>
<calcChain xmlns="http://schemas.openxmlformats.org/spreadsheetml/2006/main">
  <c r="Q17" i="41" l="1"/>
  <c r="Q17" i="42"/>
  <c r="Q18" i="40"/>
  <c r="Q19" i="40"/>
  <c r="Q20" i="40"/>
  <c r="Q21" i="40"/>
  <c r="Q22" i="40"/>
  <c r="Q23" i="40"/>
  <c r="Q24" i="40"/>
  <c r="Q25" i="40"/>
  <c r="Q26" i="40"/>
  <c r="Q27" i="40"/>
  <c r="Q28" i="40"/>
  <c r="Q17" i="40"/>
  <c r="Q18" i="43"/>
  <c r="Q19" i="43"/>
  <c r="Q20" i="43"/>
  <c r="Q21" i="43"/>
  <c r="Q22" i="43"/>
  <c r="Q23" i="43"/>
  <c r="Q24" i="43"/>
  <c r="Q25" i="43"/>
  <c r="Q26" i="43"/>
  <c r="Q27" i="43"/>
  <c r="Q28" i="43"/>
  <c r="Q17" i="43"/>
  <c r="T219" i="44"/>
  <c r="T220" i="44"/>
  <c r="T174" i="44"/>
  <c r="T175" i="44"/>
  <c r="T176" i="44"/>
  <c r="T177" i="44"/>
  <c r="T178" i="44"/>
  <c r="T179" i="44"/>
  <c r="T180" i="44"/>
  <c r="T181" i="44"/>
  <c r="T182" i="44"/>
  <c r="T183" i="44"/>
  <c r="T184" i="44"/>
  <c r="T173" i="44"/>
  <c r="T172" i="44"/>
  <c r="T268" i="44"/>
  <c r="T267" i="44"/>
  <c r="T266" i="44"/>
  <c r="T265" i="44"/>
  <c r="T264" i="44"/>
  <c r="T263" i="44"/>
  <c r="T262" i="44"/>
  <c r="T261" i="44"/>
  <c r="T260" i="44"/>
  <c r="T259" i="44"/>
  <c r="T258" i="44"/>
  <c r="T257" i="44"/>
  <c r="T256" i="44"/>
  <c r="T255" i="44"/>
  <c r="T254" i="44"/>
  <c r="T253" i="44"/>
  <c r="T252" i="44"/>
  <c r="T251" i="44"/>
  <c r="T250" i="44"/>
  <c r="T249" i="44"/>
  <c r="T248" i="44"/>
  <c r="T247" i="44"/>
  <c r="T246" i="44"/>
  <c r="T245" i="44"/>
  <c r="T244" i="44"/>
  <c r="T243" i="44"/>
  <c r="T242" i="44"/>
  <c r="T241" i="44"/>
  <c r="T240" i="44"/>
  <c r="T239" i="44"/>
  <c r="T238" i="44"/>
  <c r="T237" i="44"/>
  <c r="T236" i="44"/>
  <c r="T235" i="44"/>
  <c r="T234" i="44"/>
  <c r="T233" i="44"/>
  <c r="T232" i="44"/>
  <c r="T231" i="44"/>
  <c r="T230" i="44"/>
  <c r="T229" i="44"/>
  <c r="T228" i="44"/>
  <c r="T227" i="44"/>
  <c r="T226" i="44"/>
  <c r="T225" i="44"/>
  <c r="T224" i="44"/>
  <c r="T223" i="44"/>
  <c r="T222" i="44"/>
  <c r="T221" i="44"/>
  <c r="T218" i="44"/>
  <c r="T217" i="44"/>
  <c r="T216" i="44"/>
  <c r="T215" i="44"/>
  <c r="T214" i="44"/>
  <c r="T213" i="44"/>
  <c r="T212" i="44"/>
  <c r="T211" i="44"/>
  <c r="T210" i="44"/>
  <c r="T209" i="44"/>
  <c r="T208" i="44"/>
  <c r="T207" i="44"/>
  <c r="T206" i="44"/>
  <c r="T205" i="44"/>
  <c r="T204" i="44"/>
  <c r="T203" i="44"/>
  <c r="T202" i="44"/>
  <c r="T201" i="44"/>
  <c r="T200" i="44"/>
  <c r="T199" i="44"/>
  <c r="T198" i="44"/>
  <c r="T197" i="44"/>
  <c r="T196" i="44"/>
  <c r="T195" i="44"/>
  <c r="T194" i="44"/>
  <c r="T193" i="44"/>
  <c r="T192" i="44"/>
  <c r="T191" i="44"/>
  <c r="T190" i="44"/>
  <c r="T189" i="44"/>
  <c r="T188" i="44"/>
  <c r="T187" i="44"/>
  <c r="T186" i="44"/>
  <c r="T185" i="44"/>
  <c r="T171" i="44"/>
  <c r="T170" i="44"/>
  <c r="T169" i="44"/>
  <c r="T168" i="44"/>
  <c r="T167" i="44"/>
  <c r="T166" i="44"/>
  <c r="T165" i="44"/>
  <c r="T164" i="44"/>
  <c r="T163" i="44"/>
  <c r="T162" i="44"/>
  <c r="T161" i="44"/>
  <c r="T160" i="44"/>
  <c r="T159" i="44"/>
  <c r="T158" i="44"/>
  <c r="T157" i="44"/>
  <c r="T156" i="44"/>
  <c r="T155" i="44"/>
  <c r="T154" i="44"/>
  <c r="T153" i="44"/>
  <c r="T152" i="44"/>
  <c r="T151" i="44"/>
  <c r="T150" i="44"/>
  <c r="T149" i="44"/>
  <c r="T148" i="44"/>
  <c r="T147" i="44"/>
  <c r="T146" i="44"/>
  <c r="T145" i="44"/>
  <c r="T144" i="44"/>
  <c r="T143" i="44"/>
  <c r="T142" i="44"/>
  <c r="T141" i="44"/>
  <c r="T140" i="44"/>
  <c r="T139" i="44"/>
  <c r="T138" i="44"/>
  <c r="T137" i="44"/>
  <c r="T136" i="44"/>
  <c r="T135" i="44"/>
  <c r="T134" i="44"/>
  <c r="T133" i="44"/>
  <c r="T132" i="44"/>
  <c r="T131" i="44"/>
  <c r="T130" i="44"/>
  <c r="T129" i="44"/>
  <c r="T128" i="44"/>
  <c r="T127" i="44"/>
  <c r="T126" i="44"/>
  <c r="T125" i="44"/>
  <c r="T124" i="44"/>
  <c r="T123" i="44"/>
  <c r="T122" i="44"/>
  <c r="T121" i="44"/>
  <c r="T120" i="44"/>
  <c r="T119" i="44"/>
  <c r="T118" i="44"/>
  <c r="T117" i="44"/>
  <c r="T116" i="44"/>
  <c r="T115" i="44"/>
  <c r="T114" i="44"/>
  <c r="T113" i="44"/>
  <c r="T112" i="44"/>
  <c r="T111" i="44"/>
  <c r="T110" i="44"/>
  <c r="T109" i="44"/>
  <c r="T108" i="44"/>
  <c r="T107" i="44"/>
  <c r="T106" i="44"/>
  <c r="T105" i="44"/>
  <c r="T104" i="44"/>
  <c r="T103" i="44"/>
  <c r="T102" i="44"/>
  <c r="T101" i="44"/>
  <c r="T100" i="44"/>
  <c r="T99" i="44"/>
  <c r="T98" i="44"/>
  <c r="T97" i="44"/>
  <c r="T96" i="44"/>
  <c r="T95" i="44"/>
  <c r="T94" i="44"/>
  <c r="T93" i="44"/>
  <c r="T92" i="44"/>
  <c r="T91" i="44"/>
  <c r="T90" i="44"/>
  <c r="T89" i="44"/>
  <c r="T88" i="44"/>
  <c r="T87" i="44"/>
  <c r="T86" i="44"/>
  <c r="T85" i="44"/>
  <c r="T84" i="44"/>
  <c r="T83" i="44"/>
  <c r="T82" i="44"/>
  <c r="T81" i="44"/>
  <c r="T80" i="44"/>
  <c r="T79" i="44"/>
  <c r="T78" i="44"/>
  <c r="T77" i="44"/>
  <c r="T76" i="44"/>
  <c r="T75" i="44"/>
  <c r="T74" i="44"/>
  <c r="T73" i="44"/>
  <c r="T72" i="44"/>
  <c r="T71" i="44"/>
  <c r="T70" i="44"/>
  <c r="T69" i="44"/>
  <c r="T68" i="44"/>
  <c r="T67" i="44"/>
  <c r="T66" i="44"/>
  <c r="T65" i="44"/>
  <c r="T64" i="44"/>
  <c r="T63" i="44"/>
  <c r="T62" i="44"/>
  <c r="T61" i="44"/>
  <c r="T60" i="44"/>
  <c r="T59" i="44"/>
  <c r="T58" i="44"/>
  <c r="T57" i="44"/>
  <c r="T56" i="44"/>
  <c r="T55" i="44"/>
  <c r="T54" i="44"/>
  <c r="T53" i="44"/>
  <c r="T52" i="44"/>
  <c r="T51" i="44"/>
  <c r="T50" i="44"/>
  <c r="T49" i="44"/>
  <c r="T48" i="44"/>
  <c r="T47" i="44"/>
  <c r="T46" i="44"/>
  <c r="T45" i="44"/>
  <c r="T44" i="44"/>
  <c r="T43" i="44"/>
  <c r="T42" i="44"/>
  <c r="T41" i="44"/>
  <c r="T40" i="44"/>
  <c r="T39" i="44"/>
  <c r="T38" i="44"/>
  <c r="T37" i="44"/>
  <c r="T36" i="44"/>
  <c r="T35" i="44"/>
  <c r="T34" i="44"/>
  <c r="T33" i="44"/>
  <c r="T32" i="44"/>
  <c r="T31" i="44"/>
  <c r="T30" i="44"/>
  <c r="T29" i="44"/>
  <c r="T28" i="44"/>
  <c r="T27" i="44"/>
  <c r="T26" i="44"/>
  <c r="T25" i="44"/>
  <c r="T24" i="44"/>
  <c r="T23" i="44"/>
  <c r="T22" i="44"/>
  <c r="T21" i="44"/>
  <c r="T20" i="44"/>
  <c r="T19" i="44"/>
  <c r="T18" i="44"/>
  <c r="T17" i="44"/>
  <c r="T16" i="44"/>
  <c r="T15" i="44"/>
  <c r="T14" i="44"/>
  <c r="T13" i="44"/>
  <c r="T12" i="44"/>
  <c r="T11" i="44"/>
  <c r="T10" i="44"/>
  <c r="T9" i="44"/>
  <c r="T8" i="44"/>
  <c r="T7" i="44"/>
  <c r="T6" i="44"/>
  <c r="T5" i="44"/>
  <c r="B242" i="44" l="1"/>
  <c r="B254" i="44" s="1"/>
  <c r="B266" i="44" s="1"/>
  <c r="B232" i="44"/>
  <c r="B244" i="44" s="1"/>
  <c r="B256" i="44" s="1"/>
  <c r="B268" i="44" s="1"/>
  <c r="A232" i="44"/>
  <c r="A244" i="44" s="1"/>
  <c r="A256" i="44" s="1"/>
  <c r="A268" i="44" s="1"/>
  <c r="B231" i="44"/>
  <c r="B243" i="44" s="1"/>
  <c r="B255" i="44" s="1"/>
  <c r="B267" i="44" s="1"/>
  <c r="A231" i="44"/>
  <c r="A243" i="44" s="1"/>
  <c r="A255" i="44" s="1"/>
  <c r="A267" i="44" s="1"/>
  <c r="B230" i="44"/>
  <c r="A230" i="44"/>
  <c r="A242" i="44" s="1"/>
  <c r="A254" i="44" s="1"/>
  <c r="A266" i="44" s="1"/>
  <c r="B229" i="44"/>
  <c r="B241" i="44" s="1"/>
  <c r="B253" i="44" s="1"/>
  <c r="B265" i="44" s="1"/>
  <c r="A229" i="44"/>
  <c r="A241" i="44" s="1"/>
  <c r="A253" i="44" s="1"/>
  <c r="A265" i="44" s="1"/>
  <c r="B228" i="44"/>
  <c r="B240" i="44" s="1"/>
  <c r="B252" i="44" s="1"/>
  <c r="B264" i="44" s="1"/>
  <c r="A228" i="44"/>
  <c r="A240" i="44" s="1"/>
  <c r="A252" i="44" s="1"/>
  <c r="A264" i="44" s="1"/>
  <c r="B227" i="44"/>
  <c r="B239" i="44" s="1"/>
  <c r="B251" i="44" s="1"/>
  <c r="B263" i="44" s="1"/>
  <c r="A227" i="44"/>
  <c r="A239" i="44" s="1"/>
  <c r="A251" i="44" s="1"/>
  <c r="A263" i="44" s="1"/>
  <c r="B226" i="44"/>
  <c r="B238" i="44" s="1"/>
  <c r="B250" i="44" s="1"/>
  <c r="B262" i="44" s="1"/>
  <c r="A226" i="44"/>
  <c r="A238" i="44" s="1"/>
  <c r="A250" i="44" s="1"/>
  <c r="A262" i="44" s="1"/>
  <c r="B225" i="44"/>
  <c r="B237" i="44" s="1"/>
  <c r="B249" i="44" s="1"/>
  <c r="B261" i="44" s="1"/>
  <c r="A225" i="44"/>
  <c r="A237" i="44" s="1"/>
  <c r="A249" i="44" s="1"/>
  <c r="A261" i="44" s="1"/>
  <c r="B224" i="44"/>
  <c r="B236" i="44" s="1"/>
  <c r="B248" i="44" s="1"/>
  <c r="B260" i="44" s="1"/>
  <c r="A224" i="44"/>
  <c r="A236" i="44" s="1"/>
  <c r="A248" i="44" s="1"/>
  <c r="A260" i="44" s="1"/>
  <c r="B223" i="44"/>
  <c r="B235" i="44" s="1"/>
  <c r="B247" i="44" s="1"/>
  <c r="B259" i="44" s="1"/>
  <c r="A223" i="44"/>
  <c r="A235" i="44" s="1"/>
  <c r="A247" i="44" s="1"/>
  <c r="A259" i="44" s="1"/>
  <c r="B222" i="44"/>
  <c r="B234" i="44" s="1"/>
  <c r="B246" i="44" s="1"/>
  <c r="B258" i="44" s="1"/>
  <c r="A222" i="44"/>
  <c r="A234" i="44" s="1"/>
  <c r="A246" i="44" s="1"/>
  <c r="A258" i="44" s="1"/>
  <c r="B221" i="44"/>
  <c r="B233" i="44" s="1"/>
  <c r="B245" i="44" s="1"/>
  <c r="B257" i="44" s="1"/>
  <c r="A221" i="44"/>
  <c r="A233" i="44" s="1"/>
  <c r="A245" i="44" s="1"/>
  <c r="A257" i="44" s="1"/>
  <c r="B112" i="44"/>
  <c r="B111" i="44"/>
  <c r="B110" i="44"/>
  <c r="B109" i="44"/>
  <c r="B108" i="44"/>
  <c r="B107" i="44"/>
  <c r="B106" i="44"/>
  <c r="B105" i="44"/>
  <c r="B104" i="44"/>
  <c r="B103" i="44"/>
  <c r="B102" i="44"/>
  <c r="A102" i="44"/>
  <c r="A103" i="44" s="1"/>
  <c r="A104" i="44" s="1"/>
  <c r="A105" i="44" s="1"/>
  <c r="A106" i="44" s="1"/>
  <c r="A107" i="44" s="1"/>
  <c r="A108" i="44" s="1"/>
  <c r="A109" i="44" s="1"/>
  <c r="A110" i="44" s="1"/>
  <c r="A111" i="44" s="1"/>
  <c r="A112" i="44" s="1"/>
  <c r="B101" i="44"/>
  <c r="C23" i="44"/>
  <c r="C19" i="44"/>
  <c r="C31" i="44" s="1"/>
  <c r="C28" i="44"/>
  <c r="C40" i="44" s="1"/>
  <c r="C52" i="44" s="1"/>
  <c r="C64" i="44" s="1"/>
  <c r="C27" i="44"/>
  <c r="C26" i="44"/>
  <c r="C38" i="44" s="1"/>
  <c r="C25" i="44"/>
  <c r="C24" i="44"/>
  <c r="C36" i="44" s="1"/>
  <c r="C48" i="44" s="1"/>
  <c r="C60" i="44" s="1"/>
  <c r="C22" i="44"/>
  <c r="C34" i="44" s="1"/>
  <c r="C21" i="44"/>
  <c r="C20" i="44"/>
  <c r="C18" i="44"/>
  <c r="AA281" i="44" l="1"/>
  <c r="AA279" i="44"/>
  <c r="D15" i="44"/>
  <c r="AA276" i="44"/>
  <c r="AA288" i="44"/>
  <c r="L15" i="44"/>
  <c r="C33" i="44"/>
  <c r="C37" i="44"/>
  <c r="C30" i="44"/>
  <c r="C32" i="44"/>
  <c r="C43" i="44"/>
  <c r="D14" i="44"/>
  <c r="D5" i="44"/>
  <c r="D9" i="44"/>
  <c r="C72" i="44"/>
  <c r="D13" i="44"/>
  <c r="C76" i="44"/>
  <c r="C39" i="44"/>
  <c r="AA275" i="44"/>
  <c r="D8" i="44"/>
  <c r="D12" i="44"/>
  <c r="D16" i="44"/>
  <c r="C17" i="44"/>
  <c r="D22" i="44" s="1"/>
  <c r="D6" i="44"/>
  <c r="D10" i="44"/>
  <c r="D7" i="44"/>
  <c r="C46" i="44"/>
  <c r="D11" i="44"/>
  <c r="C50" i="44"/>
  <c r="AA277" i="44"/>
  <c r="C35" i="44"/>
  <c r="AA284" i="44"/>
  <c r="AA289" i="44"/>
  <c r="AA278" i="44"/>
  <c r="AA280" i="44"/>
  <c r="AA283" i="44"/>
  <c r="AA282" i="44"/>
  <c r="AA285" i="44"/>
  <c r="AA287" i="44"/>
  <c r="AA286" i="44"/>
  <c r="AA291" i="44"/>
  <c r="AA293" i="44"/>
  <c r="AA290" i="44"/>
  <c r="AA292" i="44"/>
  <c r="AA294" i="44"/>
  <c r="AA295" i="44"/>
  <c r="K298" i="44"/>
  <c r="AA296" i="44"/>
  <c r="X4" i="36"/>
  <c r="X5" i="36"/>
  <c r="X6" i="36"/>
  <c r="X7" i="36"/>
  <c r="X8" i="36"/>
  <c r="X9" i="36"/>
  <c r="X10" i="36"/>
  <c r="X11" i="36"/>
  <c r="X12" i="36"/>
  <c r="X13" i="36"/>
  <c r="X14" i="36"/>
  <c r="X15" i="36"/>
  <c r="X16" i="36"/>
  <c r="X17" i="36"/>
  <c r="X18"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X47" i="36"/>
  <c r="X48" i="36"/>
  <c r="X49" i="36"/>
  <c r="X50" i="36"/>
  <c r="X51" i="36"/>
  <c r="X52" i="36"/>
  <c r="X53" i="36"/>
  <c r="X54" i="36"/>
  <c r="X55" i="36"/>
  <c r="X56" i="36"/>
  <c r="X57" i="36"/>
  <c r="X58" i="36"/>
  <c r="X59" i="36"/>
  <c r="X60" i="36"/>
  <c r="X61" i="36"/>
  <c r="X62" i="36"/>
  <c r="X63" i="36"/>
  <c r="X64" i="36"/>
  <c r="X65" i="36"/>
  <c r="X66" i="36"/>
  <c r="X67" i="36"/>
  <c r="X68" i="36"/>
  <c r="X69" i="36"/>
  <c r="X70" i="36"/>
  <c r="X71" i="36"/>
  <c r="X72" i="36"/>
  <c r="X73" i="36"/>
  <c r="X74" i="36"/>
  <c r="X75" i="36"/>
  <c r="X76" i="36"/>
  <c r="X77" i="36"/>
  <c r="X78" i="36"/>
  <c r="X79" i="36"/>
  <c r="X80" i="36"/>
  <c r="X81" i="36"/>
  <c r="X82" i="36"/>
  <c r="X83" i="36"/>
  <c r="X84" i="36"/>
  <c r="X85" i="36"/>
  <c r="X86" i="36"/>
  <c r="X87" i="36"/>
  <c r="X88" i="36"/>
  <c r="X89" i="36"/>
  <c r="X90" i="36"/>
  <c r="X91" i="36"/>
  <c r="X92" i="36"/>
  <c r="X93" i="36"/>
  <c r="X94" i="36"/>
  <c r="X95" i="36"/>
  <c r="X96" i="36"/>
  <c r="X97" i="36"/>
  <c r="X98" i="36"/>
  <c r="X99" i="36"/>
  <c r="X100" i="36"/>
  <c r="X101" i="36"/>
  <c r="X102" i="36"/>
  <c r="X103" i="36"/>
  <c r="X104" i="36"/>
  <c r="X105" i="36"/>
  <c r="X106" i="36"/>
  <c r="X107" i="36"/>
  <c r="X108" i="36"/>
  <c r="X109" i="36"/>
  <c r="X110" i="36"/>
  <c r="X111" i="36"/>
  <c r="X112" i="36"/>
  <c r="X113" i="36"/>
  <c r="X114" i="36"/>
  <c r="X115" i="36"/>
  <c r="X116" i="36"/>
  <c r="X117" i="36"/>
  <c r="X118" i="36"/>
  <c r="X119" i="36"/>
  <c r="X120" i="36"/>
  <c r="X121" i="36"/>
  <c r="X122" i="36"/>
  <c r="X123" i="36"/>
  <c r="X124" i="36"/>
  <c r="X125" i="36"/>
  <c r="X126" i="36"/>
  <c r="X127" i="36"/>
  <c r="X128" i="36"/>
  <c r="X129" i="36"/>
  <c r="X130" i="36"/>
  <c r="X131" i="36"/>
  <c r="X132" i="36"/>
  <c r="X133" i="36"/>
  <c r="X134" i="36"/>
  <c r="X135" i="36"/>
  <c r="X136" i="36"/>
  <c r="X137" i="36"/>
  <c r="X138" i="36"/>
  <c r="X139" i="36"/>
  <c r="X140" i="36"/>
  <c r="X141" i="36"/>
  <c r="X142" i="36"/>
  <c r="X143" i="36"/>
  <c r="X144" i="36"/>
  <c r="X145" i="36"/>
  <c r="X146" i="36"/>
  <c r="X147" i="36"/>
  <c r="X148" i="36"/>
  <c r="X149" i="36"/>
  <c r="X150" i="36"/>
  <c r="X151" i="36"/>
  <c r="X152" i="36"/>
  <c r="X153" i="36"/>
  <c r="X154" i="36"/>
  <c r="X155" i="36"/>
  <c r="X156" i="36"/>
  <c r="X157" i="36"/>
  <c r="X158" i="36"/>
  <c r="X159" i="36"/>
  <c r="X160" i="36"/>
  <c r="X161" i="36"/>
  <c r="X162" i="36"/>
  <c r="X163" i="36"/>
  <c r="X164" i="36"/>
  <c r="X165" i="36"/>
  <c r="X166" i="36"/>
  <c r="X167" i="36"/>
  <c r="X168" i="36"/>
  <c r="X169" i="36"/>
  <c r="X170" i="36"/>
  <c r="X171" i="36"/>
  <c r="X172" i="36"/>
  <c r="X173" i="36"/>
  <c r="X174" i="36"/>
  <c r="X175" i="36"/>
  <c r="X176" i="36"/>
  <c r="X177" i="36"/>
  <c r="X178" i="36"/>
  <c r="X179" i="36"/>
  <c r="X180" i="36"/>
  <c r="X181" i="36"/>
  <c r="X182" i="36"/>
  <c r="X183" i="36"/>
  <c r="X184" i="36"/>
  <c r="X185" i="36"/>
  <c r="X186" i="36"/>
  <c r="X187" i="36"/>
  <c r="X188" i="36"/>
  <c r="X189" i="36"/>
  <c r="X190" i="36"/>
  <c r="X191" i="36"/>
  <c r="X192" i="36"/>
  <c r="X193" i="36"/>
  <c r="X194" i="36"/>
  <c r="X195" i="36"/>
  <c r="X196" i="36"/>
  <c r="X197" i="36"/>
  <c r="X198" i="36"/>
  <c r="X199" i="36"/>
  <c r="X200" i="36"/>
  <c r="X201" i="36"/>
  <c r="X202" i="36"/>
  <c r="X203" i="36"/>
  <c r="X204" i="36"/>
  <c r="X205" i="36"/>
  <c r="X206" i="36"/>
  <c r="X207" i="36"/>
  <c r="X208" i="36"/>
  <c r="X209" i="36"/>
  <c r="X210" i="36"/>
  <c r="X211" i="36"/>
  <c r="X212" i="36"/>
  <c r="X213" i="36"/>
  <c r="X214" i="36"/>
  <c r="X215" i="36"/>
  <c r="X216" i="36"/>
  <c r="X217" i="36"/>
  <c r="X218" i="36"/>
  <c r="X219" i="36"/>
  <c r="X220" i="36"/>
  <c r="X221" i="36"/>
  <c r="X222" i="36"/>
  <c r="X223" i="36"/>
  <c r="X224" i="36"/>
  <c r="X225" i="36"/>
  <c r="X226" i="36"/>
  <c r="X227" i="36"/>
  <c r="X228" i="36"/>
  <c r="X229" i="36"/>
  <c r="X230" i="36"/>
  <c r="X231" i="36"/>
  <c r="X232" i="36"/>
  <c r="X233" i="36"/>
  <c r="X234" i="36"/>
  <c r="X235" i="36"/>
  <c r="X236" i="36"/>
  <c r="X237" i="36"/>
  <c r="X238" i="36"/>
  <c r="X239" i="36"/>
  <c r="X240" i="36"/>
  <c r="X241" i="36"/>
  <c r="X242" i="36"/>
  <c r="X243" i="36"/>
  <c r="X244" i="36"/>
  <c r="X245" i="36"/>
  <c r="X246" i="36"/>
  <c r="X247" i="36"/>
  <c r="X248" i="36"/>
  <c r="X249" i="36"/>
  <c r="X250" i="36"/>
  <c r="X251" i="36"/>
  <c r="X252" i="36"/>
  <c r="X253" i="36"/>
  <c r="X254" i="36"/>
  <c r="X255" i="36"/>
  <c r="X256" i="36"/>
  <c r="X257" i="36"/>
  <c r="X258" i="36"/>
  <c r="X259" i="36"/>
  <c r="X260" i="36"/>
  <c r="X261" i="36"/>
  <c r="X262" i="36"/>
  <c r="X263" i="36"/>
  <c r="X264" i="36"/>
  <c r="X265" i="36"/>
  <c r="X266" i="36"/>
  <c r="X3" i="36"/>
  <c r="AB268" i="42"/>
  <c r="AB267" i="42"/>
  <c r="AB266" i="42"/>
  <c r="AB265" i="42"/>
  <c r="AB264" i="42"/>
  <c r="AB263" i="42"/>
  <c r="AB262" i="42"/>
  <c r="AB261" i="42"/>
  <c r="AB260" i="42"/>
  <c r="AB259" i="42"/>
  <c r="AB258" i="42"/>
  <c r="AB257" i="42"/>
  <c r="AB256" i="42"/>
  <c r="AB255" i="42"/>
  <c r="AB254" i="42"/>
  <c r="AB253" i="42"/>
  <c r="AB252" i="42"/>
  <c r="AB251" i="42"/>
  <c r="AB250" i="42"/>
  <c r="AB249" i="42"/>
  <c r="AB248" i="42"/>
  <c r="AB247" i="42"/>
  <c r="AB246" i="42"/>
  <c r="AB245" i="42"/>
  <c r="AB244" i="42"/>
  <c r="AB243" i="42"/>
  <c r="AB242" i="42"/>
  <c r="AB241" i="42"/>
  <c r="AB240" i="42"/>
  <c r="AB239" i="42"/>
  <c r="AB238" i="42"/>
  <c r="AB237" i="42"/>
  <c r="AB236" i="42"/>
  <c r="AB235" i="42"/>
  <c r="AB234" i="42"/>
  <c r="AB233" i="42"/>
  <c r="AB232" i="42"/>
  <c r="AB231" i="42"/>
  <c r="AB230" i="42"/>
  <c r="AB229" i="42"/>
  <c r="AB228" i="42"/>
  <c r="AB227" i="42"/>
  <c r="AB226" i="42"/>
  <c r="AB225" i="42"/>
  <c r="AB224" i="42"/>
  <c r="AB223" i="42"/>
  <c r="AB222" i="42"/>
  <c r="AB221" i="42"/>
  <c r="AB220" i="42"/>
  <c r="AB219" i="42"/>
  <c r="AB218" i="42"/>
  <c r="AB217" i="42"/>
  <c r="AB216" i="42"/>
  <c r="AB215" i="42"/>
  <c r="AB214" i="42"/>
  <c r="AB213" i="42"/>
  <c r="AB212" i="42"/>
  <c r="AB211" i="42"/>
  <c r="AB210" i="42"/>
  <c r="AB209" i="42"/>
  <c r="AB208" i="42"/>
  <c r="AB207" i="42"/>
  <c r="AB206" i="42"/>
  <c r="AB205" i="42"/>
  <c r="AB204" i="42"/>
  <c r="AB203" i="42"/>
  <c r="AB202" i="42"/>
  <c r="AB201" i="42"/>
  <c r="AB200" i="42"/>
  <c r="AB199" i="42"/>
  <c r="AB198" i="42"/>
  <c r="AB197" i="42"/>
  <c r="AB196" i="42"/>
  <c r="AB195" i="42"/>
  <c r="AB194" i="42"/>
  <c r="AB193" i="42"/>
  <c r="AB192" i="42"/>
  <c r="AB191" i="42"/>
  <c r="AB190" i="42"/>
  <c r="AB189" i="42"/>
  <c r="AB188" i="42"/>
  <c r="AB187" i="42"/>
  <c r="AB186" i="42"/>
  <c r="AB185" i="42"/>
  <c r="AB184" i="42"/>
  <c r="AB183" i="42"/>
  <c r="AB182" i="42"/>
  <c r="AB181" i="42"/>
  <c r="AB180" i="42"/>
  <c r="AB179" i="42"/>
  <c r="AB178" i="42"/>
  <c r="AB177" i="42"/>
  <c r="AB176" i="42"/>
  <c r="AB175" i="42"/>
  <c r="AB174" i="42"/>
  <c r="AB173" i="42"/>
  <c r="AB172" i="42"/>
  <c r="AB171" i="42"/>
  <c r="AB170" i="42"/>
  <c r="AB169" i="42"/>
  <c r="AB168" i="42"/>
  <c r="AB167" i="42"/>
  <c r="AB166" i="42"/>
  <c r="AB165" i="42"/>
  <c r="AB164" i="42"/>
  <c r="AB163" i="42"/>
  <c r="AB162" i="42"/>
  <c r="AB161" i="42"/>
  <c r="AB160" i="42"/>
  <c r="AB159" i="42"/>
  <c r="AB158" i="42"/>
  <c r="AB157" i="42"/>
  <c r="AB156" i="42"/>
  <c r="AB155" i="42"/>
  <c r="AB154" i="42"/>
  <c r="AB153" i="42"/>
  <c r="AB152" i="42"/>
  <c r="AB151" i="42"/>
  <c r="AB150" i="42"/>
  <c r="AB149" i="42"/>
  <c r="AB148" i="42"/>
  <c r="AB147" i="42"/>
  <c r="AB146" i="42"/>
  <c r="AB145" i="42"/>
  <c r="AB144" i="42"/>
  <c r="AB143" i="42"/>
  <c r="AB142" i="42"/>
  <c r="AB141" i="42"/>
  <c r="AB140" i="42"/>
  <c r="AB139" i="42"/>
  <c r="AB138" i="42"/>
  <c r="AB137" i="42"/>
  <c r="AB136" i="42"/>
  <c r="AB135" i="42"/>
  <c r="AB134" i="42"/>
  <c r="AB133" i="42"/>
  <c r="AB132" i="42"/>
  <c r="AB131" i="42"/>
  <c r="AB130" i="42"/>
  <c r="AB129" i="42"/>
  <c r="AB128" i="42"/>
  <c r="AB127" i="42"/>
  <c r="AB126" i="42"/>
  <c r="AB125" i="42"/>
  <c r="AB124" i="42"/>
  <c r="AB123" i="42"/>
  <c r="AB122" i="42"/>
  <c r="AB121" i="42"/>
  <c r="AB120" i="42"/>
  <c r="AB119" i="42"/>
  <c r="AB118" i="42"/>
  <c r="AB117" i="42"/>
  <c r="AB116" i="42"/>
  <c r="AB115" i="42"/>
  <c r="AB114" i="42"/>
  <c r="AB113" i="42"/>
  <c r="AB112" i="42"/>
  <c r="AB111" i="42"/>
  <c r="AB110" i="42"/>
  <c r="AB109" i="42"/>
  <c r="AB108" i="42"/>
  <c r="AB107" i="42"/>
  <c r="AB106" i="42"/>
  <c r="AB105" i="42"/>
  <c r="AB104" i="42"/>
  <c r="AB103" i="42"/>
  <c r="AB102" i="42"/>
  <c r="AB101" i="42"/>
  <c r="AB100" i="42"/>
  <c r="AB99" i="42"/>
  <c r="AB98" i="42"/>
  <c r="AB97" i="42"/>
  <c r="AB96" i="42"/>
  <c r="AB95" i="42"/>
  <c r="AB94" i="42"/>
  <c r="AB93" i="42"/>
  <c r="AB92" i="42"/>
  <c r="AB91" i="42"/>
  <c r="AB90" i="42"/>
  <c r="AB89" i="42"/>
  <c r="AB88" i="42"/>
  <c r="AB87" i="42"/>
  <c r="AB86" i="42"/>
  <c r="AB85" i="42"/>
  <c r="AB84" i="42"/>
  <c r="AB83" i="42"/>
  <c r="AB82" i="42"/>
  <c r="AB81" i="42"/>
  <c r="AB80" i="42"/>
  <c r="AB79" i="42"/>
  <c r="AB78" i="42"/>
  <c r="AB77" i="42"/>
  <c r="AB76" i="42"/>
  <c r="AB75" i="42"/>
  <c r="AB74" i="42"/>
  <c r="AB73" i="42"/>
  <c r="AB72" i="42"/>
  <c r="AB71" i="42"/>
  <c r="AB70" i="42"/>
  <c r="AB69" i="42"/>
  <c r="AB68" i="42"/>
  <c r="AB67" i="42"/>
  <c r="AB66" i="42"/>
  <c r="AB65" i="42"/>
  <c r="AB64" i="42"/>
  <c r="AB63" i="42"/>
  <c r="AB62" i="42"/>
  <c r="AB61" i="42"/>
  <c r="AB60" i="42"/>
  <c r="AB59" i="42"/>
  <c r="AB58" i="42"/>
  <c r="AB57" i="42"/>
  <c r="AB56" i="42"/>
  <c r="AB55" i="42"/>
  <c r="AB54" i="42"/>
  <c r="AB53" i="42"/>
  <c r="AB52" i="42"/>
  <c r="AB51" i="42"/>
  <c r="AB50" i="42"/>
  <c r="AB49" i="42"/>
  <c r="AB48" i="42"/>
  <c r="AB47" i="42"/>
  <c r="AB46" i="42"/>
  <c r="AB45" i="42"/>
  <c r="AB44" i="42"/>
  <c r="AB43" i="42"/>
  <c r="AB42" i="42"/>
  <c r="AB41" i="42"/>
  <c r="AB40" i="42"/>
  <c r="AB39" i="42"/>
  <c r="AB38" i="42"/>
  <c r="AB37" i="42"/>
  <c r="AB36" i="42"/>
  <c r="AB35" i="42"/>
  <c r="AB34" i="42"/>
  <c r="AB33" i="42"/>
  <c r="AB32" i="42"/>
  <c r="AB31" i="42"/>
  <c r="AB30" i="42"/>
  <c r="AB29" i="42"/>
  <c r="AB28" i="42"/>
  <c r="AB27" i="42"/>
  <c r="AB26" i="42"/>
  <c r="AB25" i="42"/>
  <c r="AB24" i="42"/>
  <c r="AB23" i="42"/>
  <c r="AB22" i="42"/>
  <c r="AB21" i="42"/>
  <c r="AB20" i="42"/>
  <c r="AB19" i="42"/>
  <c r="AB18" i="42"/>
  <c r="AB17" i="42"/>
  <c r="AB16" i="42"/>
  <c r="AB15" i="42"/>
  <c r="AB14" i="42"/>
  <c r="AB13" i="42"/>
  <c r="AB12" i="42"/>
  <c r="AB11" i="42"/>
  <c r="AB10" i="42"/>
  <c r="AB9" i="42"/>
  <c r="AB8" i="42"/>
  <c r="AB7" i="42"/>
  <c r="AB6" i="42"/>
  <c r="AB5" i="42"/>
  <c r="AB268" i="38"/>
  <c r="AB267" i="38"/>
  <c r="AB266" i="38"/>
  <c r="AB265" i="38"/>
  <c r="AB264" i="38"/>
  <c r="AB263" i="38"/>
  <c r="AB262" i="38"/>
  <c r="AB261" i="38"/>
  <c r="AB260" i="38"/>
  <c r="AB259" i="38"/>
  <c r="AB258" i="38"/>
  <c r="AB257" i="38"/>
  <c r="AB256" i="38"/>
  <c r="AB255" i="38"/>
  <c r="AB254" i="38"/>
  <c r="AB253" i="38"/>
  <c r="AB252" i="38"/>
  <c r="AB251" i="38"/>
  <c r="AB250" i="38"/>
  <c r="AB249" i="38"/>
  <c r="AB248" i="38"/>
  <c r="AB247" i="38"/>
  <c r="AB246" i="38"/>
  <c r="AB245" i="38"/>
  <c r="AB244" i="38"/>
  <c r="AB243" i="38"/>
  <c r="AB242" i="38"/>
  <c r="AB241" i="38"/>
  <c r="AB240" i="38"/>
  <c r="AB239" i="38"/>
  <c r="AB238" i="38"/>
  <c r="AB237" i="38"/>
  <c r="AB236" i="38"/>
  <c r="AB235" i="38"/>
  <c r="AB234" i="38"/>
  <c r="AB233" i="38"/>
  <c r="AB232" i="38"/>
  <c r="AB231" i="38"/>
  <c r="AB230" i="38"/>
  <c r="AB229" i="38"/>
  <c r="AB228" i="38"/>
  <c r="AB227" i="38"/>
  <c r="AB226" i="38"/>
  <c r="AB225" i="38"/>
  <c r="AB224" i="38"/>
  <c r="AB223" i="38"/>
  <c r="AB222" i="38"/>
  <c r="AB221" i="38"/>
  <c r="AB220" i="38"/>
  <c r="AB219" i="38"/>
  <c r="AB218" i="38"/>
  <c r="AB217" i="38"/>
  <c r="AB216" i="38"/>
  <c r="AB215" i="38"/>
  <c r="AB214" i="38"/>
  <c r="AB213" i="38"/>
  <c r="AB212" i="38"/>
  <c r="AB211" i="38"/>
  <c r="AB210" i="38"/>
  <c r="AB209" i="38"/>
  <c r="AB208" i="38"/>
  <c r="AB207" i="38"/>
  <c r="AB206" i="38"/>
  <c r="AB205" i="38"/>
  <c r="AB204" i="38"/>
  <c r="AB203" i="38"/>
  <c r="AB202" i="38"/>
  <c r="AB201" i="38"/>
  <c r="AB200" i="38"/>
  <c r="AB199" i="38"/>
  <c r="AB198" i="38"/>
  <c r="AB197" i="38"/>
  <c r="AB196" i="38"/>
  <c r="AB195" i="38"/>
  <c r="AB194" i="38"/>
  <c r="AB193" i="38"/>
  <c r="AB192" i="38"/>
  <c r="AB191" i="38"/>
  <c r="AB190" i="38"/>
  <c r="AB189" i="38"/>
  <c r="AB188" i="38"/>
  <c r="AB187" i="38"/>
  <c r="AB186" i="38"/>
  <c r="AB185" i="38"/>
  <c r="AB184" i="38"/>
  <c r="AB183" i="38"/>
  <c r="AB182" i="38"/>
  <c r="AB181" i="38"/>
  <c r="AB180" i="38"/>
  <c r="AB179" i="38"/>
  <c r="AB178" i="38"/>
  <c r="AB177" i="38"/>
  <c r="AB176" i="38"/>
  <c r="AB175" i="38"/>
  <c r="AB174" i="38"/>
  <c r="AB173" i="38"/>
  <c r="AB172" i="38"/>
  <c r="AB171" i="38"/>
  <c r="AB170" i="38"/>
  <c r="AB169" i="38"/>
  <c r="AB168" i="38"/>
  <c r="AB167" i="38"/>
  <c r="AB166" i="38"/>
  <c r="AB165" i="38"/>
  <c r="AB164" i="38"/>
  <c r="AB163" i="38"/>
  <c r="AB162" i="38"/>
  <c r="AB161" i="38"/>
  <c r="AB160" i="38"/>
  <c r="AB159" i="38"/>
  <c r="AB158" i="38"/>
  <c r="AB157" i="38"/>
  <c r="AB156" i="38"/>
  <c r="AB155" i="38"/>
  <c r="AB154" i="38"/>
  <c r="AB153" i="38"/>
  <c r="AB152" i="38"/>
  <c r="AB151" i="38"/>
  <c r="AB150" i="38"/>
  <c r="AB149" i="38"/>
  <c r="AB148" i="38"/>
  <c r="AB147" i="38"/>
  <c r="AB146" i="38"/>
  <c r="AB145" i="38"/>
  <c r="AB144" i="38"/>
  <c r="AB143" i="38"/>
  <c r="AB142" i="38"/>
  <c r="AB141" i="38"/>
  <c r="AB140" i="38"/>
  <c r="AB139" i="38"/>
  <c r="AB138" i="38"/>
  <c r="AB137" i="38"/>
  <c r="AB136" i="38"/>
  <c r="AB135" i="38"/>
  <c r="AB134" i="38"/>
  <c r="AB133" i="38"/>
  <c r="AB132" i="38"/>
  <c r="AB131" i="38"/>
  <c r="AB130" i="38"/>
  <c r="AB129" i="38"/>
  <c r="AB128" i="38"/>
  <c r="AB127" i="38"/>
  <c r="AB126" i="38"/>
  <c r="AB125" i="38"/>
  <c r="AB124" i="38"/>
  <c r="AB123" i="38"/>
  <c r="AB122" i="38"/>
  <c r="AB121" i="38"/>
  <c r="AB120" i="38"/>
  <c r="AB119" i="38"/>
  <c r="AB118" i="38"/>
  <c r="AB117" i="38"/>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B94" i="38"/>
  <c r="AB93" i="38"/>
  <c r="AB92" i="38"/>
  <c r="AB91" i="38"/>
  <c r="AB90" i="38"/>
  <c r="AB89" i="38"/>
  <c r="AB88" i="38"/>
  <c r="AB87" i="38"/>
  <c r="AB86" i="38"/>
  <c r="AB85" i="38"/>
  <c r="AB84" i="38"/>
  <c r="AB83" i="38"/>
  <c r="AB82" i="38"/>
  <c r="AB81" i="38"/>
  <c r="AB80" i="38"/>
  <c r="AB79" i="38"/>
  <c r="AB78" i="38"/>
  <c r="AB77" i="38"/>
  <c r="AB76" i="38"/>
  <c r="AB75" i="38"/>
  <c r="AB74" i="38"/>
  <c r="AB73" i="38"/>
  <c r="AB72" i="38"/>
  <c r="AB71" i="38"/>
  <c r="AB70" i="38"/>
  <c r="AB69" i="38"/>
  <c r="AB68" i="38"/>
  <c r="AB67" i="38"/>
  <c r="AB66" i="38"/>
  <c r="AB65" i="38"/>
  <c r="AB64" i="38"/>
  <c r="AB63" i="38"/>
  <c r="AB62" i="38"/>
  <c r="AB61" i="38"/>
  <c r="AB60" i="38"/>
  <c r="AB59" i="38"/>
  <c r="AB58" i="38"/>
  <c r="AB57" i="38"/>
  <c r="AB56" i="38"/>
  <c r="AB55" i="38"/>
  <c r="AB54" i="38"/>
  <c r="AB53" i="38"/>
  <c r="AB52" i="38"/>
  <c r="AB51" i="38"/>
  <c r="AB50" i="38"/>
  <c r="AB49" i="38"/>
  <c r="AB48" i="38"/>
  <c r="AB47" i="38"/>
  <c r="AB46" i="38"/>
  <c r="AB45" i="38"/>
  <c r="AB44" i="38"/>
  <c r="AB43" i="38"/>
  <c r="AB42" i="38"/>
  <c r="AB41" i="38"/>
  <c r="AB40" i="38"/>
  <c r="AB39" i="38"/>
  <c r="AB38" i="38"/>
  <c r="AB37" i="38"/>
  <c r="AB36" i="38"/>
  <c r="AB35" i="38"/>
  <c r="AB34" i="38"/>
  <c r="AB33" i="38"/>
  <c r="AB32" i="38"/>
  <c r="AB31" i="38"/>
  <c r="AB30" i="38"/>
  <c r="AB29" i="38"/>
  <c r="AB28" i="38"/>
  <c r="AB27" i="38"/>
  <c r="AB26" i="38"/>
  <c r="AB25" i="38"/>
  <c r="AB24" i="38"/>
  <c r="AB23" i="38"/>
  <c r="AB22" i="38"/>
  <c r="AB21" i="38"/>
  <c r="AB20" i="38"/>
  <c r="AB19" i="38"/>
  <c r="AB18" i="38"/>
  <c r="AB17" i="38"/>
  <c r="AB16" i="38"/>
  <c r="AB15" i="38"/>
  <c r="AB14" i="38"/>
  <c r="AB13" i="38"/>
  <c r="AB12" i="38"/>
  <c r="AB11" i="38"/>
  <c r="AB10" i="38"/>
  <c r="AB9" i="38"/>
  <c r="AB8" i="38"/>
  <c r="AB7" i="38"/>
  <c r="AB6" i="38"/>
  <c r="AB5" i="38"/>
  <c r="AB268" i="40"/>
  <c r="AB267" i="40"/>
  <c r="AB266" i="40"/>
  <c r="AB265" i="40"/>
  <c r="AB264" i="40"/>
  <c r="AB263" i="40"/>
  <c r="AB262" i="40"/>
  <c r="AB261" i="40"/>
  <c r="AB260" i="40"/>
  <c r="AB259" i="40"/>
  <c r="AB258" i="40"/>
  <c r="AB257" i="40"/>
  <c r="AB256" i="40"/>
  <c r="AB255" i="40"/>
  <c r="AB254" i="40"/>
  <c r="AB253" i="40"/>
  <c r="AB252" i="40"/>
  <c r="AB251" i="40"/>
  <c r="AB250" i="40"/>
  <c r="AB249" i="40"/>
  <c r="AB248" i="40"/>
  <c r="AB247" i="40"/>
  <c r="AB246" i="40"/>
  <c r="AB245" i="40"/>
  <c r="AB244" i="40"/>
  <c r="AB243" i="40"/>
  <c r="AB242" i="40"/>
  <c r="AB241" i="40"/>
  <c r="AB240" i="40"/>
  <c r="AB239" i="40"/>
  <c r="AB238" i="40"/>
  <c r="AB237" i="40"/>
  <c r="AB236" i="40"/>
  <c r="AB235" i="40"/>
  <c r="AB234" i="40"/>
  <c r="AB233" i="40"/>
  <c r="AB232" i="40"/>
  <c r="AB231" i="40"/>
  <c r="AB230" i="40"/>
  <c r="AB229" i="40"/>
  <c r="AB228" i="40"/>
  <c r="AB227" i="40"/>
  <c r="AB226" i="40"/>
  <c r="AB225" i="40"/>
  <c r="AB224" i="40"/>
  <c r="AB223" i="40"/>
  <c r="AB222" i="40"/>
  <c r="AB221" i="40"/>
  <c r="AB220" i="40"/>
  <c r="AB219" i="40"/>
  <c r="AB218" i="40"/>
  <c r="AB217" i="40"/>
  <c r="AB216" i="40"/>
  <c r="AB215" i="40"/>
  <c r="AB214" i="40"/>
  <c r="AB213" i="40"/>
  <c r="AB212" i="40"/>
  <c r="AB211" i="40"/>
  <c r="AB210" i="40"/>
  <c r="AB209" i="40"/>
  <c r="AB208" i="40"/>
  <c r="AB207" i="40"/>
  <c r="AB206" i="40"/>
  <c r="AB205" i="40"/>
  <c r="AB204" i="40"/>
  <c r="AB203" i="40"/>
  <c r="AB202" i="40"/>
  <c r="AB201" i="40"/>
  <c r="AB200" i="40"/>
  <c r="AB199" i="40"/>
  <c r="AB198" i="40"/>
  <c r="AB197" i="40"/>
  <c r="AB196" i="40"/>
  <c r="AB195" i="40"/>
  <c r="AB194" i="40"/>
  <c r="AB193" i="40"/>
  <c r="AB192" i="40"/>
  <c r="AB191" i="40"/>
  <c r="AB190" i="40"/>
  <c r="AB189" i="40"/>
  <c r="AB188" i="40"/>
  <c r="AB187" i="40"/>
  <c r="AB186" i="40"/>
  <c r="AB185" i="40"/>
  <c r="AB184" i="40"/>
  <c r="AB183" i="40"/>
  <c r="AB182" i="40"/>
  <c r="AB181" i="40"/>
  <c r="AB180" i="40"/>
  <c r="AB179" i="40"/>
  <c r="AB178" i="40"/>
  <c r="AB177" i="40"/>
  <c r="AB176" i="40"/>
  <c r="AB175" i="40"/>
  <c r="AB174" i="40"/>
  <c r="AB173" i="40"/>
  <c r="AB172" i="40"/>
  <c r="AB171" i="40"/>
  <c r="AB170" i="40"/>
  <c r="AB169" i="40"/>
  <c r="AB168" i="40"/>
  <c r="AB167" i="40"/>
  <c r="AB166" i="40"/>
  <c r="AB165" i="40"/>
  <c r="AB164" i="40"/>
  <c r="AB163" i="40"/>
  <c r="AB162" i="40"/>
  <c r="AB161" i="40"/>
  <c r="AB160" i="40"/>
  <c r="AB159" i="40"/>
  <c r="AB158" i="40"/>
  <c r="AB157" i="40"/>
  <c r="AB156" i="40"/>
  <c r="AB155" i="40"/>
  <c r="AB154" i="40"/>
  <c r="AB153" i="40"/>
  <c r="AB152" i="40"/>
  <c r="AB151" i="40"/>
  <c r="AB150" i="40"/>
  <c r="AB149" i="40"/>
  <c r="AB148" i="40"/>
  <c r="AB147" i="40"/>
  <c r="AB146" i="40"/>
  <c r="AB145" i="40"/>
  <c r="AB144" i="40"/>
  <c r="AB143" i="40"/>
  <c r="AB142" i="40"/>
  <c r="AB141" i="40"/>
  <c r="AB140" i="40"/>
  <c r="AB139" i="40"/>
  <c r="AB138" i="40"/>
  <c r="AB137" i="40"/>
  <c r="AB136" i="40"/>
  <c r="AB135" i="40"/>
  <c r="AB134" i="40"/>
  <c r="AB133" i="40"/>
  <c r="AB132" i="40"/>
  <c r="AB131" i="40"/>
  <c r="AB130" i="40"/>
  <c r="AB129" i="40"/>
  <c r="AB128" i="40"/>
  <c r="AB127" i="40"/>
  <c r="AB126" i="40"/>
  <c r="AB125" i="40"/>
  <c r="AB124" i="40"/>
  <c r="AB123" i="40"/>
  <c r="AB122" i="40"/>
  <c r="AB121" i="40"/>
  <c r="AB120" i="40"/>
  <c r="AB119" i="40"/>
  <c r="AB118" i="40"/>
  <c r="AB117" i="40"/>
  <c r="AB116" i="40"/>
  <c r="AB115" i="40"/>
  <c r="AB114" i="40"/>
  <c r="AB113" i="40"/>
  <c r="AB112" i="40"/>
  <c r="AB111" i="40"/>
  <c r="AB110" i="40"/>
  <c r="AB109" i="40"/>
  <c r="AB108" i="40"/>
  <c r="AB107" i="40"/>
  <c r="AB106" i="40"/>
  <c r="AB105" i="40"/>
  <c r="AB104" i="40"/>
  <c r="AB103" i="40"/>
  <c r="AB102" i="40"/>
  <c r="AB101" i="40"/>
  <c r="AB100" i="40"/>
  <c r="AB99" i="40"/>
  <c r="AB98" i="40"/>
  <c r="AB97" i="40"/>
  <c r="AB96" i="40"/>
  <c r="AB95" i="40"/>
  <c r="AB94" i="40"/>
  <c r="AB93" i="40"/>
  <c r="AB92" i="40"/>
  <c r="AB91" i="40"/>
  <c r="AB90" i="40"/>
  <c r="AB89" i="40"/>
  <c r="AB88" i="40"/>
  <c r="AB87" i="40"/>
  <c r="AB86" i="40"/>
  <c r="AB85" i="40"/>
  <c r="AB84" i="40"/>
  <c r="AB83" i="40"/>
  <c r="AB82" i="40"/>
  <c r="AB81" i="40"/>
  <c r="AB80" i="40"/>
  <c r="AB79" i="40"/>
  <c r="AB78" i="40"/>
  <c r="AB77" i="40"/>
  <c r="AB76" i="40"/>
  <c r="AB75" i="40"/>
  <c r="AB74" i="40"/>
  <c r="AB73" i="40"/>
  <c r="AB72" i="40"/>
  <c r="AB71" i="40"/>
  <c r="AB70" i="40"/>
  <c r="AB69" i="40"/>
  <c r="AB68" i="40"/>
  <c r="AB67" i="40"/>
  <c r="AB66" i="40"/>
  <c r="AB65" i="40"/>
  <c r="AB64" i="40"/>
  <c r="AB63" i="40"/>
  <c r="AB62" i="40"/>
  <c r="AB61" i="40"/>
  <c r="AB60" i="40"/>
  <c r="AB59" i="40"/>
  <c r="AB58" i="40"/>
  <c r="AB57" i="40"/>
  <c r="AB56" i="40"/>
  <c r="AB55" i="40"/>
  <c r="AB54" i="40"/>
  <c r="AB53" i="40"/>
  <c r="AB52" i="40"/>
  <c r="AB51" i="40"/>
  <c r="AB50" i="40"/>
  <c r="AB49" i="40"/>
  <c r="AB48" i="40"/>
  <c r="AB47" i="40"/>
  <c r="AB46" i="40"/>
  <c r="AB45" i="40"/>
  <c r="AB44" i="40"/>
  <c r="AB43" i="40"/>
  <c r="AB42" i="40"/>
  <c r="AB41" i="40"/>
  <c r="AB40" i="40"/>
  <c r="AB39" i="40"/>
  <c r="AB38" i="40"/>
  <c r="AB37" i="40"/>
  <c r="AB36" i="40"/>
  <c r="AB35" i="40"/>
  <c r="AB34" i="40"/>
  <c r="AB33" i="40"/>
  <c r="AB32" i="40"/>
  <c r="AB31" i="40"/>
  <c r="AB30" i="40"/>
  <c r="AB29" i="40"/>
  <c r="AB28" i="40"/>
  <c r="AB27" i="40"/>
  <c r="AB26" i="40"/>
  <c r="AB25" i="40"/>
  <c r="AB24" i="40"/>
  <c r="AB23" i="40"/>
  <c r="AB22" i="40"/>
  <c r="AB21" i="40"/>
  <c r="AB20" i="40"/>
  <c r="AB19" i="40"/>
  <c r="AB18" i="40"/>
  <c r="AB17" i="40"/>
  <c r="AB16" i="40"/>
  <c r="AB15" i="40"/>
  <c r="AB14" i="40"/>
  <c r="AB13" i="40"/>
  <c r="AB12" i="40"/>
  <c r="AB11" i="40"/>
  <c r="AB10" i="40"/>
  <c r="AB9" i="40"/>
  <c r="AB8" i="40"/>
  <c r="AB7" i="40"/>
  <c r="AB6" i="40"/>
  <c r="AB5" i="40"/>
  <c r="AB132" i="43"/>
  <c r="AB133" i="43"/>
  <c r="AB134" i="43"/>
  <c r="AB135" i="43"/>
  <c r="AB136" i="43"/>
  <c r="AB137" i="43"/>
  <c r="AB138" i="43"/>
  <c r="AB139" i="43"/>
  <c r="AB140" i="43"/>
  <c r="AB141" i="43"/>
  <c r="AB142" i="43"/>
  <c r="AB143" i="43"/>
  <c r="AB144" i="43"/>
  <c r="AB145" i="43"/>
  <c r="AB146" i="43"/>
  <c r="AB147" i="43"/>
  <c r="AB148" i="43"/>
  <c r="AB149" i="43"/>
  <c r="AB150" i="43"/>
  <c r="AB151" i="43"/>
  <c r="AB152" i="43"/>
  <c r="AB153" i="43"/>
  <c r="AB154" i="43"/>
  <c r="AB155" i="43"/>
  <c r="AB156" i="43"/>
  <c r="AB157" i="43"/>
  <c r="AB158" i="43"/>
  <c r="AB159" i="43"/>
  <c r="AB160" i="43"/>
  <c r="AB161" i="43"/>
  <c r="AB162" i="43"/>
  <c r="AB163" i="43"/>
  <c r="AB164" i="43"/>
  <c r="AB165" i="43"/>
  <c r="AB166" i="43"/>
  <c r="AB167" i="43"/>
  <c r="AB168" i="43"/>
  <c r="AB169" i="43"/>
  <c r="AB170" i="43"/>
  <c r="AB171" i="43"/>
  <c r="AB172" i="43"/>
  <c r="AB173" i="43"/>
  <c r="AB174" i="43"/>
  <c r="AB175" i="43"/>
  <c r="AB176" i="43"/>
  <c r="AB177" i="43"/>
  <c r="AB178" i="43"/>
  <c r="AB179" i="43"/>
  <c r="AB180" i="43"/>
  <c r="AB181" i="43"/>
  <c r="AB182" i="43"/>
  <c r="AB183" i="43"/>
  <c r="AB184" i="43"/>
  <c r="AB185" i="43"/>
  <c r="AB186" i="43"/>
  <c r="AB187" i="43"/>
  <c r="AB188" i="43"/>
  <c r="AB189" i="43"/>
  <c r="AB190" i="43"/>
  <c r="AB191" i="43"/>
  <c r="AB192" i="43"/>
  <c r="AB193" i="43"/>
  <c r="AB194" i="43"/>
  <c r="AB195" i="43"/>
  <c r="AB196" i="43"/>
  <c r="AB197" i="43"/>
  <c r="AB198" i="43"/>
  <c r="AB199" i="43"/>
  <c r="AB200" i="43"/>
  <c r="AB201" i="43"/>
  <c r="AB202" i="43"/>
  <c r="AB203" i="43"/>
  <c r="AB204" i="43"/>
  <c r="AB205" i="43"/>
  <c r="AB206" i="43"/>
  <c r="AB207" i="43"/>
  <c r="AB208" i="43"/>
  <c r="AB209" i="43"/>
  <c r="AB210" i="43"/>
  <c r="AB211" i="43"/>
  <c r="AB212" i="43"/>
  <c r="AB213" i="43"/>
  <c r="AB214" i="43"/>
  <c r="AB215" i="43"/>
  <c r="AB216" i="43"/>
  <c r="AB217" i="43"/>
  <c r="AB218" i="43"/>
  <c r="AB219" i="43"/>
  <c r="AB220" i="43"/>
  <c r="AB221" i="43"/>
  <c r="AB222" i="43"/>
  <c r="AB223" i="43"/>
  <c r="AB224" i="43"/>
  <c r="AB225" i="43"/>
  <c r="AB226" i="43"/>
  <c r="AB227" i="43"/>
  <c r="AB228" i="43"/>
  <c r="AB229" i="43"/>
  <c r="AB230" i="43"/>
  <c r="AB231" i="43"/>
  <c r="AB232" i="43"/>
  <c r="AB233" i="43"/>
  <c r="AB234" i="43"/>
  <c r="AB235" i="43"/>
  <c r="AB236" i="43"/>
  <c r="AB237" i="43"/>
  <c r="AB238" i="43"/>
  <c r="AB239" i="43"/>
  <c r="AB240" i="43"/>
  <c r="AB241" i="43"/>
  <c r="AB242" i="43"/>
  <c r="AB243" i="43"/>
  <c r="AB244" i="43"/>
  <c r="AB245" i="43"/>
  <c r="AB246" i="43"/>
  <c r="AB247" i="43"/>
  <c r="AB248" i="43"/>
  <c r="AB249" i="43"/>
  <c r="AB250" i="43"/>
  <c r="AB251" i="43"/>
  <c r="AB252" i="43"/>
  <c r="AB253" i="43"/>
  <c r="AB254" i="43"/>
  <c r="AB255" i="43"/>
  <c r="AB256" i="43"/>
  <c r="AB257" i="43"/>
  <c r="AB258" i="43"/>
  <c r="AB259" i="43"/>
  <c r="AB260" i="43"/>
  <c r="AB261" i="43"/>
  <c r="AB262" i="43"/>
  <c r="AB263" i="43"/>
  <c r="AB264" i="43"/>
  <c r="AB265" i="43"/>
  <c r="AB266" i="43"/>
  <c r="AB267" i="43"/>
  <c r="AB268" i="43"/>
  <c r="AB55" i="43"/>
  <c r="AB56" i="43"/>
  <c r="AB57" i="43"/>
  <c r="AB58" i="43"/>
  <c r="AB59" i="43"/>
  <c r="AB60" i="43"/>
  <c r="AB61" i="43"/>
  <c r="AB62" i="43"/>
  <c r="AB63" i="43"/>
  <c r="AB64" i="43"/>
  <c r="AB65" i="43"/>
  <c r="AB66" i="43"/>
  <c r="AB67" i="43"/>
  <c r="AB68" i="43"/>
  <c r="AB69" i="43"/>
  <c r="AB70" i="43"/>
  <c r="AB71" i="43"/>
  <c r="AB72" i="43"/>
  <c r="AB73" i="43"/>
  <c r="AB74" i="43"/>
  <c r="AB75" i="43"/>
  <c r="AB76" i="43"/>
  <c r="AB77" i="43"/>
  <c r="AB78" i="43"/>
  <c r="AB79" i="43"/>
  <c r="AB80" i="43"/>
  <c r="AB81" i="43"/>
  <c r="AB82" i="43"/>
  <c r="AB83" i="43"/>
  <c r="AB84" i="43"/>
  <c r="AB85" i="43"/>
  <c r="AB86" i="43"/>
  <c r="AB87" i="43"/>
  <c r="AB88" i="43"/>
  <c r="AB89" i="43"/>
  <c r="AB90" i="43"/>
  <c r="AB91" i="43"/>
  <c r="AB92" i="43"/>
  <c r="AB93" i="43"/>
  <c r="AB94" i="43"/>
  <c r="AB95" i="43"/>
  <c r="AB96" i="43"/>
  <c r="AB97" i="43"/>
  <c r="AB98" i="43"/>
  <c r="AB99" i="43"/>
  <c r="AB100" i="43"/>
  <c r="AB101" i="43"/>
  <c r="AB102" i="43"/>
  <c r="AB103" i="43"/>
  <c r="AB104" i="43"/>
  <c r="AB105" i="43"/>
  <c r="AB106" i="43"/>
  <c r="AB107" i="43"/>
  <c r="AB108" i="43"/>
  <c r="AB109" i="43"/>
  <c r="AB110" i="43"/>
  <c r="AB111" i="43"/>
  <c r="AB112" i="43"/>
  <c r="AB113" i="43"/>
  <c r="AB114" i="43"/>
  <c r="AB115" i="43"/>
  <c r="AB116" i="43"/>
  <c r="AB117" i="43"/>
  <c r="AB118" i="43"/>
  <c r="AB119" i="43"/>
  <c r="AB120" i="43"/>
  <c r="AB121" i="43"/>
  <c r="AB122" i="43"/>
  <c r="AB123" i="43"/>
  <c r="AB124" i="43"/>
  <c r="AB125" i="43"/>
  <c r="AB126" i="43"/>
  <c r="AB127" i="43"/>
  <c r="AB128" i="43"/>
  <c r="AB129" i="43"/>
  <c r="AB130" i="43"/>
  <c r="AB131" i="43"/>
  <c r="AB30" i="43"/>
  <c r="AB31" i="43"/>
  <c r="AB32" i="43"/>
  <c r="AB33" i="43"/>
  <c r="AB34" i="43"/>
  <c r="AB35" i="43"/>
  <c r="AB36" i="43"/>
  <c r="AB37" i="43"/>
  <c r="AB38" i="43"/>
  <c r="AB39" i="43"/>
  <c r="AB40" i="43"/>
  <c r="AB41" i="43"/>
  <c r="AB42" i="43"/>
  <c r="AB43" i="43"/>
  <c r="AB44" i="43"/>
  <c r="AB45" i="43"/>
  <c r="AB46" i="43"/>
  <c r="AB47" i="43"/>
  <c r="AB48" i="43"/>
  <c r="AB49" i="43"/>
  <c r="AB50" i="43"/>
  <c r="AB51" i="43"/>
  <c r="AB52" i="43"/>
  <c r="AB53" i="43"/>
  <c r="AB54" i="43"/>
  <c r="AB19" i="43"/>
  <c r="AB20" i="43"/>
  <c r="AB21" i="43"/>
  <c r="AB22" i="43"/>
  <c r="AB23" i="43"/>
  <c r="AB24" i="43"/>
  <c r="AB25" i="43"/>
  <c r="AB26" i="43"/>
  <c r="AB27" i="43"/>
  <c r="AB28" i="43"/>
  <c r="AB29" i="43"/>
  <c r="AB6" i="43"/>
  <c r="AB7" i="43"/>
  <c r="AB8" i="43"/>
  <c r="AB9" i="43"/>
  <c r="AB10" i="43"/>
  <c r="AB11" i="43"/>
  <c r="AB12" i="43"/>
  <c r="AB13" i="43"/>
  <c r="AB14" i="43"/>
  <c r="AB15" i="43"/>
  <c r="AB16" i="43"/>
  <c r="AB17" i="43"/>
  <c r="AB18" i="43"/>
  <c r="AB5" i="43"/>
  <c r="D28" i="44" l="1"/>
  <c r="D18" i="44"/>
  <c r="D26" i="44"/>
  <c r="D27" i="44"/>
  <c r="D24" i="44"/>
  <c r="D19" i="44"/>
  <c r="D21" i="44"/>
  <c r="C45" i="44"/>
  <c r="C58" i="44"/>
  <c r="L6" i="44"/>
  <c r="L22" i="44"/>
  <c r="L8" i="44"/>
  <c r="C55" i="44"/>
  <c r="C42" i="44"/>
  <c r="L21" i="44"/>
  <c r="AL15" i="44"/>
  <c r="C62" i="44"/>
  <c r="L28" i="44"/>
  <c r="D17" i="44"/>
  <c r="C29" i="44"/>
  <c r="D33" i="44" s="1"/>
  <c r="C84" i="44"/>
  <c r="D23" i="44"/>
  <c r="D20" i="44"/>
  <c r="D25" i="44"/>
  <c r="J15" i="44"/>
  <c r="AC15" i="44" s="1"/>
  <c r="AD15" i="44" s="1"/>
  <c r="C47" i="44"/>
  <c r="D35" i="44"/>
  <c r="L11" i="44"/>
  <c r="L10" i="44"/>
  <c r="J10" i="44"/>
  <c r="AC10" i="44" s="1"/>
  <c r="AD10" i="44" s="1"/>
  <c r="L24" i="44"/>
  <c r="L12" i="44"/>
  <c r="L13" i="44"/>
  <c r="L5" i="44"/>
  <c r="L18" i="44"/>
  <c r="L19" i="44"/>
  <c r="L7" i="44"/>
  <c r="L26" i="44"/>
  <c r="L16" i="44"/>
  <c r="C51" i="44"/>
  <c r="D39" i="44"/>
  <c r="C88" i="44"/>
  <c r="L9" i="44"/>
  <c r="L14" i="44"/>
  <c r="C44" i="44"/>
  <c r="D32" i="44"/>
  <c r="C49" i="44"/>
  <c r="L27" i="44" l="1"/>
  <c r="L33" i="44"/>
  <c r="L32" i="44"/>
  <c r="AL9" i="44"/>
  <c r="L35" i="44"/>
  <c r="C56" i="44"/>
  <c r="AL7" i="44"/>
  <c r="AL12" i="44"/>
  <c r="C59" i="44"/>
  <c r="L17" i="44"/>
  <c r="AL28" i="44"/>
  <c r="C74" i="44"/>
  <c r="C67" i="44"/>
  <c r="J6" i="44"/>
  <c r="AC6" i="44" s="1"/>
  <c r="AD6" i="44" s="1"/>
  <c r="J9" i="44"/>
  <c r="AC9" i="44" s="1"/>
  <c r="AD9" i="44" s="1"/>
  <c r="J16" i="44"/>
  <c r="AC16" i="44" s="1"/>
  <c r="AD16" i="44" s="1"/>
  <c r="J19" i="44"/>
  <c r="AC19" i="44" s="1"/>
  <c r="AD19" i="44" s="1"/>
  <c r="J18" i="44"/>
  <c r="AC18" i="44" s="1"/>
  <c r="AD18" i="44" s="1"/>
  <c r="AL13" i="44"/>
  <c r="J24" i="44"/>
  <c r="AC24" i="44" s="1"/>
  <c r="AD24" i="44" s="1"/>
  <c r="C96" i="44"/>
  <c r="J28" i="44"/>
  <c r="AC28" i="44" s="1"/>
  <c r="AD28" i="44" s="1"/>
  <c r="J21" i="44"/>
  <c r="AC21" i="44" s="1"/>
  <c r="AD21" i="44" s="1"/>
  <c r="J22" i="44"/>
  <c r="AC22" i="44" s="1"/>
  <c r="AD22" i="44" s="1"/>
  <c r="AL6" i="44"/>
  <c r="L39" i="44"/>
  <c r="AL19" i="44"/>
  <c r="AL5" i="44"/>
  <c r="J12" i="44"/>
  <c r="AC12" i="44" s="1"/>
  <c r="AD12" i="44" s="1"/>
  <c r="L20" i="44"/>
  <c r="D29" i="44"/>
  <c r="C41" i="44"/>
  <c r="D47" i="44" s="1"/>
  <c r="D38" i="44"/>
  <c r="D40" i="44"/>
  <c r="D31" i="44"/>
  <c r="D36" i="44"/>
  <c r="D34" i="44"/>
  <c r="C54" i="44"/>
  <c r="D42" i="44"/>
  <c r="AL22" i="44"/>
  <c r="C70" i="44"/>
  <c r="D51" i="44"/>
  <c r="C63" i="44"/>
  <c r="AL26" i="44"/>
  <c r="AL24" i="44"/>
  <c r="AL10" i="44"/>
  <c r="AL11" i="44"/>
  <c r="L23" i="44"/>
  <c r="AL27" i="44"/>
  <c r="J8" i="44"/>
  <c r="AC8" i="44" s="1"/>
  <c r="AD8" i="44" s="1"/>
  <c r="C57" i="44"/>
  <c r="D45" i="44"/>
  <c r="C61" i="44"/>
  <c r="D49" i="44"/>
  <c r="J14" i="44"/>
  <c r="AC14" i="44" s="1"/>
  <c r="AD14" i="44" s="1"/>
  <c r="C100" i="44"/>
  <c r="J26" i="44"/>
  <c r="AC26" i="44" s="1"/>
  <c r="AD26" i="44" s="1"/>
  <c r="J7" i="44"/>
  <c r="AC7" i="44" s="1"/>
  <c r="AD7" i="44" s="1"/>
  <c r="J5" i="44"/>
  <c r="D37" i="44"/>
  <c r="AL14" i="44"/>
  <c r="AL16" i="44"/>
  <c r="AL18" i="44"/>
  <c r="J13" i="44"/>
  <c r="AC13" i="44" s="1"/>
  <c r="AD13" i="44" s="1"/>
  <c r="J11" i="44"/>
  <c r="AC11" i="44" s="1"/>
  <c r="AD11" i="44" s="1"/>
  <c r="J25" i="44"/>
  <c r="AC25" i="44" s="1"/>
  <c r="AD25" i="44" s="1"/>
  <c r="L25" i="44"/>
  <c r="AL21" i="44"/>
  <c r="D30" i="44"/>
  <c r="J27" i="44"/>
  <c r="AC27" i="44" s="1"/>
  <c r="AD27" i="44" s="1"/>
  <c r="AL8" i="44"/>
  <c r="D44" i="44" l="1"/>
  <c r="C82" i="44"/>
  <c r="L29" i="44"/>
  <c r="C79" i="44"/>
  <c r="L45" i="44"/>
  <c r="L40" i="44"/>
  <c r="L47" i="44"/>
  <c r="C68" i="44"/>
  <c r="AL32" i="44"/>
  <c r="C69" i="44"/>
  <c r="L51" i="44"/>
  <c r="L34" i="44"/>
  <c r="L38" i="44"/>
  <c r="J20" i="44"/>
  <c r="AC20" i="44" s="1"/>
  <c r="AD20" i="44" s="1"/>
  <c r="C86" i="44"/>
  <c r="J17" i="44"/>
  <c r="AL35" i="44"/>
  <c r="J32" i="44"/>
  <c r="AC32" i="44" s="1"/>
  <c r="AD32" i="44" s="1"/>
  <c r="J33" i="44"/>
  <c r="AC33" i="44" s="1"/>
  <c r="AD33" i="44" s="1"/>
  <c r="AL33" i="44"/>
  <c r="L37" i="44"/>
  <c r="C73" i="44"/>
  <c r="L42" i="44"/>
  <c r="L31" i="44"/>
  <c r="J31" i="44"/>
  <c r="AC31" i="44" s="1"/>
  <c r="AD31" i="44" s="1"/>
  <c r="AL20" i="44"/>
  <c r="C108" i="44"/>
  <c r="C71" i="44"/>
  <c r="L44" i="44"/>
  <c r="J275" i="44"/>
  <c r="AC5" i="44"/>
  <c r="C112" i="44"/>
  <c r="AL23" i="44"/>
  <c r="C75" i="44"/>
  <c r="C66" i="44"/>
  <c r="J39" i="44"/>
  <c r="AC39" i="44" s="1"/>
  <c r="AD39" i="44" s="1"/>
  <c r="AL17" i="44"/>
  <c r="J35" i="44"/>
  <c r="AC35" i="44" s="1"/>
  <c r="AD35" i="44" s="1"/>
  <c r="L30" i="44"/>
  <c r="AL25" i="44"/>
  <c r="L49" i="44"/>
  <c r="J23" i="44"/>
  <c r="AC23" i="44" s="1"/>
  <c r="AD23" i="44" s="1"/>
  <c r="L36" i="44"/>
  <c r="C53" i="44"/>
  <c r="D41" i="44"/>
  <c r="D48" i="44"/>
  <c r="D52" i="44"/>
  <c r="D46" i="44"/>
  <c r="D50" i="44"/>
  <c r="D43" i="44"/>
  <c r="AM16" i="44"/>
  <c r="AL39" i="44"/>
  <c r="L46" i="44" l="1"/>
  <c r="D53" i="44"/>
  <c r="C65" i="44"/>
  <c r="D64" i="44"/>
  <c r="D60" i="44"/>
  <c r="D55" i="44"/>
  <c r="D58" i="44"/>
  <c r="D62" i="44"/>
  <c r="C78" i="44"/>
  <c r="D59" i="44"/>
  <c r="AL42" i="44"/>
  <c r="AN42" i="44" s="1"/>
  <c r="AO42" i="44" s="1"/>
  <c r="C85" i="44"/>
  <c r="D73" i="44"/>
  <c r="D57" i="44"/>
  <c r="C80" i="44"/>
  <c r="AL45" i="44"/>
  <c r="AN45" i="44" s="1"/>
  <c r="AO45" i="44" s="1"/>
  <c r="C94" i="44"/>
  <c r="L52" i="44"/>
  <c r="AL49" i="44"/>
  <c r="AN49" i="44" s="1"/>
  <c r="AO49" i="44" s="1"/>
  <c r="D63" i="44"/>
  <c r="C124" i="44"/>
  <c r="C136" i="44" s="1"/>
  <c r="C148" i="44" s="1"/>
  <c r="C160" i="44" s="1"/>
  <c r="C172" i="44" s="1"/>
  <c r="C184" i="44" s="1"/>
  <c r="C196" i="44" s="1"/>
  <c r="C208" i="44" s="1"/>
  <c r="C220" i="44" s="1"/>
  <c r="C232" i="44" s="1"/>
  <c r="C244" i="44" s="1"/>
  <c r="C256" i="44" s="1"/>
  <c r="C268" i="44" s="1"/>
  <c r="D71" i="44"/>
  <c r="C83" i="44"/>
  <c r="C120" i="44"/>
  <c r="C132" i="44" s="1"/>
  <c r="C144" i="44" s="1"/>
  <c r="C156" i="44" s="1"/>
  <c r="C168" i="44" s="1"/>
  <c r="C180" i="44" s="1"/>
  <c r="C192" i="44" s="1"/>
  <c r="C204" i="44" s="1"/>
  <c r="C216" i="44" s="1"/>
  <c r="C228" i="44" s="1"/>
  <c r="C240" i="44" s="1"/>
  <c r="C252" i="44" s="1"/>
  <c r="C264" i="44" s="1"/>
  <c r="D61" i="44"/>
  <c r="J276" i="44"/>
  <c r="AC17" i="44"/>
  <c r="AD17" i="44" s="1"/>
  <c r="J38" i="44"/>
  <c r="AC38" i="44" s="1"/>
  <c r="AD38" i="44" s="1"/>
  <c r="AL34" i="44"/>
  <c r="J51" i="44"/>
  <c r="AC51" i="44" s="1"/>
  <c r="AD51" i="44" s="1"/>
  <c r="AL51" i="44"/>
  <c r="AN51" i="44" s="1"/>
  <c r="AO51" i="44" s="1"/>
  <c r="L43" i="44"/>
  <c r="L48" i="44"/>
  <c r="J36" i="44"/>
  <c r="AC36" i="44" s="1"/>
  <c r="AD36" i="44" s="1"/>
  <c r="AL36" i="44"/>
  <c r="AL30" i="44"/>
  <c r="C87" i="44"/>
  <c r="AD5" i="44"/>
  <c r="AL31" i="44"/>
  <c r="J42" i="44"/>
  <c r="AC42" i="44" s="1"/>
  <c r="AD42" i="44" s="1"/>
  <c r="AL37" i="44"/>
  <c r="C98" i="44"/>
  <c r="J47" i="44"/>
  <c r="AC47" i="44" s="1"/>
  <c r="AD47" i="44" s="1"/>
  <c r="AL47" i="44"/>
  <c r="AN47" i="44" s="1"/>
  <c r="AO47" i="44" s="1"/>
  <c r="J40" i="44"/>
  <c r="AC40" i="44" s="1"/>
  <c r="AD40" i="44" s="1"/>
  <c r="AL40" i="44"/>
  <c r="J45" i="44"/>
  <c r="AC45" i="44" s="1"/>
  <c r="AD45" i="44" s="1"/>
  <c r="C91" i="44"/>
  <c r="AL29" i="44"/>
  <c r="L50" i="44"/>
  <c r="L41" i="44"/>
  <c r="J49" i="44"/>
  <c r="AC49" i="44" s="1"/>
  <c r="AD49" i="44" s="1"/>
  <c r="J30" i="44"/>
  <c r="AC30" i="44" s="1"/>
  <c r="AD30" i="44" s="1"/>
  <c r="AM28" i="44"/>
  <c r="D54" i="44"/>
  <c r="J44" i="44"/>
  <c r="AC44" i="44" s="1"/>
  <c r="AD44" i="44" s="1"/>
  <c r="AL44" i="44"/>
  <c r="AN44" i="44" s="1"/>
  <c r="AO44" i="44" s="1"/>
  <c r="J37" i="44"/>
  <c r="AC37" i="44" s="1"/>
  <c r="AD37" i="44" s="1"/>
  <c r="AL38" i="44"/>
  <c r="J34" i="44"/>
  <c r="AC34" i="44" s="1"/>
  <c r="AD34" i="44" s="1"/>
  <c r="C81" i="44"/>
  <c r="D56" i="44"/>
  <c r="J29" i="44"/>
  <c r="J41" i="44" l="1"/>
  <c r="J48" i="44"/>
  <c r="AC48" i="44" s="1"/>
  <c r="AD48" i="44" s="1"/>
  <c r="AL48" i="44"/>
  <c r="AN48" i="44" s="1"/>
  <c r="AO48" i="44" s="1"/>
  <c r="C95" i="44"/>
  <c r="L73" i="44"/>
  <c r="AL50" i="44"/>
  <c r="AN50" i="44" s="1"/>
  <c r="AO50" i="44" s="1"/>
  <c r="C110" i="44"/>
  <c r="C90" i="44"/>
  <c r="L58" i="44"/>
  <c r="C77" i="44"/>
  <c r="D65" i="44"/>
  <c r="D72" i="44"/>
  <c r="D76" i="44"/>
  <c r="D67" i="44"/>
  <c r="D74" i="44"/>
  <c r="D70" i="44"/>
  <c r="AL46" i="44"/>
  <c r="AN46" i="44" s="1"/>
  <c r="AO46" i="44" s="1"/>
  <c r="D75" i="44"/>
  <c r="J52" i="44"/>
  <c r="AC52" i="44" s="1"/>
  <c r="AD52" i="44" s="1"/>
  <c r="AL52" i="44"/>
  <c r="AN52" i="44" s="1"/>
  <c r="AO52" i="44" s="1"/>
  <c r="C92" i="44"/>
  <c r="D80" i="44"/>
  <c r="L59" i="44"/>
  <c r="D66" i="44"/>
  <c r="L55" i="44"/>
  <c r="L53" i="44"/>
  <c r="C93" i="44"/>
  <c r="AC41" i="44"/>
  <c r="AD41" i="44" s="1"/>
  <c r="AM40" i="44"/>
  <c r="L57" i="44"/>
  <c r="L62" i="44"/>
  <c r="L64" i="44"/>
  <c r="J277" i="44"/>
  <c r="AC29" i="44"/>
  <c r="C99" i="44"/>
  <c r="D87" i="44"/>
  <c r="J43" i="44"/>
  <c r="AC43" i="44" s="1"/>
  <c r="AD43" i="44" s="1"/>
  <c r="AL43" i="44"/>
  <c r="AN43" i="44" s="1"/>
  <c r="AO43" i="44" s="1"/>
  <c r="L61" i="44"/>
  <c r="L71" i="44"/>
  <c r="C97" i="44"/>
  <c r="L56" i="44"/>
  <c r="AL41" i="44"/>
  <c r="D69" i="44"/>
  <c r="L54" i="44"/>
  <c r="J54" i="44"/>
  <c r="AC54" i="44" s="1"/>
  <c r="AD54" i="44" s="1"/>
  <c r="J50" i="44"/>
  <c r="AC50" i="44" s="1"/>
  <c r="AD50" i="44" s="1"/>
  <c r="C103" i="44"/>
  <c r="L63" i="44"/>
  <c r="C106" i="44"/>
  <c r="D68" i="44"/>
  <c r="L60" i="44"/>
  <c r="J46" i="44"/>
  <c r="AC46" i="44" s="1"/>
  <c r="AD46" i="44" s="1"/>
  <c r="Q16" i="41"/>
  <c r="Q15" i="41"/>
  <c r="Q14" i="41"/>
  <c r="Q13" i="41"/>
  <c r="Q12" i="41"/>
  <c r="Q11" i="41"/>
  <c r="Q10" i="41"/>
  <c r="Q9" i="41"/>
  <c r="Q8" i="41"/>
  <c r="Q7" i="41"/>
  <c r="Q6" i="41"/>
  <c r="Q5" i="41"/>
  <c r="J71" i="44" l="1"/>
  <c r="AC71" i="44" s="1"/>
  <c r="AD71" i="44" s="1"/>
  <c r="J62" i="44"/>
  <c r="AC62" i="44" s="1"/>
  <c r="AD62" i="44" s="1"/>
  <c r="J60" i="44"/>
  <c r="AC60" i="44" s="1"/>
  <c r="AD60" i="44" s="1"/>
  <c r="L68" i="44"/>
  <c r="AL54" i="44"/>
  <c r="AN54" i="44" s="1"/>
  <c r="AO54" i="44" s="1"/>
  <c r="J56" i="44"/>
  <c r="AC56" i="44" s="1"/>
  <c r="AD56" i="44" s="1"/>
  <c r="L87" i="44"/>
  <c r="AL62" i="44"/>
  <c r="AN62" i="44" s="1"/>
  <c r="AO62" i="44" s="1"/>
  <c r="C105" i="44"/>
  <c r="AL55" i="44"/>
  <c r="AN55" i="44" s="1"/>
  <c r="AO55" i="44" s="1"/>
  <c r="L80" i="44"/>
  <c r="L67" i="44"/>
  <c r="C89" i="44"/>
  <c r="D93" i="44" s="1"/>
  <c r="D77" i="44"/>
  <c r="D84" i="44"/>
  <c r="D88" i="44"/>
  <c r="D79" i="44"/>
  <c r="D86" i="44"/>
  <c r="D82" i="44"/>
  <c r="C102" i="44"/>
  <c r="D90" i="44"/>
  <c r="C122" i="44"/>
  <c r="C134" i="44" s="1"/>
  <c r="C146" i="44" s="1"/>
  <c r="C158" i="44" s="1"/>
  <c r="C170" i="44" s="1"/>
  <c r="C182" i="44" s="1"/>
  <c r="C194" i="44" s="1"/>
  <c r="C206" i="44" s="1"/>
  <c r="C218" i="44" s="1"/>
  <c r="C230" i="44" s="1"/>
  <c r="C242" i="44" s="1"/>
  <c r="C254" i="44" s="1"/>
  <c r="C266" i="44" s="1"/>
  <c r="D83" i="44"/>
  <c r="J63" i="44"/>
  <c r="AC63" i="44" s="1"/>
  <c r="AD63" i="44" s="1"/>
  <c r="C115" i="44"/>
  <c r="C127" i="44" s="1"/>
  <c r="C139" i="44" s="1"/>
  <c r="C151" i="44" s="1"/>
  <c r="C163" i="44" s="1"/>
  <c r="C175" i="44" s="1"/>
  <c r="C187" i="44" s="1"/>
  <c r="C199" i="44" s="1"/>
  <c r="C211" i="44" s="1"/>
  <c r="C223" i="44" s="1"/>
  <c r="C235" i="44" s="1"/>
  <c r="C247" i="44" s="1"/>
  <c r="C259" i="44" s="1"/>
  <c r="L69" i="44"/>
  <c r="AM52" i="44"/>
  <c r="AN41" i="44"/>
  <c r="AO41" i="44" s="1"/>
  <c r="D85" i="44"/>
  <c r="AL71" i="44"/>
  <c r="AN71" i="44" s="1"/>
  <c r="AO71" i="44" s="1"/>
  <c r="C111" i="44"/>
  <c r="J64" i="44"/>
  <c r="AC64" i="44" s="1"/>
  <c r="AD64" i="44" s="1"/>
  <c r="J53" i="44"/>
  <c r="AL53" i="44"/>
  <c r="AL59" i="44"/>
  <c r="AN59" i="44" s="1"/>
  <c r="AO59" i="44" s="1"/>
  <c r="C104" i="44"/>
  <c r="L75" i="44"/>
  <c r="L76" i="44"/>
  <c r="D95" i="44"/>
  <c r="C107" i="44"/>
  <c r="AL60" i="44"/>
  <c r="AN60" i="44" s="1"/>
  <c r="AO60" i="44" s="1"/>
  <c r="C118" i="44"/>
  <c r="C130" i="44" s="1"/>
  <c r="C142" i="44" s="1"/>
  <c r="C154" i="44" s="1"/>
  <c r="C166" i="44" s="1"/>
  <c r="C178" i="44" s="1"/>
  <c r="C190" i="44" s="1"/>
  <c r="C202" i="44" s="1"/>
  <c r="C214" i="44" s="1"/>
  <c r="C226" i="44" s="1"/>
  <c r="C238" i="44" s="1"/>
  <c r="C250" i="44" s="1"/>
  <c r="C262" i="44" s="1"/>
  <c r="AL56" i="44"/>
  <c r="AN56" i="44" s="1"/>
  <c r="AO56" i="44" s="1"/>
  <c r="C109" i="44"/>
  <c r="J61" i="44"/>
  <c r="AC61" i="44" s="1"/>
  <c r="AD61" i="44" s="1"/>
  <c r="AL61" i="44"/>
  <c r="AN61" i="44" s="1"/>
  <c r="AO61" i="44" s="1"/>
  <c r="J278" i="44"/>
  <c r="J55" i="44"/>
  <c r="AC55" i="44" s="1"/>
  <c r="AD55" i="44" s="1"/>
  <c r="L70" i="44"/>
  <c r="L72" i="44"/>
  <c r="J58" i="44"/>
  <c r="AC58" i="44" s="1"/>
  <c r="AD58" i="44" s="1"/>
  <c r="AL58" i="44"/>
  <c r="AN58" i="44" s="1"/>
  <c r="AO58" i="44" s="1"/>
  <c r="J73" i="44"/>
  <c r="AC73" i="44" s="1"/>
  <c r="AD73" i="44" s="1"/>
  <c r="AL63" i="44"/>
  <c r="AN63" i="44" s="1"/>
  <c r="AO63" i="44" s="1"/>
  <c r="AD29" i="44"/>
  <c r="AL64" i="44"/>
  <c r="AN64" i="44" s="1"/>
  <c r="AO64" i="44" s="1"/>
  <c r="J57" i="44"/>
  <c r="AC57" i="44" s="1"/>
  <c r="AD57" i="44" s="1"/>
  <c r="AL57" i="44"/>
  <c r="AN57" i="44" s="1"/>
  <c r="AO57" i="44" s="1"/>
  <c r="D81" i="44"/>
  <c r="L66" i="44"/>
  <c r="J59" i="44"/>
  <c r="AC59" i="44" s="1"/>
  <c r="AD59" i="44" s="1"/>
  <c r="L74" i="44"/>
  <c r="L65" i="44"/>
  <c r="D78" i="44"/>
  <c r="AL73" i="44"/>
  <c r="AN73" i="44" s="1"/>
  <c r="AO73" i="44" s="1"/>
  <c r="J65" i="44" l="1"/>
  <c r="J87" i="44"/>
  <c r="AC87" i="44" s="1"/>
  <c r="AD87" i="44" s="1"/>
  <c r="L93" i="44"/>
  <c r="AC65" i="44"/>
  <c r="AD65" i="44" s="1"/>
  <c r="L95" i="44"/>
  <c r="L90" i="44"/>
  <c r="AL74" i="44"/>
  <c r="AN74" i="44" s="1"/>
  <c r="AO74" i="44" s="1"/>
  <c r="D92" i="44"/>
  <c r="L88" i="44"/>
  <c r="AL80" i="44"/>
  <c r="AN80" i="44" s="1"/>
  <c r="AO80" i="44" s="1"/>
  <c r="C121" i="44"/>
  <c r="C133" i="44" s="1"/>
  <c r="C145" i="44" s="1"/>
  <c r="C157" i="44" s="1"/>
  <c r="C169" i="44" s="1"/>
  <c r="C181" i="44" s="1"/>
  <c r="C193" i="44" s="1"/>
  <c r="C205" i="44" s="1"/>
  <c r="C217" i="44" s="1"/>
  <c r="C229" i="44" s="1"/>
  <c r="C241" i="44" s="1"/>
  <c r="C253" i="44" s="1"/>
  <c r="C265" i="44" s="1"/>
  <c r="J76" i="44"/>
  <c r="AC76" i="44" s="1"/>
  <c r="AD76" i="44" s="1"/>
  <c r="J75" i="44"/>
  <c r="AC75" i="44" s="1"/>
  <c r="AD75" i="44" s="1"/>
  <c r="C116" i="44"/>
  <c r="C128" i="44" s="1"/>
  <c r="C140" i="44" s="1"/>
  <c r="C152" i="44" s="1"/>
  <c r="C164" i="44" s="1"/>
  <c r="C176" i="44" s="1"/>
  <c r="C188" i="44" s="1"/>
  <c r="C200" i="44" s="1"/>
  <c r="C212" i="44" s="1"/>
  <c r="C224" i="44" s="1"/>
  <c r="C236" i="44" s="1"/>
  <c r="C248" i="44" s="1"/>
  <c r="C260" i="44" s="1"/>
  <c r="D104" i="44"/>
  <c r="C123" i="44"/>
  <c r="C135" i="44" s="1"/>
  <c r="C147" i="44" s="1"/>
  <c r="C159" i="44" s="1"/>
  <c r="C171" i="44" s="1"/>
  <c r="C183" i="44" s="1"/>
  <c r="C195" i="44" s="1"/>
  <c r="C207" i="44" s="1"/>
  <c r="C219" i="44" s="1"/>
  <c r="C231" i="44" s="1"/>
  <c r="C243" i="44" s="1"/>
  <c r="C255" i="44" s="1"/>
  <c r="C267" i="44" s="1"/>
  <c r="L85" i="44"/>
  <c r="AL69" i="44"/>
  <c r="AN69" i="44" s="1"/>
  <c r="AO69" i="44" s="1"/>
  <c r="L82" i="44"/>
  <c r="L84" i="44"/>
  <c r="AL67" i="44"/>
  <c r="AN67" i="44" s="1"/>
  <c r="AO67" i="44" s="1"/>
  <c r="AL87" i="44"/>
  <c r="AN87" i="44" s="1"/>
  <c r="AO87" i="44" s="1"/>
  <c r="J68" i="44"/>
  <c r="AC68" i="44" s="1"/>
  <c r="AD68" i="44" s="1"/>
  <c r="L78" i="44"/>
  <c r="AL72" i="44"/>
  <c r="AN72" i="44" s="1"/>
  <c r="AO72" i="44" s="1"/>
  <c r="L79" i="44"/>
  <c r="C101" i="44"/>
  <c r="D111" i="44" s="1"/>
  <c r="D89" i="44"/>
  <c r="D96" i="44"/>
  <c r="D100" i="44"/>
  <c r="D98" i="44"/>
  <c r="D94" i="44"/>
  <c r="D91" i="44"/>
  <c r="J66" i="44"/>
  <c r="AC66" i="44" s="1"/>
  <c r="AD66" i="44" s="1"/>
  <c r="J70" i="44"/>
  <c r="AC70" i="44" s="1"/>
  <c r="AD70" i="44" s="1"/>
  <c r="D97" i="44"/>
  <c r="AM64" i="44"/>
  <c r="AN53" i="44"/>
  <c r="AO53" i="44" s="1"/>
  <c r="J69" i="44"/>
  <c r="AC69" i="44" s="1"/>
  <c r="AD69" i="44" s="1"/>
  <c r="L83" i="44"/>
  <c r="C114" i="44"/>
  <c r="C126" i="44" s="1"/>
  <c r="C138" i="44" s="1"/>
  <c r="C150" i="44" s="1"/>
  <c r="C162" i="44" s="1"/>
  <c r="C174" i="44" s="1"/>
  <c r="C186" i="44" s="1"/>
  <c r="C198" i="44" s="1"/>
  <c r="C210" i="44" s="1"/>
  <c r="C222" i="44" s="1"/>
  <c r="C234" i="44" s="1"/>
  <c r="C246" i="44" s="1"/>
  <c r="C258" i="44" s="1"/>
  <c r="D102" i="44"/>
  <c r="J67" i="44"/>
  <c r="AC67" i="44" s="1"/>
  <c r="AD67" i="44" s="1"/>
  <c r="AL65" i="44"/>
  <c r="J74" i="44"/>
  <c r="AC74" i="44" s="1"/>
  <c r="AD74" i="44" s="1"/>
  <c r="AL66" i="44"/>
  <c r="AN66" i="44" s="1"/>
  <c r="AO66" i="44" s="1"/>
  <c r="L81" i="44"/>
  <c r="J72" i="44"/>
  <c r="AC72" i="44" s="1"/>
  <c r="AD72" i="44" s="1"/>
  <c r="AL70" i="44"/>
  <c r="AN70" i="44" s="1"/>
  <c r="AO70" i="44" s="1"/>
  <c r="D107" i="44"/>
  <c r="C119" i="44"/>
  <c r="C131" i="44" s="1"/>
  <c r="C143" i="44" s="1"/>
  <c r="C155" i="44" s="1"/>
  <c r="C167" i="44" s="1"/>
  <c r="C179" i="44" s="1"/>
  <c r="C191" i="44" s="1"/>
  <c r="C203" i="44" s="1"/>
  <c r="C215" i="44" s="1"/>
  <c r="C227" i="44" s="1"/>
  <c r="C239" i="44" s="1"/>
  <c r="C251" i="44" s="1"/>
  <c r="C263" i="44" s="1"/>
  <c r="AL76" i="44"/>
  <c r="AN76" i="44" s="1"/>
  <c r="AO76" i="44" s="1"/>
  <c r="AL75" i="44"/>
  <c r="AN75" i="44" s="1"/>
  <c r="AO75" i="44" s="1"/>
  <c r="J279" i="44"/>
  <c r="AC53" i="44"/>
  <c r="D99" i="44"/>
  <c r="L86" i="44"/>
  <c r="L77" i="44"/>
  <c r="J80" i="44"/>
  <c r="AC80" i="44" s="1"/>
  <c r="AD80" i="44" s="1"/>
  <c r="D105" i="44"/>
  <c r="C117" i="44"/>
  <c r="C129" i="44" s="1"/>
  <c r="C141" i="44" s="1"/>
  <c r="C153" i="44" s="1"/>
  <c r="C165" i="44" s="1"/>
  <c r="C177" i="44" s="1"/>
  <c r="C189" i="44" s="1"/>
  <c r="C201" i="44" s="1"/>
  <c r="C213" i="44" s="1"/>
  <c r="C225" i="44" s="1"/>
  <c r="C237" i="44" s="1"/>
  <c r="C249" i="44" s="1"/>
  <c r="C261" i="44" s="1"/>
  <c r="AL68" i="44"/>
  <c r="AN68" i="44" s="1"/>
  <c r="AO68" i="44" s="1"/>
  <c r="M268" i="43"/>
  <c r="M267" i="43"/>
  <c r="M266" i="43"/>
  <c r="M265" i="43"/>
  <c r="M264" i="43"/>
  <c r="M263" i="43"/>
  <c r="M262" i="43"/>
  <c r="M261" i="43"/>
  <c r="M260" i="43"/>
  <c r="M259" i="43"/>
  <c r="M258" i="43"/>
  <c r="AB296" i="43"/>
  <c r="M257" i="43"/>
  <c r="M256" i="43"/>
  <c r="M255" i="43"/>
  <c r="M254" i="43"/>
  <c r="M253" i="43"/>
  <c r="M252" i="43"/>
  <c r="M251" i="43"/>
  <c r="M250" i="43"/>
  <c r="M249" i="43"/>
  <c r="M248" i="43"/>
  <c r="M247" i="43"/>
  <c r="M246" i="43"/>
  <c r="M245" i="43"/>
  <c r="M244" i="43"/>
  <c r="M243" i="43"/>
  <c r="M242" i="43"/>
  <c r="M241" i="43"/>
  <c r="M240" i="43"/>
  <c r="M239" i="43"/>
  <c r="M238" i="43"/>
  <c r="M237" i="43"/>
  <c r="M236" i="43"/>
  <c r="M235" i="43"/>
  <c r="M234" i="43"/>
  <c r="B234" i="43"/>
  <c r="B246" i="43" s="1"/>
  <c r="B258" i="43" s="1"/>
  <c r="AB294" i="43"/>
  <c r="M233" i="43"/>
  <c r="M232" i="43"/>
  <c r="B232" i="43"/>
  <c r="B244" i="43" s="1"/>
  <c r="B256" i="43" s="1"/>
  <c r="B268" i="43" s="1"/>
  <c r="A232" i="43"/>
  <c r="A244" i="43" s="1"/>
  <c r="A256" i="43" s="1"/>
  <c r="A268" i="43" s="1"/>
  <c r="M231" i="43"/>
  <c r="B231" i="43"/>
  <c r="B243" i="43" s="1"/>
  <c r="B255" i="43" s="1"/>
  <c r="B267" i="43" s="1"/>
  <c r="A231" i="43"/>
  <c r="A243" i="43" s="1"/>
  <c r="A255" i="43" s="1"/>
  <c r="A267" i="43" s="1"/>
  <c r="M230" i="43"/>
  <c r="B230" i="43"/>
  <c r="B242" i="43" s="1"/>
  <c r="B254" i="43" s="1"/>
  <c r="B266" i="43" s="1"/>
  <c r="A230" i="43"/>
  <c r="A242" i="43" s="1"/>
  <c r="A254" i="43" s="1"/>
  <c r="A266" i="43" s="1"/>
  <c r="M229" i="43"/>
  <c r="B229" i="43"/>
  <c r="B241" i="43" s="1"/>
  <c r="B253" i="43" s="1"/>
  <c r="B265" i="43" s="1"/>
  <c r="A229" i="43"/>
  <c r="A241" i="43" s="1"/>
  <c r="A253" i="43" s="1"/>
  <c r="A265" i="43" s="1"/>
  <c r="M228" i="43"/>
  <c r="B228" i="43"/>
  <c r="B240" i="43" s="1"/>
  <c r="B252" i="43" s="1"/>
  <c r="B264" i="43" s="1"/>
  <c r="A228" i="43"/>
  <c r="A240" i="43" s="1"/>
  <c r="A252" i="43" s="1"/>
  <c r="A264" i="43" s="1"/>
  <c r="M227" i="43"/>
  <c r="B227" i="43"/>
  <c r="B239" i="43" s="1"/>
  <c r="B251" i="43" s="1"/>
  <c r="B263" i="43" s="1"/>
  <c r="A227" i="43"/>
  <c r="A239" i="43" s="1"/>
  <c r="A251" i="43" s="1"/>
  <c r="A263" i="43" s="1"/>
  <c r="M226" i="43"/>
  <c r="B226" i="43"/>
  <c r="B238" i="43" s="1"/>
  <c r="B250" i="43" s="1"/>
  <c r="B262" i="43" s="1"/>
  <c r="A226" i="43"/>
  <c r="A238" i="43" s="1"/>
  <c r="A250" i="43" s="1"/>
  <c r="A262" i="43" s="1"/>
  <c r="M225" i="43"/>
  <c r="B225" i="43"/>
  <c r="B237" i="43" s="1"/>
  <c r="B249" i="43" s="1"/>
  <c r="B261" i="43" s="1"/>
  <c r="A225" i="43"/>
  <c r="A237" i="43" s="1"/>
  <c r="A249" i="43" s="1"/>
  <c r="A261" i="43" s="1"/>
  <c r="M224" i="43"/>
  <c r="B224" i="43"/>
  <c r="B236" i="43" s="1"/>
  <c r="B248" i="43" s="1"/>
  <c r="B260" i="43" s="1"/>
  <c r="A224" i="43"/>
  <c r="A236" i="43" s="1"/>
  <c r="A248" i="43" s="1"/>
  <c r="A260" i="43" s="1"/>
  <c r="M223" i="43"/>
  <c r="B223" i="43"/>
  <c r="B235" i="43" s="1"/>
  <c r="B247" i="43" s="1"/>
  <c r="B259" i="43" s="1"/>
  <c r="A223" i="43"/>
  <c r="A235" i="43" s="1"/>
  <c r="A247" i="43" s="1"/>
  <c r="A259" i="43" s="1"/>
  <c r="M222" i="43"/>
  <c r="B222" i="43"/>
  <c r="A222" i="43"/>
  <c r="A234" i="43" s="1"/>
  <c r="A246" i="43" s="1"/>
  <c r="A258" i="43" s="1"/>
  <c r="M221" i="43"/>
  <c r="B221" i="43"/>
  <c r="B233" i="43" s="1"/>
  <c r="B245" i="43" s="1"/>
  <c r="B257" i="43" s="1"/>
  <c r="A221" i="43"/>
  <c r="A233" i="43" s="1"/>
  <c r="A245" i="43" s="1"/>
  <c r="A257" i="43" s="1"/>
  <c r="M220" i="43"/>
  <c r="M219" i="43"/>
  <c r="M218" i="43"/>
  <c r="M217" i="43"/>
  <c r="M216" i="43"/>
  <c r="M215" i="43"/>
  <c r="M214" i="43"/>
  <c r="M213" i="43"/>
  <c r="M212" i="43"/>
  <c r="M211" i="43"/>
  <c r="M210" i="43"/>
  <c r="M209" i="43"/>
  <c r="M208" i="43"/>
  <c r="M207" i="43"/>
  <c r="M206" i="43"/>
  <c r="M205" i="43"/>
  <c r="M204" i="43"/>
  <c r="M203" i="43"/>
  <c r="M202" i="43"/>
  <c r="M201" i="43"/>
  <c r="M200" i="43"/>
  <c r="M199" i="43"/>
  <c r="M198" i="43"/>
  <c r="AB291" i="43"/>
  <c r="M197" i="43"/>
  <c r="M196" i="43"/>
  <c r="M195" i="43"/>
  <c r="M194" i="43"/>
  <c r="M193" i="43"/>
  <c r="M192" i="43"/>
  <c r="M191" i="43"/>
  <c r="M190" i="43"/>
  <c r="M189" i="43"/>
  <c r="M188" i="43"/>
  <c r="M187" i="43"/>
  <c r="M186" i="43"/>
  <c r="AB290" i="43"/>
  <c r="M185" i="43"/>
  <c r="M184" i="43"/>
  <c r="M183" i="43"/>
  <c r="M182" i="43"/>
  <c r="M181" i="43"/>
  <c r="M180" i="43"/>
  <c r="M179" i="43"/>
  <c r="M178" i="43"/>
  <c r="M177" i="43"/>
  <c r="M176" i="43"/>
  <c r="M175" i="43"/>
  <c r="M174" i="43"/>
  <c r="AB289" i="43"/>
  <c r="M173" i="43"/>
  <c r="M172" i="43"/>
  <c r="M171" i="43"/>
  <c r="M170" i="43"/>
  <c r="M169" i="43"/>
  <c r="M168" i="43"/>
  <c r="M167" i="43"/>
  <c r="M166" i="43"/>
  <c r="M165" i="43"/>
  <c r="M164" i="43"/>
  <c r="M163" i="43"/>
  <c r="M162" i="43"/>
  <c r="AB288" i="43"/>
  <c r="M161" i="43"/>
  <c r="M160" i="43"/>
  <c r="M159" i="43"/>
  <c r="M158" i="43"/>
  <c r="M157" i="43"/>
  <c r="M156" i="43"/>
  <c r="M155" i="43"/>
  <c r="M154" i="43"/>
  <c r="M153" i="43"/>
  <c r="M152" i="43"/>
  <c r="M151" i="43"/>
  <c r="M150" i="43"/>
  <c r="AB287" i="43"/>
  <c r="M149" i="43"/>
  <c r="M148" i="43"/>
  <c r="M147" i="43"/>
  <c r="M146" i="43"/>
  <c r="M145" i="43"/>
  <c r="M144" i="43"/>
  <c r="M143" i="43"/>
  <c r="M142" i="43"/>
  <c r="M141" i="43"/>
  <c r="M140" i="43"/>
  <c r="M139" i="43"/>
  <c r="M138" i="43"/>
  <c r="M137" i="43"/>
  <c r="M136" i="43"/>
  <c r="M135" i="43"/>
  <c r="M134" i="43"/>
  <c r="M133" i="43"/>
  <c r="M132" i="43"/>
  <c r="M131" i="43"/>
  <c r="M130" i="43"/>
  <c r="C142" i="43"/>
  <c r="C154" i="43" s="1"/>
  <c r="C166" i="43" s="1"/>
  <c r="C178" i="43" s="1"/>
  <c r="C190" i="43" s="1"/>
  <c r="C202" i="43" s="1"/>
  <c r="C214" i="43" s="1"/>
  <c r="C226" i="43" s="1"/>
  <c r="C238" i="43" s="1"/>
  <c r="C250" i="43" s="1"/>
  <c r="C262" i="43" s="1"/>
  <c r="M129" i="43"/>
  <c r="M128" i="43"/>
  <c r="M127" i="43"/>
  <c r="M126" i="43"/>
  <c r="M125" i="43"/>
  <c r="M124" i="43"/>
  <c r="M123" i="43"/>
  <c r="M122" i="43"/>
  <c r="M121" i="43"/>
  <c r="M120" i="43"/>
  <c r="M119" i="43"/>
  <c r="M118" i="43"/>
  <c r="M117" i="43"/>
  <c r="M116" i="43"/>
  <c r="M115" i="43"/>
  <c r="M114" i="43"/>
  <c r="AB284" i="43"/>
  <c r="M113" i="43"/>
  <c r="M112" i="43"/>
  <c r="B112" i="43"/>
  <c r="M111" i="43"/>
  <c r="B111" i="43"/>
  <c r="M110" i="43"/>
  <c r="B110" i="43"/>
  <c r="M109" i="43"/>
  <c r="B109" i="43"/>
  <c r="M108" i="43"/>
  <c r="B108" i="43"/>
  <c r="M107" i="43"/>
  <c r="B107" i="43"/>
  <c r="M106" i="43"/>
  <c r="B106" i="43"/>
  <c r="M105" i="43"/>
  <c r="B105" i="43"/>
  <c r="M104" i="43"/>
  <c r="B104" i="43"/>
  <c r="M103" i="43"/>
  <c r="B103" i="43"/>
  <c r="M102" i="43"/>
  <c r="B102" i="43"/>
  <c r="A102" i="43"/>
  <c r="A103" i="43" s="1"/>
  <c r="A104" i="43" s="1"/>
  <c r="A105" i="43" s="1"/>
  <c r="A106" i="43" s="1"/>
  <c r="A107" i="43" s="1"/>
  <c r="A108" i="43" s="1"/>
  <c r="A109" i="43" s="1"/>
  <c r="A110" i="43" s="1"/>
  <c r="A111" i="43" s="1"/>
  <c r="A112" i="43" s="1"/>
  <c r="AB283" i="43"/>
  <c r="M101" i="43"/>
  <c r="B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AB280" i="43"/>
  <c r="M65" i="43"/>
  <c r="M64" i="43"/>
  <c r="M63" i="43"/>
  <c r="M62" i="43"/>
  <c r="M61" i="43"/>
  <c r="M60" i="43"/>
  <c r="P59" i="43"/>
  <c r="M59" i="43"/>
  <c r="M58" i="43"/>
  <c r="P57" i="43"/>
  <c r="M57" i="43"/>
  <c r="P56" i="43"/>
  <c r="M56" i="43"/>
  <c r="P55" i="43"/>
  <c r="M55" i="43"/>
  <c r="P54" i="43"/>
  <c r="M54" i="43"/>
  <c r="P53" i="43"/>
  <c r="M53" i="43"/>
  <c r="P52" i="43"/>
  <c r="M52" i="43"/>
  <c r="P51" i="43"/>
  <c r="M51" i="43"/>
  <c r="P50" i="43"/>
  <c r="M50" i="43"/>
  <c r="P49" i="43"/>
  <c r="M49" i="43"/>
  <c r="P48" i="43"/>
  <c r="M48" i="43"/>
  <c r="P47" i="43"/>
  <c r="M47" i="43"/>
  <c r="P46" i="43"/>
  <c r="M46" i="43"/>
  <c r="P45" i="43"/>
  <c r="M45" i="43"/>
  <c r="P44" i="43"/>
  <c r="M44" i="43"/>
  <c r="P43" i="43"/>
  <c r="M43" i="43"/>
  <c r="P42" i="43"/>
  <c r="M42" i="43"/>
  <c r="AB278" i="43"/>
  <c r="P41" i="43"/>
  <c r="M41" i="43"/>
  <c r="X40" i="43"/>
  <c r="W40" i="43"/>
  <c r="AM40" i="43" s="1"/>
  <c r="V40" i="43"/>
  <c r="R40" i="43"/>
  <c r="P40" i="43"/>
  <c r="M40" i="43"/>
  <c r="X39" i="43"/>
  <c r="V39" i="43"/>
  <c r="R39" i="43"/>
  <c r="P39" i="43"/>
  <c r="M39" i="43"/>
  <c r="W39" i="43" s="1"/>
  <c r="AM39" i="43" s="1"/>
  <c r="AM38" i="43"/>
  <c r="X38" i="43"/>
  <c r="W38" i="43"/>
  <c r="V38" i="43"/>
  <c r="R38" i="43"/>
  <c r="P38" i="43"/>
  <c r="M38" i="43"/>
  <c r="X37" i="43"/>
  <c r="V37" i="43"/>
  <c r="R37" i="43"/>
  <c r="P37" i="43"/>
  <c r="M37" i="43"/>
  <c r="W37" i="43" s="1"/>
  <c r="AM37" i="43" s="1"/>
  <c r="AM36" i="43"/>
  <c r="X36" i="43"/>
  <c r="W36" i="43"/>
  <c r="V36" i="43"/>
  <c r="R36" i="43"/>
  <c r="P36" i="43"/>
  <c r="M36" i="43"/>
  <c r="X35" i="43"/>
  <c r="V35" i="43"/>
  <c r="R35" i="43"/>
  <c r="P35" i="43"/>
  <c r="M35" i="43"/>
  <c r="W35" i="43" s="1"/>
  <c r="AM35" i="43" s="1"/>
  <c r="AM34" i="43"/>
  <c r="X34" i="43"/>
  <c r="W34" i="43"/>
  <c r="V34" i="43"/>
  <c r="R34" i="43"/>
  <c r="P34" i="43"/>
  <c r="M34" i="43"/>
  <c r="X33" i="43"/>
  <c r="V33" i="43"/>
  <c r="R33" i="43"/>
  <c r="P33" i="43"/>
  <c r="M33" i="43"/>
  <c r="W33" i="43" s="1"/>
  <c r="AM33" i="43" s="1"/>
  <c r="AM32" i="43"/>
  <c r="X32" i="43"/>
  <c r="W32" i="43"/>
  <c r="V32" i="43"/>
  <c r="R32" i="43"/>
  <c r="P32" i="43"/>
  <c r="M32" i="43"/>
  <c r="X31" i="43"/>
  <c r="V31" i="43"/>
  <c r="R31" i="43"/>
  <c r="P31" i="43"/>
  <c r="M31" i="43"/>
  <c r="W31" i="43" s="1"/>
  <c r="AM31" i="43" s="1"/>
  <c r="AM30" i="43"/>
  <c r="X30" i="43"/>
  <c r="W30" i="43"/>
  <c r="V30" i="43"/>
  <c r="R30" i="43"/>
  <c r="P30" i="43"/>
  <c r="M30" i="43"/>
  <c r="X29" i="43"/>
  <c r="V29" i="43"/>
  <c r="R29" i="43"/>
  <c r="P29" i="43"/>
  <c r="M29" i="43"/>
  <c r="W29" i="43" s="1"/>
  <c r="AM29" i="43" s="1"/>
  <c r="AN40" i="43" s="1"/>
  <c r="X28" i="43"/>
  <c r="V28" i="43"/>
  <c r="R28" i="43"/>
  <c r="P28" i="43"/>
  <c r="N28" i="43"/>
  <c r="M28" i="43"/>
  <c r="W28" i="43" s="1"/>
  <c r="AM28" i="43" s="1"/>
  <c r="X27" i="43"/>
  <c r="W27" i="43"/>
  <c r="AM27" i="43" s="1"/>
  <c r="V27" i="43"/>
  <c r="R27" i="43"/>
  <c r="P27" i="43"/>
  <c r="O27" i="43"/>
  <c r="N27" i="43"/>
  <c r="M27" i="43"/>
  <c r="X26" i="43"/>
  <c r="V26" i="43"/>
  <c r="R26" i="43"/>
  <c r="P26" i="43"/>
  <c r="N26" i="43"/>
  <c r="M26" i="43"/>
  <c r="W26" i="43" s="1"/>
  <c r="AM26" i="43" s="1"/>
  <c r="X25" i="43"/>
  <c r="W25" i="43"/>
  <c r="AM25" i="43" s="1"/>
  <c r="V25" i="43"/>
  <c r="R25" i="43"/>
  <c r="P25" i="43"/>
  <c r="O25" i="43"/>
  <c r="N25" i="43"/>
  <c r="M25" i="43"/>
  <c r="X24" i="43"/>
  <c r="V24" i="43"/>
  <c r="R24" i="43"/>
  <c r="P24" i="43"/>
  <c r="N24" i="43"/>
  <c r="M24" i="43"/>
  <c r="W24" i="43" s="1"/>
  <c r="AM24" i="43" s="1"/>
  <c r="AM23" i="43"/>
  <c r="X23" i="43"/>
  <c r="W23" i="43"/>
  <c r="V23" i="43"/>
  <c r="R23" i="43"/>
  <c r="P23" i="43"/>
  <c r="O23" i="43"/>
  <c r="N23" i="43"/>
  <c r="M23" i="43"/>
  <c r="X22" i="43"/>
  <c r="V22" i="43"/>
  <c r="R22" i="43"/>
  <c r="P22" i="43"/>
  <c r="N22" i="43"/>
  <c r="M22" i="43"/>
  <c r="W22" i="43" s="1"/>
  <c r="AM22" i="43" s="1"/>
  <c r="AM21" i="43"/>
  <c r="X21" i="43"/>
  <c r="W21" i="43"/>
  <c r="V21" i="43"/>
  <c r="R21" i="43"/>
  <c r="P21" i="43"/>
  <c r="O21" i="43"/>
  <c r="N21" i="43"/>
  <c r="M21" i="43"/>
  <c r="X20" i="43"/>
  <c r="V20" i="43"/>
  <c r="R20" i="43"/>
  <c r="P20" i="43"/>
  <c r="N20" i="43"/>
  <c r="M20" i="43"/>
  <c r="W20" i="43" s="1"/>
  <c r="AM20" i="43" s="1"/>
  <c r="X19" i="43"/>
  <c r="W19" i="43"/>
  <c r="AM19" i="43" s="1"/>
  <c r="V19" i="43"/>
  <c r="R19" i="43"/>
  <c r="P19" i="43"/>
  <c r="O19" i="43"/>
  <c r="N19" i="43"/>
  <c r="M19" i="43"/>
  <c r="X18" i="43"/>
  <c r="V18" i="43"/>
  <c r="R18" i="43"/>
  <c r="P18" i="43"/>
  <c r="N18" i="43"/>
  <c r="M18" i="43"/>
  <c r="W18" i="43" s="1"/>
  <c r="AM18" i="43" s="1"/>
  <c r="X17" i="43"/>
  <c r="W17" i="43"/>
  <c r="AM17" i="43" s="1"/>
  <c r="V17" i="43"/>
  <c r="R17" i="43"/>
  <c r="P17" i="43"/>
  <c r="O17" i="43"/>
  <c r="N17" i="43"/>
  <c r="M17" i="43"/>
  <c r="X16" i="43"/>
  <c r="W16" i="43"/>
  <c r="AM16" i="43" s="1"/>
  <c r="V16" i="43"/>
  <c r="R16" i="43"/>
  <c r="P16" i="43"/>
  <c r="O16" i="43"/>
  <c r="N16" i="43"/>
  <c r="M16" i="43"/>
  <c r="K28" i="43"/>
  <c r="L18" i="43" s="1"/>
  <c r="X15" i="43"/>
  <c r="V15" i="43"/>
  <c r="R15" i="43"/>
  <c r="P15" i="43"/>
  <c r="N15" i="43"/>
  <c r="M15" i="43"/>
  <c r="W15" i="43" s="1"/>
  <c r="AM15" i="43" s="1"/>
  <c r="L15" i="43"/>
  <c r="K27" i="43"/>
  <c r="AM14" i="43"/>
  <c r="X14" i="43"/>
  <c r="W14" i="43"/>
  <c r="V14" i="43"/>
  <c r="R14" i="43"/>
  <c r="P14" i="43"/>
  <c r="O14" i="43"/>
  <c r="N14" i="43"/>
  <c r="M14" i="43"/>
  <c r="L14" i="43"/>
  <c r="K26" i="43"/>
  <c r="X13" i="43"/>
  <c r="V13" i="43"/>
  <c r="R13" i="43"/>
  <c r="P13" i="43"/>
  <c r="N13" i="43"/>
  <c r="M13" i="43"/>
  <c r="W13" i="43" s="1"/>
  <c r="AM13" i="43" s="1"/>
  <c r="L13" i="43"/>
  <c r="K25" i="43"/>
  <c r="X12" i="43"/>
  <c r="W12" i="43"/>
  <c r="AM12" i="43" s="1"/>
  <c r="V12" i="43"/>
  <c r="R12" i="43"/>
  <c r="P12" i="43"/>
  <c r="O12" i="43"/>
  <c r="N12" i="43"/>
  <c r="M12" i="43"/>
  <c r="L12" i="43"/>
  <c r="K24" i="43"/>
  <c r="X11" i="43"/>
  <c r="V11" i="43"/>
  <c r="R11" i="43"/>
  <c r="P11" i="43"/>
  <c r="N11" i="43"/>
  <c r="M11" i="43"/>
  <c r="W11" i="43" s="1"/>
  <c r="AM11" i="43" s="1"/>
  <c r="L11" i="43"/>
  <c r="K23" i="43"/>
  <c r="X10" i="43"/>
  <c r="W10" i="43"/>
  <c r="AM10" i="43" s="1"/>
  <c r="V10" i="43"/>
  <c r="R10" i="43"/>
  <c r="P10" i="43"/>
  <c r="O10" i="43"/>
  <c r="N10" i="43"/>
  <c r="M10" i="43"/>
  <c r="L10" i="43"/>
  <c r="K22" i="43"/>
  <c r="X9" i="43"/>
  <c r="V9" i="43"/>
  <c r="R9" i="43"/>
  <c r="P9" i="43"/>
  <c r="N9" i="43"/>
  <c r="M9" i="43"/>
  <c r="W9" i="43" s="1"/>
  <c r="AM9" i="43" s="1"/>
  <c r="L9" i="43"/>
  <c r="K21" i="43"/>
  <c r="AM8" i="43"/>
  <c r="X8" i="43"/>
  <c r="W8" i="43"/>
  <c r="V8" i="43"/>
  <c r="R8" i="43"/>
  <c r="P8" i="43"/>
  <c r="O8" i="43"/>
  <c r="N8" i="43"/>
  <c r="M8" i="43"/>
  <c r="L8" i="43"/>
  <c r="K20" i="43"/>
  <c r="K32" i="43" s="1"/>
  <c r="X7" i="43"/>
  <c r="V7" i="43"/>
  <c r="R7" i="43"/>
  <c r="P7" i="43"/>
  <c r="N7" i="43"/>
  <c r="M7" i="43"/>
  <c r="W7" i="43" s="1"/>
  <c r="AM7" i="43" s="1"/>
  <c r="L7" i="43"/>
  <c r="K19" i="43"/>
  <c r="X6" i="43"/>
  <c r="W6" i="43"/>
  <c r="AM6" i="43" s="1"/>
  <c r="V6" i="43"/>
  <c r="R6" i="43"/>
  <c r="P6" i="43"/>
  <c r="O6" i="43"/>
  <c r="N6" i="43"/>
  <c r="M6" i="43"/>
  <c r="L6" i="43"/>
  <c r="K18" i="43"/>
  <c r="K30" i="43" s="1"/>
  <c r="X5" i="43"/>
  <c r="V5" i="43"/>
  <c r="R5" i="43"/>
  <c r="P5" i="43"/>
  <c r="N5" i="43"/>
  <c r="M5" i="43"/>
  <c r="W5" i="43" s="1"/>
  <c r="AM5" i="43" s="1"/>
  <c r="L5" i="43"/>
  <c r="K17" i="43"/>
  <c r="AN28" i="43" l="1"/>
  <c r="J82" i="44"/>
  <c r="AC82" i="44" s="1"/>
  <c r="AD82" i="44" s="1"/>
  <c r="D109" i="44"/>
  <c r="D41" i="43"/>
  <c r="F41" i="43" s="1"/>
  <c r="AL77" i="44"/>
  <c r="AL78" i="44"/>
  <c r="AN78" i="44" s="1"/>
  <c r="AO78" i="44" s="1"/>
  <c r="AL84" i="44"/>
  <c r="AN84" i="44" s="1"/>
  <c r="AO84" i="44" s="1"/>
  <c r="L104" i="44"/>
  <c r="D116" i="44"/>
  <c r="AD53" i="44"/>
  <c r="L91" i="44"/>
  <c r="D121" i="44"/>
  <c r="L109" i="44"/>
  <c r="AL81" i="44"/>
  <c r="AN81" i="44" s="1"/>
  <c r="AO81" i="44" s="1"/>
  <c r="L94" i="44"/>
  <c r="L89" i="44"/>
  <c r="AL79" i="44"/>
  <c r="AN79" i="44" s="1"/>
  <c r="AO79" i="44" s="1"/>
  <c r="J84" i="44"/>
  <c r="AC84" i="44" s="1"/>
  <c r="AD84" i="44" s="1"/>
  <c r="D123" i="44"/>
  <c r="L111" i="44"/>
  <c r="J88" i="44"/>
  <c r="AC88" i="44" s="1"/>
  <c r="AD88" i="44" s="1"/>
  <c r="AL86" i="44"/>
  <c r="AN86" i="44" s="1"/>
  <c r="AO86" i="44" s="1"/>
  <c r="D119" i="44"/>
  <c r="L107" i="44"/>
  <c r="L100" i="44"/>
  <c r="J79" i="44"/>
  <c r="AC79" i="44" s="1"/>
  <c r="AD79" i="44" s="1"/>
  <c r="AL85" i="44"/>
  <c r="AN85" i="44" s="1"/>
  <c r="AO85" i="44" s="1"/>
  <c r="AL88" i="44"/>
  <c r="AN88" i="44" s="1"/>
  <c r="AO88" i="44" s="1"/>
  <c r="L92" i="44"/>
  <c r="J77" i="44"/>
  <c r="AM76" i="44"/>
  <c r="AN65" i="44"/>
  <c r="AO65" i="44" s="1"/>
  <c r="L102" i="44"/>
  <c r="D114" i="44"/>
  <c r="AL83" i="44"/>
  <c r="AN83" i="44" s="1"/>
  <c r="AO83" i="44" s="1"/>
  <c r="L96" i="44"/>
  <c r="AL82" i="44"/>
  <c r="AN82" i="44" s="1"/>
  <c r="AO82" i="44" s="1"/>
  <c r="J85" i="44"/>
  <c r="AC85" i="44" s="1"/>
  <c r="AD85" i="44" s="1"/>
  <c r="J90" i="44"/>
  <c r="AC90" i="44" s="1"/>
  <c r="AD90" i="44" s="1"/>
  <c r="AL95" i="44"/>
  <c r="AN95" i="44" s="1"/>
  <c r="AO95" i="44" s="1"/>
  <c r="D117" i="44"/>
  <c r="L105" i="44"/>
  <c r="J86" i="44"/>
  <c r="AC86" i="44" s="1"/>
  <c r="AD86" i="44" s="1"/>
  <c r="L99" i="44"/>
  <c r="J81" i="44"/>
  <c r="AC81" i="44" s="1"/>
  <c r="AD81" i="44" s="1"/>
  <c r="J83" i="44"/>
  <c r="AC83" i="44" s="1"/>
  <c r="AD83" i="44" s="1"/>
  <c r="L97" i="44"/>
  <c r="L98" i="44"/>
  <c r="D101" i="44"/>
  <c r="C113" i="44"/>
  <c r="C125" i="44" s="1"/>
  <c r="C137" i="44" s="1"/>
  <c r="C149" i="44" s="1"/>
  <c r="C161" i="44" s="1"/>
  <c r="C173" i="44" s="1"/>
  <c r="C185" i="44" s="1"/>
  <c r="C197" i="44" s="1"/>
  <c r="C209" i="44" s="1"/>
  <c r="C221" i="44" s="1"/>
  <c r="C233" i="44" s="1"/>
  <c r="C245" i="44" s="1"/>
  <c r="C257" i="44" s="1"/>
  <c r="D112" i="44"/>
  <c r="D108" i="44"/>
  <c r="D106" i="44"/>
  <c r="D103" i="44"/>
  <c r="D110" i="44"/>
  <c r="J78" i="44"/>
  <c r="AC78" i="44" s="1"/>
  <c r="AD78" i="44" s="1"/>
  <c r="AL90" i="44"/>
  <c r="AN90" i="44" s="1"/>
  <c r="AO90" i="44" s="1"/>
  <c r="J95" i="44"/>
  <c r="AC95" i="44" s="1"/>
  <c r="AD95" i="44" s="1"/>
  <c r="J280" i="44"/>
  <c r="J93" i="44"/>
  <c r="AC93" i="44" s="1"/>
  <c r="AD93" i="44" s="1"/>
  <c r="AL93" i="44"/>
  <c r="AN93" i="44" s="1"/>
  <c r="AO93" i="44" s="1"/>
  <c r="D55" i="43"/>
  <c r="D46" i="43"/>
  <c r="V46" i="43" s="1"/>
  <c r="D65" i="43"/>
  <c r="W65" i="43" s="1"/>
  <c r="AM65" i="43" s="1"/>
  <c r="AO65" i="43" s="1"/>
  <c r="D19" i="43"/>
  <c r="F19" i="43" s="1"/>
  <c r="D54" i="43"/>
  <c r="D6" i="43"/>
  <c r="Q6" i="43" s="1"/>
  <c r="D18" i="43"/>
  <c r="H18" i="43" s="1"/>
  <c r="D24" i="43"/>
  <c r="H24" i="43" s="1"/>
  <c r="D9" i="43"/>
  <c r="H9" i="43" s="1"/>
  <c r="D22" i="43"/>
  <c r="H22" i="43" s="1"/>
  <c r="D23" i="43"/>
  <c r="F23" i="43" s="1"/>
  <c r="D36" i="43"/>
  <c r="H36" i="43" s="1"/>
  <c r="D107" i="43"/>
  <c r="X107" i="43" s="1"/>
  <c r="D17" i="43"/>
  <c r="F17" i="43" s="1"/>
  <c r="D47" i="43"/>
  <c r="W47" i="43" s="1"/>
  <c r="AM47" i="43" s="1"/>
  <c r="AO47" i="43" s="1"/>
  <c r="D7" i="43"/>
  <c r="E7" i="43" s="1"/>
  <c r="D8" i="43"/>
  <c r="Q8" i="43" s="1"/>
  <c r="D21" i="43"/>
  <c r="F21" i="43" s="1"/>
  <c r="D43" i="43"/>
  <c r="W43" i="43" s="1"/>
  <c r="AM43" i="43" s="1"/>
  <c r="AO43" i="43" s="1"/>
  <c r="D42" i="43"/>
  <c r="F42" i="43" s="1"/>
  <c r="D52" i="43"/>
  <c r="X52" i="43" s="1"/>
  <c r="D111" i="43"/>
  <c r="X111" i="43" s="1"/>
  <c r="D28" i="43"/>
  <c r="D16" i="43"/>
  <c r="D20" i="43"/>
  <c r="H20" i="43" s="1"/>
  <c r="D31" i="43"/>
  <c r="F31" i="43" s="1"/>
  <c r="D29" i="43"/>
  <c r="F29" i="43" s="1"/>
  <c r="D30" i="43"/>
  <c r="H30" i="43" s="1"/>
  <c r="D44" i="43"/>
  <c r="F44" i="43" s="1"/>
  <c r="D45" i="43"/>
  <c r="V45" i="43" s="1"/>
  <c r="D103" i="43"/>
  <c r="W103" i="43" s="1"/>
  <c r="AM103" i="43" s="1"/>
  <c r="AO103" i="43" s="1"/>
  <c r="D35" i="43"/>
  <c r="H35" i="43" s="1"/>
  <c r="D39" i="43"/>
  <c r="D48" i="43"/>
  <c r="W48" i="43" s="1"/>
  <c r="AM48" i="43" s="1"/>
  <c r="AO48" i="43" s="1"/>
  <c r="D110" i="43"/>
  <c r="V110" i="43" s="1"/>
  <c r="D33" i="43"/>
  <c r="F33" i="43" s="1"/>
  <c r="D37" i="43"/>
  <c r="H37" i="43" s="1"/>
  <c r="D80" i="43"/>
  <c r="V80" i="43" s="1"/>
  <c r="D109" i="43"/>
  <c r="X109" i="43" s="1"/>
  <c r="D34" i="43"/>
  <c r="F34" i="43" s="1"/>
  <c r="D38" i="43"/>
  <c r="H38" i="43" s="1"/>
  <c r="D105" i="43"/>
  <c r="X105" i="43" s="1"/>
  <c r="D90" i="43"/>
  <c r="W90" i="43" s="1"/>
  <c r="AM90" i="43" s="1"/>
  <c r="AO90" i="43" s="1"/>
  <c r="D10" i="43"/>
  <c r="Q10" i="43" s="1"/>
  <c r="D12" i="43"/>
  <c r="H12" i="43" s="1"/>
  <c r="D13" i="43"/>
  <c r="H13" i="43" s="1"/>
  <c r="D14" i="43"/>
  <c r="Q14" i="43" s="1"/>
  <c r="D15" i="43"/>
  <c r="F15" i="43" s="1"/>
  <c r="D26" i="43"/>
  <c r="D53" i="43"/>
  <c r="W53" i="43" s="1"/>
  <c r="AM53" i="43" s="1"/>
  <c r="AO53" i="43" s="1"/>
  <c r="D101" i="43"/>
  <c r="V101" i="43" s="1"/>
  <c r="D11" i="43"/>
  <c r="Q11" i="43" s="1"/>
  <c r="D5" i="43"/>
  <c r="D40" i="43"/>
  <c r="F40" i="43" s="1"/>
  <c r="D32" i="43"/>
  <c r="F32" i="43" s="1"/>
  <c r="D57" i="43"/>
  <c r="W57" i="43" s="1"/>
  <c r="AM57" i="43" s="1"/>
  <c r="AO57" i="43" s="1"/>
  <c r="D59" i="43"/>
  <c r="D25" i="43"/>
  <c r="F25" i="43" s="1"/>
  <c r="D27" i="43"/>
  <c r="F27" i="43" s="1"/>
  <c r="D56" i="43"/>
  <c r="V56" i="43" s="1"/>
  <c r="D58" i="43"/>
  <c r="D60" i="43"/>
  <c r="X60" i="43" s="1"/>
  <c r="V44" i="43"/>
  <c r="W54" i="43"/>
  <c r="AM54" i="43" s="1"/>
  <c r="AO54" i="43" s="1"/>
  <c r="W55" i="43"/>
  <c r="AM55" i="43" s="1"/>
  <c r="AO55" i="43" s="1"/>
  <c r="V48" i="43"/>
  <c r="V42" i="43"/>
  <c r="F38" i="43"/>
  <c r="F6" i="43"/>
  <c r="F8" i="43"/>
  <c r="K29" i="43"/>
  <c r="L30" i="43" s="1"/>
  <c r="L17" i="43"/>
  <c r="AN16" i="43"/>
  <c r="K42" i="43"/>
  <c r="K31" i="43"/>
  <c r="L19" i="43"/>
  <c r="F9" i="43"/>
  <c r="L22" i="43"/>
  <c r="K34" i="43"/>
  <c r="K35" i="43"/>
  <c r="L23" i="43"/>
  <c r="K38" i="43"/>
  <c r="L26" i="43"/>
  <c r="K39" i="43"/>
  <c r="L27" i="43"/>
  <c r="L20" i="43"/>
  <c r="K44" i="43"/>
  <c r="K33" i="43"/>
  <c r="L21" i="43"/>
  <c r="K36" i="43"/>
  <c r="L24" i="43"/>
  <c r="K37" i="43"/>
  <c r="L25" i="43"/>
  <c r="F52" i="43"/>
  <c r="W52" i="43"/>
  <c r="AM52" i="43" s="1"/>
  <c r="AO52" i="43" s="1"/>
  <c r="L28" i="43"/>
  <c r="K40" i="43"/>
  <c r="X54" i="43"/>
  <c r="D61" i="43"/>
  <c r="X55" i="43"/>
  <c r="AB276" i="43"/>
  <c r="W41" i="43"/>
  <c r="AM41" i="43" s="1"/>
  <c r="W44" i="43"/>
  <c r="AM44" i="43" s="1"/>
  <c r="AO44" i="43" s="1"/>
  <c r="AP44" i="43" s="1"/>
  <c r="W45" i="43"/>
  <c r="AM45" i="43" s="1"/>
  <c r="AO45" i="43" s="1"/>
  <c r="P61" i="43"/>
  <c r="P62" i="43"/>
  <c r="P63" i="43"/>
  <c r="P64" i="43"/>
  <c r="D79" i="43"/>
  <c r="X79" i="43" s="1"/>
  <c r="D83" i="43"/>
  <c r="X83" i="43" s="1"/>
  <c r="D89" i="43"/>
  <c r="V89" i="43" s="1"/>
  <c r="D93" i="43"/>
  <c r="X93" i="43" s="1"/>
  <c r="H29" i="43"/>
  <c r="H39" i="43"/>
  <c r="D63" i="43"/>
  <c r="V63" i="43" s="1"/>
  <c r="D98" i="43"/>
  <c r="X98" i="43" s="1"/>
  <c r="H6" i="43"/>
  <c r="H25" i="43"/>
  <c r="F28" i="43"/>
  <c r="F37" i="43"/>
  <c r="F39" i="43"/>
  <c r="X41" i="43"/>
  <c r="X47" i="43"/>
  <c r="D49" i="43"/>
  <c r="D50" i="43"/>
  <c r="D51" i="43"/>
  <c r="V54" i="43"/>
  <c r="V55" i="43"/>
  <c r="P58" i="43"/>
  <c r="P60" i="43"/>
  <c r="D66" i="43"/>
  <c r="V66" i="43" s="1"/>
  <c r="D67" i="43"/>
  <c r="X67" i="43" s="1"/>
  <c r="D68" i="43"/>
  <c r="V68" i="43" s="1"/>
  <c r="AB281" i="43"/>
  <c r="D78" i="43"/>
  <c r="X78" i="43" s="1"/>
  <c r="D82" i="43"/>
  <c r="V82" i="43" s="1"/>
  <c r="AB282" i="43"/>
  <c r="D92" i="43"/>
  <c r="V92" i="43" s="1"/>
  <c r="D94" i="43"/>
  <c r="V94" i="43" s="1"/>
  <c r="H26" i="43"/>
  <c r="D62" i="43"/>
  <c r="D64" i="43"/>
  <c r="D84" i="43"/>
  <c r="X84" i="43" s="1"/>
  <c r="L16" i="43"/>
  <c r="H21" i="43"/>
  <c r="O5" i="43"/>
  <c r="AB275" i="43"/>
  <c r="O7" i="43"/>
  <c r="E8" i="43"/>
  <c r="O9" i="43"/>
  <c r="O11" i="43"/>
  <c r="O13" i="43"/>
  <c r="E14" i="43"/>
  <c r="O15" i="43"/>
  <c r="O18" i="43"/>
  <c r="O20" i="43"/>
  <c r="O22" i="43"/>
  <c r="O24" i="43"/>
  <c r="O26" i="43"/>
  <c r="O28" i="43"/>
  <c r="AB277" i="43"/>
  <c r="AB279" i="43"/>
  <c r="D69" i="43"/>
  <c r="X69" i="43" s="1"/>
  <c r="D70" i="43"/>
  <c r="W70" i="43" s="1"/>
  <c r="AM70" i="43" s="1"/>
  <c r="AO70" i="43" s="1"/>
  <c r="D71" i="43"/>
  <c r="W71" i="43" s="1"/>
  <c r="AM71" i="43" s="1"/>
  <c r="AO71" i="43" s="1"/>
  <c r="D72" i="43"/>
  <c r="W72" i="43" s="1"/>
  <c r="AM72" i="43" s="1"/>
  <c r="AO72" i="43" s="1"/>
  <c r="D73" i="43"/>
  <c r="V73" i="43" s="1"/>
  <c r="D74" i="43"/>
  <c r="W74" i="43" s="1"/>
  <c r="AM74" i="43" s="1"/>
  <c r="AO74" i="43" s="1"/>
  <c r="D75" i="43"/>
  <c r="W75" i="43" s="1"/>
  <c r="AM75" i="43" s="1"/>
  <c r="AO75" i="43" s="1"/>
  <c r="D76" i="43"/>
  <c r="W76" i="43" s="1"/>
  <c r="AM76" i="43" s="1"/>
  <c r="AO76" i="43" s="1"/>
  <c r="D77" i="43"/>
  <c r="V77" i="43" s="1"/>
  <c r="D81" i="43"/>
  <c r="X81" i="43" s="1"/>
  <c r="D91" i="43"/>
  <c r="V91" i="43" s="1"/>
  <c r="X90" i="43"/>
  <c r="D97" i="43"/>
  <c r="V97" i="43" s="1"/>
  <c r="C140" i="43"/>
  <c r="C152" i="43" s="1"/>
  <c r="C164" i="43" s="1"/>
  <c r="C176" i="43" s="1"/>
  <c r="C188" i="43" s="1"/>
  <c r="C200" i="43" s="1"/>
  <c r="C212" i="43" s="1"/>
  <c r="C224" i="43" s="1"/>
  <c r="C236" i="43" s="1"/>
  <c r="C248" i="43" s="1"/>
  <c r="C260" i="43" s="1"/>
  <c r="D128" i="43"/>
  <c r="X128" i="43" s="1"/>
  <c r="C148" i="43"/>
  <c r="C160" i="43" s="1"/>
  <c r="C172" i="43" s="1"/>
  <c r="C184" i="43" s="1"/>
  <c r="C196" i="43" s="1"/>
  <c r="C208" i="43" s="1"/>
  <c r="C220" i="43" s="1"/>
  <c r="C232" i="43" s="1"/>
  <c r="C244" i="43" s="1"/>
  <c r="C256" i="43" s="1"/>
  <c r="C268" i="43" s="1"/>
  <c r="D136" i="43"/>
  <c r="V136" i="43" s="1"/>
  <c r="D85" i="43"/>
  <c r="V85" i="43" s="1"/>
  <c r="D86" i="43"/>
  <c r="X86" i="43" s="1"/>
  <c r="D87" i="43"/>
  <c r="X87" i="43" s="1"/>
  <c r="D88" i="43"/>
  <c r="V88" i="43" s="1"/>
  <c r="D96" i="43"/>
  <c r="X96" i="43" s="1"/>
  <c r="D100" i="43"/>
  <c r="X100" i="43" s="1"/>
  <c r="D112" i="43"/>
  <c r="X112" i="43" s="1"/>
  <c r="D106" i="43"/>
  <c r="D104" i="43"/>
  <c r="W104" i="43" s="1"/>
  <c r="AM104" i="43" s="1"/>
  <c r="AO104" i="43" s="1"/>
  <c r="D102" i="43"/>
  <c r="D95" i="43"/>
  <c r="X95" i="43" s="1"/>
  <c r="D99" i="43"/>
  <c r="C144" i="43"/>
  <c r="C156" i="43" s="1"/>
  <c r="C168" i="43" s="1"/>
  <c r="C180" i="43" s="1"/>
  <c r="C192" i="43" s="1"/>
  <c r="C204" i="43" s="1"/>
  <c r="C216" i="43" s="1"/>
  <c r="C228" i="43" s="1"/>
  <c r="C240" i="43" s="1"/>
  <c r="C252" i="43" s="1"/>
  <c r="C264" i="43" s="1"/>
  <c r="D132" i="43"/>
  <c r="V132" i="43" s="1"/>
  <c r="W107" i="43"/>
  <c r="AM107" i="43" s="1"/>
  <c r="AO107" i="43" s="1"/>
  <c r="C137" i="43"/>
  <c r="C149" i="43" s="1"/>
  <c r="C161" i="43" s="1"/>
  <c r="C173" i="43" s="1"/>
  <c r="C185" i="43" s="1"/>
  <c r="C197" i="43" s="1"/>
  <c r="C209" i="43" s="1"/>
  <c r="C221" i="43" s="1"/>
  <c r="C233" i="43" s="1"/>
  <c r="C245" i="43" s="1"/>
  <c r="C257" i="43" s="1"/>
  <c r="D125" i="43"/>
  <c r="V125" i="43" s="1"/>
  <c r="C141" i="43"/>
  <c r="C153" i="43" s="1"/>
  <c r="C165" i="43" s="1"/>
  <c r="C177" i="43" s="1"/>
  <c r="C189" i="43" s="1"/>
  <c r="C201" i="43" s="1"/>
  <c r="C213" i="43" s="1"/>
  <c r="C225" i="43" s="1"/>
  <c r="C237" i="43" s="1"/>
  <c r="C249" i="43" s="1"/>
  <c r="C261" i="43" s="1"/>
  <c r="D129" i="43"/>
  <c r="X129" i="43" s="1"/>
  <c r="D133" i="43"/>
  <c r="X133" i="43" s="1"/>
  <c r="C145" i="43"/>
  <c r="C157" i="43" s="1"/>
  <c r="C169" i="43" s="1"/>
  <c r="C181" i="43" s="1"/>
  <c r="C193" i="43" s="1"/>
  <c r="C205" i="43" s="1"/>
  <c r="C217" i="43" s="1"/>
  <c r="C229" i="43" s="1"/>
  <c r="C241" i="43" s="1"/>
  <c r="C253" i="43" s="1"/>
  <c r="C265" i="43" s="1"/>
  <c r="C139" i="43"/>
  <c r="C151" i="43" s="1"/>
  <c r="C163" i="43" s="1"/>
  <c r="C175" i="43" s="1"/>
  <c r="C187" i="43" s="1"/>
  <c r="C199" i="43" s="1"/>
  <c r="C211" i="43" s="1"/>
  <c r="C223" i="43" s="1"/>
  <c r="C235" i="43" s="1"/>
  <c r="C247" i="43" s="1"/>
  <c r="C259" i="43" s="1"/>
  <c r="D127" i="43"/>
  <c r="V127" i="43" s="1"/>
  <c r="D131" i="43"/>
  <c r="X131" i="43" s="1"/>
  <c r="C143" i="43"/>
  <c r="C155" i="43" s="1"/>
  <c r="C167" i="43" s="1"/>
  <c r="C179" i="43" s="1"/>
  <c r="C191" i="43" s="1"/>
  <c r="C203" i="43" s="1"/>
  <c r="C215" i="43" s="1"/>
  <c r="C227" i="43" s="1"/>
  <c r="C239" i="43" s="1"/>
  <c r="C251" i="43" s="1"/>
  <c r="C263" i="43" s="1"/>
  <c r="C147" i="43"/>
  <c r="C159" i="43" s="1"/>
  <c r="C171" i="43" s="1"/>
  <c r="C183" i="43" s="1"/>
  <c r="C195" i="43" s="1"/>
  <c r="C207" i="43" s="1"/>
  <c r="C219" i="43" s="1"/>
  <c r="C231" i="43" s="1"/>
  <c r="C243" i="43" s="1"/>
  <c r="C255" i="43" s="1"/>
  <c r="C267" i="43" s="1"/>
  <c r="D135" i="43"/>
  <c r="X135" i="43" s="1"/>
  <c r="D108" i="43"/>
  <c r="W108" i="43" s="1"/>
  <c r="AM108" i="43" s="1"/>
  <c r="AO108" i="43" s="1"/>
  <c r="AB285" i="43"/>
  <c r="C138" i="43"/>
  <c r="C150" i="43" s="1"/>
  <c r="C162" i="43" s="1"/>
  <c r="C174" i="43" s="1"/>
  <c r="C186" i="43" s="1"/>
  <c r="C198" i="43" s="1"/>
  <c r="C210" i="43" s="1"/>
  <c r="C222" i="43" s="1"/>
  <c r="C234" i="43" s="1"/>
  <c r="C246" i="43" s="1"/>
  <c r="C258" i="43" s="1"/>
  <c r="D126" i="43"/>
  <c r="X126" i="43" s="1"/>
  <c r="D130" i="43"/>
  <c r="V130" i="43" s="1"/>
  <c r="C146" i="43"/>
  <c r="C158" i="43" s="1"/>
  <c r="C170" i="43" s="1"/>
  <c r="C182" i="43" s="1"/>
  <c r="C194" i="43" s="1"/>
  <c r="C206" i="43" s="1"/>
  <c r="C218" i="43" s="1"/>
  <c r="C230" i="43" s="1"/>
  <c r="C242" i="43" s="1"/>
  <c r="C254" i="43" s="1"/>
  <c r="C266" i="43" s="1"/>
  <c r="D134" i="43"/>
  <c r="X134" i="43" s="1"/>
  <c r="AB286" i="43"/>
  <c r="AB292" i="43"/>
  <c r="AB293" i="43"/>
  <c r="AB295" i="43"/>
  <c r="W12" i="8"/>
  <c r="W11" i="8"/>
  <c r="H19" i="43" l="1"/>
  <c r="H7" i="43"/>
  <c r="F30" i="43"/>
  <c r="F24" i="43"/>
  <c r="F11" i="43"/>
  <c r="V41" i="43"/>
  <c r="W56" i="43"/>
  <c r="AM56" i="43" s="1"/>
  <c r="AO56" i="43" s="1"/>
  <c r="J97" i="44"/>
  <c r="AC97" i="44" s="1"/>
  <c r="AD97" i="44" s="1"/>
  <c r="X85" i="43"/>
  <c r="H34" i="43"/>
  <c r="H10" i="43"/>
  <c r="X56" i="43"/>
  <c r="J96" i="44"/>
  <c r="AC96" i="44" s="1"/>
  <c r="AD96" i="44" s="1"/>
  <c r="L110" i="44"/>
  <c r="D122" i="44"/>
  <c r="AL98" i="44"/>
  <c r="AN98" i="44" s="1"/>
  <c r="AO98" i="44" s="1"/>
  <c r="AL97" i="44"/>
  <c r="AN97" i="44" s="1"/>
  <c r="AO97" i="44" s="1"/>
  <c r="D131" i="44"/>
  <c r="L119" i="44"/>
  <c r="AL94" i="44"/>
  <c r="AN94" i="44" s="1"/>
  <c r="AO94" i="44" s="1"/>
  <c r="AL104" i="44"/>
  <c r="AN104" i="44" s="1"/>
  <c r="AO104" i="44" s="1"/>
  <c r="AM88" i="44"/>
  <c r="AN77" i="44"/>
  <c r="AO77" i="44" s="1"/>
  <c r="J105" i="44"/>
  <c r="AC105" i="44" s="1"/>
  <c r="AD105" i="44" s="1"/>
  <c r="AL102" i="44"/>
  <c r="AN102" i="44" s="1"/>
  <c r="AO102" i="44" s="1"/>
  <c r="J281" i="44"/>
  <c r="AC77" i="44"/>
  <c r="J107" i="44"/>
  <c r="AC107" i="44" s="1"/>
  <c r="AD107" i="44" s="1"/>
  <c r="D135" i="44"/>
  <c r="L123" i="44"/>
  <c r="J89" i="44"/>
  <c r="L106" i="44"/>
  <c r="D118" i="44"/>
  <c r="D113" i="44"/>
  <c r="L101" i="44"/>
  <c r="J98" i="44"/>
  <c r="AC98" i="44" s="1"/>
  <c r="AD98" i="44" s="1"/>
  <c r="L117" i="44"/>
  <c r="D129" i="44"/>
  <c r="J92" i="44"/>
  <c r="AC92" i="44" s="1"/>
  <c r="AD92" i="44" s="1"/>
  <c r="AL92" i="44"/>
  <c r="AN92" i="44" s="1"/>
  <c r="AO92" i="44" s="1"/>
  <c r="AL107" i="44"/>
  <c r="AN107" i="44" s="1"/>
  <c r="AO107" i="44" s="1"/>
  <c r="J111" i="44"/>
  <c r="AC111" i="44" s="1"/>
  <c r="AD111" i="44" s="1"/>
  <c r="AL89" i="44"/>
  <c r="J94" i="44"/>
  <c r="AC94" i="44" s="1"/>
  <c r="AD94" i="44" s="1"/>
  <c r="J109" i="44"/>
  <c r="AC109" i="44" s="1"/>
  <c r="AD109" i="44" s="1"/>
  <c r="AL109" i="44"/>
  <c r="AN109" i="44" s="1"/>
  <c r="AO109" i="44" s="1"/>
  <c r="J91" i="44"/>
  <c r="AC91" i="44" s="1"/>
  <c r="AD91" i="44" s="1"/>
  <c r="L116" i="44"/>
  <c r="D128" i="44"/>
  <c r="L112" i="44"/>
  <c r="D124" i="44"/>
  <c r="AL105" i="44"/>
  <c r="AN105" i="44" s="1"/>
  <c r="AO105" i="44" s="1"/>
  <c r="AL96" i="44"/>
  <c r="AN96" i="44" s="1"/>
  <c r="AO96" i="44" s="1"/>
  <c r="D133" i="44"/>
  <c r="L121" i="44"/>
  <c r="D115" i="44"/>
  <c r="L103" i="44"/>
  <c r="J99" i="44"/>
  <c r="AC99" i="44" s="1"/>
  <c r="AD99" i="44" s="1"/>
  <c r="L108" i="44"/>
  <c r="D120" i="44"/>
  <c r="AL99" i="44"/>
  <c r="AN99" i="44" s="1"/>
  <c r="AO99" i="44" s="1"/>
  <c r="L114" i="44"/>
  <c r="D126" i="44"/>
  <c r="J102" i="44"/>
  <c r="AC102" i="44" s="1"/>
  <c r="AD102" i="44" s="1"/>
  <c r="J100" i="44"/>
  <c r="AC100" i="44" s="1"/>
  <c r="AD100" i="44" s="1"/>
  <c r="AL100" i="44"/>
  <c r="AN100" i="44" s="1"/>
  <c r="AO100" i="44" s="1"/>
  <c r="AL111" i="44"/>
  <c r="AN111" i="44" s="1"/>
  <c r="AO111" i="44" s="1"/>
  <c r="AL91" i="44"/>
  <c r="AN91" i="44" s="1"/>
  <c r="AO91" i="44" s="1"/>
  <c r="J104" i="44"/>
  <c r="AC104" i="44" s="1"/>
  <c r="AD104" i="44" s="1"/>
  <c r="H17" i="43"/>
  <c r="V105" i="43"/>
  <c r="X45" i="43"/>
  <c r="F22" i="43"/>
  <c r="W111" i="43"/>
  <c r="AM111" i="43" s="1"/>
  <c r="AO111" i="43" s="1"/>
  <c r="V111" i="43"/>
  <c r="V60" i="43"/>
  <c r="W80" i="43"/>
  <c r="AM80" i="43" s="1"/>
  <c r="AO80" i="43" s="1"/>
  <c r="W46" i="43"/>
  <c r="AM46" i="43" s="1"/>
  <c r="AO46" i="43" s="1"/>
  <c r="AP46" i="43" s="1"/>
  <c r="Q13" i="43"/>
  <c r="F46" i="43"/>
  <c r="X132" i="43"/>
  <c r="X80" i="43"/>
  <c r="W60" i="43"/>
  <c r="AM60" i="43" s="1"/>
  <c r="AO60" i="43" s="1"/>
  <c r="E6" i="43"/>
  <c r="X46" i="43"/>
  <c r="H31" i="43"/>
  <c r="H40" i="43"/>
  <c r="F45" i="43"/>
  <c r="V109" i="43"/>
  <c r="X43" i="43"/>
  <c r="H23" i="43"/>
  <c r="V65" i="43"/>
  <c r="X103" i="43"/>
  <c r="H14" i="43"/>
  <c r="V103" i="43"/>
  <c r="V47" i="43"/>
  <c r="V96" i="43"/>
  <c r="W101" i="43"/>
  <c r="AM101" i="43" s="1"/>
  <c r="X110" i="43"/>
  <c r="X57" i="43"/>
  <c r="Q7" i="43"/>
  <c r="F36" i="43"/>
  <c r="Q15" i="43"/>
  <c r="H15" i="43"/>
  <c r="E11" i="43"/>
  <c r="F47" i="43"/>
  <c r="V43" i="43"/>
  <c r="V131" i="43"/>
  <c r="X101" i="43"/>
  <c r="W110" i="43"/>
  <c r="AM110" i="43" s="1"/>
  <c r="AO110" i="43" s="1"/>
  <c r="X68" i="43"/>
  <c r="X44" i="43"/>
  <c r="H32" i="43"/>
  <c r="H27" i="43"/>
  <c r="V52" i="43"/>
  <c r="F20" i="43"/>
  <c r="F43" i="43"/>
  <c r="W109" i="43"/>
  <c r="AM109" i="43" s="1"/>
  <c r="AO109" i="43" s="1"/>
  <c r="V90" i="43"/>
  <c r="X65" i="43"/>
  <c r="H8" i="43"/>
  <c r="E9" i="43"/>
  <c r="F14" i="43"/>
  <c r="F48" i="43"/>
  <c r="V98" i="43"/>
  <c r="X89" i="43"/>
  <c r="V57" i="43"/>
  <c r="V53" i="43"/>
  <c r="X48" i="43"/>
  <c r="F35" i="43"/>
  <c r="H33" i="43"/>
  <c r="V107" i="43"/>
  <c r="H11" i="43"/>
  <c r="F7" i="43"/>
  <c r="E15" i="43"/>
  <c r="E13" i="43"/>
  <c r="Q9" i="43"/>
  <c r="F10" i="43"/>
  <c r="W105" i="43"/>
  <c r="AM105" i="43" s="1"/>
  <c r="AO105" i="43" s="1"/>
  <c r="E10" i="43"/>
  <c r="X42" i="43"/>
  <c r="W42" i="43"/>
  <c r="AM42" i="43" s="1"/>
  <c r="AO42" i="43" s="1"/>
  <c r="AP42" i="43" s="1"/>
  <c r="X53" i="43"/>
  <c r="F18" i="43"/>
  <c r="F13" i="43"/>
  <c r="X61" i="43"/>
  <c r="V61" i="43"/>
  <c r="X58" i="43"/>
  <c r="W58" i="43"/>
  <c r="AM58" i="43" s="1"/>
  <c r="AO58" i="43" s="1"/>
  <c r="V58" i="43"/>
  <c r="W59" i="43"/>
  <c r="AM59" i="43" s="1"/>
  <c r="AO59" i="43" s="1"/>
  <c r="V59" i="43"/>
  <c r="X59" i="43"/>
  <c r="H5" i="43"/>
  <c r="F5" i="43"/>
  <c r="Q5" i="43"/>
  <c r="E5" i="43"/>
  <c r="F26" i="43"/>
  <c r="Q12" i="43"/>
  <c r="F12" i="43"/>
  <c r="E12" i="43"/>
  <c r="H16" i="43"/>
  <c r="Q16" i="43"/>
  <c r="E16" i="43"/>
  <c r="F16" i="43"/>
  <c r="X130" i="43"/>
  <c r="H28" i="43"/>
  <c r="X125" i="43"/>
  <c r="V128" i="43"/>
  <c r="V134" i="43"/>
  <c r="X136" i="43"/>
  <c r="V133" i="43"/>
  <c r="V135" i="43"/>
  <c r="X127" i="43"/>
  <c r="V126" i="43"/>
  <c r="X97" i="43"/>
  <c r="V100" i="43"/>
  <c r="X92" i="43"/>
  <c r="V93" i="43"/>
  <c r="X94" i="43"/>
  <c r="V86" i="43"/>
  <c r="X82" i="43"/>
  <c r="V83" i="43"/>
  <c r="V84" i="43"/>
  <c r="X77" i="43"/>
  <c r="X66" i="43"/>
  <c r="X71" i="43"/>
  <c r="X75" i="43"/>
  <c r="W99" i="43"/>
  <c r="AM99" i="43" s="1"/>
  <c r="AO99" i="43" s="1"/>
  <c r="W112" i="43"/>
  <c r="AM112" i="43" s="1"/>
  <c r="AO112" i="43" s="1"/>
  <c r="W88" i="43"/>
  <c r="AM88" i="43" s="1"/>
  <c r="AO88" i="43" s="1"/>
  <c r="W64" i="43"/>
  <c r="AM64" i="43" s="1"/>
  <c r="AO64" i="43" s="1"/>
  <c r="V69" i="43"/>
  <c r="X64" i="43"/>
  <c r="L36" i="43"/>
  <c r="K48" i="43"/>
  <c r="V112" i="43"/>
  <c r="W95" i="43"/>
  <c r="AM95" i="43" s="1"/>
  <c r="AO95" i="43" s="1"/>
  <c r="X88" i="43"/>
  <c r="X102" i="43"/>
  <c r="V102" i="43"/>
  <c r="W102" i="43"/>
  <c r="AM102" i="43" s="1"/>
  <c r="AO102" i="43" s="1"/>
  <c r="W87" i="43"/>
  <c r="AM87" i="43" s="1"/>
  <c r="AO87" i="43" s="1"/>
  <c r="D148" i="43"/>
  <c r="W136" i="43"/>
  <c r="AM136" i="43" s="1"/>
  <c r="AO136" i="43" s="1"/>
  <c r="W97" i="43"/>
  <c r="AM97" i="43" s="1"/>
  <c r="AO97" i="43" s="1"/>
  <c r="W91" i="43"/>
  <c r="AM91" i="43" s="1"/>
  <c r="AO91" i="43" s="1"/>
  <c r="W62" i="43"/>
  <c r="AM62" i="43" s="1"/>
  <c r="AO62" i="43" s="1"/>
  <c r="W82" i="43"/>
  <c r="AM82" i="43" s="1"/>
  <c r="AO82" i="43" s="1"/>
  <c r="V76" i="43"/>
  <c r="X74" i="43"/>
  <c r="V72" i="43"/>
  <c r="X70" i="43"/>
  <c r="W66" i="43"/>
  <c r="AM66" i="43" s="1"/>
  <c r="V51" i="43"/>
  <c r="F51" i="43"/>
  <c r="X51" i="43"/>
  <c r="W51" i="43"/>
  <c r="AM51" i="43" s="1"/>
  <c r="AO51" i="43" s="1"/>
  <c r="W93" i="43"/>
  <c r="AM93" i="43" s="1"/>
  <c r="AO93" i="43" s="1"/>
  <c r="V62" i="43"/>
  <c r="K49" i="43"/>
  <c r="L37" i="43"/>
  <c r="K56" i="43"/>
  <c r="K54" i="43"/>
  <c r="D141" i="43"/>
  <c r="W129" i="43"/>
  <c r="AM129" i="43" s="1"/>
  <c r="AO129" i="43" s="1"/>
  <c r="D142" i="43"/>
  <c r="W130" i="43"/>
  <c r="AM130" i="43" s="1"/>
  <c r="AO130" i="43" s="1"/>
  <c r="D143" i="43"/>
  <c r="W131" i="43"/>
  <c r="AM131" i="43" s="1"/>
  <c r="AO131" i="43" s="1"/>
  <c r="D137" i="43"/>
  <c r="W125" i="43"/>
  <c r="AM125" i="43" s="1"/>
  <c r="X104" i="43"/>
  <c r="V104" i="43"/>
  <c r="W100" i="43"/>
  <c r="AM100" i="43" s="1"/>
  <c r="AO100" i="43" s="1"/>
  <c r="W86" i="43"/>
  <c r="AM86" i="43" s="1"/>
  <c r="AO86" i="43" s="1"/>
  <c r="W81" i="43"/>
  <c r="AM81" i="43" s="1"/>
  <c r="AO81" i="43" s="1"/>
  <c r="W94" i="43"/>
  <c r="AM94" i="43" s="1"/>
  <c r="AO94" i="43" s="1"/>
  <c r="V81" i="43"/>
  <c r="V75" i="43"/>
  <c r="X73" i="43"/>
  <c r="V71" i="43"/>
  <c r="X50" i="43"/>
  <c r="V50" i="43"/>
  <c r="F50" i="43"/>
  <c r="W50" i="43"/>
  <c r="AM50" i="43" s="1"/>
  <c r="AO50" i="43" s="1"/>
  <c r="W98" i="43"/>
  <c r="AM98" i="43" s="1"/>
  <c r="AO98" i="43" s="1"/>
  <c r="W89" i="43"/>
  <c r="AM89" i="43" s="1"/>
  <c r="W79" i="43"/>
  <c r="AM79" i="43" s="1"/>
  <c r="AO79" i="43" s="1"/>
  <c r="X62" i="43"/>
  <c r="AP43" i="43"/>
  <c r="AO41" i="43"/>
  <c r="V79" i="43"/>
  <c r="L40" i="43"/>
  <c r="K52" i="43"/>
  <c r="L32" i="43"/>
  <c r="K51" i="43"/>
  <c r="L39" i="43"/>
  <c r="D146" i="43"/>
  <c r="W134" i="43"/>
  <c r="AM134" i="43" s="1"/>
  <c r="AO134" i="43" s="1"/>
  <c r="D144" i="43"/>
  <c r="W132" i="43"/>
  <c r="AM132" i="43" s="1"/>
  <c r="AO132" i="43" s="1"/>
  <c r="W77" i="43"/>
  <c r="AM77" i="43" s="1"/>
  <c r="W78" i="43"/>
  <c r="AM78" i="43" s="1"/>
  <c r="AO78" i="43" s="1"/>
  <c r="W67" i="43"/>
  <c r="AM67" i="43" s="1"/>
  <c r="AO67" i="43" s="1"/>
  <c r="W61" i="43"/>
  <c r="AM61" i="43" s="1"/>
  <c r="AO61" i="43" s="1"/>
  <c r="L38" i="43"/>
  <c r="K50" i="43"/>
  <c r="L34" i="43"/>
  <c r="K46" i="43"/>
  <c r="L31" i="43"/>
  <c r="K43" i="43"/>
  <c r="K41" i="43"/>
  <c r="L44" i="43" s="1"/>
  <c r="L29" i="43"/>
  <c r="V129" i="43"/>
  <c r="D138" i="43"/>
  <c r="W126" i="43"/>
  <c r="AM126" i="43" s="1"/>
  <c r="AO126" i="43" s="1"/>
  <c r="X108" i="43"/>
  <c r="V108" i="43"/>
  <c r="D147" i="43"/>
  <c r="W135" i="43"/>
  <c r="AM135" i="43" s="1"/>
  <c r="AO135" i="43" s="1"/>
  <c r="D139" i="43"/>
  <c r="W127" i="43"/>
  <c r="AM127" i="43" s="1"/>
  <c r="AO127" i="43" s="1"/>
  <c r="X99" i="43"/>
  <c r="D145" i="43"/>
  <c r="W133" i="43"/>
  <c r="AM133" i="43" s="1"/>
  <c r="AO133" i="43" s="1"/>
  <c r="V99" i="43"/>
  <c r="V95" i="43"/>
  <c r="V87" i="43"/>
  <c r="X106" i="43"/>
  <c r="V106" i="43"/>
  <c r="W106" i="43"/>
  <c r="AM106" i="43" s="1"/>
  <c r="AO106" i="43" s="1"/>
  <c r="W96" i="43"/>
  <c r="AM96" i="43" s="1"/>
  <c r="AO96" i="43" s="1"/>
  <c r="W85" i="43"/>
  <c r="AM85" i="43" s="1"/>
  <c r="AO85" i="43" s="1"/>
  <c r="D140" i="43"/>
  <c r="W128" i="43"/>
  <c r="AM128" i="43" s="1"/>
  <c r="AO128" i="43" s="1"/>
  <c r="AO101" i="43"/>
  <c r="X91" i="43"/>
  <c r="V67" i="43"/>
  <c r="W84" i="43"/>
  <c r="AM84" i="43" s="1"/>
  <c r="AO84" i="43" s="1"/>
  <c r="W92" i="43"/>
  <c r="AM92" i="43" s="1"/>
  <c r="AO92" i="43" s="1"/>
  <c r="X76" i="43"/>
  <c r="V74" i="43"/>
  <c r="W73" i="43"/>
  <c r="AM73" i="43" s="1"/>
  <c r="AO73" i="43" s="1"/>
  <c r="X72" i="43"/>
  <c r="V70" i="43"/>
  <c r="W69" i="43"/>
  <c r="AM69" i="43" s="1"/>
  <c r="AO69" i="43" s="1"/>
  <c r="W68" i="43"/>
  <c r="AM68" i="43" s="1"/>
  <c r="AO68" i="43" s="1"/>
  <c r="F49" i="43"/>
  <c r="X49" i="43"/>
  <c r="W49" i="43"/>
  <c r="AM49" i="43" s="1"/>
  <c r="AO49" i="43" s="1"/>
  <c r="AP49" i="43" s="1"/>
  <c r="V49" i="43"/>
  <c r="W63" i="43"/>
  <c r="AM63" i="43" s="1"/>
  <c r="AO63" i="43" s="1"/>
  <c r="W83" i="43"/>
  <c r="AM83" i="43" s="1"/>
  <c r="AO83" i="43" s="1"/>
  <c r="V78" i="43"/>
  <c r="V64" i="43"/>
  <c r="X63" i="43"/>
  <c r="K45" i="43"/>
  <c r="L33" i="43"/>
  <c r="L35" i="43"/>
  <c r="K47" i="43"/>
  <c r="M268" i="42"/>
  <c r="M267" i="42"/>
  <c r="M266" i="42"/>
  <c r="M265" i="42"/>
  <c r="M264" i="42"/>
  <c r="M263" i="42"/>
  <c r="M262" i="42"/>
  <c r="M261" i="42"/>
  <c r="M260" i="42"/>
  <c r="M259" i="42"/>
  <c r="M258" i="42"/>
  <c r="M257" i="42"/>
  <c r="M256" i="42"/>
  <c r="M255" i="42"/>
  <c r="M254" i="42"/>
  <c r="M253" i="42"/>
  <c r="M252" i="42"/>
  <c r="M251" i="42"/>
  <c r="M250" i="42"/>
  <c r="M249" i="42"/>
  <c r="M248" i="42"/>
  <c r="M247" i="42"/>
  <c r="M246" i="42"/>
  <c r="M245" i="42"/>
  <c r="M244" i="42"/>
  <c r="M243" i="42"/>
  <c r="M242" i="42"/>
  <c r="M241" i="42"/>
  <c r="M240" i="42"/>
  <c r="M239" i="42"/>
  <c r="M238" i="42"/>
  <c r="M237" i="42"/>
  <c r="M236" i="42"/>
  <c r="M235" i="42"/>
  <c r="M234" i="42"/>
  <c r="M233" i="42"/>
  <c r="M232" i="42"/>
  <c r="B232" i="42"/>
  <c r="B244" i="42" s="1"/>
  <c r="B256" i="42" s="1"/>
  <c r="B268" i="42" s="1"/>
  <c r="A232" i="42"/>
  <c r="A244" i="42" s="1"/>
  <c r="A256" i="42" s="1"/>
  <c r="A268" i="42" s="1"/>
  <c r="M231" i="42"/>
  <c r="B231" i="42"/>
  <c r="B243" i="42" s="1"/>
  <c r="B255" i="42" s="1"/>
  <c r="B267" i="42" s="1"/>
  <c r="A231" i="42"/>
  <c r="A243" i="42" s="1"/>
  <c r="A255" i="42" s="1"/>
  <c r="A267" i="42" s="1"/>
  <c r="M230" i="42"/>
  <c r="B230" i="42"/>
  <c r="B242" i="42" s="1"/>
  <c r="B254" i="42" s="1"/>
  <c r="B266" i="42" s="1"/>
  <c r="A230" i="42"/>
  <c r="A242" i="42" s="1"/>
  <c r="A254" i="42" s="1"/>
  <c r="A266" i="42" s="1"/>
  <c r="M229" i="42"/>
  <c r="B229" i="42"/>
  <c r="B241" i="42" s="1"/>
  <c r="B253" i="42" s="1"/>
  <c r="B265" i="42" s="1"/>
  <c r="A229" i="42"/>
  <c r="A241" i="42" s="1"/>
  <c r="A253" i="42" s="1"/>
  <c r="A265" i="42" s="1"/>
  <c r="M228" i="42"/>
  <c r="B228" i="42"/>
  <c r="B240" i="42" s="1"/>
  <c r="B252" i="42" s="1"/>
  <c r="B264" i="42" s="1"/>
  <c r="A228" i="42"/>
  <c r="A240" i="42" s="1"/>
  <c r="A252" i="42" s="1"/>
  <c r="A264" i="42" s="1"/>
  <c r="M227" i="42"/>
  <c r="B227" i="42"/>
  <c r="B239" i="42" s="1"/>
  <c r="B251" i="42" s="1"/>
  <c r="B263" i="42" s="1"/>
  <c r="A227" i="42"/>
  <c r="A239" i="42" s="1"/>
  <c r="A251" i="42" s="1"/>
  <c r="A263" i="42" s="1"/>
  <c r="M226" i="42"/>
  <c r="B226" i="42"/>
  <c r="B238" i="42" s="1"/>
  <c r="B250" i="42" s="1"/>
  <c r="B262" i="42" s="1"/>
  <c r="A226" i="42"/>
  <c r="A238" i="42" s="1"/>
  <c r="A250" i="42" s="1"/>
  <c r="A262" i="42" s="1"/>
  <c r="M225" i="42"/>
  <c r="B225" i="42"/>
  <c r="B237" i="42" s="1"/>
  <c r="B249" i="42" s="1"/>
  <c r="B261" i="42" s="1"/>
  <c r="A225" i="42"/>
  <c r="A237" i="42" s="1"/>
  <c r="A249" i="42" s="1"/>
  <c r="A261" i="42" s="1"/>
  <c r="M224" i="42"/>
  <c r="B224" i="42"/>
  <c r="B236" i="42" s="1"/>
  <c r="B248" i="42" s="1"/>
  <c r="B260" i="42" s="1"/>
  <c r="A224" i="42"/>
  <c r="A236" i="42" s="1"/>
  <c r="A248" i="42" s="1"/>
  <c r="A260" i="42" s="1"/>
  <c r="M223" i="42"/>
  <c r="B223" i="42"/>
  <c r="B235" i="42" s="1"/>
  <c r="B247" i="42" s="1"/>
  <c r="B259" i="42" s="1"/>
  <c r="A223" i="42"/>
  <c r="A235" i="42" s="1"/>
  <c r="A247" i="42" s="1"/>
  <c r="A259" i="42" s="1"/>
  <c r="M222" i="42"/>
  <c r="B222" i="42"/>
  <c r="B234" i="42" s="1"/>
  <c r="B246" i="42" s="1"/>
  <c r="B258" i="42" s="1"/>
  <c r="A222" i="42"/>
  <c r="A234" i="42" s="1"/>
  <c r="A246" i="42" s="1"/>
  <c r="A258" i="42" s="1"/>
  <c r="M221" i="42"/>
  <c r="B221" i="42"/>
  <c r="B233" i="42" s="1"/>
  <c r="B245" i="42" s="1"/>
  <c r="B257" i="42" s="1"/>
  <c r="A221" i="42"/>
  <c r="A233" i="42" s="1"/>
  <c r="A245" i="42" s="1"/>
  <c r="A257" i="42" s="1"/>
  <c r="M220" i="42"/>
  <c r="M219" i="42"/>
  <c r="M218" i="42"/>
  <c r="M217" i="42"/>
  <c r="M216" i="42"/>
  <c r="M215" i="42"/>
  <c r="M214" i="42"/>
  <c r="M213" i="42"/>
  <c r="M212" i="42"/>
  <c r="M211" i="42"/>
  <c r="M210" i="42"/>
  <c r="M209" i="42"/>
  <c r="M208" i="42"/>
  <c r="M207" i="42"/>
  <c r="M206" i="42"/>
  <c r="M205" i="42"/>
  <c r="M204" i="42"/>
  <c r="M203" i="42"/>
  <c r="M202" i="42"/>
  <c r="M201" i="42"/>
  <c r="M200" i="42"/>
  <c r="M199" i="42"/>
  <c r="M198" i="42"/>
  <c r="M197" i="42"/>
  <c r="M196" i="42"/>
  <c r="M195" i="42"/>
  <c r="M194" i="42"/>
  <c r="M193" i="42"/>
  <c r="M192" i="42"/>
  <c r="M191" i="42"/>
  <c r="M190" i="42"/>
  <c r="M189" i="42"/>
  <c r="M188" i="42"/>
  <c r="M187" i="42"/>
  <c r="M186" i="42"/>
  <c r="M185" i="42"/>
  <c r="M184" i="42"/>
  <c r="M183" i="42"/>
  <c r="M182" i="42"/>
  <c r="M181" i="42"/>
  <c r="M180" i="42"/>
  <c r="M179" i="42"/>
  <c r="M178" i="42"/>
  <c r="M177" i="42"/>
  <c r="M176" i="42"/>
  <c r="M175" i="42"/>
  <c r="M174" i="42"/>
  <c r="M173" i="42"/>
  <c r="M172" i="42"/>
  <c r="M171" i="42"/>
  <c r="M170"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C144" i="42"/>
  <c r="C156" i="42" s="1"/>
  <c r="C168" i="42" s="1"/>
  <c r="C180" i="42" s="1"/>
  <c r="C192" i="42" s="1"/>
  <c r="C204" i="42" s="1"/>
  <c r="C216" i="42" s="1"/>
  <c r="C228" i="42" s="1"/>
  <c r="C240" i="42" s="1"/>
  <c r="C252" i="42" s="1"/>
  <c r="C264" i="42" s="1"/>
  <c r="M131" i="42"/>
  <c r="C143" i="42"/>
  <c r="C155" i="42" s="1"/>
  <c r="C167" i="42" s="1"/>
  <c r="C179" i="42" s="1"/>
  <c r="C191" i="42" s="1"/>
  <c r="C203" i="42" s="1"/>
  <c r="C215" i="42" s="1"/>
  <c r="C227" i="42" s="1"/>
  <c r="C239" i="42" s="1"/>
  <c r="C251" i="42" s="1"/>
  <c r="C263" i="42" s="1"/>
  <c r="M130" i="42"/>
  <c r="M129" i="42"/>
  <c r="M128" i="42"/>
  <c r="M127" i="42"/>
  <c r="M126" i="42"/>
  <c r="M125" i="42"/>
  <c r="M124" i="42"/>
  <c r="M123" i="42"/>
  <c r="M122" i="42"/>
  <c r="M121" i="42"/>
  <c r="M120" i="42"/>
  <c r="M119" i="42"/>
  <c r="M118" i="42"/>
  <c r="M117" i="42"/>
  <c r="M116" i="42"/>
  <c r="M115" i="42"/>
  <c r="M114" i="42"/>
  <c r="M113" i="42"/>
  <c r="M112" i="42"/>
  <c r="B112" i="42"/>
  <c r="M111" i="42"/>
  <c r="B111" i="42"/>
  <c r="M110" i="42"/>
  <c r="B110" i="42"/>
  <c r="M109" i="42"/>
  <c r="B109" i="42"/>
  <c r="M108" i="42"/>
  <c r="B108" i="42"/>
  <c r="M107" i="42"/>
  <c r="B107" i="42"/>
  <c r="M106" i="42"/>
  <c r="B106" i="42"/>
  <c r="M105" i="42"/>
  <c r="B105" i="42"/>
  <c r="M104" i="42"/>
  <c r="B104" i="42"/>
  <c r="M103" i="42"/>
  <c r="B103" i="42"/>
  <c r="M102" i="42"/>
  <c r="B102" i="42"/>
  <c r="A102" i="42"/>
  <c r="A103" i="42" s="1"/>
  <c r="A104" i="42" s="1"/>
  <c r="A105" i="42" s="1"/>
  <c r="A106" i="42" s="1"/>
  <c r="A107" i="42" s="1"/>
  <c r="A108" i="42" s="1"/>
  <c r="A109" i="42" s="1"/>
  <c r="A110" i="42" s="1"/>
  <c r="A111" i="42" s="1"/>
  <c r="A112" i="42" s="1"/>
  <c r="M101" i="42"/>
  <c r="B101" i="42"/>
  <c r="M100" i="42"/>
  <c r="M99" i="42"/>
  <c r="M98" i="42"/>
  <c r="M97" i="42"/>
  <c r="M96" i="42"/>
  <c r="M95" i="42"/>
  <c r="M94" i="42"/>
  <c r="M93" i="42"/>
  <c r="M92" i="42"/>
  <c r="M91" i="42"/>
  <c r="M90" i="42"/>
  <c r="M89" i="42"/>
  <c r="M88" i="42"/>
  <c r="M87" i="42"/>
  <c r="M86" i="42"/>
  <c r="M85" i="42"/>
  <c r="M84" i="42"/>
  <c r="M83" i="42"/>
  <c r="M82" i="42"/>
  <c r="M81" i="42"/>
  <c r="M80" i="42"/>
  <c r="M79" i="42"/>
  <c r="M78" i="42"/>
  <c r="M77" i="42"/>
  <c r="M76" i="42"/>
  <c r="M75" i="42"/>
  <c r="M74" i="42"/>
  <c r="M73" i="42"/>
  <c r="M72" i="42"/>
  <c r="M71" i="42"/>
  <c r="M70" i="42"/>
  <c r="M69" i="42"/>
  <c r="M68" i="42"/>
  <c r="M67" i="42"/>
  <c r="M66" i="42"/>
  <c r="M65" i="42"/>
  <c r="P64" i="42"/>
  <c r="M64" i="42"/>
  <c r="M63" i="42"/>
  <c r="P63" i="42" s="1"/>
  <c r="M62" i="42"/>
  <c r="P62" i="42" s="1"/>
  <c r="P61" i="42"/>
  <c r="M61" i="42"/>
  <c r="M60" i="42"/>
  <c r="P60" i="42" s="1"/>
  <c r="M59" i="42"/>
  <c r="P59" i="42" s="1"/>
  <c r="M58" i="42"/>
  <c r="P58" i="42" s="1"/>
  <c r="P57" i="42"/>
  <c r="M57" i="42"/>
  <c r="P56" i="42"/>
  <c r="M56" i="42"/>
  <c r="M55" i="42"/>
  <c r="P55" i="42" s="1"/>
  <c r="M54" i="42"/>
  <c r="P54" i="42" s="1"/>
  <c r="P53" i="42"/>
  <c r="M53" i="42"/>
  <c r="M52" i="42"/>
  <c r="P52" i="42" s="1"/>
  <c r="M51" i="42"/>
  <c r="P51" i="42" s="1"/>
  <c r="M50" i="42"/>
  <c r="P50" i="42" s="1"/>
  <c r="P49" i="42"/>
  <c r="M49" i="42"/>
  <c r="P48" i="42"/>
  <c r="M48" i="42"/>
  <c r="M47" i="42"/>
  <c r="P47" i="42" s="1"/>
  <c r="M46" i="42"/>
  <c r="P46" i="42" s="1"/>
  <c r="P45" i="42"/>
  <c r="M45" i="42"/>
  <c r="M44" i="42"/>
  <c r="P44" i="42" s="1"/>
  <c r="M43" i="42"/>
  <c r="P43" i="42" s="1"/>
  <c r="M42" i="42"/>
  <c r="P42" i="42" s="1"/>
  <c r="P41" i="42"/>
  <c r="M41" i="42"/>
  <c r="R40" i="42"/>
  <c r="P40" i="42"/>
  <c r="M40" i="42"/>
  <c r="R39" i="42"/>
  <c r="P39" i="42"/>
  <c r="M39" i="42"/>
  <c r="R38" i="42"/>
  <c r="P38" i="42"/>
  <c r="M38" i="42"/>
  <c r="R37" i="42"/>
  <c r="P37" i="42"/>
  <c r="M37" i="42"/>
  <c r="R36" i="42"/>
  <c r="M36" i="42"/>
  <c r="P36" i="42" s="1"/>
  <c r="R35" i="42"/>
  <c r="M35" i="42"/>
  <c r="R34" i="42"/>
  <c r="M34" i="42"/>
  <c r="P34" i="42" s="1"/>
  <c r="R33" i="42"/>
  <c r="M33" i="42"/>
  <c r="P33" i="42" s="1"/>
  <c r="R32" i="42"/>
  <c r="M32" i="42"/>
  <c r="P32" i="42" s="1"/>
  <c r="R31" i="42"/>
  <c r="M31" i="42"/>
  <c r="R30" i="42"/>
  <c r="M30" i="42"/>
  <c r="P30" i="42" s="1"/>
  <c r="R29" i="42"/>
  <c r="M29" i="42"/>
  <c r="R28" i="42"/>
  <c r="M28" i="42"/>
  <c r="P28" i="42" s="1"/>
  <c r="R27" i="42"/>
  <c r="M27" i="42"/>
  <c r="P27" i="42" s="1"/>
  <c r="R26" i="42"/>
  <c r="M26" i="42"/>
  <c r="P26" i="42" s="1"/>
  <c r="R25" i="42"/>
  <c r="M25" i="42"/>
  <c r="P25" i="42" s="1"/>
  <c r="R24" i="42"/>
  <c r="M24" i="42"/>
  <c r="P24" i="42" s="1"/>
  <c r="R23" i="42"/>
  <c r="M23" i="42"/>
  <c r="P23" i="42" s="1"/>
  <c r="R22" i="42"/>
  <c r="M22" i="42"/>
  <c r="P22" i="42" s="1"/>
  <c r="R21" i="42"/>
  <c r="M21" i="42"/>
  <c r="P21" i="42" s="1"/>
  <c r="R20" i="42"/>
  <c r="M20" i="42"/>
  <c r="P20" i="42" s="1"/>
  <c r="R19" i="42"/>
  <c r="P19" i="42"/>
  <c r="M19" i="42"/>
  <c r="R18" i="42"/>
  <c r="P18" i="42"/>
  <c r="M18" i="42"/>
  <c r="R17" i="42"/>
  <c r="P17" i="42"/>
  <c r="M17" i="42"/>
  <c r="R16" i="42"/>
  <c r="P16" i="42"/>
  <c r="M16" i="42"/>
  <c r="K28" i="42"/>
  <c r="M15" i="42"/>
  <c r="P15" i="42" s="1"/>
  <c r="K27" i="42"/>
  <c r="R14" i="42"/>
  <c r="P14" i="42"/>
  <c r="M14" i="42"/>
  <c r="M13" i="42"/>
  <c r="K25" i="42"/>
  <c r="M12" i="42"/>
  <c r="R12" i="42" s="1"/>
  <c r="K24" i="42"/>
  <c r="R11" i="42"/>
  <c r="P11" i="42"/>
  <c r="M11" i="42"/>
  <c r="K23" i="42"/>
  <c r="P10" i="42"/>
  <c r="M10" i="42"/>
  <c r="R10" i="42" s="1"/>
  <c r="K22" i="42"/>
  <c r="R9" i="42"/>
  <c r="P9" i="42"/>
  <c r="M9" i="42"/>
  <c r="K21" i="42"/>
  <c r="M8" i="42"/>
  <c r="R8" i="42" s="1"/>
  <c r="K20" i="42"/>
  <c r="R7" i="42"/>
  <c r="P7" i="42"/>
  <c r="M7" i="42"/>
  <c r="K19" i="42"/>
  <c r="P6" i="42"/>
  <c r="M6" i="42"/>
  <c r="R6" i="42" s="1"/>
  <c r="K18" i="42"/>
  <c r="R5" i="42"/>
  <c r="P5" i="42"/>
  <c r="M5" i="42"/>
  <c r="L15" i="42" l="1"/>
  <c r="L12" i="42"/>
  <c r="L10" i="42"/>
  <c r="L8" i="42"/>
  <c r="L6" i="42"/>
  <c r="L16" i="42"/>
  <c r="P8" i="42"/>
  <c r="P12" i="42"/>
  <c r="L5" i="42"/>
  <c r="L9" i="42"/>
  <c r="R13" i="42"/>
  <c r="P13" i="42"/>
  <c r="R15" i="42"/>
  <c r="L7" i="42"/>
  <c r="L11" i="42"/>
  <c r="K26" i="42"/>
  <c r="K38" i="42" s="1"/>
  <c r="L14" i="42"/>
  <c r="P29" i="42"/>
  <c r="P31" i="42"/>
  <c r="P35" i="42"/>
  <c r="J110" i="44"/>
  <c r="AC110" i="44" s="1"/>
  <c r="AD110" i="44" s="1"/>
  <c r="D132" i="44"/>
  <c r="L120" i="44"/>
  <c r="L133" i="44"/>
  <c r="D145" i="44"/>
  <c r="L113" i="44"/>
  <c r="D125" i="44"/>
  <c r="J113" i="44"/>
  <c r="AL106" i="44"/>
  <c r="AN106" i="44" s="1"/>
  <c r="AO106" i="44" s="1"/>
  <c r="L135" i="44"/>
  <c r="D147" i="44"/>
  <c r="J119" i="44"/>
  <c r="AC119" i="44" s="1"/>
  <c r="AD119" i="44" s="1"/>
  <c r="D138" i="44"/>
  <c r="L126" i="44"/>
  <c r="D140" i="44"/>
  <c r="L128" i="44"/>
  <c r="J123" i="44"/>
  <c r="AC123" i="44" s="1"/>
  <c r="AD123" i="44" s="1"/>
  <c r="AD77" i="44"/>
  <c r="AL119" i="44"/>
  <c r="AN119" i="44" s="1"/>
  <c r="AO119" i="44" s="1"/>
  <c r="J114" i="44"/>
  <c r="AC114" i="44" s="1"/>
  <c r="AD114" i="44" s="1"/>
  <c r="AL108" i="44"/>
  <c r="AN108" i="44" s="1"/>
  <c r="AO108" i="44" s="1"/>
  <c r="D127" i="44"/>
  <c r="L115" i="44"/>
  <c r="D136" i="44"/>
  <c r="L124" i="44"/>
  <c r="J116" i="44"/>
  <c r="AC116" i="44" s="1"/>
  <c r="AD116" i="44" s="1"/>
  <c r="AM100" i="44"/>
  <c r="AN89" i="44"/>
  <c r="AO89" i="44" s="1"/>
  <c r="J117" i="44"/>
  <c r="AC117" i="44" s="1"/>
  <c r="AD117" i="44" s="1"/>
  <c r="J101" i="44"/>
  <c r="AL101" i="44"/>
  <c r="L118" i="44"/>
  <c r="D130" i="44"/>
  <c r="J106" i="44"/>
  <c r="AC106" i="44" s="1"/>
  <c r="AD106" i="44" s="1"/>
  <c r="D143" i="44"/>
  <c r="L131" i="44"/>
  <c r="AL110" i="44"/>
  <c r="AN110" i="44" s="1"/>
  <c r="AO110" i="44" s="1"/>
  <c r="AL103" i="44"/>
  <c r="AN103" i="44" s="1"/>
  <c r="AO103" i="44" s="1"/>
  <c r="AL112" i="44"/>
  <c r="AN112" i="44" s="1"/>
  <c r="AO112" i="44" s="1"/>
  <c r="AL116" i="44"/>
  <c r="AN116" i="44" s="1"/>
  <c r="AO116" i="44" s="1"/>
  <c r="J108" i="44"/>
  <c r="AC108" i="44" s="1"/>
  <c r="AD108" i="44" s="1"/>
  <c r="D141" i="44"/>
  <c r="L129" i="44"/>
  <c r="AL114" i="44"/>
  <c r="AN114" i="44" s="1"/>
  <c r="AO114" i="44" s="1"/>
  <c r="J103" i="44"/>
  <c r="AC103" i="44" s="1"/>
  <c r="AD103" i="44" s="1"/>
  <c r="J121" i="44"/>
  <c r="AC121" i="44" s="1"/>
  <c r="AD121" i="44" s="1"/>
  <c r="AL121" i="44"/>
  <c r="AN121" i="44" s="1"/>
  <c r="AO121" i="44" s="1"/>
  <c r="J112" i="44"/>
  <c r="AC112" i="44" s="1"/>
  <c r="AD112" i="44" s="1"/>
  <c r="AL117" i="44"/>
  <c r="AN117" i="44" s="1"/>
  <c r="AO117" i="44" s="1"/>
  <c r="J282" i="44"/>
  <c r="AC89" i="44"/>
  <c r="AD89" i="44" s="1"/>
  <c r="AL123" i="44"/>
  <c r="AN123" i="44" s="1"/>
  <c r="AO123" i="44" s="1"/>
  <c r="D134" i="44"/>
  <c r="L122" i="44"/>
  <c r="D42" i="42"/>
  <c r="D17" i="42"/>
  <c r="F17" i="42" s="1"/>
  <c r="D18" i="42"/>
  <c r="F18" i="42" s="1"/>
  <c r="D66" i="42"/>
  <c r="D78" i="42"/>
  <c r="D7" i="42"/>
  <c r="D30" i="42"/>
  <c r="F30" i="42" s="1"/>
  <c r="D48" i="42"/>
  <c r="F48" i="42" s="1"/>
  <c r="D54" i="42"/>
  <c r="D158" i="43"/>
  <c r="V146" i="43"/>
  <c r="W146" i="43"/>
  <c r="AM146" i="43" s="1"/>
  <c r="AO146" i="43" s="1"/>
  <c r="X146" i="43"/>
  <c r="L42" i="43"/>
  <c r="K55" i="43"/>
  <c r="L43" i="43"/>
  <c r="L50" i="43"/>
  <c r="K62" i="43"/>
  <c r="AP45" i="43"/>
  <c r="D155" i="43"/>
  <c r="V143" i="43"/>
  <c r="W143" i="43"/>
  <c r="AM143" i="43" s="1"/>
  <c r="AO143" i="43" s="1"/>
  <c r="X143" i="43"/>
  <c r="D153" i="43"/>
  <c r="X141" i="43"/>
  <c r="V141" i="43"/>
  <c r="W141" i="43"/>
  <c r="AM141" i="43" s="1"/>
  <c r="AO141" i="43" s="1"/>
  <c r="K66" i="43"/>
  <c r="AP54" i="43"/>
  <c r="L49" i="43"/>
  <c r="K61" i="43"/>
  <c r="AP61" i="43" s="1"/>
  <c r="AP62" i="43"/>
  <c r="K53" i="43"/>
  <c r="L41" i="43"/>
  <c r="L47" i="43"/>
  <c r="K59" i="43"/>
  <c r="D157" i="43"/>
  <c r="V145" i="43"/>
  <c r="X145" i="43"/>
  <c r="W145" i="43"/>
  <c r="AM145" i="43" s="1"/>
  <c r="AO145" i="43" s="1"/>
  <c r="D151" i="43"/>
  <c r="X139" i="43"/>
  <c r="V139" i="43"/>
  <c r="W139" i="43"/>
  <c r="AM139" i="43" s="1"/>
  <c r="AO139" i="43" s="1"/>
  <c r="X147" i="43"/>
  <c r="W147" i="43"/>
  <c r="AM147" i="43" s="1"/>
  <c r="AO147" i="43" s="1"/>
  <c r="D159" i="43"/>
  <c r="V147" i="43"/>
  <c r="L52" i="43"/>
  <c r="K64" i="43"/>
  <c r="AP41" i="43"/>
  <c r="AP47" i="43"/>
  <c r="AN100" i="43"/>
  <c r="AO89" i="43"/>
  <c r="D149" i="43"/>
  <c r="X137" i="43"/>
  <c r="V137" i="43"/>
  <c r="W137" i="43"/>
  <c r="AM137" i="43" s="1"/>
  <c r="D154" i="43"/>
  <c r="X142" i="43"/>
  <c r="V142" i="43"/>
  <c r="W142" i="43"/>
  <c r="AM142" i="43" s="1"/>
  <c r="AO142" i="43" s="1"/>
  <c r="K68" i="43"/>
  <c r="AP68" i="43" s="1"/>
  <c r="AP56" i="43"/>
  <c r="AO66" i="43"/>
  <c r="AP66" i="43" s="1"/>
  <c r="AN76" i="43"/>
  <c r="AP64" i="43"/>
  <c r="D156" i="43"/>
  <c r="V144" i="43"/>
  <c r="X144" i="43"/>
  <c r="W144" i="43"/>
  <c r="AM144" i="43" s="1"/>
  <c r="AO144" i="43" s="1"/>
  <c r="AN136" i="43"/>
  <c r="AO125" i="43"/>
  <c r="L45" i="43"/>
  <c r="K57" i="43"/>
  <c r="L56" i="43" s="1"/>
  <c r="AN112" i="43"/>
  <c r="D152" i="43"/>
  <c r="X140" i="43"/>
  <c r="V140" i="43"/>
  <c r="W140" i="43"/>
  <c r="AM140" i="43" s="1"/>
  <c r="AO140" i="43" s="1"/>
  <c r="D150" i="43"/>
  <c r="W138" i="43"/>
  <c r="AM138" i="43" s="1"/>
  <c r="AO138" i="43" s="1"/>
  <c r="X138" i="43"/>
  <c r="V138" i="43"/>
  <c r="K58" i="43"/>
  <c r="L46" i="43"/>
  <c r="AP52" i="43"/>
  <c r="AN88" i="43"/>
  <c r="AO77" i="43"/>
  <c r="L51" i="43"/>
  <c r="K63" i="43"/>
  <c r="AN52" i="43"/>
  <c r="AP50" i="43"/>
  <c r="AN64" i="43"/>
  <c r="AP51" i="43"/>
  <c r="X148" i="43"/>
  <c r="W148" i="43"/>
  <c r="AM148" i="43" s="1"/>
  <c r="AO148" i="43" s="1"/>
  <c r="D160" i="43"/>
  <c r="V148" i="43"/>
  <c r="K60" i="43"/>
  <c r="L48" i="43"/>
  <c r="AP48" i="43"/>
  <c r="D45" i="42"/>
  <c r="F45" i="42" s="1"/>
  <c r="D27" i="42"/>
  <c r="F27" i="42" s="1"/>
  <c r="D51" i="42"/>
  <c r="F51" i="42" s="1"/>
  <c r="D14" i="42"/>
  <c r="F14" i="42" s="1"/>
  <c r="D92" i="42"/>
  <c r="D6" i="42"/>
  <c r="H6" i="42" s="1"/>
  <c r="D38" i="42"/>
  <c r="F38" i="42" s="1"/>
  <c r="D50" i="42"/>
  <c r="F50" i="42" s="1"/>
  <c r="F7" i="42"/>
  <c r="D10" i="42"/>
  <c r="D16" i="42"/>
  <c r="D21" i="42"/>
  <c r="F21" i="42" s="1"/>
  <c r="AB276" i="42"/>
  <c r="D19" i="42"/>
  <c r="F19" i="42" s="1"/>
  <c r="D31" i="42"/>
  <c r="D40" i="42"/>
  <c r="F40" i="42" s="1"/>
  <c r="D41" i="42"/>
  <c r="F41" i="42" s="1"/>
  <c r="D53" i="42"/>
  <c r="D65" i="42"/>
  <c r="AB282" i="42"/>
  <c r="D91" i="42"/>
  <c r="D95" i="42"/>
  <c r="D99" i="42"/>
  <c r="D11" i="42"/>
  <c r="E11" i="42" s="1"/>
  <c r="D20" i="42"/>
  <c r="D25" i="42"/>
  <c r="F25" i="42" s="1"/>
  <c r="D79" i="42"/>
  <c r="D96" i="42"/>
  <c r="D100" i="42"/>
  <c r="D15" i="42"/>
  <c r="H15" i="42" s="1"/>
  <c r="D8" i="42"/>
  <c r="H8" i="42" s="1"/>
  <c r="D12" i="42"/>
  <c r="F12" i="42" s="1"/>
  <c r="D32" i="42"/>
  <c r="D44" i="42"/>
  <c r="F44" i="42" s="1"/>
  <c r="D47" i="42"/>
  <c r="D52" i="42"/>
  <c r="F52" i="42" s="1"/>
  <c r="D82" i="42"/>
  <c r="D86" i="42"/>
  <c r="D90" i="42"/>
  <c r="D94" i="42"/>
  <c r="D98" i="42"/>
  <c r="D5" i="42"/>
  <c r="E5" i="42" s="1"/>
  <c r="D9" i="42"/>
  <c r="E9" i="42" s="1"/>
  <c r="D28" i="42"/>
  <c r="D22" i="42"/>
  <c r="D23" i="42"/>
  <c r="F23" i="42" s="1"/>
  <c r="D39" i="42"/>
  <c r="D34" i="42"/>
  <c r="D33" i="42"/>
  <c r="D29" i="42"/>
  <c r="D36" i="42"/>
  <c r="D43" i="42"/>
  <c r="F43" i="42" s="1"/>
  <c r="D49" i="42"/>
  <c r="D67" i="42"/>
  <c r="D81" i="42"/>
  <c r="D85" i="42"/>
  <c r="D89" i="42"/>
  <c r="D93" i="42"/>
  <c r="D97" i="42"/>
  <c r="D80" i="42"/>
  <c r="D84" i="42"/>
  <c r="D88" i="42"/>
  <c r="D101" i="42"/>
  <c r="D46" i="42"/>
  <c r="D64" i="42"/>
  <c r="AB279" i="42"/>
  <c r="D68" i="42"/>
  <c r="D77" i="42"/>
  <c r="AB281" i="42"/>
  <c r="D83" i="42"/>
  <c r="D87" i="42"/>
  <c r="AB283" i="42"/>
  <c r="AB284" i="42"/>
  <c r="AB287" i="42"/>
  <c r="AB289" i="42"/>
  <c r="K30" i="42"/>
  <c r="L24" i="42"/>
  <c r="K36" i="42"/>
  <c r="K32" i="42"/>
  <c r="K37" i="42"/>
  <c r="L25" i="42"/>
  <c r="K40" i="42"/>
  <c r="E8" i="42"/>
  <c r="K33" i="42"/>
  <c r="K39" i="42"/>
  <c r="K35" i="42"/>
  <c r="K31" i="42"/>
  <c r="L19" i="42"/>
  <c r="K34" i="42"/>
  <c r="H7" i="42"/>
  <c r="Q5" i="42"/>
  <c r="E7" i="42"/>
  <c r="Q7" i="42"/>
  <c r="Q9" i="42"/>
  <c r="Q11" i="42"/>
  <c r="Q13" i="42"/>
  <c r="Q15" i="42"/>
  <c r="K17" i="42"/>
  <c r="L23" i="42" s="1"/>
  <c r="AB278" i="42"/>
  <c r="D69" i="42"/>
  <c r="D70" i="42"/>
  <c r="D71" i="42"/>
  <c r="D72" i="42"/>
  <c r="D73" i="42"/>
  <c r="D74" i="42"/>
  <c r="D75" i="42"/>
  <c r="H17" i="42"/>
  <c r="H38" i="42"/>
  <c r="AB275" i="42"/>
  <c r="Q6" i="42"/>
  <c r="Q8" i="42"/>
  <c r="Q10" i="42"/>
  <c r="Q12" i="42"/>
  <c r="Q14" i="42"/>
  <c r="Q16" i="42"/>
  <c r="AB277" i="42"/>
  <c r="AB280" i="42"/>
  <c r="H16" i="42"/>
  <c r="D13" i="42"/>
  <c r="L13" i="42"/>
  <c r="D24" i="42"/>
  <c r="D26" i="42"/>
  <c r="D35" i="42"/>
  <c r="D37" i="42"/>
  <c r="F42" i="42"/>
  <c r="F47" i="42"/>
  <c r="D55" i="42"/>
  <c r="D56" i="42"/>
  <c r="D57" i="42"/>
  <c r="D58" i="42"/>
  <c r="D59" i="42"/>
  <c r="D60" i="42"/>
  <c r="D61" i="42"/>
  <c r="D62" i="42"/>
  <c r="D63" i="42"/>
  <c r="D76" i="42"/>
  <c r="C137" i="42"/>
  <c r="C149" i="42" s="1"/>
  <c r="C161" i="42" s="1"/>
  <c r="C173" i="42" s="1"/>
  <c r="C185" i="42" s="1"/>
  <c r="C197" i="42" s="1"/>
  <c r="C209" i="42" s="1"/>
  <c r="C221" i="42" s="1"/>
  <c r="C233" i="42" s="1"/>
  <c r="C245" i="42" s="1"/>
  <c r="C257" i="42" s="1"/>
  <c r="D125" i="42"/>
  <c r="C141" i="42"/>
  <c r="C153" i="42" s="1"/>
  <c r="C165" i="42" s="1"/>
  <c r="C177" i="42" s="1"/>
  <c r="C189" i="42" s="1"/>
  <c r="C201" i="42" s="1"/>
  <c r="C213" i="42" s="1"/>
  <c r="C225" i="42" s="1"/>
  <c r="C237" i="42" s="1"/>
  <c r="C249" i="42" s="1"/>
  <c r="C261" i="42" s="1"/>
  <c r="D129" i="42"/>
  <c r="D136" i="42"/>
  <c r="D103" i="42"/>
  <c r="D105" i="42"/>
  <c r="D107" i="42"/>
  <c r="D109" i="42"/>
  <c r="C140" i="42"/>
  <c r="C152" i="42" s="1"/>
  <c r="C164" i="42" s="1"/>
  <c r="C176" i="42" s="1"/>
  <c r="C188" i="42" s="1"/>
  <c r="C200" i="42" s="1"/>
  <c r="C212" i="42" s="1"/>
  <c r="C224" i="42" s="1"/>
  <c r="C236" i="42" s="1"/>
  <c r="C248" i="42" s="1"/>
  <c r="C260" i="42" s="1"/>
  <c r="D128" i="42"/>
  <c r="D111" i="42"/>
  <c r="C139" i="42"/>
  <c r="C151" i="42" s="1"/>
  <c r="C163" i="42" s="1"/>
  <c r="C175" i="42" s="1"/>
  <c r="C187" i="42" s="1"/>
  <c r="C199" i="42" s="1"/>
  <c r="C211" i="42" s="1"/>
  <c r="C223" i="42" s="1"/>
  <c r="C235" i="42" s="1"/>
  <c r="C247" i="42" s="1"/>
  <c r="C259" i="42" s="1"/>
  <c r="D127" i="42"/>
  <c r="D102" i="42"/>
  <c r="D104" i="42"/>
  <c r="D106" i="42"/>
  <c r="D108" i="42"/>
  <c r="D110" i="42"/>
  <c r="D112" i="42"/>
  <c r="AB285" i="42"/>
  <c r="C138" i="42"/>
  <c r="C150" i="42" s="1"/>
  <c r="C162" i="42" s="1"/>
  <c r="C174" i="42" s="1"/>
  <c r="C186" i="42" s="1"/>
  <c r="C198" i="42" s="1"/>
  <c r="C210" i="42" s="1"/>
  <c r="C222" i="42" s="1"/>
  <c r="C234" i="42" s="1"/>
  <c r="C246" i="42" s="1"/>
  <c r="C258" i="42" s="1"/>
  <c r="D126" i="42"/>
  <c r="C142" i="42"/>
  <c r="C154" i="42" s="1"/>
  <c r="C166" i="42" s="1"/>
  <c r="C178" i="42" s="1"/>
  <c r="C190" i="42" s="1"/>
  <c r="C202" i="42" s="1"/>
  <c r="C214" i="42" s="1"/>
  <c r="C226" i="42" s="1"/>
  <c r="C238" i="42" s="1"/>
  <c r="C250" i="42" s="1"/>
  <c r="C262" i="42" s="1"/>
  <c r="D130" i="42"/>
  <c r="D131" i="42"/>
  <c r="D135" i="42"/>
  <c r="C147" i="42"/>
  <c r="C159" i="42" s="1"/>
  <c r="C171" i="42" s="1"/>
  <c r="C183" i="42" s="1"/>
  <c r="C195" i="42" s="1"/>
  <c r="C207" i="42" s="1"/>
  <c r="C219" i="42" s="1"/>
  <c r="C231" i="42" s="1"/>
  <c r="C243" i="42" s="1"/>
  <c r="C255" i="42" s="1"/>
  <c r="C267" i="42" s="1"/>
  <c r="D134" i="42"/>
  <c r="C146" i="42"/>
  <c r="C158" i="42" s="1"/>
  <c r="C170" i="42" s="1"/>
  <c r="C182" i="42" s="1"/>
  <c r="C194" i="42" s="1"/>
  <c r="C206" i="42" s="1"/>
  <c r="C218" i="42" s="1"/>
  <c r="C230" i="42" s="1"/>
  <c r="C242" i="42" s="1"/>
  <c r="C254" i="42" s="1"/>
  <c r="C266" i="42" s="1"/>
  <c r="D132" i="42"/>
  <c r="D133" i="42"/>
  <c r="C145" i="42"/>
  <c r="C157" i="42" s="1"/>
  <c r="C169" i="42" s="1"/>
  <c r="C181" i="42" s="1"/>
  <c r="C193" i="42" s="1"/>
  <c r="C205" i="42" s="1"/>
  <c r="C217" i="42" s="1"/>
  <c r="C229" i="42" s="1"/>
  <c r="C241" i="42" s="1"/>
  <c r="C253" i="42" s="1"/>
  <c r="C265" i="42" s="1"/>
  <c r="AB286" i="42"/>
  <c r="C148" i="42"/>
  <c r="C160" i="42" s="1"/>
  <c r="C172" i="42" s="1"/>
  <c r="C184" i="42" s="1"/>
  <c r="C196" i="42" s="1"/>
  <c r="C208" i="42" s="1"/>
  <c r="C220" i="42" s="1"/>
  <c r="C232" i="42" s="1"/>
  <c r="C244" i="42" s="1"/>
  <c r="C256" i="42" s="1"/>
  <c r="C268" i="42" s="1"/>
  <c r="AB288" i="42"/>
  <c r="AB290" i="42"/>
  <c r="AB291" i="42"/>
  <c r="AB292" i="42"/>
  <c r="AB293" i="42"/>
  <c r="AB294" i="42"/>
  <c r="AB295" i="42"/>
  <c r="AB296" i="42"/>
  <c r="X23" i="42" l="1"/>
  <c r="V23" i="42"/>
  <c r="W23" i="42"/>
  <c r="AM23" i="42" s="1"/>
  <c r="O23" i="42"/>
  <c r="N23" i="42"/>
  <c r="X19" i="42"/>
  <c r="O19" i="42"/>
  <c r="W19" i="42"/>
  <c r="AM19" i="42" s="1"/>
  <c r="V19" i="42"/>
  <c r="N19" i="42"/>
  <c r="V25" i="42"/>
  <c r="O25" i="42"/>
  <c r="N25" i="42"/>
  <c r="X25" i="42"/>
  <c r="W25" i="42"/>
  <c r="AM25" i="42" s="1"/>
  <c r="X24" i="42"/>
  <c r="O24" i="42"/>
  <c r="N24" i="42"/>
  <c r="W24" i="42"/>
  <c r="AM24" i="42" s="1"/>
  <c r="V24" i="42"/>
  <c r="V5" i="42"/>
  <c r="O5" i="42"/>
  <c r="N5" i="42"/>
  <c r="X5" i="42"/>
  <c r="W5" i="42"/>
  <c r="X8" i="42"/>
  <c r="O8" i="42"/>
  <c r="N8" i="42"/>
  <c r="W8" i="42"/>
  <c r="AM8" i="42" s="1"/>
  <c r="V8" i="42"/>
  <c r="X11" i="42"/>
  <c r="O11" i="42"/>
  <c r="W11" i="42"/>
  <c r="AM11" i="42" s="1"/>
  <c r="V11" i="42"/>
  <c r="N11" i="42"/>
  <c r="W10" i="42"/>
  <c r="AM10" i="42" s="1"/>
  <c r="V10" i="42"/>
  <c r="O10" i="42"/>
  <c r="N10" i="42"/>
  <c r="X10" i="42"/>
  <c r="L26" i="42"/>
  <c r="X7" i="42"/>
  <c r="V7" i="42"/>
  <c r="W7" i="42"/>
  <c r="AM7" i="42" s="1"/>
  <c r="O7" i="42"/>
  <c r="N7" i="42"/>
  <c r="X16" i="42"/>
  <c r="O16" i="42"/>
  <c r="N16" i="42"/>
  <c r="W16" i="42"/>
  <c r="AM16" i="42" s="1"/>
  <c r="V16" i="42"/>
  <c r="W12" i="42"/>
  <c r="AM12" i="42" s="1"/>
  <c r="X12" i="42"/>
  <c r="O12" i="42"/>
  <c r="N12" i="42"/>
  <c r="V12" i="42"/>
  <c r="V13" i="42"/>
  <c r="O13" i="42"/>
  <c r="N13" i="42"/>
  <c r="X13" i="42"/>
  <c r="W13" i="42"/>
  <c r="AM13" i="42" s="1"/>
  <c r="W14" i="42"/>
  <c r="AM14" i="42" s="1"/>
  <c r="V14" i="42"/>
  <c r="X14" i="42"/>
  <c r="N14" i="42"/>
  <c r="O14" i="42"/>
  <c r="V9" i="42"/>
  <c r="O9" i="42"/>
  <c r="N9" i="42"/>
  <c r="X9" i="42"/>
  <c r="W9" i="42"/>
  <c r="AM9" i="42" s="1"/>
  <c r="W6" i="42"/>
  <c r="AM6" i="42" s="1"/>
  <c r="V6" i="42"/>
  <c r="X6" i="42"/>
  <c r="O6" i="42"/>
  <c r="N6" i="42"/>
  <c r="X15" i="42"/>
  <c r="V15" i="42"/>
  <c r="W15" i="42"/>
  <c r="AM15" i="42" s="1"/>
  <c r="O15" i="42"/>
  <c r="N15" i="42"/>
  <c r="J133" i="44"/>
  <c r="AC133" i="44" s="1"/>
  <c r="AD133" i="44" s="1"/>
  <c r="J115" i="44"/>
  <c r="AC115" i="44" s="1"/>
  <c r="AD115" i="44" s="1"/>
  <c r="D152" i="44"/>
  <c r="L140" i="44"/>
  <c r="AL135" i="44"/>
  <c r="AN135" i="44" s="1"/>
  <c r="AO135" i="44" s="1"/>
  <c r="AL133" i="44"/>
  <c r="AN133" i="44" s="1"/>
  <c r="AO133" i="44" s="1"/>
  <c r="AL126" i="44"/>
  <c r="AN126" i="44" s="1"/>
  <c r="AO126" i="44" s="1"/>
  <c r="L138" i="44"/>
  <c r="D150" i="44"/>
  <c r="AL113" i="44"/>
  <c r="J120" i="44"/>
  <c r="AC120" i="44" s="1"/>
  <c r="AD120" i="44" s="1"/>
  <c r="J122" i="44"/>
  <c r="AC122" i="44" s="1"/>
  <c r="AD122" i="44" s="1"/>
  <c r="AL122" i="44"/>
  <c r="AN122" i="44" s="1"/>
  <c r="AO122" i="44" s="1"/>
  <c r="AL131" i="44"/>
  <c r="AN131" i="44" s="1"/>
  <c r="AO131" i="44" s="1"/>
  <c r="J131" i="44"/>
  <c r="AC131" i="44" s="1"/>
  <c r="AD131" i="44" s="1"/>
  <c r="D142" i="44"/>
  <c r="L130" i="44"/>
  <c r="AN101" i="44"/>
  <c r="AO101" i="44" s="1"/>
  <c r="AM112" i="44"/>
  <c r="AL124" i="44"/>
  <c r="AN124" i="44" s="1"/>
  <c r="AO124" i="44" s="1"/>
  <c r="L136" i="44"/>
  <c r="D148" i="44"/>
  <c r="AL115" i="44"/>
  <c r="AN115" i="44" s="1"/>
  <c r="AO115" i="44" s="1"/>
  <c r="D159" i="44"/>
  <c r="L147" i="44"/>
  <c r="J135" i="44"/>
  <c r="AC135" i="44" s="1"/>
  <c r="AD135" i="44" s="1"/>
  <c r="D157" i="44"/>
  <c r="L145" i="44"/>
  <c r="L141" i="44"/>
  <c r="D153" i="44"/>
  <c r="AL118" i="44"/>
  <c r="AN118" i="44" s="1"/>
  <c r="AO118" i="44" s="1"/>
  <c r="J283" i="44"/>
  <c r="AC101" i="44"/>
  <c r="J124" i="44"/>
  <c r="AC124" i="44" s="1"/>
  <c r="AD124" i="44" s="1"/>
  <c r="AC113" i="44"/>
  <c r="AD113" i="44" s="1"/>
  <c r="J129" i="44"/>
  <c r="AC129" i="44" s="1"/>
  <c r="AD129" i="44" s="1"/>
  <c r="D155" i="44"/>
  <c r="L143" i="44"/>
  <c r="D146" i="44"/>
  <c r="L134" i="44"/>
  <c r="AL129" i="44"/>
  <c r="AN129" i="44" s="1"/>
  <c r="AO129" i="44" s="1"/>
  <c r="J118" i="44"/>
  <c r="AC118" i="44" s="1"/>
  <c r="AD118" i="44" s="1"/>
  <c r="D139" i="44"/>
  <c r="L127" i="44"/>
  <c r="J128" i="44"/>
  <c r="AC128" i="44" s="1"/>
  <c r="AD128" i="44" s="1"/>
  <c r="AL128" i="44"/>
  <c r="AN128" i="44" s="1"/>
  <c r="AO128" i="44" s="1"/>
  <c r="J126" i="44"/>
  <c r="AC126" i="44" s="1"/>
  <c r="AD126" i="44" s="1"/>
  <c r="D137" i="44"/>
  <c r="L125" i="44"/>
  <c r="AL120" i="44"/>
  <c r="AN120" i="44" s="1"/>
  <c r="AO120" i="44" s="1"/>
  <c r="D144" i="44"/>
  <c r="L132" i="44"/>
  <c r="J132" i="44"/>
  <c r="AC132" i="44" s="1"/>
  <c r="AD132" i="44" s="1"/>
  <c r="E6" i="42"/>
  <c r="H18" i="42"/>
  <c r="H27" i="42"/>
  <c r="H12" i="42"/>
  <c r="H30" i="42"/>
  <c r="H40" i="42"/>
  <c r="H19" i="42"/>
  <c r="H25" i="42"/>
  <c r="H21" i="42"/>
  <c r="F8" i="42"/>
  <c r="H14" i="42"/>
  <c r="D162" i="43"/>
  <c r="V150" i="43"/>
  <c r="X150" i="43"/>
  <c r="W150" i="43"/>
  <c r="AM150" i="43" s="1"/>
  <c r="AO150" i="43" s="1"/>
  <c r="D170" i="43"/>
  <c r="V158" i="43"/>
  <c r="X158" i="43"/>
  <c r="W158" i="43"/>
  <c r="AM158" i="43" s="1"/>
  <c r="AO158" i="43" s="1"/>
  <c r="K72" i="43"/>
  <c r="L60" i="43"/>
  <c r="AP60" i="43"/>
  <c r="K75" i="43"/>
  <c r="L63" i="43"/>
  <c r="D166" i="43"/>
  <c r="W154" i="43"/>
  <c r="AM154" i="43" s="1"/>
  <c r="AO154" i="43" s="1"/>
  <c r="V154" i="43"/>
  <c r="X154" i="43"/>
  <c r="D164" i="43"/>
  <c r="W152" i="43"/>
  <c r="AM152" i="43" s="1"/>
  <c r="AO152" i="43" s="1"/>
  <c r="X152" i="43"/>
  <c r="V152" i="43"/>
  <c r="K69" i="43"/>
  <c r="L57" i="43"/>
  <c r="AP57" i="43"/>
  <c r="K73" i="43"/>
  <c r="L61" i="43"/>
  <c r="K74" i="43"/>
  <c r="L62" i="43"/>
  <c r="K70" i="43"/>
  <c r="L58" i="43"/>
  <c r="AP58" i="43"/>
  <c r="K80" i="43"/>
  <c r="D163" i="43"/>
  <c r="W151" i="43"/>
  <c r="AM151" i="43" s="1"/>
  <c r="AO151" i="43" s="1"/>
  <c r="X151" i="43"/>
  <c r="V151" i="43"/>
  <c r="D165" i="43"/>
  <c r="W153" i="43"/>
  <c r="AM153" i="43" s="1"/>
  <c r="AO153" i="43" s="1"/>
  <c r="V153" i="43"/>
  <c r="X153" i="43"/>
  <c r="D167" i="43"/>
  <c r="X155" i="43"/>
  <c r="V155" i="43"/>
  <c r="W155" i="43"/>
  <c r="AM155" i="43" s="1"/>
  <c r="AO155" i="43" s="1"/>
  <c r="D168" i="43"/>
  <c r="W156" i="43"/>
  <c r="AM156" i="43" s="1"/>
  <c r="AO156" i="43" s="1"/>
  <c r="X156" i="43"/>
  <c r="V156" i="43"/>
  <c r="D161" i="43"/>
  <c r="V149" i="43"/>
  <c r="W149" i="43"/>
  <c r="AM149" i="43" s="1"/>
  <c r="X149" i="43"/>
  <c r="K78" i="43"/>
  <c r="D172" i="43"/>
  <c r="W160" i="43"/>
  <c r="AM160" i="43" s="1"/>
  <c r="AO160" i="43" s="1"/>
  <c r="X160" i="43"/>
  <c r="V160" i="43"/>
  <c r="AN148" i="43"/>
  <c r="AO137" i="43"/>
  <c r="K76" i="43"/>
  <c r="L64" i="43"/>
  <c r="D171" i="43"/>
  <c r="W159" i="43"/>
  <c r="AM159" i="43" s="1"/>
  <c r="AO159" i="43" s="1"/>
  <c r="X159" i="43"/>
  <c r="V159" i="43"/>
  <c r="D169" i="43"/>
  <c r="V157" i="43"/>
  <c r="X157" i="43"/>
  <c r="W157" i="43"/>
  <c r="AM157" i="43" s="1"/>
  <c r="AO157" i="43" s="1"/>
  <c r="K71" i="43"/>
  <c r="L59" i="43"/>
  <c r="AP59" i="43"/>
  <c r="K65" i="43"/>
  <c r="L53" i="43"/>
  <c r="AP53" i="43"/>
  <c r="L54" i="43"/>
  <c r="L55" i="43"/>
  <c r="K67" i="43"/>
  <c r="AP55" i="43"/>
  <c r="AP63" i="43"/>
  <c r="E14" i="42"/>
  <c r="H23" i="42"/>
  <c r="E12" i="42"/>
  <c r="F6" i="42"/>
  <c r="F46" i="42"/>
  <c r="F36" i="42"/>
  <c r="H10" i="42"/>
  <c r="F10" i="42"/>
  <c r="H39" i="42"/>
  <c r="F32" i="42"/>
  <c r="H36" i="42"/>
  <c r="E10" i="42"/>
  <c r="E15" i="42"/>
  <c r="F49" i="42"/>
  <c r="H20" i="42"/>
  <c r="F20" i="42"/>
  <c r="H32" i="42"/>
  <c r="F39" i="42"/>
  <c r="F15" i="42"/>
  <c r="F34" i="42"/>
  <c r="H34" i="42"/>
  <c r="H28" i="42"/>
  <c r="F28" i="42"/>
  <c r="H5" i="42"/>
  <c r="F5" i="42"/>
  <c r="H31" i="42"/>
  <c r="F31" i="42"/>
  <c r="F16" i="42"/>
  <c r="E16" i="42"/>
  <c r="H29" i="42"/>
  <c r="F29" i="42"/>
  <c r="H11" i="42"/>
  <c r="F11" i="42"/>
  <c r="H33" i="42"/>
  <c r="F33" i="42"/>
  <c r="H22" i="42"/>
  <c r="F22" i="42"/>
  <c r="H9" i="42"/>
  <c r="F9" i="42"/>
  <c r="D141" i="42"/>
  <c r="D147" i="42"/>
  <c r="H24" i="42"/>
  <c r="F24" i="42"/>
  <c r="L17" i="42"/>
  <c r="K29" i="42"/>
  <c r="L39" i="42" s="1"/>
  <c r="K46" i="42"/>
  <c r="K43" i="42"/>
  <c r="L27" i="42"/>
  <c r="K52" i="42"/>
  <c r="L40" i="42"/>
  <c r="K49" i="42"/>
  <c r="L20" i="42"/>
  <c r="D145" i="42"/>
  <c r="D142" i="42"/>
  <c r="H26" i="42"/>
  <c r="F26" i="42"/>
  <c r="K44" i="42"/>
  <c r="D144" i="42"/>
  <c r="D146" i="42"/>
  <c r="H37" i="42"/>
  <c r="F37" i="42"/>
  <c r="L22" i="42"/>
  <c r="K51" i="42"/>
  <c r="K45" i="42"/>
  <c r="L28" i="42"/>
  <c r="K42" i="42"/>
  <c r="D140" i="42"/>
  <c r="D143" i="42"/>
  <c r="D138" i="42"/>
  <c r="D139" i="42"/>
  <c r="D148" i="42"/>
  <c r="D137" i="42"/>
  <c r="H35" i="42"/>
  <c r="F35" i="42"/>
  <c r="H13" i="42"/>
  <c r="F13" i="42"/>
  <c r="E13" i="42"/>
  <c r="K50" i="42"/>
  <c r="K47" i="42"/>
  <c r="L21" i="42"/>
  <c r="K48" i="42"/>
  <c r="L18" i="42"/>
  <c r="W20" i="42" l="1"/>
  <c r="AM20" i="42" s="1"/>
  <c r="X20" i="42"/>
  <c r="O20" i="42"/>
  <c r="N20" i="42"/>
  <c r="V20" i="42"/>
  <c r="X27" i="42"/>
  <c r="O27" i="42"/>
  <c r="W27" i="42"/>
  <c r="AM27" i="42" s="1"/>
  <c r="V27" i="42"/>
  <c r="N27" i="42"/>
  <c r="W18" i="42"/>
  <c r="AM18" i="42" s="1"/>
  <c r="V18" i="42"/>
  <c r="N18" i="42"/>
  <c r="X18" i="42"/>
  <c r="O18" i="42"/>
  <c r="W22" i="42"/>
  <c r="AM22" i="42" s="1"/>
  <c r="V22" i="42"/>
  <c r="O22" i="42"/>
  <c r="X22" i="42"/>
  <c r="N22" i="42"/>
  <c r="X40" i="42"/>
  <c r="W40" i="42"/>
  <c r="AM40" i="42" s="1"/>
  <c r="V40" i="42"/>
  <c r="V21" i="42"/>
  <c r="O21" i="42"/>
  <c r="N21" i="42"/>
  <c r="X21" i="42"/>
  <c r="W21" i="42"/>
  <c r="AM21" i="42" s="1"/>
  <c r="X39" i="42"/>
  <c r="V39" i="42"/>
  <c r="W39" i="42"/>
  <c r="AM39" i="42" s="1"/>
  <c r="V17" i="42"/>
  <c r="O17" i="42"/>
  <c r="N17" i="42"/>
  <c r="X17" i="42"/>
  <c r="W17" i="42"/>
  <c r="X28" i="42"/>
  <c r="O28" i="42"/>
  <c r="N28" i="42"/>
  <c r="W28" i="42"/>
  <c r="AM28" i="42" s="1"/>
  <c r="V28" i="42"/>
  <c r="W26" i="42"/>
  <c r="AM26" i="42" s="1"/>
  <c r="V26" i="42"/>
  <c r="O26" i="42"/>
  <c r="N26" i="42"/>
  <c r="X26" i="42"/>
  <c r="AM5" i="42"/>
  <c r="AN16" i="42" s="1"/>
  <c r="J127" i="44"/>
  <c r="AC127" i="44" s="1"/>
  <c r="AD127" i="44" s="1"/>
  <c r="J143" i="44"/>
  <c r="AC143" i="44" s="1"/>
  <c r="AD143" i="44" s="1"/>
  <c r="J147" i="44"/>
  <c r="AC147" i="44" s="1"/>
  <c r="AD147" i="44" s="1"/>
  <c r="J138" i="44"/>
  <c r="AC138" i="44" s="1"/>
  <c r="AD138" i="44" s="1"/>
  <c r="AL127" i="44"/>
  <c r="AN127" i="44" s="1"/>
  <c r="AO127" i="44" s="1"/>
  <c r="AL147" i="44"/>
  <c r="AN147" i="44" s="1"/>
  <c r="AO147" i="44" s="1"/>
  <c r="AL140" i="44"/>
  <c r="AN140" i="44" s="1"/>
  <c r="AO140" i="44" s="1"/>
  <c r="D156" i="44"/>
  <c r="L144" i="44"/>
  <c r="AL125" i="44"/>
  <c r="D158" i="44"/>
  <c r="L146" i="44"/>
  <c r="AL141" i="44"/>
  <c r="AN141" i="44" s="1"/>
  <c r="AO141" i="44" s="1"/>
  <c r="D171" i="44"/>
  <c r="L159" i="44"/>
  <c r="D160" i="44"/>
  <c r="J148" i="44"/>
  <c r="AC148" i="44" s="1"/>
  <c r="AD148" i="44" s="1"/>
  <c r="L148" i="44"/>
  <c r="J130" i="44"/>
  <c r="AC130" i="44" s="1"/>
  <c r="AD130" i="44" s="1"/>
  <c r="AM124" i="44"/>
  <c r="AN113" i="44"/>
  <c r="AO113" i="44" s="1"/>
  <c r="AL138" i="44"/>
  <c r="AN138" i="44" s="1"/>
  <c r="AO138" i="44" s="1"/>
  <c r="L152" i="44"/>
  <c r="D164" i="44"/>
  <c r="L137" i="44"/>
  <c r="D149" i="44"/>
  <c r="L139" i="44"/>
  <c r="D151" i="44"/>
  <c r="J145" i="44"/>
  <c r="AC145" i="44" s="1"/>
  <c r="AD145" i="44" s="1"/>
  <c r="J136" i="44"/>
  <c r="AC136" i="44" s="1"/>
  <c r="AD136" i="44" s="1"/>
  <c r="J140" i="44"/>
  <c r="AC140" i="44" s="1"/>
  <c r="AD140" i="44" s="1"/>
  <c r="AL134" i="44"/>
  <c r="AN134" i="44" s="1"/>
  <c r="AO134" i="44" s="1"/>
  <c r="AL143" i="44"/>
  <c r="AN143" i="44" s="1"/>
  <c r="AO143" i="44" s="1"/>
  <c r="AL145" i="44"/>
  <c r="AN145" i="44" s="1"/>
  <c r="AO145" i="44" s="1"/>
  <c r="D169" i="44"/>
  <c r="L157" i="44"/>
  <c r="J134" i="44"/>
  <c r="AC134" i="44" s="1"/>
  <c r="AD134" i="44" s="1"/>
  <c r="L155" i="44"/>
  <c r="D167" i="44"/>
  <c r="AD101" i="44"/>
  <c r="AL132" i="44"/>
  <c r="AN132" i="44" s="1"/>
  <c r="AO132" i="44" s="1"/>
  <c r="J125" i="44"/>
  <c r="J284" i="44"/>
  <c r="D165" i="44"/>
  <c r="L153" i="44"/>
  <c r="J141" i="44"/>
  <c r="AC141" i="44" s="1"/>
  <c r="AD141" i="44" s="1"/>
  <c r="AL136" i="44"/>
  <c r="AN136" i="44" s="1"/>
  <c r="AO136" i="44" s="1"/>
  <c r="AL130" i="44"/>
  <c r="AN130" i="44" s="1"/>
  <c r="AO130" i="44" s="1"/>
  <c r="L142" i="44"/>
  <c r="D154" i="44"/>
  <c r="D162" i="44"/>
  <c r="L150" i="44"/>
  <c r="D180" i="43"/>
  <c r="X168" i="43"/>
  <c r="W168" i="43"/>
  <c r="AM168" i="43" s="1"/>
  <c r="AO168" i="43" s="1"/>
  <c r="V168" i="43"/>
  <c r="X166" i="43"/>
  <c r="W166" i="43"/>
  <c r="AM166" i="43" s="1"/>
  <c r="AO166" i="43" s="1"/>
  <c r="D178" i="43"/>
  <c r="V166" i="43"/>
  <c r="L67" i="43"/>
  <c r="K79" i="43"/>
  <c r="AP67" i="43"/>
  <c r="L65" i="43"/>
  <c r="K77" i="43"/>
  <c r="AP65" i="43"/>
  <c r="K90" i="43"/>
  <c r="AP78" i="43"/>
  <c r="X161" i="43"/>
  <c r="W161" i="43"/>
  <c r="AM161" i="43" s="1"/>
  <c r="D173" i="43"/>
  <c r="V161" i="43"/>
  <c r="L70" i="43"/>
  <c r="K82" i="43"/>
  <c r="AP70" i="43"/>
  <c r="L74" i="43"/>
  <c r="K86" i="43"/>
  <c r="AP74" i="43"/>
  <c r="L73" i="43"/>
  <c r="K85" i="43"/>
  <c r="AP73" i="43"/>
  <c r="L69" i="43"/>
  <c r="K81" i="43"/>
  <c r="AP69" i="43"/>
  <c r="X162" i="43"/>
  <c r="W162" i="43"/>
  <c r="AM162" i="43" s="1"/>
  <c r="AO162" i="43" s="1"/>
  <c r="D174" i="43"/>
  <c r="V162" i="43"/>
  <c r="L71" i="43"/>
  <c r="K83" i="43"/>
  <c r="AP71" i="43"/>
  <c r="D183" i="43"/>
  <c r="X171" i="43"/>
  <c r="W171" i="43"/>
  <c r="AM171" i="43" s="1"/>
  <c r="AO171" i="43" s="1"/>
  <c r="V171" i="43"/>
  <c r="L66" i="43"/>
  <c r="AO149" i="43"/>
  <c r="AN160" i="43"/>
  <c r="X165" i="43"/>
  <c r="W165" i="43"/>
  <c r="AM165" i="43" s="1"/>
  <c r="AO165" i="43" s="1"/>
  <c r="D177" i="43"/>
  <c r="V165" i="43"/>
  <c r="K92" i="43"/>
  <c r="AP80" i="43"/>
  <c r="X164" i="43"/>
  <c r="W164" i="43"/>
  <c r="AM164" i="43" s="1"/>
  <c r="AO164" i="43" s="1"/>
  <c r="D176" i="43"/>
  <c r="V164" i="43"/>
  <c r="L75" i="43"/>
  <c r="K87" i="43"/>
  <c r="AP75" i="43"/>
  <c r="L72" i="43"/>
  <c r="K84" i="43"/>
  <c r="AP72" i="43"/>
  <c r="D181" i="43"/>
  <c r="X169" i="43"/>
  <c r="W169" i="43"/>
  <c r="AM169" i="43" s="1"/>
  <c r="AO169" i="43" s="1"/>
  <c r="V169" i="43"/>
  <c r="L76" i="43"/>
  <c r="K88" i="43"/>
  <c r="AP76" i="43"/>
  <c r="D184" i="43"/>
  <c r="X172" i="43"/>
  <c r="W172" i="43"/>
  <c r="AM172" i="43" s="1"/>
  <c r="AO172" i="43" s="1"/>
  <c r="V172" i="43"/>
  <c r="D179" i="43"/>
  <c r="X167" i="43"/>
  <c r="W167" i="43"/>
  <c r="AM167" i="43" s="1"/>
  <c r="AO167" i="43" s="1"/>
  <c r="V167" i="43"/>
  <c r="X163" i="43"/>
  <c r="W163" i="43"/>
  <c r="AM163" i="43" s="1"/>
  <c r="AO163" i="43" s="1"/>
  <c r="D175" i="43"/>
  <c r="V163" i="43"/>
  <c r="L68" i="43"/>
  <c r="D182" i="43"/>
  <c r="X170" i="43"/>
  <c r="W170" i="43"/>
  <c r="AM170" i="43" s="1"/>
  <c r="AO170" i="43" s="1"/>
  <c r="V170" i="43"/>
  <c r="D151" i="42"/>
  <c r="L36" i="42"/>
  <c r="L38" i="42"/>
  <c r="D155" i="42"/>
  <c r="D154" i="42"/>
  <c r="K64" i="42"/>
  <c r="K55" i="42"/>
  <c r="K60" i="42"/>
  <c r="L29" i="42"/>
  <c r="K41" i="42"/>
  <c r="L45" i="42" s="1"/>
  <c r="D159" i="42"/>
  <c r="K59" i="42"/>
  <c r="L47" i="42"/>
  <c r="L50" i="42"/>
  <c r="K62" i="42"/>
  <c r="K54" i="42"/>
  <c r="L42" i="42"/>
  <c r="K57" i="42"/>
  <c r="D158" i="42"/>
  <c r="L49" i="42"/>
  <c r="K61" i="42"/>
  <c r="L31" i="42"/>
  <c r="D153" i="42"/>
  <c r="K63" i="42"/>
  <c r="L51" i="42"/>
  <c r="D156" i="42"/>
  <c r="K56" i="42"/>
  <c r="D157" i="42"/>
  <c r="K58" i="42"/>
  <c r="L35" i="42"/>
  <c r="D149" i="42"/>
  <c r="D160" i="42"/>
  <c r="D150" i="42"/>
  <c r="D152" i="42"/>
  <c r="L30" i="42"/>
  <c r="L33" i="42"/>
  <c r="L32" i="42"/>
  <c r="L37" i="42"/>
  <c r="L34" i="42"/>
  <c r="V29" i="42" l="1"/>
  <c r="X29" i="42"/>
  <c r="W29" i="42"/>
  <c r="X32" i="42"/>
  <c r="W32" i="42"/>
  <c r="AM32" i="42" s="1"/>
  <c r="V32" i="42"/>
  <c r="L44" i="42"/>
  <c r="V33" i="42"/>
  <c r="X33" i="42"/>
  <c r="W33" i="42"/>
  <c r="AM33" i="42" s="1"/>
  <c r="L46" i="42"/>
  <c r="X31" i="42"/>
  <c r="V31" i="42"/>
  <c r="W31" i="42"/>
  <c r="AM31" i="42" s="1"/>
  <c r="W38" i="42"/>
  <c r="AM38" i="42" s="1"/>
  <c r="V38" i="42"/>
  <c r="X38" i="42"/>
  <c r="AM17" i="42"/>
  <c r="AN28" i="42" s="1"/>
  <c r="V37" i="42"/>
  <c r="X37" i="42"/>
  <c r="W37" i="42"/>
  <c r="AM37" i="42" s="1"/>
  <c r="X35" i="42"/>
  <c r="W35" i="42"/>
  <c r="AM35" i="42" s="1"/>
  <c r="V35" i="42"/>
  <c r="W34" i="42"/>
  <c r="AM34" i="42" s="1"/>
  <c r="V34" i="42"/>
  <c r="X34" i="42"/>
  <c r="W30" i="42"/>
  <c r="AM30" i="42" s="1"/>
  <c r="V30" i="42"/>
  <c r="X30" i="42"/>
  <c r="W36" i="42"/>
  <c r="AM36" i="42" s="1"/>
  <c r="X36" i="42"/>
  <c r="V36" i="42"/>
  <c r="J142" i="44"/>
  <c r="AC142" i="44" s="1"/>
  <c r="AD142" i="44" s="1"/>
  <c r="AL139" i="44"/>
  <c r="AN139" i="44" s="1"/>
  <c r="AO139" i="44" s="1"/>
  <c r="AL159" i="44"/>
  <c r="AN159" i="44" s="1"/>
  <c r="AO159" i="44" s="1"/>
  <c r="L171" i="44"/>
  <c r="D183" i="44"/>
  <c r="AL144" i="44"/>
  <c r="AN144" i="44" s="1"/>
  <c r="AO144" i="44" s="1"/>
  <c r="J153" i="44"/>
  <c r="AC153" i="44" s="1"/>
  <c r="AD153" i="44" s="1"/>
  <c r="D181" i="44"/>
  <c r="L169" i="44"/>
  <c r="AL137" i="44"/>
  <c r="L156" i="44"/>
  <c r="D168" i="44"/>
  <c r="AL150" i="44"/>
  <c r="AN150" i="44" s="1"/>
  <c r="AO150" i="44" s="1"/>
  <c r="J150" i="44"/>
  <c r="AC150" i="44" s="1"/>
  <c r="AD150" i="44" s="1"/>
  <c r="AL142" i="44"/>
  <c r="AN142" i="44" s="1"/>
  <c r="AO142" i="44" s="1"/>
  <c r="D177" i="44"/>
  <c r="L165" i="44"/>
  <c r="J155" i="44"/>
  <c r="AC155" i="44" s="1"/>
  <c r="AD155" i="44" s="1"/>
  <c r="L151" i="44"/>
  <c r="D163" i="44"/>
  <c r="D176" i="44"/>
  <c r="L164" i="44"/>
  <c r="AL152" i="44"/>
  <c r="AN152" i="44" s="1"/>
  <c r="AO152" i="44" s="1"/>
  <c r="AL148" i="44"/>
  <c r="AN148" i="44" s="1"/>
  <c r="AO148" i="44" s="1"/>
  <c r="J159" i="44"/>
  <c r="AC159" i="44" s="1"/>
  <c r="AD159" i="44" s="1"/>
  <c r="J146" i="44"/>
  <c r="AC146" i="44" s="1"/>
  <c r="AD146" i="44" s="1"/>
  <c r="AL146" i="44"/>
  <c r="AN146" i="44" s="1"/>
  <c r="AO146" i="44" s="1"/>
  <c r="J144" i="44"/>
  <c r="AC144" i="44" s="1"/>
  <c r="AD144" i="44" s="1"/>
  <c r="D166" i="44"/>
  <c r="L154" i="44"/>
  <c r="AL157" i="44"/>
  <c r="AN157" i="44" s="1"/>
  <c r="AO157" i="44" s="1"/>
  <c r="D170" i="44"/>
  <c r="L158" i="44"/>
  <c r="AL153" i="44"/>
  <c r="AN153" i="44" s="1"/>
  <c r="AO153" i="44" s="1"/>
  <c r="J285" i="44"/>
  <c r="AC125" i="44"/>
  <c r="AD125" i="44" s="1"/>
  <c r="AL155" i="44"/>
  <c r="AN155" i="44" s="1"/>
  <c r="AO155" i="44" s="1"/>
  <c r="L162" i="44"/>
  <c r="D174" i="44"/>
  <c r="D179" i="44"/>
  <c r="L167" i="44"/>
  <c r="J157" i="44"/>
  <c r="AC157" i="44" s="1"/>
  <c r="AD157" i="44" s="1"/>
  <c r="J139" i="44"/>
  <c r="AC139" i="44" s="1"/>
  <c r="AD139" i="44" s="1"/>
  <c r="D161" i="44"/>
  <c r="L149" i="44"/>
  <c r="J137" i="44"/>
  <c r="J152" i="44"/>
  <c r="AC152" i="44" s="1"/>
  <c r="AD152" i="44" s="1"/>
  <c r="L160" i="44"/>
  <c r="D172" i="44"/>
  <c r="AM136" i="44"/>
  <c r="AN125" i="44"/>
  <c r="AO125" i="44" s="1"/>
  <c r="D185" i="43"/>
  <c r="W173" i="43"/>
  <c r="AM173" i="43" s="1"/>
  <c r="V173" i="43"/>
  <c r="X173" i="43"/>
  <c r="L79" i="43"/>
  <c r="K91" i="43"/>
  <c r="AP79" i="43"/>
  <c r="D195" i="43"/>
  <c r="V183" i="43"/>
  <c r="W183" i="43"/>
  <c r="AM183" i="43" s="1"/>
  <c r="AO183" i="43" s="1"/>
  <c r="X183" i="43"/>
  <c r="D194" i="43"/>
  <c r="V182" i="43"/>
  <c r="W182" i="43"/>
  <c r="AM182" i="43" s="1"/>
  <c r="AO182" i="43" s="1"/>
  <c r="X182" i="43"/>
  <c r="D193" i="43"/>
  <c r="V181" i="43"/>
  <c r="W181" i="43"/>
  <c r="AM181" i="43" s="1"/>
  <c r="AO181" i="43" s="1"/>
  <c r="X181" i="43"/>
  <c r="D188" i="43"/>
  <c r="X176" i="43"/>
  <c r="W176" i="43"/>
  <c r="AM176" i="43" s="1"/>
  <c r="AO176" i="43" s="1"/>
  <c r="V176" i="43"/>
  <c r="K104" i="43"/>
  <c r="AP92" i="43"/>
  <c r="D186" i="43"/>
  <c r="W174" i="43"/>
  <c r="AM174" i="43" s="1"/>
  <c r="AO174" i="43" s="1"/>
  <c r="V174" i="43"/>
  <c r="X174" i="43"/>
  <c r="L86" i="43"/>
  <c r="K98" i="43"/>
  <c r="AP86" i="43"/>
  <c r="K94" i="43"/>
  <c r="L92" i="43" s="1"/>
  <c r="L82" i="43"/>
  <c r="AP82" i="43"/>
  <c r="K102" i="43"/>
  <c r="AP90" i="43"/>
  <c r="L77" i="43"/>
  <c r="K89" i="43"/>
  <c r="AP77" i="43"/>
  <c r="D192" i="43"/>
  <c r="V180" i="43"/>
  <c r="W180" i="43"/>
  <c r="AM180" i="43" s="1"/>
  <c r="AO180" i="43" s="1"/>
  <c r="X180" i="43"/>
  <c r="D196" i="43"/>
  <c r="V184" i="43"/>
  <c r="W184" i="43"/>
  <c r="AM184" i="43" s="1"/>
  <c r="AO184" i="43" s="1"/>
  <c r="X184" i="43"/>
  <c r="D187" i="43"/>
  <c r="X175" i="43"/>
  <c r="V175" i="43"/>
  <c r="W175" i="43"/>
  <c r="AM175" i="43" s="1"/>
  <c r="AO175" i="43" s="1"/>
  <c r="W179" i="43"/>
  <c r="AM179" i="43" s="1"/>
  <c r="AO179" i="43" s="1"/>
  <c r="D191" i="43"/>
  <c r="V179" i="43"/>
  <c r="X179" i="43"/>
  <c r="L88" i="43"/>
  <c r="K100" i="43"/>
  <c r="AP88" i="43"/>
  <c r="L80" i="43"/>
  <c r="L85" i="43"/>
  <c r="K97" i="43"/>
  <c r="AP85" i="43"/>
  <c r="AN172" i="43"/>
  <c r="AO161" i="43"/>
  <c r="L78" i="43"/>
  <c r="D190" i="43"/>
  <c r="W178" i="43"/>
  <c r="AM178" i="43" s="1"/>
  <c r="AO178" i="43" s="1"/>
  <c r="V178" i="43"/>
  <c r="X178" i="43"/>
  <c r="L84" i="43"/>
  <c r="K96" i="43"/>
  <c r="AP84" i="43"/>
  <c r="L87" i="43"/>
  <c r="K99" i="43"/>
  <c r="AP87" i="43"/>
  <c r="D189" i="43"/>
  <c r="W177" i="43"/>
  <c r="AM177" i="43" s="1"/>
  <c r="AO177" i="43" s="1"/>
  <c r="V177" i="43"/>
  <c r="X177" i="43"/>
  <c r="K95" i="43"/>
  <c r="L83" i="43"/>
  <c r="AP83" i="43"/>
  <c r="K93" i="43"/>
  <c r="L81" i="43"/>
  <c r="AP81" i="43"/>
  <c r="D164" i="42"/>
  <c r="L63" i="42"/>
  <c r="K75" i="42"/>
  <c r="K76" i="42"/>
  <c r="D163" i="42"/>
  <c r="D172" i="42"/>
  <c r="K70" i="42"/>
  <c r="D168" i="42"/>
  <c r="K69" i="42"/>
  <c r="K67" i="42"/>
  <c r="D161" i="42"/>
  <c r="K73" i="42"/>
  <c r="D170" i="42"/>
  <c r="K71" i="42"/>
  <c r="D171" i="42"/>
  <c r="L41" i="42"/>
  <c r="K53" i="42"/>
  <c r="L48" i="42"/>
  <c r="L43" i="42"/>
  <c r="D162" i="42"/>
  <c r="D169" i="42"/>
  <c r="L56" i="42"/>
  <c r="K68" i="42"/>
  <c r="D165" i="42"/>
  <c r="L54" i="42"/>
  <c r="K66" i="42"/>
  <c r="K74" i="42"/>
  <c r="L62" i="42"/>
  <c r="L60" i="42"/>
  <c r="K72" i="42"/>
  <c r="L52" i="42"/>
  <c r="D166" i="42"/>
  <c r="D167" i="42"/>
  <c r="AM29" i="42" l="1"/>
  <c r="AN40" i="42" s="1"/>
  <c r="J171" i="44"/>
  <c r="AC171" i="44" s="1"/>
  <c r="AD171" i="44" s="1"/>
  <c r="J165" i="44"/>
  <c r="AC165" i="44" s="1"/>
  <c r="AD165" i="44" s="1"/>
  <c r="J156" i="44"/>
  <c r="AC156" i="44" s="1"/>
  <c r="AD156" i="44" s="1"/>
  <c r="D182" i="44"/>
  <c r="L170" i="44"/>
  <c r="AL169" i="44"/>
  <c r="AN169" i="44" s="1"/>
  <c r="AO169" i="44" s="1"/>
  <c r="AL171" i="44"/>
  <c r="AN171" i="44" s="1"/>
  <c r="AO171" i="44" s="1"/>
  <c r="J149" i="44"/>
  <c r="AL149" i="44"/>
  <c r="J167" i="44"/>
  <c r="AC167" i="44" s="1"/>
  <c r="AD167" i="44" s="1"/>
  <c r="D186" i="44"/>
  <c r="L174" i="44"/>
  <c r="J174" i="44"/>
  <c r="AC174" i="44" s="1"/>
  <c r="AD174" i="44" s="1"/>
  <c r="J164" i="44"/>
  <c r="AC164" i="44" s="1"/>
  <c r="AD164" i="44" s="1"/>
  <c r="J151" i="44"/>
  <c r="AC151" i="44" s="1"/>
  <c r="AD151" i="44" s="1"/>
  <c r="D189" i="44"/>
  <c r="L177" i="44"/>
  <c r="D180" i="44"/>
  <c r="L168" i="44"/>
  <c r="L183" i="44"/>
  <c r="D195" i="44"/>
  <c r="D184" i="44"/>
  <c r="L172" i="44"/>
  <c r="D173" i="44"/>
  <c r="L161" i="44"/>
  <c r="AL167" i="44"/>
  <c r="AN167" i="44" s="1"/>
  <c r="AO167" i="44" s="1"/>
  <c r="D191" i="44"/>
  <c r="L179" i="44"/>
  <c r="AL164" i="44"/>
  <c r="AN164" i="44" s="1"/>
  <c r="AO164" i="44" s="1"/>
  <c r="AL165" i="44"/>
  <c r="AN165" i="44" s="1"/>
  <c r="AO165" i="44" s="1"/>
  <c r="AL156" i="44"/>
  <c r="AN156" i="44" s="1"/>
  <c r="AO156" i="44" s="1"/>
  <c r="AM148" i="44"/>
  <c r="AN137" i="44"/>
  <c r="AO137" i="44" s="1"/>
  <c r="J169" i="44"/>
  <c r="AC169" i="44" s="1"/>
  <c r="AD169" i="44" s="1"/>
  <c r="L166" i="44"/>
  <c r="D178" i="44"/>
  <c r="J160" i="44"/>
  <c r="AC160" i="44" s="1"/>
  <c r="AD160" i="44" s="1"/>
  <c r="D175" i="44"/>
  <c r="L163" i="44"/>
  <c r="AL160" i="44"/>
  <c r="AN160" i="44" s="1"/>
  <c r="AO160" i="44" s="1"/>
  <c r="J286" i="44"/>
  <c r="AC137" i="44"/>
  <c r="AD137" i="44" s="1"/>
  <c r="J162" i="44"/>
  <c r="AC162" i="44" s="1"/>
  <c r="AD162" i="44" s="1"/>
  <c r="AL162" i="44"/>
  <c r="AN162" i="44" s="1"/>
  <c r="AO162" i="44" s="1"/>
  <c r="AL158" i="44"/>
  <c r="AN158" i="44" s="1"/>
  <c r="AO158" i="44" s="1"/>
  <c r="J158" i="44"/>
  <c r="AC158" i="44" s="1"/>
  <c r="AD158" i="44" s="1"/>
  <c r="AL154" i="44"/>
  <c r="AN154" i="44" s="1"/>
  <c r="AO154" i="44" s="1"/>
  <c r="J154" i="44"/>
  <c r="AC154" i="44" s="1"/>
  <c r="AD154" i="44" s="1"/>
  <c r="D188" i="44"/>
  <c r="L176" i="44"/>
  <c r="AL151" i="44"/>
  <c r="AN151" i="44" s="1"/>
  <c r="AO151" i="44" s="1"/>
  <c r="D193" i="44"/>
  <c r="L181" i="44"/>
  <c r="L93" i="43"/>
  <c r="K105" i="43"/>
  <c r="AP93" i="43"/>
  <c r="L95" i="43"/>
  <c r="K107" i="43"/>
  <c r="AP95" i="43"/>
  <c r="L99" i="43"/>
  <c r="K111" i="43"/>
  <c r="AP99" i="43"/>
  <c r="D204" i="43"/>
  <c r="X192" i="43"/>
  <c r="W192" i="43"/>
  <c r="AM192" i="43" s="1"/>
  <c r="AO192" i="43" s="1"/>
  <c r="V192" i="43"/>
  <c r="K114" i="43"/>
  <c r="AP102" i="43"/>
  <c r="D198" i="43"/>
  <c r="X186" i="43"/>
  <c r="W186" i="43"/>
  <c r="AM186" i="43" s="1"/>
  <c r="AO186" i="43" s="1"/>
  <c r="V186" i="43"/>
  <c r="D200" i="43"/>
  <c r="X188" i="43"/>
  <c r="W188" i="43"/>
  <c r="AM188" i="43" s="1"/>
  <c r="AO188" i="43" s="1"/>
  <c r="V188" i="43"/>
  <c r="D202" i="43"/>
  <c r="X190" i="43"/>
  <c r="V190" i="43"/>
  <c r="W190" i="43"/>
  <c r="AM190" i="43" s="1"/>
  <c r="AO190" i="43" s="1"/>
  <c r="L97" i="43"/>
  <c r="K109" i="43"/>
  <c r="AP97" i="43"/>
  <c r="L100" i="43"/>
  <c r="K112" i="43"/>
  <c r="AP100" i="43"/>
  <c r="L89" i="43"/>
  <c r="K101" i="43"/>
  <c r="L104" i="43" s="1"/>
  <c r="L116" i="43" s="1"/>
  <c r="L128" i="43" s="1"/>
  <c r="L140" i="43" s="1"/>
  <c r="L152" i="43" s="1"/>
  <c r="L164" i="43" s="1"/>
  <c r="L176" i="43" s="1"/>
  <c r="L188" i="43" s="1"/>
  <c r="L200" i="43" s="1"/>
  <c r="L212" i="43" s="1"/>
  <c r="L224" i="43" s="1"/>
  <c r="L236" i="43" s="1"/>
  <c r="L248" i="43" s="1"/>
  <c r="L260" i="43" s="1"/>
  <c r="AP89" i="43"/>
  <c r="K116" i="43"/>
  <c r="AP104" i="43"/>
  <c r="D197" i="43"/>
  <c r="W185" i="43"/>
  <c r="AM185" i="43" s="1"/>
  <c r="X185" i="43"/>
  <c r="V185" i="43"/>
  <c r="D201" i="43"/>
  <c r="X189" i="43"/>
  <c r="V189" i="43"/>
  <c r="W189" i="43"/>
  <c r="AM189" i="43" s="1"/>
  <c r="AO189" i="43" s="1"/>
  <c r="K106" i="43"/>
  <c r="L94" i="43"/>
  <c r="AP94" i="43"/>
  <c r="D205" i="43"/>
  <c r="X193" i="43"/>
  <c r="V193" i="43"/>
  <c r="W193" i="43"/>
  <c r="AM193" i="43" s="1"/>
  <c r="AO193" i="43" s="1"/>
  <c r="D206" i="43"/>
  <c r="X194" i="43"/>
  <c r="V194" i="43"/>
  <c r="W194" i="43"/>
  <c r="AM194" i="43" s="1"/>
  <c r="AO194" i="43" s="1"/>
  <c r="D207" i="43"/>
  <c r="X195" i="43"/>
  <c r="W195" i="43"/>
  <c r="AM195" i="43" s="1"/>
  <c r="AO195" i="43" s="1"/>
  <c r="V195" i="43"/>
  <c r="L91" i="43"/>
  <c r="K103" i="43"/>
  <c r="AP91" i="43"/>
  <c r="K108" i="43"/>
  <c r="L96" i="43"/>
  <c r="AP96" i="43"/>
  <c r="D203" i="43"/>
  <c r="X191" i="43"/>
  <c r="W191" i="43"/>
  <c r="AM191" i="43" s="1"/>
  <c r="AO191" i="43" s="1"/>
  <c r="V191" i="43"/>
  <c r="D199" i="43"/>
  <c r="X187" i="43"/>
  <c r="W187" i="43"/>
  <c r="AM187" i="43" s="1"/>
  <c r="AO187" i="43" s="1"/>
  <c r="V187" i="43"/>
  <c r="D208" i="43"/>
  <c r="X196" i="43"/>
  <c r="W196" i="43"/>
  <c r="AM196" i="43" s="1"/>
  <c r="AO196" i="43" s="1"/>
  <c r="V196" i="43"/>
  <c r="L90" i="43"/>
  <c r="K110" i="43"/>
  <c r="L98" i="43"/>
  <c r="AP98" i="43"/>
  <c r="AN184" i="43"/>
  <c r="AO173" i="43"/>
  <c r="D176" i="42"/>
  <c r="D178" i="42"/>
  <c r="K86" i="42"/>
  <c r="D179" i="42"/>
  <c r="K84" i="42"/>
  <c r="D177" i="42"/>
  <c r="L59" i="42"/>
  <c r="D173" i="42"/>
  <c r="D180" i="42"/>
  <c r="L64" i="42"/>
  <c r="K87" i="42"/>
  <c r="D183" i="42"/>
  <c r="K82" i="42"/>
  <c r="K78" i="42"/>
  <c r="K80" i="42"/>
  <c r="D181" i="42"/>
  <c r="D174" i="42"/>
  <c r="L61" i="42"/>
  <c r="L55" i="42"/>
  <c r="K81" i="42"/>
  <c r="L58" i="42"/>
  <c r="D184" i="42"/>
  <c r="D175" i="42"/>
  <c r="D182" i="42"/>
  <c r="K85" i="42"/>
  <c r="K79" i="42"/>
  <c r="L53" i="42"/>
  <c r="K65" i="42"/>
  <c r="L70" i="42" s="1"/>
  <c r="K83" i="42"/>
  <c r="L71" i="42"/>
  <c r="L57" i="42"/>
  <c r="K88" i="42"/>
  <c r="J177" i="44" l="1"/>
  <c r="AC177" i="44" s="1"/>
  <c r="AD177" i="44" s="1"/>
  <c r="J176" i="44"/>
  <c r="AC176" i="44" s="1"/>
  <c r="AD176" i="44" s="1"/>
  <c r="AL183" i="44"/>
  <c r="AN183" i="44" s="1"/>
  <c r="AO183" i="44" s="1"/>
  <c r="AM160" i="44"/>
  <c r="AN149" i="44"/>
  <c r="AO149" i="44" s="1"/>
  <c r="L193" i="44"/>
  <c r="D205" i="44"/>
  <c r="AL166" i="44"/>
  <c r="AN166" i="44" s="1"/>
  <c r="AO166" i="44" s="1"/>
  <c r="L191" i="44"/>
  <c r="D203" i="44"/>
  <c r="J172" i="44"/>
  <c r="AC172" i="44" s="1"/>
  <c r="AD172" i="44" s="1"/>
  <c r="L195" i="44"/>
  <c r="D207" i="44"/>
  <c r="J170" i="44"/>
  <c r="AC170" i="44" s="1"/>
  <c r="AD170" i="44" s="1"/>
  <c r="AL176" i="44"/>
  <c r="AN176" i="44" s="1"/>
  <c r="AO176" i="44" s="1"/>
  <c r="D200" i="44"/>
  <c r="L188" i="44"/>
  <c r="J163" i="44"/>
  <c r="AC163" i="44" s="1"/>
  <c r="AD163" i="44" s="1"/>
  <c r="AL179" i="44"/>
  <c r="AN179" i="44" s="1"/>
  <c r="AO179" i="44" s="1"/>
  <c r="J179" i="44"/>
  <c r="AC179" i="44" s="1"/>
  <c r="AD179" i="44" s="1"/>
  <c r="D196" i="44"/>
  <c r="L184" i="44"/>
  <c r="J287" i="44"/>
  <c r="AC149" i="44"/>
  <c r="AD149" i="44" s="1"/>
  <c r="D194" i="44"/>
  <c r="L182" i="44"/>
  <c r="J181" i="44"/>
  <c r="AC181" i="44" s="1"/>
  <c r="AD181" i="44" s="1"/>
  <c r="L173" i="44"/>
  <c r="D185" i="44"/>
  <c r="AL168" i="44"/>
  <c r="AN168" i="44" s="1"/>
  <c r="AO168" i="44" s="1"/>
  <c r="AL174" i="44"/>
  <c r="AN174" i="44" s="1"/>
  <c r="AO174" i="44" s="1"/>
  <c r="J166" i="44"/>
  <c r="AC166" i="44" s="1"/>
  <c r="AD166" i="44" s="1"/>
  <c r="AL161" i="44"/>
  <c r="AL172" i="44"/>
  <c r="AN172" i="44" s="1"/>
  <c r="AO172" i="44" s="1"/>
  <c r="J183" i="44"/>
  <c r="AC183" i="44" s="1"/>
  <c r="AD183" i="44" s="1"/>
  <c r="D192" i="44"/>
  <c r="L180" i="44"/>
  <c r="L189" i="44"/>
  <c r="D201" i="44"/>
  <c r="L186" i="44"/>
  <c r="D198" i="44"/>
  <c r="AL170" i="44"/>
  <c r="AN170" i="44" s="1"/>
  <c r="AO170" i="44" s="1"/>
  <c r="AL181" i="44"/>
  <c r="AN181" i="44" s="1"/>
  <c r="AO181" i="44" s="1"/>
  <c r="AL163" i="44"/>
  <c r="AN163" i="44" s="1"/>
  <c r="AO163" i="44" s="1"/>
  <c r="D187" i="44"/>
  <c r="L175" i="44"/>
  <c r="D190" i="44"/>
  <c r="L178" i="44"/>
  <c r="J161" i="44"/>
  <c r="J168" i="44"/>
  <c r="AC168" i="44" s="1"/>
  <c r="AD168" i="44" s="1"/>
  <c r="AL177" i="44"/>
  <c r="AN177" i="44" s="1"/>
  <c r="AO177" i="44" s="1"/>
  <c r="V207" i="43"/>
  <c r="D219" i="43"/>
  <c r="X207" i="43"/>
  <c r="W207" i="43"/>
  <c r="AM207" i="43" s="1"/>
  <c r="AO207" i="43" s="1"/>
  <c r="V205" i="43"/>
  <c r="D217" i="43"/>
  <c r="X205" i="43"/>
  <c r="W205" i="43"/>
  <c r="AM205" i="43" s="1"/>
  <c r="AO205" i="43" s="1"/>
  <c r="D220" i="43"/>
  <c r="V208" i="43"/>
  <c r="W208" i="43"/>
  <c r="AM208" i="43" s="1"/>
  <c r="AO208" i="43" s="1"/>
  <c r="X208" i="43"/>
  <c r="V203" i="43"/>
  <c r="D215" i="43"/>
  <c r="W203" i="43"/>
  <c r="AM203" i="43" s="1"/>
  <c r="AO203" i="43" s="1"/>
  <c r="X203" i="43"/>
  <c r="D218" i="43"/>
  <c r="V206" i="43"/>
  <c r="W206" i="43"/>
  <c r="AM206" i="43" s="1"/>
  <c r="AO206" i="43" s="1"/>
  <c r="X206" i="43"/>
  <c r="K118" i="43"/>
  <c r="L106" i="43"/>
  <c r="L118" i="43" s="1"/>
  <c r="L130" i="43" s="1"/>
  <c r="L142" i="43" s="1"/>
  <c r="L154" i="43" s="1"/>
  <c r="L166" i="43" s="1"/>
  <c r="L178" i="43" s="1"/>
  <c r="L190" i="43" s="1"/>
  <c r="L202" i="43" s="1"/>
  <c r="L214" i="43" s="1"/>
  <c r="L226" i="43" s="1"/>
  <c r="L238" i="43" s="1"/>
  <c r="L250" i="43" s="1"/>
  <c r="L262" i="43" s="1"/>
  <c r="AP106" i="43"/>
  <c r="AO185" i="43"/>
  <c r="AN196" i="43"/>
  <c r="K126" i="43"/>
  <c r="D213" i="43"/>
  <c r="V201" i="43"/>
  <c r="X201" i="43"/>
  <c r="W201" i="43"/>
  <c r="AM201" i="43" s="1"/>
  <c r="AO201" i="43" s="1"/>
  <c r="D209" i="43"/>
  <c r="W197" i="43"/>
  <c r="AM197" i="43" s="1"/>
  <c r="X197" i="43"/>
  <c r="V197" i="43"/>
  <c r="K123" i="43"/>
  <c r="L111" i="43"/>
  <c r="L123" i="43" s="1"/>
  <c r="L135" i="43" s="1"/>
  <c r="L147" i="43" s="1"/>
  <c r="L159" i="43" s="1"/>
  <c r="L171" i="43" s="1"/>
  <c r="L183" i="43" s="1"/>
  <c r="L195" i="43" s="1"/>
  <c r="L207" i="43" s="1"/>
  <c r="L219" i="43" s="1"/>
  <c r="L231" i="43" s="1"/>
  <c r="L243" i="43" s="1"/>
  <c r="L255" i="43" s="1"/>
  <c r="L267" i="43" s="1"/>
  <c r="AP111" i="43"/>
  <c r="K117" i="43"/>
  <c r="L105" i="43"/>
  <c r="L117" i="43" s="1"/>
  <c r="L129" i="43" s="1"/>
  <c r="L141" i="43" s="1"/>
  <c r="L153" i="43" s="1"/>
  <c r="L165" i="43" s="1"/>
  <c r="L177" i="43" s="1"/>
  <c r="L189" i="43" s="1"/>
  <c r="L201" i="43" s="1"/>
  <c r="L213" i="43" s="1"/>
  <c r="L225" i="43" s="1"/>
  <c r="L237" i="43" s="1"/>
  <c r="L249" i="43" s="1"/>
  <c r="L261" i="43" s="1"/>
  <c r="AP105" i="43"/>
  <c r="K122" i="43"/>
  <c r="L110" i="43"/>
  <c r="L122" i="43" s="1"/>
  <c r="L134" i="43" s="1"/>
  <c r="L146" i="43" s="1"/>
  <c r="L158" i="43" s="1"/>
  <c r="L170" i="43" s="1"/>
  <c r="L182" i="43" s="1"/>
  <c r="L194" i="43" s="1"/>
  <c r="L206" i="43" s="1"/>
  <c r="L218" i="43" s="1"/>
  <c r="L230" i="43" s="1"/>
  <c r="L242" i="43" s="1"/>
  <c r="L254" i="43" s="1"/>
  <c r="L266" i="43" s="1"/>
  <c r="AP110" i="43"/>
  <c r="D211" i="43"/>
  <c r="V199" i="43"/>
  <c r="W199" i="43"/>
  <c r="AM199" i="43" s="1"/>
  <c r="AO199" i="43" s="1"/>
  <c r="X199" i="43"/>
  <c r="K128" i="43"/>
  <c r="K113" i="43"/>
  <c r="L101" i="43"/>
  <c r="L113" i="43" s="1"/>
  <c r="L125" i="43" s="1"/>
  <c r="L137" i="43" s="1"/>
  <c r="L149" i="43" s="1"/>
  <c r="L161" i="43" s="1"/>
  <c r="L173" i="43" s="1"/>
  <c r="L185" i="43" s="1"/>
  <c r="L197" i="43" s="1"/>
  <c r="L209" i="43" s="1"/>
  <c r="L221" i="43" s="1"/>
  <c r="L233" i="43" s="1"/>
  <c r="L245" i="43" s="1"/>
  <c r="L257" i="43" s="1"/>
  <c r="AP101" i="43"/>
  <c r="D210" i="43"/>
  <c r="W198" i="43"/>
  <c r="AM198" i="43" s="1"/>
  <c r="AO198" i="43" s="1"/>
  <c r="V198" i="43"/>
  <c r="X198" i="43"/>
  <c r="K120" i="43"/>
  <c r="L108" i="43"/>
  <c r="L120" i="43" s="1"/>
  <c r="L132" i="43" s="1"/>
  <c r="L144" i="43" s="1"/>
  <c r="L156" i="43" s="1"/>
  <c r="L168" i="43" s="1"/>
  <c r="L180" i="43" s="1"/>
  <c r="L192" i="43" s="1"/>
  <c r="L204" i="43" s="1"/>
  <c r="L216" i="43" s="1"/>
  <c r="L228" i="43" s="1"/>
  <c r="L240" i="43" s="1"/>
  <c r="L252" i="43" s="1"/>
  <c r="L264" i="43" s="1"/>
  <c r="AP108" i="43"/>
  <c r="K115" i="43"/>
  <c r="L103" i="43"/>
  <c r="L115" i="43" s="1"/>
  <c r="L127" i="43" s="1"/>
  <c r="L139" i="43" s="1"/>
  <c r="L151" i="43" s="1"/>
  <c r="L163" i="43" s="1"/>
  <c r="L175" i="43" s="1"/>
  <c r="L187" i="43" s="1"/>
  <c r="L199" i="43" s="1"/>
  <c r="L211" i="43" s="1"/>
  <c r="L223" i="43" s="1"/>
  <c r="L235" i="43" s="1"/>
  <c r="L247" i="43" s="1"/>
  <c r="L259" i="43" s="1"/>
  <c r="AP103" i="43"/>
  <c r="K124" i="43"/>
  <c r="L112" i="43"/>
  <c r="L124" i="43" s="1"/>
  <c r="L136" i="43" s="1"/>
  <c r="L148" i="43" s="1"/>
  <c r="L160" i="43" s="1"/>
  <c r="L172" i="43" s="1"/>
  <c r="L184" i="43" s="1"/>
  <c r="L196" i="43" s="1"/>
  <c r="L208" i="43" s="1"/>
  <c r="L220" i="43" s="1"/>
  <c r="L232" i="43" s="1"/>
  <c r="L244" i="43" s="1"/>
  <c r="L256" i="43" s="1"/>
  <c r="L268" i="43" s="1"/>
  <c r="AP112" i="43"/>
  <c r="K121" i="43"/>
  <c r="L109" i="43"/>
  <c r="L121" i="43" s="1"/>
  <c r="L133" i="43" s="1"/>
  <c r="L145" i="43" s="1"/>
  <c r="L157" i="43" s="1"/>
  <c r="L169" i="43" s="1"/>
  <c r="L181" i="43" s="1"/>
  <c r="L193" i="43" s="1"/>
  <c r="L205" i="43" s="1"/>
  <c r="L217" i="43" s="1"/>
  <c r="L229" i="43" s="1"/>
  <c r="L241" i="43" s="1"/>
  <c r="L253" i="43" s="1"/>
  <c r="L265" i="43" s="1"/>
  <c r="AP109" i="43"/>
  <c r="D214" i="43"/>
  <c r="W202" i="43"/>
  <c r="AM202" i="43" s="1"/>
  <c r="AO202" i="43" s="1"/>
  <c r="V202" i="43"/>
  <c r="X202" i="43"/>
  <c r="D212" i="43"/>
  <c r="X200" i="43"/>
  <c r="W200" i="43"/>
  <c r="AM200" i="43" s="1"/>
  <c r="AO200" i="43" s="1"/>
  <c r="V200" i="43"/>
  <c r="L102" i="43"/>
  <c r="L114" i="43" s="1"/>
  <c r="L126" i="43" s="1"/>
  <c r="L138" i="43" s="1"/>
  <c r="L150" i="43" s="1"/>
  <c r="L162" i="43" s="1"/>
  <c r="L174" i="43" s="1"/>
  <c r="L186" i="43" s="1"/>
  <c r="L198" i="43" s="1"/>
  <c r="L210" i="43" s="1"/>
  <c r="L222" i="43" s="1"/>
  <c r="L234" i="43" s="1"/>
  <c r="L246" i="43" s="1"/>
  <c r="L258" i="43" s="1"/>
  <c r="D216" i="43"/>
  <c r="W204" i="43"/>
  <c r="AM204" i="43" s="1"/>
  <c r="AO204" i="43" s="1"/>
  <c r="V204" i="43"/>
  <c r="X204" i="43"/>
  <c r="K119" i="43"/>
  <c r="L107" i="43"/>
  <c r="L119" i="43" s="1"/>
  <c r="L131" i="43" s="1"/>
  <c r="L143" i="43" s="1"/>
  <c r="L155" i="43" s="1"/>
  <c r="L167" i="43" s="1"/>
  <c r="L179" i="43" s="1"/>
  <c r="L191" i="43" s="1"/>
  <c r="L203" i="43" s="1"/>
  <c r="L215" i="43" s="1"/>
  <c r="L227" i="43" s="1"/>
  <c r="L239" i="43" s="1"/>
  <c r="L251" i="43" s="1"/>
  <c r="L263" i="43" s="1"/>
  <c r="AP107" i="43"/>
  <c r="K97" i="42"/>
  <c r="L76" i="42"/>
  <c r="K91" i="42"/>
  <c r="L73" i="42"/>
  <c r="L69" i="42"/>
  <c r="L66" i="42"/>
  <c r="D192" i="42"/>
  <c r="L72" i="42"/>
  <c r="K98" i="42"/>
  <c r="K93" i="42"/>
  <c r="L84" i="42"/>
  <c r="K96" i="42"/>
  <c r="D190" i="42"/>
  <c r="K95" i="42"/>
  <c r="D194" i="42"/>
  <c r="D187" i="42"/>
  <c r="D193" i="42"/>
  <c r="K92" i="42"/>
  <c r="D195" i="42"/>
  <c r="K99" i="42"/>
  <c r="D185" i="42"/>
  <c r="D188" i="42"/>
  <c r="K100" i="42"/>
  <c r="K77" i="42"/>
  <c r="L85" i="42" s="1"/>
  <c r="L65" i="42"/>
  <c r="L68" i="42"/>
  <c r="L78" i="42"/>
  <c r="K90" i="42"/>
  <c r="L75" i="42"/>
  <c r="D189" i="42"/>
  <c r="L67" i="42"/>
  <c r="D196" i="42"/>
  <c r="D186" i="42"/>
  <c r="L82" i="42"/>
  <c r="K94" i="42"/>
  <c r="D191" i="42"/>
  <c r="L74" i="42"/>
  <c r="L86" i="42" l="1"/>
  <c r="J184" i="44"/>
  <c r="AC184" i="44" s="1"/>
  <c r="AD184" i="44" s="1"/>
  <c r="J193" i="44"/>
  <c r="AC193" i="44" s="1"/>
  <c r="AD193" i="44" s="1"/>
  <c r="J175" i="44"/>
  <c r="AC175" i="44" s="1"/>
  <c r="AD175" i="44" s="1"/>
  <c r="J173" i="44"/>
  <c r="AC173" i="44" s="1"/>
  <c r="AD173" i="44" s="1"/>
  <c r="AL175" i="44"/>
  <c r="AN175" i="44" s="1"/>
  <c r="AO175" i="44" s="1"/>
  <c r="AL184" i="44"/>
  <c r="AN184" i="44" s="1"/>
  <c r="AO184" i="44" s="1"/>
  <c r="D213" i="44"/>
  <c r="L201" i="44"/>
  <c r="J189" i="44"/>
  <c r="AC189" i="44" s="1"/>
  <c r="AD189" i="44" s="1"/>
  <c r="AL180" i="44"/>
  <c r="AN180" i="44" s="1"/>
  <c r="AO180" i="44" s="1"/>
  <c r="D204" i="44"/>
  <c r="L192" i="44"/>
  <c r="J182" i="44"/>
  <c r="AC182" i="44" s="1"/>
  <c r="AD182" i="44" s="1"/>
  <c r="AL188" i="44"/>
  <c r="AN188" i="44" s="1"/>
  <c r="AO188" i="44" s="1"/>
  <c r="D219" i="44"/>
  <c r="L207" i="44"/>
  <c r="D215" i="44"/>
  <c r="L203" i="44"/>
  <c r="J288" i="44"/>
  <c r="AC161" i="44"/>
  <c r="AD161" i="44" s="1"/>
  <c r="J178" i="44"/>
  <c r="AC178" i="44" s="1"/>
  <c r="AD178" i="44" s="1"/>
  <c r="AL178" i="44"/>
  <c r="AN178" i="44" s="1"/>
  <c r="AO178" i="44" s="1"/>
  <c r="D210" i="44"/>
  <c r="L198" i="44"/>
  <c r="AM172" i="44"/>
  <c r="AN161" i="44"/>
  <c r="AO161" i="44" s="1"/>
  <c r="AL182" i="44"/>
  <c r="AN182" i="44" s="1"/>
  <c r="AO182" i="44" s="1"/>
  <c r="D208" i="44"/>
  <c r="L196" i="44"/>
  <c r="L200" i="44"/>
  <c r="D212" i="44"/>
  <c r="J195" i="44"/>
  <c r="AC195" i="44" s="1"/>
  <c r="AD195" i="44" s="1"/>
  <c r="J191" i="44"/>
  <c r="AC191" i="44" s="1"/>
  <c r="AD191" i="44" s="1"/>
  <c r="AL193" i="44"/>
  <c r="AN193" i="44" s="1"/>
  <c r="AO193" i="44" s="1"/>
  <c r="AL186" i="44"/>
  <c r="AN186" i="44" s="1"/>
  <c r="AO186" i="44" s="1"/>
  <c r="AL173" i="44"/>
  <c r="D217" i="44"/>
  <c r="L205" i="44"/>
  <c r="L185" i="44"/>
  <c r="D197" i="44"/>
  <c r="L190" i="44"/>
  <c r="D202" i="44"/>
  <c r="L187" i="44"/>
  <c r="D199" i="44"/>
  <c r="J186" i="44"/>
  <c r="AC186" i="44" s="1"/>
  <c r="AD186" i="44" s="1"/>
  <c r="AL189" i="44"/>
  <c r="AN189" i="44" s="1"/>
  <c r="AO189" i="44" s="1"/>
  <c r="J180" i="44"/>
  <c r="AC180" i="44" s="1"/>
  <c r="AD180" i="44" s="1"/>
  <c r="L194" i="44"/>
  <c r="D206" i="44"/>
  <c r="J188" i="44"/>
  <c r="AC188" i="44" s="1"/>
  <c r="AD188" i="44" s="1"/>
  <c r="AL195" i="44"/>
  <c r="AN195" i="44" s="1"/>
  <c r="AO195" i="44" s="1"/>
  <c r="AL191" i="44"/>
  <c r="AN191" i="44" s="1"/>
  <c r="AO191" i="44" s="1"/>
  <c r="D228" i="43"/>
  <c r="W216" i="43"/>
  <c r="AM216" i="43" s="1"/>
  <c r="AO216" i="43" s="1"/>
  <c r="X216" i="43"/>
  <c r="V216" i="43"/>
  <c r="D226" i="43"/>
  <c r="W214" i="43"/>
  <c r="AM214" i="43" s="1"/>
  <c r="AO214" i="43" s="1"/>
  <c r="X214" i="43"/>
  <c r="V214" i="43"/>
  <c r="K133" i="43"/>
  <c r="K136" i="43"/>
  <c r="K132" i="43"/>
  <c r="D223" i="43"/>
  <c r="W211" i="43"/>
  <c r="AM211" i="43" s="1"/>
  <c r="AO211" i="43" s="1"/>
  <c r="X211" i="43"/>
  <c r="V211" i="43"/>
  <c r="D225" i="43"/>
  <c r="W213" i="43"/>
  <c r="AM213" i="43" s="1"/>
  <c r="AO213" i="43" s="1"/>
  <c r="X213" i="43"/>
  <c r="V213" i="43"/>
  <c r="K127" i="43"/>
  <c r="K140" i="43"/>
  <c r="AP128" i="43"/>
  <c r="AN208" i="43"/>
  <c r="AO197" i="43"/>
  <c r="W209" i="43"/>
  <c r="AM209" i="43" s="1"/>
  <c r="D221" i="43"/>
  <c r="X209" i="43"/>
  <c r="V209" i="43"/>
  <c r="D231" i="43"/>
  <c r="W219" i="43"/>
  <c r="AM219" i="43" s="1"/>
  <c r="AO219" i="43" s="1"/>
  <c r="X219" i="43"/>
  <c r="V219" i="43"/>
  <c r="K125" i="43"/>
  <c r="K131" i="43"/>
  <c r="K134" i="43"/>
  <c r="K135" i="43"/>
  <c r="D230" i="43"/>
  <c r="W218" i="43"/>
  <c r="AM218" i="43" s="1"/>
  <c r="AO218" i="43" s="1"/>
  <c r="X218" i="43"/>
  <c r="V218" i="43"/>
  <c r="D224" i="43"/>
  <c r="W212" i="43"/>
  <c r="AM212" i="43" s="1"/>
  <c r="AO212" i="43" s="1"/>
  <c r="X212" i="43"/>
  <c r="V212" i="43"/>
  <c r="W210" i="43"/>
  <c r="AM210" i="43" s="1"/>
  <c r="AO210" i="43" s="1"/>
  <c r="D222" i="43"/>
  <c r="X210" i="43"/>
  <c r="V210" i="43"/>
  <c r="K129" i="43"/>
  <c r="K138" i="43"/>
  <c r="AP126" i="43"/>
  <c r="K130" i="43"/>
  <c r="D227" i="43"/>
  <c r="W215" i="43"/>
  <c r="AM215" i="43" s="1"/>
  <c r="AO215" i="43" s="1"/>
  <c r="X215" i="43"/>
  <c r="V215" i="43"/>
  <c r="D232" i="43"/>
  <c r="W220" i="43"/>
  <c r="AM220" i="43" s="1"/>
  <c r="AO220" i="43" s="1"/>
  <c r="X220" i="43"/>
  <c r="V220" i="43"/>
  <c r="D229" i="43"/>
  <c r="W217" i="43"/>
  <c r="AM217" i="43" s="1"/>
  <c r="AO217" i="43" s="1"/>
  <c r="X217" i="43"/>
  <c r="V217" i="43"/>
  <c r="K102" i="42"/>
  <c r="K105" i="42"/>
  <c r="D208" i="42"/>
  <c r="K106" i="42"/>
  <c r="D200" i="42"/>
  <c r="L80" i="42"/>
  <c r="K108" i="42"/>
  <c r="K110" i="42"/>
  <c r="D204" i="42"/>
  <c r="D203" i="42"/>
  <c r="D197" i="42"/>
  <c r="K111" i="42"/>
  <c r="D198" i="42"/>
  <c r="K112" i="42"/>
  <c r="L87" i="42"/>
  <c r="D207" i="42"/>
  <c r="D206" i="42"/>
  <c r="K107" i="42"/>
  <c r="L81" i="42"/>
  <c r="L79" i="42"/>
  <c r="D202" i="42"/>
  <c r="K103" i="42"/>
  <c r="K109" i="42"/>
  <c r="L97" i="42"/>
  <c r="D201" i="42"/>
  <c r="L77" i="42"/>
  <c r="K89" i="42"/>
  <c r="L90" i="42" s="1"/>
  <c r="L88" i="42"/>
  <c r="K104" i="42"/>
  <c r="D205" i="42"/>
  <c r="D199" i="42"/>
  <c r="L83" i="42"/>
  <c r="J198" i="44" l="1"/>
  <c r="AC198" i="44" s="1"/>
  <c r="AD198" i="44" s="1"/>
  <c r="J190" i="44"/>
  <c r="AC190" i="44" s="1"/>
  <c r="AD190" i="44" s="1"/>
  <c r="J200" i="44"/>
  <c r="AC200" i="44" s="1"/>
  <c r="AD200" i="44" s="1"/>
  <c r="J205" i="44"/>
  <c r="AC205" i="44" s="1"/>
  <c r="AD205" i="44" s="1"/>
  <c r="AL200" i="44"/>
  <c r="AN200" i="44" s="1"/>
  <c r="AO200" i="44" s="1"/>
  <c r="D231" i="44"/>
  <c r="L219" i="44"/>
  <c r="D218" i="44"/>
  <c r="L206" i="44"/>
  <c r="L199" i="44"/>
  <c r="D211" i="44"/>
  <c r="AL190" i="44"/>
  <c r="AN190" i="44" s="1"/>
  <c r="AO190" i="44" s="1"/>
  <c r="J185" i="44"/>
  <c r="D229" i="44"/>
  <c r="L217" i="44"/>
  <c r="AN173" i="44"/>
  <c r="AO173" i="44" s="1"/>
  <c r="AM184" i="44"/>
  <c r="D220" i="44"/>
  <c r="L208" i="44"/>
  <c r="J208" i="44"/>
  <c r="AC208" i="44" s="1"/>
  <c r="AD208" i="44" s="1"/>
  <c r="AL198" i="44"/>
  <c r="AN198" i="44" s="1"/>
  <c r="AO198" i="44" s="1"/>
  <c r="AL203" i="44"/>
  <c r="AN203" i="44" s="1"/>
  <c r="AO203" i="44" s="1"/>
  <c r="D227" i="44"/>
  <c r="L215" i="44"/>
  <c r="J192" i="44"/>
  <c r="AC192" i="44" s="1"/>
  <c r="AD192" i="44" s="1"/>
  <c r="J289" i="44"/>
  <c r="AL194" i="44"/>
  <c r="AN194" i="44" s="1"/>
  <c r="AO194" i="44" s="1"/>
  <c r="AL187" i="44"/>
  <c r="AN187" i="44" s="1"/>
  <c r="AO187" i="44" s="1"/>
  <c r="D214" i="44"/>
  <c r="L202" i="44"/>
  <c r="J203" i="44"/>
  <c r="AC203" i="44" s="1"/>
  <c r="AD203" i="44" s="1"/>
  <c r="AL192" i="44"/>
  <c r="AN192" i="44" s="1"/>
  <c r="AO192" i="44" s="1"/>
  <c r="D225" i="44"/>
  <c r="L213" i="44"/>
  <c r="AL185" i="44"/>
  <c r="AL205" i="44"/>
  <c r="AN205" i="44" s="1"/>
  <c r="AO205" i="44" s="1"/>
  <c r="AL196" i="44"/>
  <c r="AN196" i="44" s="1"/>
  <c r="AO196" i="44" s="1"/>
  <c r="AL207" i="44"/>
  <c r="AN207" i="44" s="1"/>
  <c r="AO207" i="44" s="1"/>
  <c r="D216" i="44"/>
  <c r="L204" i="44"/>
  <c r="J194" i="44"/>
  <c r="AC194" i="44" s="1"/>
  <c r="AD194" i="44" s="1"/>
  <c r="J187" i="44"/>
  <c r="AC187" i="44" s="1"/>
  <c r="AD187" i="44" s="1"/>
  <c r="L197" i="44"/>
  <c r="D209" i="44"/>
  <c r="D224" i="44"/>
  <c r="L212" i="44"/>
  <c r="J196" i="44"/>
  <c r="AC196" i="44" s="1"/>
  <c r="AD196" i="44" s="1"/>
  <c r="D222" i="44"/>
  <c r="L210" i="44"/>
  <c r="J207" i="44"/>
  <c r="AC207" i="44" s="1"/>
  <c r="AD207" i="44" s="1"/>
  <c r="J201" i="44"/>
  <c r="AC201" i="44" s="1"/>
  <c r="AD201" i="44" s="1"/>
  <c r="AL201" i="44"/>
  <c r="AN201" i="44" s="1"/>
  <c r="AO201" i="44" s="1"/>
  <c r="K143" i="43"/>
  <c r="AP131" i="43"/>
  <c r="D243" i="43"/>
  <c r="V231" i="43"/>
  <c r="W231" i="43"/>
  <c r="AM231" i="43" s="1"/>
  <c r="AO231" i="43" s="1"/>
  <c r="X231" i="43"/>
  <c r="K152" i="43"/>
  <c r="AP140" i="43"/>
  <c r="W223" i="43"/>
  <c r="AM223" i="43" s="1"/>
  <c r="AO223" i="43" s="1"/>
  <c r="D235" i="43"/>
  <c r="V223" i="43"/>
  <c r="X223" i="43"/>
  <c r="K144" i="43"/>
  <c r="AP132" i="43"/>
  <c r="K148" i="43"/>
  <c r="AP136" i="43"/>
  <c r="D238" i="43"/>
  <c r="W226" i="43"/>
  <c r="AM226" i="43" s="1"/>
  <c r="AO226" i="43" s="1"/>
  <c r="X226" i="43"/>
  <c r="V226" i="43"/>
  <c r="D240" i="43"/>
  <c r="V228" i="43"/>
  <c r="W228" i="43"/>
  <c r="AM228" i="43" s="1"/>
  <c r="AO228" i="43" s="1"/>
  <c r="X228" i="43"/>
  <c r="K142" i="43"/>
  <c r="AP130" i="43"/>
  <c r="K141" i="43"/>
  <c r="AP129" i="43"/>
  <c r="D234" i="43"/>
  <c r="W222" i="43"/>
  <c r="AM222" i="43" s="1"/>
  <c r="AO222" i="43" s="1"/>
  <c r="X222" i="43"/>
  <c r="V222" i="43"/>
  <c r="D233" i="43"/>
  <c r="W221" i="43"/>
  <c r="AM221" i="43" s="1"/>
  <c r="X221" i="43"/>
  <c r="V221" i="43"/>
  <c r="K145" i="43"/>
  <c r="AP133" i="43"/>
  <c r="K139" i="43"/>
  <c r="AP127" i="43"/>
  <c r="D241" i="43"/>
  <c r="W229" i="43"/>
  <c r="AM229" i="43" s="1"/>
  <c r="AO229" i="43" s="1"/>
  <c r="V229" i="43"/>
  <c r="X229" i="43"/>
  <c r="D237" i="43"/>
  <c r="X225" i="43"/>
  <c r="V225" i="43"/>
  <c r="W225" i="43"/>
  <c r="AM225" i="43" s="1"/>
  <c r="AO225" i="43" s="1"/>
  <c r="D239" i="43"/>
  <c r="V227" i="43"/>
  <c r="W227" i="43"/>
  <c r="AM227" i="43" s="1"/>
  <c r="AO227" i="43" s="1"/>
  <c r="X227" i="43"/>
  <c r="K147" i="43"/>
  <c r="AP135" i="43"/>
  <c r="K137" i="43"/>
  <c r="AP125" i="43"/>
  <c r="D244" i="43"/>
  <c r="V232" i="43"/>
  <c r="W232" i="43"/>
  <c r="AM232" i="43" s="1"/>
  <c r="AO232" i="43" s="1"/>
  <c r="X232" i="43"/>
  <c r="K150" i="43"/>
  <c r="AP138" i="43"/>
  <c r="D236" i="43"/>
  <c r="V224" i="43"/>
  <c r="X224" i="43"/>
  <c r="W224" i="43"/>
  <c r="AM224" i="43" s="1"/>
  <c r="AO224" i="43" s="1"/>
  <c r="D242" i="43"/>
  <c r="W230" i="43"/>
  <c r="AM230" i="43" s="1"/>
  <c r="AO230" i="43" s="1"/>
  <c r="X230" i="43"/>
  <c r="V230" i="43"/>
  <c r="K146" i="43"/>
  <c r="AP134" i="43"/>
  <c r="AN220" i="43"/>
  <c r="AO209" i="43"/>
  <c r="K116" i="42"/>
  <c r="L100" i="42"/>
  <c r="D209" i="42"/>
  <c r="D215" i="42"/>
  <c r="D216" i="42"/>
  <c r="L96" i="42"/>
  <c r="K124" i="42"/>
  <c r="K120" i="42"/>
  <c r="K114" i="42"/>
  <c r="L89" i="42"/>
  <c r="K101" i="42"/>
  <c r="L112" i="42" s="1"/>
  <c r="L124" i="42" s="1"/>
  <c r="L136" i="42" s="1"/>
  <c r="L148" i="42" s="1"/>
  <c r="L160" i="42" s="1"/>
  <c r="L172" i="42" s="1"/>
  <c r="L184" i="42" s="1"/>
  <c r="L196" i="42" s="1"/>
  <c r="L208" i="42" s="1"/>
  <c r="L220" i="42" s="1"/>
  <c r="L232" i="42" s="1"/>
  <c r="L244" i="42" s="1"/>
  <c r="L256" i="42" s="1"/>
  <c r="L268" i="42" s="1"/>
  <c r="K121" i="42"/>
  <c r="L91" i="42"/>
  <c r="L95" i="42"/>
  <c r="D218" i="42"/>
  <c r="D219" i="42"/>
  <c r="D210" i="42"/>
  <c r="L99" i="42"/>
  <c r="L98" i="42"/>
  <c r="D212" i="42"/>
  <c r="L94" i="42"/>
  <c r="D220" i="42"/>
  <c r="L93" i="42"/>
  <c r="D217" i="42"/>
  <c r="D213" i="42"/>
  <c r="D211" i="42"/>
  <c r="L92" i="42"/>
  <c r="K115" i="42"/>
  <c r="D214" i="42"/>
  <c r="K119" i="42"/>
  <c r="L111" i="42"/>
  <c r="L123" i="42" s="1"/>
  <c r="L135" i="42" s="1"/>
  <c r="L147" i="42" s="1"/>
  <c r="L159" i="42" s="1"/>
  <c r="L171" i="42" s="1"/>
  <c r="L183" i="42" s="1"/>
  <c r="L195" i="42" s="1"/>
  <c r="L207" i="42" s="1"/>
  <c r="L219" i="42" s="1"/>
  <c r="L231" i="42" s="1"/>
  <c r="L243" i="42" s="1"/>
  <c r="L255" i="42" s="1"/>
  <c r="L267" i="42" s="1"/>
  <c r="K123" i="42"/>
  <c r="K122" i="42"/>
  <c r="K118" i="42"/>
  <c r="L106" i="42"/>
  <c r="L118" i="42" s="1"/>
  <c r="L130" i="42" s="1"/>
  <c r="L142" i="42" s="1"/>
  <c r="L154" i="42" s="1"/>
  <c r="L166" i="42" s="1"/>
  <c r="L178" i="42" s="1"/>
  <c r="L190" i="42" s="1"/>
  <c r="L202" i="42" s="1"/>
  <c r="L214" i="42" s="1"/>
  <c r="L226" i="42" s="1"/>
  <c r="L238" i="42" s="1"/>
  <c r="L250" i="42" s="1"/>
  <c r="L262" i="42" s="1"/>
  <c r="K117" i="42"/>
  <c r="L110" i="42" l="1"/>
  <c r="L122" i="42" s="1"/>
  <c r="L134" i="42" s="1"/>
  <c r="L146" i="42" s="1"/>
  <c r="L158" i="42" s="1"/>
  <c r="L170" i="42" s="1"/>
  <c r="L182" i="42" s="1"/>
  <c r="L194" i="42" s="1"/>
  <c r="L206" i="42" s="1"/>
  <c r="L218" i="42" s="1"/>
  <c r="L230" i="42" s="1"/>
  <c r="L242" i="42" s="1"/>
  <c r="L254" i="42" s="1"/>
  <c r="L266" i="42" s="1"/>
  <c r="L103" i="42"/>
  <c r="L115" i="42" s="1"/>
  <c r="L127" i="42" s="1"/>
  <c r="L139" i="42" s="1"/>
  <c r="L151" i="42" s="1"/>
  <c r="L163" i="42" s="1"/>
  <c r="L175" i="42" s="1"/>
  <c r="L187" i="42" s="1"/>
  <c r="L199" i="42" s="1"/>
  <c r="L211" i="42" s="1"/>
  <c r="L223" i="42" s="1"/>
  <c r="L235" i="42" s="1"/>
  <c r="L247" i="42" s="1"/>
  <c r="L259" i="42" s="1"/>
  <c r="L104" i="42"/>
  <c r="L116" i="42" s="1"/>
  <c r="L128" i="42" s="1"/>
  <c r="L140" i="42" s="1"/>
  <c r="L152" i="42" s="1"/>
  <c r="L164" i="42" s="1"/>
  <c r="L176" i="42" s="1"/>
  <c r="L188" i="42" s="1"/>
  <c r="L200" i="42" s="1"/>
  <c r="L212" i="42" s="1"/>
  <c r="L224" i="42" s="1"/>
  <c r="L236" i="42" s="1"/>
  <c r="L248" i="42" s="1"/>
  <c r="L260" i="42" s="1"/>
  <c r="L105" i="42"/>
  <c r="L117" i="42" s="1"/>
  <c r="L129" i="42" s="1"/>
  <c r="L141" i="42" s="1"/>
  <c r="L153" i="42" s="1"/>
  <c r="L165" i="42" s="1"/>
  <c r="L177" i="42" s="1"/>
  <c r="L189" i="42" s="1"/>
  <c r="L201" i="42" s="1"/>
  <c r="L213" i="42" s="1"/>
  <c r="L225" i="42" s="1"/>
  <c r="L237" i="42" s="1"/>
  <c r="L249" i="42" s="1"/>
  <c r="L261" i="42" s="1"/>
  <c r="L107" i="42"/>
  <c r="L119" i="42" s="1"/>
  <c r="L131" i="42" s="1"/>
  <c r="L143" i="42" s="1"/>
  <c r="L155" i="42" s="1"/>
  <c r="L167" i="42" s="1"/>
  <c r="L179" i="42" s="1"/>
  <c r="L191" i="42" s="1"/>
  <c r="L203" i="42" s="1"/>
  <c r="L215" i="42" s="1"/>
  <c r="L227" i="42" s="1"/>
  <c r="L239" i="42" s="1"/>
  <c r="L251" i="42" s="1"/>
  <c r="L263" i="42" s="1"/>
  <c r="L109" i="42"/>
  <c r="L121" i="42" s="1"/>
  <c r="L133" i="42" s="1"/>
  <c r="L145" i="42" s="1"/>
  <c r="L157" i="42" s="1"/>
  <c r="L169" i="42" s="1"/>
  <c r="L181" i="42" s="1"/>
  <c r="L193" i="42" s="1"/>
  <c r="L205" i="42" s="1"/>
  <c r="L217" i="42" s="1"/>
  <c r="L229" i="42" s="1"/>
  <c r="L241" i="42" s="1"/>
  <c r="L253" i="42" s="1"/>
  <c r="L265" i="42" s="1"/>
  <c r="J219" i="44"/>
  <c r="AC219" i="44" s="1"/>
  <c r="AD219" i="44" s="1"/>
  <c r="J202" i="44"/>
  <c r="AC202" i="44" s="1"/>
  <c r="AD202" i="44" s="1"/>
  <c r="J213" i="44"/>
  <c r="AC213" i="44" s="1"/>
  <c r="AD213" i="44" s="1"/>
  <c r="D236" i="44"/>
  <c r="AL224" i="44"/>
  <c r="AN224" i="44" s="1"/>
  <c r="AO224" i="44" s="1"/>
  <c r="L224" i="44"/>
  <c r="D221" i="44"/>
  <c r="L209" i="44"/>
  <c r="AL202" i="44"/>
  <c r="AN202" i="44" s="1"/>
  <c r="AO202" i="44" s="1"/>
  <c r="L214" i="44"/>
  <c r="D226" i="44"/>
  <c r="J215" i="44"/>
  <c r="AC215" i="44" s="1"/>
  <c r="AD215" i="44" s="1"/>
  <c r="D232" i="44"/>
  <c r="L220" i="44"/>
  <c r="D241" i="44"/>
  <c r="AL229" i="44"/>
  <c r="AN229" i="44" s="1"/>
  <c r="AO229" i="44" s="1"/>
  <c r="L229" i="44"/>
  <c r="D223" i="44"/>
  <c r="L211" i="44"/>
  <c r="J211" i="44"/>
  <c r="AC211" i="44" s="1"/>
  <c r="AD211" i="44" s="1"/>
  <c r="J199" i="44"/>
  <c r="AC199" i="44" s="1"/>
  <c r="AD199" i="44" s="1"/>
  <c r="AL206" i="44"/>
  <c r="AN206" i="44" s="1"/>
  <c r="AO206" i="44" s="1"/>
  <c r="AL197" i="44"/>
  <c r="AL208" i="44"/>
  <c r="AN208" i="44" s="1"/>
  <c r="AO208" i="44" s="1"/>
  <c r="AL217" i="44"/>
  <c r="AN217" i="44" s="1"/>
  <c r="AO217" i="44" s="1"/>
  <c r="AL199" i="44"/>
  <c r="AN199" i="44" s="1"/>
  <c r="AO199" i="44" s="1"/>
  <c r="J210" i="44"/>
  <c r="AC210" i="44" s="1"/>
  <c r="AD210" i="44" s="1"/>
  <c r="AL210" i="44"/>
  <c r="AN210" i="44" s="1"/>
  <c r="AO210" i="44" s="1"/>
  <c r="AL212" i="44"/>
  <c r="AN212" i="44" s="1"/>
  <c r="AO212" i="44" s="1"/>
  <c r="J204" i="44"/>
  <c r="AC204" i="44" s="1"/>
  <c r="AD204" i="44" s="1"/>
  <c r="AL204" i="44"/>
  <c r="AN204" i="44" s="1"/>
  <c r="AO204" i="44" s="1"/>
  <c r="AL213" i="44"/>
  <c r="AN213" i="44" s="1"/>
  <c r="AO213" i="44" s="1"/>
  <c r="D239" i="44"/>
  <c r="L227" i="44"/>
  <c r="AL227" i="44"/>
  <c r="AN227" i="44" s="1"/>
  <c r="AO227" i="44" s="1"/>
  <c r="J217" i="44"/>
  <c r="AC217" i="44" s="1"/>
  <c r="AD217" i="44" s="1"/>
  <c r="J206" i="44"/>
  <c r="AC206" i="44" s="1"/>
  <c r="AD206" i="44" s="1"/>
  <c r="AL219" i="44"/>
  <c r="AN219" i="44" s="1"/>
  <c r="AO219" i="44" s="1"/>
  <c r="D234" i="44"/>
  <c r="AL222" i="44"/>
  <c r="AN222" i="44" s="1"/>
  <c r="AO222" i="44" s="1"/>
  <c r="L222" i="44"/>
  <c r="J212" i="44"/>
  <c r="AC212" i="44" s="1"/>
  <c r="AD212" i="44" s="1"/>
  <c r="J197" i="44"/>
  <c r="D228" i="44"/>
  <c r="L216" i="44"/>
  <c r="AM196" i="44"/>
  <c r="AN185" i="44"/>
  <c r="AO185" i="44" s="1"/>
  <c r="D237" i="44"/>
  <c r="L225" i="44"/>
  <c r="AL225" i="44"/>
  <c r="AN225" i="44" s="1"/>
  <c r="AO225" i="44" s="1"/>
  <c r="AL215" i="44"/>
  <c r="AN215" i="44" s="1"/>
  <c r="AO215" i="44" s="1"/>
  <c r="J290" i="44"/>
  <c r="AC185" i="44"/>
  <c r="AD185" i="44" s="1"/>
  <c r="D230" i="44"/>
  <c r="L218" i="44"/>
  <c r="D243" i="44"/>
  <c r="AL231" i="44"/>
  <c r="AN231" i="44" s="1"/>
  <c r="AO231" i="44" s="1"/>
  <c r="L231" i="44"/>
  <c r="K151" i="43"/>
  <c r="AP139" i="43"/>
  <c r="K164" i="43"/>
  <c r="AP152" i="43"/>
  <c r="K157" i="43"/>
  <c r="AP145" i="43"/>
  <c r="D246" i="43"/>
  <c r="V234" i="43"/>
  <c r="X234" i="43"/>
  <c r="W234" i="43"/>
  <c r="AM234" i="43" s="1"/>
  <c r="AO234" i="43" s="1"/>
  <c r="K160" i="43"/>
  <c r="AP148" i="43"/>
  <c r="K156" i="43"/>
  <c r="AP144" i="43"/>
  <c r="K155" i="43"/>
  <c r="AP143" i="43"/>
  <c r="D248" i="43"/>
  <c r="W236" i="43"/>
  <c r="AM236" i="43" s="1"/>
  <c r="AO236" i="43" s="1"/>
  <c r="X236" i="43"/>
  <c r="V236" i="43"/>
  <c r="D256" i="43"/>
  <c r="W244" i="43"/>
  <c r="AM244" i="43" s="1"/>
  <c r="AO244" i="43" s="1"/>
  <c r="X244" i="43"/>
  <c r="V244" i="43"/>
  <c r="K159" i="43"/>
  <c r="AP147" i="43"/>
  <c r="AN232" i="43"/>
  <c r="AO221" i="43"/>
  <c r="K153" i="43"/>
  <c r="AP141" i="43"/>
  <c r="K154" i="43"/>
  <c r="AP142" i="43"/>
  <c r="D252" i="43"/>
  <c r="W240" i="43"/>
  <c r="AM240" i="43" s="1"/>
  <c r="AO240" i="43" s="1"/>
  <c r="X240" i="43"/>
  <c r="V240" i="43"/>
  <c r="D255" i="43"/>
  <c r="W243" i="43"/>
  <c r="AM243" i="43" s="1"/>
  <c r="AO243" i="43" s="1"/>
  <c r="V243" i="43"/>
  <c r="X243" i="43"/>
  <c r="D245" i="43"/>
  <c r="V233" i="43"/>
  <c r="W233" i="43"/>
  <c r="AM233" i="43" s="1"/>
  <c r="X233" i="43"/>
  <c r="K158" i="43"/>
  <c r="AP146" i="43"/>
  <c r="D249" i="43"/>
  <c r="V237" i="43"/>
  <c r="W237" i="43"/>
  <c r="AM237" i="43" s="1"/>
  <c r="AO237" i="43" s="1"/>
  <c r="X237" i="43"/>
  <c r="D253" i="43"/>
  <c r="V241" i="43"/>
  <c r="W241" i="43"/>
  <c r="AM241" i="43" s="1"/>
  <c r="AO241" i="43" s="1"/>
  <c r="X241" i="43"/>
  <c r="D254" i="43"/>
  <c r="V242" i="43"/>
  <c r="W242" i="43"/>
  <c r="AM242" i="43" s="1"/>
  <c r="AO242" i="43" s="1"/>
  <c r="X242" i="43"/>
  <c r="K149" i="43"/>
  <c r="AP137" i="43"/>
  <c r="D251" i="43"/>
  <c r="X239" i="43"/>
  <c r="W239" i="43"/>
  <c r="AM239" i="43" s="1"/>
  <c r="AO239" i="43" s="1"/>
  <c r="V239" i="43"/>
  <c r="K162" i="43"/>
  <c r="AP150" i="43"/>
  <c r="D250" i="43"/>
  <c r="V238" i="43"/>
  <c r="W238" i="43"/>
  <c r="AM238" i="43" s="1"/>
  <c r="AO238" i="43" s="1"/>
  <c r="X238" i="43"/>
  <c r="D247" i="43"/>
  <c r="X235" i="43"/>
  <c r="W235" i="43"/>
  <c r="AM235" i="43" s="1"/>
  <c r="AO235" i="43" s="1"/>
  <c r="V235" i="43"/>
  <c r="D229" i="42"/>
  <c r="K130" i="42"/>
  <c r="K127" i="42"/>
  <c r="D223" i="42"/>
  <c r="K129" i="42"/>
  <c r="K134" i="42"/>
  <c r="K135" i="42"/>
  <c r="K131" i="42"/>
  <c r="D225" i="42"/>
  <c r="D222" i="42"/>
  <c r="D230" i="42"/>
  <c r="K133" i="42"/>
  <c r="K126" i="42"/>
  <c r="K132" i="42"/>
  <c r="D228" i="42"/>
  <c r="K136" i="42"/>
  <c r="D226" i="42"/>
  <c r="D231" i="42"/>
  <c r="L101" i="42"/>
  <c r="L113" i="42" s="1"/>
  <c r="L125" i="42" s="1"/>
  <c r="L137" i="42" s="1"/>
  <c r="L149" i="42" s="1"/>
  <c r="L161" i="42" s="1"/>
  <c r="L173" i="42" s="1"/>
  <c r="L185" i="42" s="1"/>
  <c r="L197" i="42" s="1"/>
  <c r="L209" i="42" s="1"/>
  <c r="L221" i="42" s="1"/>
  <c r="L233" i="42" s="1"/>
  <c r="L245" i="42" s="1"/>
  <c r="L257" i="42" s="1"/>
  <c r="K113" i="42"/>
  <c r="K128" i="42"/>
  <c r="D232" i="42"/>
  <c r="D224" i="42"/>
  <c r="L102" i="42"/>
  <c r="L114" i="42" s="1"/>
  <c r="L126" i="42" s="1"/>
  <c r="L138" i="42" s="1"/>
  <c r="L150" i="42" s="1"/>
  <c r="L162" i="42" s="1"/>
  <c r="L174" i="42" s="1"/>
  <c r="L186" i="42" s="1"/>
  <c r="L198" i="42" s="1"/>
  <c r="L210" i="42" s="1"/>
  <c r="L222" i="42" s="1"/>
  <c r="L234" i="42" s="1"/>
  <c r="L246" i="42" s="1"/>
  <c r="L258" i="42" s="1"/>
  <c r="L108" i="42"/>
  <c r="L120" i="42" s="1"/>
  <c r="L132" i="42" s="1"/>
  <c r="L144" i="42" s="1"/>
  <c r="L156" i="42" s="1"/>
  <c r="L168" i="42" s="1"/>
  <c r="L180" i="42" s="1"/>
  <c r="L192" i="42" s="1"/>
  <c r="L204" i="42" s="1"/>
  <c r="L216" i="42" s="1"/>
  <c r="L228" i="42" s="1"/>
  <c r="L240" i="42" s="1"/>
  <c r="L252" i="42" s="1"/>
  <c r="L264" i="42" s="1"/>
  <c r="D227" i="42"/>
  <c r="D221" i="42"/>
  <c r="J214" i="44" l="1"/>
  <c r="AC214" i="44" s="1"/>
  <c r="AD214" i="44" s="1"/>
  <c r="J216" i="44"/>
  <c r="AC216" i="44" s="1"/>
  <c r="AD216" i="44" s="1"/>
  <c r="AL211" i="44"/>
  <c r="AN211" i="44" s="1"/>
  <c r="AO211" i="44" s="1"/>
  <c r="AL216" i="44"/>
  <c r="AN216" i="44" s="1"/>
  <c r="AO216" i="44" s="1"/>
  <c r="D246" i="44"/>
  <c r="AL234" i="44"/>
  <c r="AN234" i="44" s="1"/>
  <c r="AO234" i="44" s="1"/>
  <c r="L234" i="44"/>
  <c r="D235" i="44"/>
  <c r="L223" i="44"/>
  <c r="AL223" i="44"/>
  <c r="AN223" i="44" s="1"/>
  <c r="AO223" i="44" s="1"/>
  <c r="D253" i="44"/>
  <c r="L241" i="44"/>
  <c r="AL241" i="44"/>
  <c r="AN241" i="44" s="1"/>
  <c r="AO241" i="44" s="1"/>
  <c r="J231" i="44"/>
  <c r="AC231" i="44" s="1"/>
  <c r="AD231" i="44" s="1"/>
  <c r="J218" i="44"/>
  <c r="AC218" i="44" s="1"/>
  <c r="AD218" i="44" s="1"/>
  <c r="AL218" i="44"/>
  <c r="AN218" i="44" s="1"/>
  <c r="AO218" i="44" s="1"/>
  <c r="L237" i="44"/>
  <c r="AL237" i="44"/>
  <c r="AN237" i="44" s="1"/>
  <c r="AO237" i="44" s="1"/>
  <c r="D249" i="44"/>
  <c r="D240" i="44"/>
  <c r="AL228" i="44"/>
  <c r="AN228" i="44" s="1"/>
  <c r="AO228" i="44" s="1"/>
  <c r="L228" i="44"/>
  <c r="D238" i="44"/>
  <c r="AL226" i="44"/>
  <c r="AN226" i="44" s="1"/>
  <c r="AO226" i="44" s="1"/>
  <c r="L226" i="44"/>
  <c r="AN197" i="44"/>
  <c r="AO197" i="44" s="1"/>
  <c r="AM208" i="44"/>
  <c r="J220" i="44"/>
  <c r="AC220" i="44" s="1"/>
  <c r="AD220" i="44" s="1"/>
  <c r="J209" i="44"/>
  <c r="D248" i="44"/>
  <c r="AL236" i="44"/>
  <c r="AN236" i="44" s="1"/>
  <c r="AO236" i="44" s="1"/>
  <c r="L236" i="44"/>
  <c r="L243" i="44"/>
  <c r="AL243" i="44"/>
  <c r="AN243" i="44" s="1"/>
  <c r="AO243" i="44" s="1"/>
  <c r="D255" i="44"/>
  <c r="D242" i="44"/>
  <c r="L230" i="44"/>
  <c r="AL230" i="44"/>
  <c r="AN230" i="44" s="1"/>
  <c r="AO230" i="44" s="1"/>
  <c r="J225" i="44"/>
  <c r="AC225" i="44" s="1"/>
  <c r="AD225" i="44" s="1"/>
  <c r="J227" i="44"/>
  <c r="AC227" i="44" s="1"/>
  <c r="AD227" i="44" s="1"/>
  <c r="L239" i="44"/>
  <c r="D251" i="44"/>
  <c r="AL239" i="44"/>
  <c r="AN239" i="44" s="1"/>
  <c r="AO239" i="44" s="1"/>
  <c r="J229" i="44"/>
  <c r="AC229" i="44" s="1"/>
  <c r="AD229" i="44" s="1"/>
  <c r="AL220" i="44"/>
  <c r="AN220" i="44" s="1"/>
  <c r="AO220" i="44" s="1"/>
  <c r="L232" i="44"/>
  <c r="AL232" i="44"/>
  <c r="AN232" i="44" s="1"/>
  <c r="AO232" i="44" s="1"/>
  <c r="D244" i="44"/>
  <c r="AL209" i="44"/>
  <c r="D233" i="44"/>
  <c r="L221" i="44"/>
  <c r="J221" i="44"/>
  <c r="AL221" i="44"/>
  <c r="J291" i="44"/>
  <c r="AC197" i="44"/>
  <c r="AD197" i="44" s="1"/>
  <c r="J222" i="44"/>
  <c r="AC222" i="44" s="1"/>
  <c r="AD222" i="44" s="1"/>
  <c r="AL214" i="44"/>
  <c r="AN214" i="44" s="1"/>
  <c r="AO214" i="44" s="1"/>
  <c r="J224" i="44"/>
  <c r="AC224" i="44" s="1"/>
  <c r="AD224" i="44" s="1"/>
  <c r="K174" i="43"/>
  <c r="AP162" i="43"/>
  <c r="D266" i="43"/>
  <c r="W254" i="43"/>
  <c r="AM254" i="43" s="1"/>
  <c r="AO254" i="43" s="1"/>
  <c r="X254" i="43"/>
  <c r="V254" i="43"/>
  <c r="D264" i="43"/>
  <c r="V252" i="43"/>
  <c r="X252" i="43"/>
  <c r="W252" i="43"/>
  <c r="AM252" i="43" s="1"/>
  <c r="AO252" i="43" s="1"/>
  <c r="K166" i="43"/>
  <c r="AP154" i="43"/>
  <c r="K176" i="43"/>
  <c r="AP164" i="43"/>
  <c r="K161" i="43"/>
  <c r="AP149" i="43"/>
  <c r="D261" i="43"/>
  <c r="X249" i="43"/>
  <c r="W249" i="43"/>
  <c r="AM249" i="43" s="1"/>
  <c r="AO249" i="43" s="1"/>
  <c r="V249" i="43"/>
  <c r="K170" i="43"/>
  <c r="AP158" i="43"/>
  <c r="D257" i="43"/>
  <c r="V245" i="43"/>
  <c r="W245" i="43"/>
  <c r="AM245" i="43" s="1"/>
  <c r="X245" i="43"/>
  <c r="D260" i="43"/>
  <c r="V248" i="43"/>
  <c r="X248" i="43"/>
  <c r="W248" i="43"/>
  <c r="AM248" i="43" s="1"/>
  <c r="AO248" i="43" s="1"/>
  <c r="K167" i="43"/>
  <c r="AP155" i="43"/>
  <c r="D258" i="43"/>
  <c r="W246" i="43"/>
  <c r="AM246" i="43" s="1"/>
  <c r="AO246" i="43" s="1"/>
  <c r="X246" i="43"/>
  <c r="V246" i="43"/>
  <c r="D259" i="43"/>
  <c r="V247" i="43"/>
  <c r="W247" i="43"/>
  <c r="AM247" i="43" s="1"/>
  <c r="AO247" i="43" s="1"/>
  <c r="X247" i="43"/>
  <c r="D265" i="43"/>
  <c r="W253" i="43"/>
  <c r="AM253" i="43" s="1"/>
  <c r="AO253" i="43" s="1"/>
  <c r="X253" i="43"/>
  <c r="V253" i="43"/>
  <c r="AN244" i="43"/>
  <c r="AO233" i="43"/>
  <c r="D268" i="43"/>
  <c r="V256" i="43"/>
  <c r="X256" i="43"/>
  <c r="W256" i="43"/>
  <c r="AM256" i="43" s="1"/>
  <c r="AO256" i="43" s="1"/>
  <c r="K172" i="43"/>
  <c r="AP160" i="43"/>
  <c r="K169" i="43"/>
  <c r="AP157" i="43"/>
  <c r="K163" i="43"/>
  <c r="AP151" i="43"/>
  <c r="D262" i="43"/>
  <c r="W250" i="43"/>
  <c r="AM250" i="43" s="1"/>
  <c r="AO250" i="43" s="1"/>
  <c r="X250" i="43"/>
  <c r="V250" i="43"/>
  <c r="D263" i="43"/>
  <c r="V251" i="43"/>
  <c r="W251" i="43"/>
  <c r="AM251" i="43" s="1"/>
  <c r="AO251" i="43" s="1"/>
  <c r="X251" i="43"/>
  <c r="D267" i="43"/>
  <c r="V255" i="43"/>
  <c r="W255" i="43"/>
  <c r="AM255" i="43" s="1"/>
  <c r="AO255" i="43" s="1"/>
  <c r="X255" i="43"/>
  <c r="K165" i="43"/>
  <c r="AP153" i="43"/>
  <c r="K171" i="43"/>
  <c r="AP159" i="43"/>
  <c r="K168" i="43"/>
  <c r="AP156" i="43"/>
  <c r="K142" i="42"/>
  <c r="D233" i="42"/>
  <c r="D236" i="42"/>
  <c r="D244" i="42"/>
  <c r="K125" i="42"/>
  <c r="D238" i="42"/>
  <c r="D237" i="42"/>
  <c r="K146" i="42"/>
  <c r="D235" i="42"/>
  <c r="D234" i="42"/>
  <c r="D243" i="42"/>
  <c r="D242" i="42"/>
  <c r="K143" i="42"/>
  <c r="K147" i="42"/>
  <c r="D241" i="42"/>
  <c r="D239" i="42"/>
  <c r="D240" i="42"/>
  <c r="K138" i="42"/>
  <c r="K140" i="42"/>
  <c r="K148" i="42"/>
  <c r="K144" i="42"/>
  <c r="K145" i="42"/>
  <c r="K141" i="42"/>
  <c r="K139" i="42"/>
  <c r="J239" i="44" l="1"/>
  <c r="AC239" i="44" s="1"/>
  <c r="AD239" i="44" s="1"/>
  <c r="J243" i="44"/>
  <c r="AC243" i="44" s="1"/>
  <c r="AD243" i="44" s="1"/>
  <c r="AC221" i="44"/>
  <c r="AD221" i="44" s="1"/>
  <c r="D245" i="44"/>
  <c r="L233" i="44"/>
  <c r="AL233" i="44"/>
  <c r="J226" i="44"/>
  <c r="AC226" i="44" s="1"/>
  <c r="AD226" i="44" s="1"/>
  <c r="D247" i="44"/>
  <c r="L235" i="44"/>
  <c r="AL235" i="44"/>
  <c r="AN235" i="44" s="1"/>
  <c r="AO235" i="44" s="1"/>
  <c r="D256" i="44"/>
  <c r="AL244" i="44"/>
  <c r="AN244" i="44" s="1"/>
  <c r="AO244" i="44" s="1"/>
  <c r="L244" i="44"/>
  <c r="J230" i="44"/>
  <c r="AC230" i="44" s="1"/>
  <c r="AD230" i="44" s="1"/>
  <c r="D250" i="44"/>
  <c r="AL238" i="44"/>
  <c r="AN238" i="44" s="1"/>
  <c r="AO238" i="44" s="1"/>
  <c r="L238" i="44"/>
  <c r="D252" i="44"/>
  <c r="AL240" i="44"/>
  <c r="AN240" i="44" s="1"/>
  <c r="AO240" i="44" s="1"/>
  <c r="L240" i="44"/>
  <c r="J237" i="44"/>
  <c r="AC237" i="44" s="1"/>
  <c r="AD237" i="44" s="1"/>
  <c r="J228" i="44"/>
  <c r="AC228" i="44" s="1"/>
  <c r="AD228" i="44" s="1"/>
  <c r="AL246" i="44"/>
  <c r="AN246" i="44" s="1"/>
  <c r="AO246" i="44" s="1"/>
  <c r="D258" i="44"/>
  <c r="L246" i="44"/>
  <c r="D263" i="44"/>
  <c r="L251" i="44"/>
  <c r="AL251" i="44"/>
  <c r="AN251" i="44" s="1"/>
  <c r="AO251" i="44" s="1"/>
  <c r="D254" i="44"/>
  <c r="AL242" i="44"/>
  <c r="AN242" i="44" s="1"/>
  <c r="AO242" i="44" s="1"/>
  <c r="L242" i="44"/>
  <c r="J236" i="44"/>
  <c r="AC236" i="44" s="1"/>
  <c r="AD236" i="44" s="1"/>
  <c r="D265" i="44"/>
  <c r="AL253" i="44"/>
  <c r="AN253" i="44" s="1"/>
  <c r="AO253" i="44" s="1"/>
  <c r="L253" i="44"/>
  <c r="J223" i="44"/>
  <c r="AC223" i="44" s="1"/>
  <c r="AD223" i="44" s="1"/>
  <c r="J232" i="44"/>
  <c r="AC232" i="44" s="1"/>
  <c r="AD232" i="44" s="1"/>
  <c r="J292" i="44"/>
  <c r="AC209" i="44"/>
  <c r="AD209" i="44" s="1"/>
  <c r="AN221" i="44"/>
  <c r="AO221" i="44" s="1"/>
  <c r="AM232" i="44"/>
  <c r="AM220" i="44"/>
  <c r="AN209" i="44"/>
  <c r="AO209" i="44" s="1"/>
  <c r="AO272" i="44" s="1"/>
  <c r="D267" i="44"/>
  <c r="AL255" i="44"/>
  <c r="AN255" i="44" s="1"/>
  <c r="AO255" i="44" s="1"/>
  <c r="L255" i="44"/>
  <c r="D260" i="44"/>
  <c r="AL248" i="44"/>
  <c r="AN248" i="44" s="1"/>
  <c r="AO248" i="44" s="1"/>
  <c r="L248" i="44"/>
  <c r="D261" i="44"/>
  <c r="L249" i="44"/>
  <c r="AL249" i="44"/>
  <c r="AN249" i="44" s="1"/>
  <c r="AO249" i="44" s="1"/>
  <c r="J249" i="44"/>
  <c r="AC249" i="44" s="1"/>
  <c r="AD249" i="44" s="1"/>
  <c r="J241" i="44"/>
  <c r="AC241" i="44" s="1"/>
  <c r="AD241" i="44" s="1"/>
  <c r="J234" i="44"/>
  <c r="AC234" i="44" s="1"/>
  <c r="AD234" i="44" s="1"/>
  <c r="K183" i="43"/>
  <c r="AP171" i="43"/>
  <c r="V268" i="43"/>
  <c r="W268" i="43"/>
  <c r="AM268" i="43" s="1"/>
  <c r="X268" i="43"/>
  <c r="K180" i="43"/>
  <c r="AP168" i="43"/>
  <c r="K175" i="43"/>
  <c r="AP163" i="43"/>
  <c r="K184" i="43"/>
  <c r="AP172" i="43"/>
  <c r="V259" i="43"/>
  <c r="W259" i="43"/>
  <c r="AM259" i="43" s="1"/>
  <c r="AO259" i="43" s="1"/>
  <c r="X259" i="43"/>
  <c r="K178" i="43"/>
  <c r="AP166" i="43"/>
  <c r="K186" i="43"/>
  <c r="AP174" i="43"/>
  <c r="K177" i="43"/>
  <c r="AP165" i="43"/>
  <c r="V262" i="43"/>
  <c r="X262" i="43"/>
  <c r="W262" i="43"/>
  <c r="AM262" i="43" s="1"/>
  <c r="AO262" i="43" s="1"/>
  <c r="K179" i="43"/>
  <c r="AP167" i="43"/>
  <c r="K182" i="43"/>
  <c r="AP170" i="43"/>
  <c r="V261" i="43"/>
  <c r="W261" i="43"/>
  <c r="AM261" i="43" s="1"/>
  <c r="AO261" i="43" s="1"/>
  <c r="X261" i="43"/>
  <c r="K173" i="43"/>
  <c r="AP161" i="43"/>
  <c r="K188" i="43"/>
  <c r="AP176" i="43"/>
  <c r="V263" i="43"/>
  <c r="X263" i="43"/>
  <c r="W263" i="43"/>
  <c r="AM263" i="43" s="1"/>
  <c r="AO263" i="43" s="1"/>
  <c r="V265" i="43"/>
  <c r="X265" i="43"/>
  <c r="W265" i="43"/>
  <c r="AM265" i="43" s="1"/>
  <c r="AO265" i="43" s="1"/>
  <c r="AN256" i="43"/>
  <c r="AO245" i="43"/>
  <c r="V257" i="43"/>
  <c r="W257" i="43"/>
  <c r="AM257" i="43" s="1"/>
  <c r="X257" i="43"/>
  <c r="W266" i="43"/>
  <c r="AM266" i="43" s="1"/>
  <c r="AO266" i="43" s="1"/>
  <c r="X266" i="43"/>
  <c r="V266" i="43"/>
  <c r="V267" i="43"/>
  <c r="X267" i="43"/>
  <c r="W267" i="43"/>
  <c r="AM267" i="43" s="1"/>
  <c r="AO267" i="43" s="1"/>
  <c r="K181" i="43"/>
  <c r="AP169" i="43"/>
  <c r="V258" i="43"/>
  <c r="X258" i="43"/>
  <c r="W258" i="43"/>
  <c r="AM258" i="43" s="1"/>
  <c r="AO258" i="43" s="1"/>
  <c r="W260" i="43"/>
  <c r="AM260" i="43" s="1"/>
  <c r="AO260" i="43" s="1"/>
  <c r="X260" i="43"/>
  <c r="V260" i="43"/>
  <c r="X264" i="43"/>
  <c r="W264" i="43"/>
  <c r="AM264" i="43" s="1"/>
  <c r="AO264" i="43" s="1"/>
  <c r="V264" i="43"/>
  <c r="K160" i="42"/>
  <c r="K137" i="42"/>
  <c r="D256" i="42"/>
  <c r="D249" i="42"/>
  <c r="D250" i="42"/>
  <c r="D245" i="42"/>
  <c r="K154" i="42"/>
  <c r="K151" i="42"/>
  <c r="K156" i="42"/>
  <c r="K152" i="42"/>
  <c r="D252" i="42"/>
  <c r="D251" i="42"/>
  <c r="D253" i="42"/>
  <c r="K159" i="42"/>
  <c r="D254" i="42"/>
  <c r="D255" i="42"/>
  <c r="D247" i="42"/>
  <c r="D248" i="42"/>
  <c r="K158" i="42"/>
  <c r="K153" i="42"/>
  <c r="K157" i="42"/>
  <c r="K150" i="42"/>
  <c r="K155" i="42"/>
  <c r="D246" i="42"/>
  <c r="J251" i="44" l="1"/>
  <c r="AC251" i="44" s="1"/>
  <c r="AD251" i="44" s="1"/>
  <c r="J233" i="44"/>
  <c r="L260" i="44"/>
  <c r="AL260" i="44"/>
  <c r="AN260" i="44" s="1"/>
  <c r="AO260" i="44" s="1"/>
  <c r="J242" i="44"/>
  <c r="AC242" i="44" s="1"/>
  <c r="AD242" i="44" s="1"/>
  <c r="J238" i="44"/>
  <c r="AC238" i="44" s="1"/>
  <c r="AD238" i="44" s="1"/>
  <c r="J244" i="44"/>
  <c r="AC244" i="44" s="1"/>
  <c r="AD244" i="44" s="1"/>
  <c r="J235" i="44"/>
  <c r="AC235" i="44" s="1"/>
  <c r="AD235" i="44" s="1"/>
  <c r="AM244" i="44"/>
  <c r="AN233" i="44"/>
  <c r="AO233" i="44" s="1"/>
  <c r="J293" i="44"/>
  <c r="AC233" i="44"/>
  <c r="AD233" i="44" s="1"/>
  <c r="L265" i="44"/>
  <c r="AL265" i="44"/>
  <c r="AN265" i="44" s="1"/>
  <c r="AO265" i="44" s="1"/>
  <c r="L258" i="44"/>
  <c r="J258" i="44"/>
  <c r="AC258" i="44" s="1"/>
  <c r="AD258" i="44" s="1"/>
  <c r="AL258" i="44"/>
  <c r="AN258" i="44" s="1"/>
  <c r="AO258" i="44" s="1"/>
  <c r="J240" i="44"/>
  <c r="AC240" i="44" s="1"/>
  <c r="AD240" i="44" s="1"/>
  <c r="AL250" i="44"/>
  <c r="AN250" i="44" s="1"/>
  <c r="AO250" i="44" s="1"/>
  <c r="D262" i="44"/>
  <c r="L250" i="44"/>
  <c r="D268" i="44"/>
  <c r="L256" i="44"/>
  <c r="AL256" i="44"/>
  <c r="AN256" i="44" s="1"/>
  <c r="AO256" i="44" s="1"/>
  <c r="D259" i="44"/>
  <c r="L247" i="44"/>
  <c r="AL247" i="44"/>
  <c r="AN247" i="44" s="1"/>
  <c r="AO247" i="44" s="1"/>
  <c r="J255" i="44"/>
  <c r="AC255" i="44" s="1"/>
  <c r="AD255" i="44" s="1"/>
  <c r="J253" i="44"/>
  <c r="AC253" i="44" s="1"/>
  <c r="AD253" i="44" s="1"/>
  <c r="D266" i="44"/>
  <c r="L254" i="44"/>
  <c r="AL254" i="44"/>
  <c r="AN254" i="44" s="1"/>
  <c r="AO254" i="44" s="1"/>
  <c r="L263" i="44"/>
  <c r="AL263" i="44"/>
  <c r="AN263" i="44" s="1"/>
  <c r="AO263" i="44" s="1"/>
  <c r="AL261" i="44"/>
  <c r="AN261" i="44" s="1"/>
  <c r="AO261" i="44" s="1"/>
  <c r="L261" i="44"/>
  <c r="J248" i="44"/>
  <c r="AC248" i="44" s="1"/>
  <c r="AD248" i="44" s="1"/>
  <c r="L267" i="44"/>
  <c r="AL267" i="44"/>
  <c r="AN267" i="44" s="1"/>
  <c r="AO267" i="44" s="1"/>
  <c r="J246" i="44"/>
  <c r="AC246" i="44" s="1"/>
  <c r="AD246" i="44" s="1"/>
  <c r="D264" i="44"/>
  <c r="AL252" i="44"/>
  <c r="AN252" i="44" s="1"/>
  <c r="AO252" i="44" s="1"/>
  <c r="L252" i="44"/>
  <c r="D257" i="44"/>
  <c r="L245" i="44"/>
  <c r="AL245" i="44"/>
  <c r="AN268" i="43"/>
  <c r="AO257" i="43"/>
  <c r="K185" i="43"/>
  <c r="AP173" i="43"/>
  <c r="K194" i="43"/>
  <c r="AP182" i="43"/>
  <c r="K189" i="43"/>
  <c r="AP177" i="43"/>
  <c r="K193" i="43"/>
  <c r="AP181" i="43"/>
  <c r="K200" i="43"/>
  <c r="AP188" i="43"/>
  <c r="AO268" i="43"/>
  <c r="K191" i="43"/>
  <c r="AP179" i="43"/>
  <c r="K198" i="43"/>
  <c r="AP186" i="43"/>
  <c r="K187" i="43"/>
  <c r="AP175" i="43"/>
  <c r="K192" i="43"/>
  <c r="AP180" i="43"/>
  <c r="K190" i="43"/>
  <c r="AP178" i="43"/>
  <c r="K196" i="43"/>
  <c r="AP184" i="43"/>
  <c r="K195" i="43"/>
  <c r="AP183" i="43"/>
  <c r="K162" i="42"/>
  <c r="K163" i="42"/>
  <c r="K166" i="42"/>
  <c r="D262" i="42"/>
  <c r="D268" i="42"/>
  <c r="D258" i="42"/>
  <c r="K169" i="42"/>
  <c r="K165" i="42"/>
  <c r="D267" i="42"/>
  <c r="K171" i="42"/>
  <c r="D263" i="42"/>
  <c r="D261" i="42"/>
  <c r="K149" i="42"/>
  <c r="K167" i="42"/>
  <c r="D259" i="42"/>
  <c r="D264" i="42"/>
  <c r="D265" i="42"/>
  <c r="K164" i="42"/>
  <c r="K168" i="42"/>
  <c r="K170" i="42"/>
  <c r="D260" i="42"/>
  <c r="D266" i="42"/>
  <c r="D257" i="42"/>
  <c r="K172" i="42"/>
  <c r="J245" i="44" l="1"/>
  <c r="AM256" i="44"/>
  <c r="AN245" i="44"/>
  <c r="AO245" i="44" s="1"/>
  <c r="AL268" i="44"/>
  <c r="L268" i="44"/>
  <c r="L262" i="44"/>
  <c r="AL262" i="44"/>
  <c r="AN262" i="44" s="1"/>
  <c r="AO262" i="44" s="1"/>
  <c r="J265" i="44"/>
  <c r="AC265" i="44" s="1"/>
  <c r="AD265" i="44" s="1"/>
  <c r="AL257" i="44"/>
  <c r="L257" i="44"/>
  <c r="AL264" i="44"/>
  <c r="AN264" i="44" s="1"/>
  <c r="AO264" i="44" s="1"/>
  <c r="L264" i="44"/>
  <c r="J254" i="44"/>
  <c r="AC254" i="44" s="1"/>
  <c r="AD254" i="44" s="1"/>
  <c r="J250" i="44"/>
  <c r="AC250" i="44" s="1"/>
  <c r="AD250" i="44" s="1"/>
  <c r="J252" i="44"/>
  <c r="AC252" i="44" s="1"/>
  <c r="AD252" i="44" s="1"/>
  <c r="J263" i="44"/>
  <c r="AC263" i="44" s="1"/>
  <c r="AD263" i="44" s="1"/>
  <c r="AL266" i="44"/>
  <c r="AN266" i="44" s="1"/>
  <c r="AO266" i="44" s="1"/>
  <c r="L266" i="44"/>
  <c r="J247" i="44"/>
  <c r="AC247" i="44" s="1"/>
  <c r="AD247" i="44" s="1"/>
  <c r="J256" i="44"/>
  <c r="AC256" i="44" s="1"/>
  <c r="AD256" i="44" s="1"/>
  <c r="J260" i="44"/>
  <c r="AC260" i="44" s="1"/>
  <c r="AD260" i="44" s="1"/>
  <c r="J267" i="44"/>
  <c r="AC267" i="44" s="1"/>
  <c r="AD267" i="44" s="1"/>
  <c r="J261" i="44"/>
  <c r="AC261" i="44" s="1"/>
  <c r="AD261" i="44" s="1"/>
  <c r="AL259" i="44"/>
  <c r="AN259" i="44" s="1"/>
  <c r="AO259" i="44" s="1"/>
  <c r="L259" i="44"/>
  <c r="J294" i="44"/>
  <c r="K203" i="43"/>
  <c r="AP191" i="43"/>
  <c r="K202" i="43"/>
  <c r="AP190" i="43"/>
  <c r="K199" i="43"/>
  <c r="AP187" i="43"/>
  <c r="K210" i="43"/>
  <c r="AP198" i="43"/>
  <c r="K212" i="43"/>
  <c r="AP200" i="43"/>
  <c r="K207" i="43"/>
  <c r="AP195" i="43"/>
  <c r="K204" i="43"/>
  <c r="AP192" i="43"/>
  <c r="K205" i="43"/>
  <c r="AP193" i="43"/>
  <c r="K197" i="43"/>
  <c r="AP185" i="43"/>
  <c r="K208" i="43"/>
  <c r="AP196" i="43"/>
  <c r="K201" i="43"/>
  <c r="AP189" i="43"/>
  <c r="K206" i="43"/>
  <c r="AP194" i="43"/>
  <c r="K179" i="42"/>
  <c r="K183" i="42"/>
  <c r="K184" i="42"/>
  <c r="K177" i="42"/>
  <c r="K182" i="42"/>
  <c r="K180" i="42"/>
  <c r="K175" i="42"/>
  <c r="K176" i="42"/>
  <c r="K161" i="42"/>
  <c r="K181" i="42"/>
  <c r="K178" i="42"/>
  <c r="K174" i="42"/>
  <c r="J268" i="44" l="1"/>
  <c r="J257" i="44"/>
  <c r="J262" i="44"/>
  <c r="AC262" i="44" s="1"/>
  <c r="AD262" i="44" s="1"/>
  <c r="J295" i="44"/>
  <c r="AC245" i="44"/>
  <c r="AD245" i="44" s="1"/>
  <c r="AN268" i="44"/>
  <c r="AO268" i="44" s="1"/>
  <c r="AL275" i="44"/>
  <c r="J266" i="44"/>
  <c r="AC266" i="44" s="1"/>
  <c r="AD266" i="44" s="1"/>
  <c r="J264" i="44"/>
  <c r="AC264" i="44" s="1"/>
  <c r="AD264" i="44" s="1"/>
  <c r="J259" i="44"/>
  <c r="AC259" i="44" s="1"/>
  <c r="AD259" i="44" s="1"/>
  <c r="AM268" i="44"/>
  <c r="AN257" i="44"/>
  <c r="AO257" i="44" s="1"/>
  <c r="K213" i="43"/>
  <c r="AP201" i="43"/>
  <c r="K209" i="43"/>
  <c r="AP197" i="43"/>
  <c r="K219" i="43"/>
  <c r="AP207" i="43"/>
  <c r="K224" i="43"/>
  <c r="AP212" i="43"/>
  <c r="K222" i="43"/>
  <c r="AP210" i="43"/>
  <c r="K214" i="43"/>
  <c r="AP202" i="43"/>
  <c r="K220" i="43"/>
  <c r="AP208" i="43"/>
  <c r="K217" i="43"/>
  <c r="AP205" i="43"/>
  <c r="K216" i="43"/>
  <c r="AP204" i="43"/>
  <c r="K211" i="43"/>
  <c r="AP199" i="43"/>
  <c r="K218" i="43"/>
  <c r="AP206" i="43"/>
  <c r="K215" i="43"/>
  <c r="AP203" i="43"/>
  <c r="K190" i="42"/>
  <c r="K187" i="42"/>
  <c r="K191" i="42"/>
  <c r="K186" i="42"/>
  <c r="K193" i="42"/>
  <c r="K173" i="42"/>
  <c r="K192" i="42"/>
  <c r="K189" i="42"/>
  <c r="K196" i="42"/>
  <c r="K188" i="42"/>
  <c r="K194" i="42"/>
  <c r="K195" i="42"/>
  <c r="J296" i="44" l="1"/>
  <c r="J298" i="44" s="1"/>
  <c r="AC257" i="44"/>
  <c r="AD257" i="44" s="1"/>
  <c r="AC268" i="44"/>
  <c r="J271" i="44"/>
  <c r="K223" i="43"/>
  <c r="AP211" i="43"/>
  <c r="K229" i="43"/>
  <c r="AP217" i="43"/>
  <c r="K234" i="43"/>
  <c r="AP222" i="43"/>
  <c r="K230" i="43"/>
  <c r="AP218" i="43"/>
  <c r="K228" i="43"/>
  <c r="AP216" i="43"/>
  <c r="K232" i="43"/>
  <c r="AP220" i="43"/>
  <c r="K226" i="43"/>
  <c r="AP214" i="43"/>
  <c r="K236" i="43"/>
  <c r="AP224" i="43"/>
  <c r="K221" i="43"/>
  <c r="AP209" i="43"/>
  <c r="K225" i="43"/>
  <c r="AP213" i="43"/>
  <c r="K231" i="43"/>
  <c r="AP219" i="43"/>
  <c r="K227" i="43"/>
  <c r="AP215" i="43"/>
  <c r="K206" i="42"/>
  <c r="K204" i="42"/>
  <c r="K205" i="42"/>
  <c r="K203" i="42"/>
  <c r="K208" i="42"/>
  <c r="K201" i="42"/>
  <c r="K185" i="42"/>
  <c r="K198" i="42"/>
  <c r="K207" i="42"/>
  <c r="K199" i="42"/>
  <c r="K200" i="42"/>
  <c r="K202" i="42"/>
  <c r="AD268" i="44" l="1"/>
  <c r="AC272" i="44"/>
  <c r="K238" i="43"/>
  <c r="AP226" i="43"/>
  <c r="K240" i="43"/>
  <c r="AP228" i="43"/>
  <c r="K233" i="43"/>
  <c r="AP221" i="43"/>
  <c r="K248" i="43"/>
  <c r="AP236" i="43"/>
  <c r="K244" i="43"/>
  <c r="AP232" i="43"/>
  <c r="K242" i="43"/>
  <c r="AP230" i="43"/>
  <c r="K246" i="43"/>
  <c r="AP234" i="43"/>
  <c r="K239" i="43"/>
  <c r="AP227" i="43"/>
  <c r="K237" i="43"/>
  <c r="AP225" i="43"/>
  <c r="K241" i="43"/>
  <c r="AP229" i="43"/>
  <c r="K243" i="43"/>
  <c r="AP231" i="43"/>
  <c r="K235" i="43"/>
  <c r="AP223" i="43"/>
  <c r="K210" i="42"/>
  <c r="K213" i="42"/>
  <c r="K216" i="42"/>
  <c r="K220" i="42"/>
  <c r="K218" i="42"/>
  <c r="K214" i="42"/>
  <c r="K217" i="42"/>
  <c r="K211" i="42"/>
  <c r="K212" i="42"/>
  <c r="K219" i="42"/>
  <c r="K197" i="42"/>
  <c r="K215" i="42"/>
  <c r="K255" i="43" l="1"/>
  <c r="AP243" i="43"/>
  <c r="K253" i="43"/>
  <c r="AP241" i="43"/>
  <c r="K258" i="43"/>
  <c r="AP246" i="43"/>
  <c r="K247" i="43"/>
  <c r="AP235" i="43"/>
  <c r="K260" i="43"/>
  <c r="AP248" i="43"/>
  <c r="K252" i="43"/>
  <c r="AP240" i="43"/>
  <c r="K250" i="43"/>
  <c r="AP238" i="43"/>
  <c r="K256" i="43"/>
  <c r="AP244" i="43"/>
  <c r="K251" i="43"/>
  <c r="AP239" i="43"/>
  <c r="K245" i="43"/>
  <c r="AP233" i="43"/>
  <c r="K249" i="43"/>
  <c r="AP237" i="43"/>
  <c r="K254" i="43"/>
  <c r="AP242" i="43"/>
  <c r="K209" i="42"/>
  <c r="K231" i="42"/>
  <c r="K223" i="42"/>
  <c r="K229" i="42"/>
  <c r="K226" i="42"/>
  <c r="K230" i="42"/>
  <c r="K232" i="42"/>
  <c r="K225" i="42"/>
  <c r="K222" i="42"/>
  <c r="K227" i="42"/>
  <c r="K224" i="42"/>
  <c r="K228" i="42"/>
  <c r="K261" i="43" l="1"/>
  <c r="AP249" i="43"/>
  <c r="K266" i="43"/>
  <c r="AP254" i="43"/>
  <c r="K257" i="43"/>
  <c r="AP245" i="43"/>
  <c r="K259" i="43"/>
  <c r="AP247" i="43"/>
  <c r="K262" i="43"/>
  <c r="AP250" i="43"/>
  <c r="K264" i="43"/>
  <c r="AP252" i="43"/>
  <c r="AP258" i="43"/>
  <c r="AP260" i="43"/>
  <c r="K265" i="43"/>
  <c r="AP253" i="43"/>
  <c r="K263" i="43"/>
  <c r="AP251" i="43"/>
  <c r="K268" i="43"/>
  <c r="AP256" i="43"/>
  <c r="K267" i="43"/>
  <c r="AP255" i="43"/>
  <c r="K239" i="42"/>
  <c r="K237" i="42"/>
  <c r="K242" i="42"/>
  <c r="K243" i="42"/>
  <c r="K234" i="42"/>
  <c r="K240" i="42"/>
  <c r="K241" i="42"/>
  <c r="K236" i="42"/>
  <c r="K244" i="42"/>
  <c r="K238" i="42"/>
  <c r="K235" i="42"/>
  <c r="K221" i="42"/>
  <c r="AP267" i="43" l="1"/>
  <c r="AP263" i="43"/>
  <c r="AP264" i="43"/>
  <c r="AP266" i="43"/>
  <c r="AP268" i="43"/>
  <c r="AP262" i="43"/>
  <c r="AP257" i="43"/>
  <c r="AP261" i="43"/>
  <c r="AP259" i="43"/>
  <c r="AP265" i="43"/>
  <c r="K252" i="42"/>
  <c r="K248" i="42"/>
  <c r="K255" i="42"/>
  <c r="K251" i="42"/>
  <c r="K247" i="42"/>
  <c r="K250" i="42"/>
  <c r="K256" i="42"/>
  <c r="K254" i="42"/>
  <c r="K249" i="42"/>
  <c r="K233" i="42"/>
  <c r="K253" i="42"/>
  <c r="K246" i="42"/>
  <c r="K258" i="42" l="1"/>
  <c r="K268" i="42"/>
  <c r="K259" i="42"/>
  <c r="K267" i="42"/>
  <c r="K264" i="42"/>
  <c r="K265" i="42"/>
  <c r="K263" i="42"/>
  <c r="K266" i="42"/>
  <c r="K245" i="42"/>
  <c r="K261" i="42"/>
  <c r="K262" i="42"/>
  <c r="K260" i="42"/>
  <c r="K257" i="42" l="1"/>
  <c r="C28" i="38" l="1"/>
  <c r="C40" i="38" s="1"/>
  <c r="C52" i="38" s="1"/>
  <c r="C64" i="38" s="1"/>
  <c r="C76" i="38" s="1"/>
  <c r="C88" i="38" s="1"/>
  <c r="C100" i="38" s="1"/>
  <c r="C112" i="38" s="1"/>
  <c r="C124" i="38" s="1"/>
  <c r="C136" i="38" s="1"/>
  <c r="C148" i="38" s="1"/>
  <c r="C160" i="38" s="1"/>
  <c r="C172" i="38" s="1"/>
  <c r="C184" i="38" s="1"/>
  <c r="C196" i="38" s="1"/>
  <c r="C208" i="38" s="1"/>
  <c r="C220" i="38" s="1"/>
  <c r="C232" i="38" s="1"/>
  <c r="C244" i="38" s="1"/>
  <c r="C256" i="38" s="1"/>
  <c r="C268" i="38" s="1"/>
  <c r="C27" i="38"/>
  <c r="C39" i="38" s="1"/>
  <c r="C51" i="38" s="1"/>
  <c r="C63" i="38" s="1"/>
  <c r="C75" i="38" s="1"/>
  <c r="C87" i="38" s="1"/>
  <c r="C99" i="38" s="1"/>
  <c r="C111" i="38" s="1"/>
  <c r="C123" i="38" s="1"/>
  <c r="C135" i="38" s="1"/>
  <c r="C147" i="38" s="1"/>
  <c r="C159" i="38" s="1"/>
  <c r="C171" i="38" s="1"/>
  <c r="C183" i="38" s="1"/>
  <c r="C195" i="38" s="1"/>
  <c r="C207" i="38" s="1"/>
  <c r="C219" i="38" s="1"/>
  <c r="C231" i="38" s="1"/>
  <c r="C243" i="38" s="1"/>
  <c r="C255" i="38" s="1"/>
  <c r="C267" i="38" s="1"/>
  <c r="C26" i="38"/>
  <c r="C38" i="38" s="1"/>
  <c r="C50" i="38" s="1"/>
  <c r="C62" i="38" s="1"/>
  <c r="C74" i="38" s="1"/>
  <c r="C86" i="38" s="1"/>
  <c r="C98" i="38" s="1"/>
  <c r="C110" i="38" s="1"/>
  <c r="C122" i="38" s="1"/>
  <c r="C134" i="38" s="1"/>
  <c r="C146" i="38" s="1"/>
  <c r="C158" i="38" s="1"/>
  <c r="C170" i="38" s="1"/>
  <c r="C182" i="38" s="1"/>
  <c r="C194" i="38" s="1"/>
  <c r="C206" i="38" s="1"/>
  <c r="C218" i="38" s="1"/>
  <c r="C230" i="38" s="1"/>
  <c r="C242" i="38" s="1"/>
  <c r="C254" i="38" s="1"/>
  <c r="C266" i="38" s="1"/>
  <c r="C25" i="38"/>
  <c r="C37" i="38" s="1"/>
  <c r="C49" i="38" s="1"/>
  <c r="C61" i="38" s="1"/>
  <c r="C73" i="38" s="1"/>
  <c r="C85" i="38" s="1"/>
  <c r="C97" i="38" s="1"/>
  <c r="C109" i="38" s="1"/>
  <c r="C121" i="38" s="1"/>
  <c r="C133" i="38" s="1"/>
  <c r="C145" i="38" s="1"/>
  <c r="C157" i="38" s="1"/>
  <c r="C169" i="38" s="1"/>
  <c r="C181" i="38" s="1"/>
  <c r="C193" i="38" s="1"/>
  <c r="C205" i="38" s="1"/>
  <c r="C217" i="38" s="1"/>
  <c r="C229" i="38" s="1"/>
  <c r="C241" i="38" s="1"/>
  <c r="C253" i="38" s="1"/>
  <c r="C265" i="38" s="1"/>
  <c r="C24" i="38"/>
  <c r="C36" i="38" s="1"/>
  <c r="C48" i="38" s="1"/>
  <c r="C60" i="38" s="1"/>
  <c r="C72" i="38" s="1"/>
  <c r="C84" i="38" s="1"/>
  <c r="C96" i="38" s="1"/>
  <c r="C108" i="38" s="1"/>
  <c r="C120" i="38" s="1"/>
  <c r="C132" i="38" s="1"/>
  <c r="C144" i="38" s="1"/>
  <c r="C156" i="38" s="1"/>
  <c r="C168" i="38" s="1"/>
  <c r="C180" i="38" s="1"/>
  <c r="C192" i="38" s="1"/>
  <c r="C204" i="38" s="1"/>
  <c r="C216" i="38" s="1"/>
  <c r="C228" i="38" s="1"/>
  <c r="C240" i="38" s="1"/>
  <c r="C252" i="38" s="1"/>
  <c r="C264" i="38" s="1"/>
  <c r="C23" i="38"/>
  <c r="C35" i="38" s="1"/>
  <c r="C47" i="38" s="1"/>
  <c r="C59" i="38" s="1"/>
  <c r="C71" i="38" s="1"/>
  <c r="C83" i="38" s="1"/>
  <c r="C95" i="38" s="1"/>
  <c r="C107" i="38" s="1"/>
  <c r="C119" i="38" s="1"/>
  <c r="C131" i="38" s="1"/>
  <c r="C143" i="38" s="1"/>
  <c r="C155" i="38" s="1"/>
  <c r="C167" i="38" s="1"/>
  <c r="C179" i="38" s="1"/>
  <c r="C191" i="38" s="1"/>
  <c r="C203" i="38" s="1"/>
  <c r="C215" i="38" s="1"/>
  <c r="C227" i="38" s="1"/>
  <c r="C239" i="38" s="1"/>
  <c r="C251" i="38" s="1"/>
  <c r="C263" i="38" s="1"/>
  <c r="C22" i="38"/>
  <c r="C34" i="38" s="1"/>
  <c r="C46" i="38" s="1"/>
  <c r="C58" i="38" s="1"/>
  <c r="C70" i="38" s="1"/>
  <c r="C82" i="38" s="1"/>
  <c r="C94" i="38" s="1"/>
  <c r="C106" i="38" s="1"/>
  <c r="C118" i="38" s="1"/>
  <c r="C130" i="38" s="1"/>
  <c r="C142" i="38" s="1"/>
  <c r="C154" i="38" s="1"/>
  <c r="C166" i="38" s="1"/>
  <c r="C178" i="38" s="1"/>
  <c r="C190" i="38" s="1"/>
  <c r="C202" i="38" s="1"/>
  <c r="C214" i="38" s="1"/>
  <c r="C226" i="38" s="1"/>
  <c r="C238" i="38" s="1"/>
  <c r="C250" i="38" s="1"/>
  <c r="C262" i="38" s="1"/>
  <c r="C21" i="38"/>
  <c r="C33" i="38" s="1"/>
  <c r="C45" i="38" s="1"/>
  <c r="C57" i="38" s="1"/>
  <c r="C69" i="38" s="1"/>
  <c r="C81" i="38" s="1"/>
  <c r="C93" i="38" s="1"/>
  <c r="C105" i="38" s="1"/>
  <c r="C117" i="38" s="1"/>
  <c r="C129" i="38" s="1"/>
  <c r="C141" i="38" s="1"/>
  <c r="C153" i="38" s="1"/>
  <c r="C165" i="38" s="1"/>
  <c r="C177" i="38" s="1"/>
  <c r="C189" i="38" s="1"/>
  <c r="C201" i="38" s="1"/>
  <c r="C213" i="38" s="1"/>
  <c r="C225" i="38" s="1"/>
  <c r="C237" i="38" s="1"/>
  <c r="C249" i="38" s="1"/>
  <c r="C261" i="38" s="1"/>
  <c r="C20" i="38"/>
  <c r="C32" i="38" s="1"/>
  <c r="C44" i="38" s="1"/>
  <c r="C56" i="38" s="1"/>
  <c r="C68" i="38" s="1"/>
  <c r="C80" i="38" s="1"/>
  <c r="C92" i="38" s="1"/>
  <c r="C104" i="38" s="1"/>
  <c r="C116" i="38" s="1"/>
  <c r="C128" i="38" s="1"/>
  <c r="C140" i="38" s="1"/>
  <c r="C152" i="38" s="1"/>
  <c r="C164" i="38" s="1"/>
  <c r="C176" i="38" s="1"/>
  <c r="C188" i="38" s="1"/>
  <c r="C200" i="38" s="1"/>
  <c r="C212" i="38" s="1"/>
  <c r="C224" i="38" s="1"/>
  <c r="C236" i="38" s="1"/>
  <c r="C248" i="38" s="1"/>
  <c r="C260" i="38" s="1"/>
  <c r="C19" i="38"/>
  <c r="C31" i="38" s="1"/>
  <c r="C43" i="38" s="1"/>
  <c r="C55" i="38" s="1"/>
  <c r="C67" i="38" s="1"/>
  <c r="C79" i="38" s="1"/>
  <c r="C91" i="38" s="1"/>
  <c r="C103" i="38" s="1"/>
  <c r="C115" i="38" s="1"/>
  <c r="C127" i="38" s="1"/>
  <c r="C139" i="38" s="1"/>
  <c r="C151" i="38" s="1"/>
  <c r="C163" i="38" s="1"/>
  <c r="C175" i="38" s="1"/>
  <c r="C187" i="38" s="1"/>
  <c r="C199" i="38" s="1"/>
  <c r="C211" i="38" s="1"/>
  <c r="C223" i="38" s="1"/>
  <c r="C235" i="38" s="1"/>
  <c r="C247" i="38" s="1"/>
  <c r="C259" i="38" s="1"/>
  <c r="C18" i="38"/>
  <c r="C30" i="38" s="1"/>
  <c r="C42" i="38" s="1"/>
  <c r="C54" i="38" s="1"/>
  <c r="C66" i="38" s="1"/>
  <c r="C78" i="38" s="1"/>
  <c r="C90" i="38" s="1"/>
  <c r="C102" i="38" s="1"/>
  <c r="C114" i="38" s="1"/>
  <c r="C126" i="38" s="1"/>
  <c r="C138" i="38" s="1"/>
  <c r="C150" i="38" s="1"/>
  <c r="C162" i="38" s="1"/>
  <c r="C174" i="38" s="1"/>
  <c r="C186" i="38" s="1"/>
  <c r="C198" i="38" s="1"/>
  <c r="C210" i="38" s="1"/>
  <c r="C222" i="38" s="1"/>
  <c r="C234" i="38" s="1"/>
  <c r="C246" i="38" s="1"/>
  <c r="C258" i="38" s="1"/>
  <c r="C17" i="38"/>
  <c r="C29" i="38" s="1"/>
  <c r="C41" i="38" s="1"/>
  <c r="C53" i="38" s="1"/>
  <c r="C65" i="38" s="1"/>
  <c r="C77" i="38" s="1"/>
  <c r="C89" i="38" s="1"/>
  <c r="C101" i="38" s="1"/>
  <c r="C113" i="38" s="1"/>
  <c r="C125" i="38" s="1"/>
  <c r="C137" i="38" s="1"/>
  <c r="C149" i="38" s="1"/>
  <c r="C161" i="38" s="1"/>
  <c r="C173" i="38" s="1"/>
  <c r="C185" i="38" s="1"/>
  <c r="C197" i="38" s="1"/>
  <c r="C209" i="38" s="1"/>
  <c r="C221" i="38" s="1"/>
  <c r="C233" i="38" s="1"/>
  <c r="C245" i="38" s="1"/>
  <c r="C257" i="38" s="1"/>
  <c r="M126" i="41" l="1"/>
  <c r="D80" i="41" l="1"/>
  <c r="D112" i="38"/>
  <c r="D102" i="41"/>
  <c r="D83" i="41"/>
  <c r="D87" i="41"/>
  <c r="D103" i="41"/>
  <c r="D107" i="41"/>
  <c r="D111" i="41"/>
  <c r="D84" i="41"/>
  <c r="D88" i="41"/>
  <c r="D100" i="41"/>
  <c r="D104" i="41"/>
  <c r="D108" i="41"/>
  <c r="D112" i="41"/>
  <c r="D81" i="41"/>
  <c r="D85" i="41"/>
  <c r="D89" i="41"/>
  <c r="D101" i="41"/>
  <c r="D105" i="41"/>
  <c r="D109" i="41"/>
  <c r="D74" i="41"/>
  <c r="D82" i="41"/>
  <c r="D106" i="41"/>
  <c r="D110" i="41"/>
  <c r="D128" i="38" l="1"/>
  <c r="M268" i="41"/>
  <c r="M267" i="41"/>
  <c r="M266" i="41"/>
  <c r="M265" i="41"/>
  <c r="M264" i="41"/>
  <c r="M263" i="41"/>
  <c r="M262" i="41"/>
  <c r="M261" i="41"/>
  <c r="M260" i="41"/>
  <c r="M259" i="41"/>
  <c r="M258" i="41"/>
  <c r="M257" i="41"/>
  <c r="M256" i="41"/>
  <c r="M255" i="41"/>
  <c r="M254" i="41"/>
  <c r="M253" i="41"/>
  <c r="M252" i="41"/>
  <c r="M251" i="41"/>
  <c r="M250" i="41"/>
  <c r="M249" i="41"/>
  <c r="M248" i="41"/>
  <c r="M247" i="41"/>
  <c r="M246" i="41"/>
  <c r="M245" i="41"/>
  <c r="M244" i="41"/>
  <c r="M243" i="41"/>
  <c r="M242" i="41"/>
  <c r="M241" i="41"/>
  <c r="M240" i="41"/>
  <c r="A240" i="41"/>
  <c r="A252" i="41" s="1"/>
  <c r="A264" i="41" s="1"/>
  <c r="M239" i="41"/>
  <c r="B239" i="41"/>
  <c r="B251" i="41" s="1"/>
  <c r="B263" i="41" s="1"/>
  <c r="M238" i="41"/>
  <c r="M237" i="41"/>
  <c r="M236" i="41"/>
  <c r="A236" i="41"/>
  <c r="A248" i="41" s="1"/>
  <c r="A260" i="41" s="1"/>
  <c r="M235" i="41"/>
  <c r="B235" i="41"/>
  <c r="B247" i="41" s="1"/>
  <c r="B259" i="41" s="1"/>
  <c r="M234" i="41"/>
  <c r="M233" i="41"/>
  <c r="M232" i="41"/>
  <c r="B232" i="41"/>
  <c r="B244" i="41" s="1"/>
  <c r="B256" i="41" s="1"/>
  <c r="B268" i="41" s="1"/>
  <c r="A232" i="41"/>
  <c r="A244" i="41" s="1"/>
  <c r="A256" i="41" s="1"/>
  <c r="A268" i="41" s="1"/>
  <c r="M231" i="41"/>
  <c r="B231" i="41"/>
  <c r="B243" i="41" s="1"/>
  <c r="B255" i="41" s="1"/>
  <c r="B267" i="41" s="1"/>
  <c r="A231" i="41"/>
  <c r="A243" i="41" s="1"/>
  <c r="A255" i="41" s="1"/>
  <c r="A267" i="41" s="1"/>
  <c r="M230" i="41"/>
  <c r="B230" i="41"/>
  <c r="B242" i="41" s="1"/>
  <c r="B254" i="41" s="1"/>
  <c r="B266" i="41" s="1"/>
  <c r="A230" i="41"/>
  <c r="A242" i="41" s="1"/>
  <c r="A254" i="41" s="1"/>
  <c r="A266" i="41" s="1"/>
  <c r="M229" i="41"/>
  <c r="B229" i="41"/>
  <c r="B241" i="41" s="1"/>
  <c r="B253" i="41" s="1"/>
  <c r="B265" i="41" s="1"/>
  <c r="A229" i="41"/>
  <c r="A241" i="41" s="1"/>
  <c r="A253" i="41" s="1"/>
  <c r="A265" i="41" s="1"/>
  <c r="M228" i="41"/>
  <c r="B228" i="41"/>
  <c r="B240" i="41" s="1"/>
  <c r="B252" i="41" s="1"/>
  <c r="B264" i="41" s="1"/>
  <c r="A228" i="41"/>
  <c r="M227" i="41"/>
  <c r="B227" i="41"/>
  <c r="A227" i="41"/>
  <c r="A239" i="41" s="1"/>
  <c r="A251" i="41" s="1"/>
  <c r="A263" i="41" s="1"/>
  <c r="M226" i="41"/>
  <c r="B226" i="41"/>
  <c r="B238" i="41" s="1"/>
  <c r="B250" i="41" s="1"/>
  <c r="B262" i="41" s="1"/>
  <c r="A226" i="41"/>
  <c r="A238" i="41" s="1"/>
  <c r="A250" i="41" s="1"/>
  <c r="A262" i="41" s="1"/>
  <c r="M225" i="41"/>
  <c r="B225" i="41"/>
  <c r="B237" i="41" s="1"/>
  <c r="B249" i="41" s="1"/>
  <c r="B261" i="41" s="1"/>
  <c r="A225" i="41"/>
  <c r="A237" i="41" s="1"/>
  <c r="A249" i="41" s="1"/>
  <c r="A261" i="41" s="1"/>
  <c r="M224" i="41"/>
  <c r="B224" i="41"/>
  <c r="B236" i="41" s="1"/>
  <c r="B248" i="41" s="1"/>
  <c r="B260" i="41" s="1"/>
  <c r="A224" i="41"/>
  <c r="M223" i="41"/>
  <c r="B223" i="41"/>
  <c r="A223" i="41"/>
  <c r="A235" i="41" s="1"/>
  <c r="A247" i="41" s="1"/>
  <c r="A259" i="41" s="1"/>
  <c r="M222" i="41"/>
  <c r="B222" i="41"/>
  <c r="B234" i="41" s="1"/>
  <c r="B246" i="41" s="1"/>
  <c r="B258" i="41" s="1"/>
  <c r="A222" i="41"/>
  <c r="A234" i="41" s="1"/>
  <c r="A246" i="41" s="1"/>
  <c r="A258" i="41" s="1"/>
  <c r="M221" i="41"/>
  <c r="B221" i="41"/>
  <c r="B233" i="41" s="1"/>
  <c r="B245" i="41" s="1"/>
  <c r="B257" i="41" s="1"/>
  <c r="A221" i="41"/>
  <c r="A233" i="41" s="1"/>
  <c r="A245" i="41" s="1"/>
  <c r="A257" i="41" s="1"/>
  <c r="M220" i="41"/>
  <c r="M219" i="41"/>
  <c r="M218" i="41"/>
  <c r="M217" i="41"/>
  <c r="M216" i="41"/>
  <c r="M215" i="41"/>
  <c r="M214" i="41"/>
  <c r="M213" i="41"/>
  <c r="M212" i="41"/>
  <c r="M211" i="41"/>
  <c r="M210" i="41"/>
  <c r="M209" i="41"/>
  <c r="M208" i="41"/>
  <c r="M207" i="41"/>
  <c r="M206" i="41"/>
  <c r="M205" i="41"/>
  <c r="M204" i="41"/>
  <c r="M203" i="41"/>
  <c r="M202" i="41"/>
  <c r="M201" i="41"/>
  <c r="M200" i="41"/>
  <c r="M199" i="41"/>
  <c r="M198" i="41"/>
  <c r="M197" i="41"/>
  <c r="M196" i="41"/>
  <c r="M195" i="41"/>
  <c r="M194" i="41"/>
  <c r="M193" i="41"/>
  <c r="M192" i="41"/>
  <c r="M191" i="41"/>
  <c r="M190" i="41"/>
  <c r="M189" i="41"/>
  <c r="M188" i="41"/>
  <c r="M187" i="41"/>
  <c r="M186" i="41"/>
  <c r="M185" i="41"/>
  <c r="M184" i="41"/>
  <c r="M183" i="41"/>
  <c r="M182" i="41"/>
  <c r="M181" i="41"/>
  <c r="M180" i="41"/>
  <c r="M179" i="41"/>
  <c r="M178" i="41"/>
  <c r="M177" i="41"/>
  <c r="M176" i="41"/>
  <c r="M175" i="41"/>
  <c r="M174" i="41"/>
  <c r="M173" i="41"/>
  <c r="M172" i="41"/>
  <c r="M171" i="41"/>
  <c r="M170" i="41"/>
  <c r="M169" i="41"/>
  <c r="M168" i="41"/>
  <c r="M167" i="41"/>
  <c r="M166" i="41"/>
  <c r="M165" i="41"/>
  <c r="M164" i="41"/>
  <c r="M163" i="41"/>
  <c r="M162" i="41"/>
  <c r="M161" i="41"/>
  <c r="M160" i="41"/>
  <c r="M159" i="41"/>
  <c r="M158" i="41"/>
  <c r="M157" i="41"/>
  <c r="M156" i="41"/>
  <c r="M155" i="41"/>
  <c r="M154" i="41"/>
  <c r="M153" i="41"/>
  <c r="M152" i="41"/>
  <c r="M151" i="41"/>
  <c r="M150" i="41"/>
  <c r="AB287" i="41"/>
  <c r="M149" i="41"/>
  <c r="M148" i="41"/>
  <c r="M147" i="41"/>
  <c r="M146" i="41"/>
  <c r="M145" i="41"/>
  <c r="M144" i="41"/>
  <c r="M143" i="41"/>
  <c r="M142" i="41"/>
  <c r="M141" i="41"/>
  <c r="M140" i="41"/>
  <c r="M139" i="41"/>
  <c r="M138" i="41"/>
  <c r="M137" i="41"/>
  <c r="M136" i="41"/>
  <c r="M135" i="41"/>
  <c r="M134" i="41"/>
  <c r="M133" i="41"/>
  <c r="M132" i="41"/>
  <c r="M131" i="41"/>
  <c r="M130" i="41"/>
  <c r="M129" i="41"/>
  <c r="M128" i="41"/>
  <c r="M127" i="41"/>
  <c r="M125" i="41"/>
  <c r="M124" i="41"/>
  <c r="M123" i="41"/>
  <c r="M122" i="41"/>
  <c r="M121" i="41"/>
  <c r="M120" i="41"/>
  <c r="M119" i="41"/>
  <c r="M118" i="41"/>
  <c r="M117" i="41"/>
  <c r="M116" i="41"/>
  <c r="M115" i="41"/>
  <c r="M114" i="41"/>
  <c r="M113" i="41"/>
  <c r="M112" i="41"/>
  <c r="B112" i="41"/>
  <c r="M111" i="41"/>
  <c r="B111" i="41"/>
  <c r="M110" i="41"/>
  <c r="B110" i="41"/>
  <c r="M109" i="41"/>
  <c r="B109" i="41"/>
  <c r="M108" i="41"/>
  <c r="B108" i="41"/>
  <c r="M107" i="41"/>
  <c r="B107" i="41"/>
  <c r="M106" i="41"/>
  <c r="B106" i="41"/>
  <c r="M105" i="41"/>
  <c r="B105" i="41"/>
  <c r="M104" i="41"/>
  <c r="B104" i="41"/>
  <c r="M103" i="41"/>
  <c r="B103" i="41"/>
  <c r="M102" i="41"/>
  <c r="B102" i="41"/>
  <c r="A102" i="41"/>
  <c r="A103" i="41" s="1"/>
  <c r="A104" i="41" s="1"/>
  <c r="A105" i="41" s="1"/>
  <c r="A106" i="41" s="1"/>
  <c r="A107" i="41" s="1"/>
  <c r="A108" i="41" s="1"/>
  <c r="A109" i="41" s="1"/>
  <c r="A110" i="41" s="1"/>
  <c r="A111" i="41" s="1"/>
  <c r="A112" i="41" s="1"/>
  <c r="M101" i="41"/>
  <c r="B101" i="41"/>
  <c r="M100" i="41"/>
  <c r="M99" i="41"/>
  <c r="M98" i="41"/>
  <c r="M97" i="41"/>
  <c r="M96" i="41"/>
  <c r="M95" i="41"/>
  <c r="M94" i="41"/>
  <c r="M93" i="41"/>
  <c r="M92" i="41"/>
  <c r="M91" i="41"/>
  <c r="M90" i="41"/>
  <c r="M89" i="41"/>
  <c r="M88" i="41"/>
  <c r="M87" i="41"/>
  <c r="M86" i="41"/>
  <c r="M85" i="41"/>
  <c r="M84" i="41"/>
  <c r="M83" i="41"/>
  <c r="M82" i="41"/>
  <c r="M81" i="41"/>
  <c r="M80" i="41"/>
  <c r="M79" i="41"/>
  <c r="M78" i="41"/>
  <c r="M77" i="41"/>
  <c r="M76" i="41"/>
  <c r="M75" i="41"/>
  <c r="M74" i="41"/>
  <c r="M73" i="41"/>
  <c r="M72" i="41"/>
  <c r="M71" i="41"/>
  <c r="M70" i="41"/>
  <c r="M69" i="41"/>
  <c r="M68" i="41"/>
  <c r="M67" i="41"/>
  <c r="M66" i="41"/>
  <c r="M65" i="41"/>
  <c r="M64" i="41"/>
  <c r="M63" i="41"/>
  <c r="M62" i="41"/>
  <c r="M61" i="41"/>
  <c r="M60" i="41"/>
  <c r="M59" i="41"/>
  <c r="M58" i="41"/>
  <c r="M57" i="41"/>
  <c r="M56" i="41"/>
  <c r="M55" i="41"/>
  <c r="M54" i="41"/>
  <c r="M53" i="41"/>
  <c r="M52" i="41"/>
  <c r="P51" i="41"/>
  <c r="M51" i="41"/>
  <c r="M50" i="41"/>
  <c r="P49" i="41"/>
  <c r="M49" i="41"/>
  <c r="M48" i="41"/>
  <c r="P47" i="41"/>
  <c r="M47" i="41"/>
  <c r="M46" i="41"/>
  <c r="P45" i="41"/>
  <c r="M45" i="41"/>
  <c r="M44" i="41"/>
  <c r="P43" i="41"/>
  <c r="M43" i="41"/>
  <c r="M42" i="41"/>
  <c r="P41" i="41"/>
  <c r="M41" i="41"/>
  <c r="M40" i="41"/>
  <c r="W40" i="41" s="1"/>
  <c r="AM40" i="41" s="1"/>
  <c r="V39" i="41"/>
  <c r="M39" i="41"/>
  <c r="W38" i="41"/>
  <c r="AM38" i="41" s="1"/>
  <c r="P38" i="41"/>
  <c r="M38" i="41"/>
  <c r="V37" i="41"/>
  <c r="M37" i="41"/>
  <c r="W36" i="41"/>
  <c r="AM36" i="41" s="1"/>
  <c r="P36" i="41"/>
  <c r="M36" i="41"/>
  <c r="R35" i="41"/>
  <c r="M35" i="41"/>
  <c r="M34" i="41"/>
  <c r="M33" i="41"/>
  <c r="V33" i="41" s="1"/>
  <c r="M32" i="41"/>
  <c r="W32" i="41" s="1"/>
  <c r="AM32" i="41" s="1"/>
  <c r="V31" i="41"/>
  <c r="M31" i="41"/>
  <c r="W30" i="41"/>
  <c r="AM30" i="41" s="1"/>
  <c r="P30" i="41"/>
  <c r="M30" i="41"/>
  <c r="V29" i="41"/>
  <c r="M29" i="41"/>
  <c r="V28" i="41"/>
  <c r="O28" i="41"/>
  <c r="N28" i="41"/>
  <c r="M28" i="41"/>
  <c r="X27" i="41"/>
  <c r="W27" i="41"/>
  <c r="AM27" i="41" s="1"/>
  <c r="P27" i="41"/>
  <c r="O27" i="41"/>
  <c r="M27" i="41"/>
  <c r="V27" i="41" s="1"/>
  <c r="V26" i="41"/>
  <c r="R26" i="41"/>
  <c r="N26" i="41"/>
  <c r="M26" i="41"/>
  <c r="X25" i="41"/>
  <c r="W25" i="41"/>
  <c r="AM25" i="41" s="1"/>
  <c r="P25" i="41"/>
  <c r="O25" i="41"/>
  <c r="M25" i="41"/>
  <c r="V25" i="41" s="1"/>
  <c r="K25" i="41"/>
  <c r="K37" i="41" s="1"/>
  <c r="V24" i="41"/>
  <c r="R24" i="41"/>
  <c r="N24" i="41"/>
  <c r="M24" i="41"/>
  <c r="X23" i="41"/>
  <c r="W23" i="41"/>
  <c r="AM23" i="41" s="1"/>
  <c r="P23" i="41"/>
  <c r="O23" i="41"/>
  <c r="M23" i="41"/>
  <c r="V23" i="41" s="1"/>
  <c r="V22" i="41"/>
  <c r="R22" i="41"/>
  <c r="N22" i="41"/>
  <c r="M22" i="41"/>
  <c r="X21" i="41"/>
  <c r="W21" i="41"/>
  <c r="AM21" i="41" s="1"/>
  <c r="P21" i="41"/>
  <c r="O21" i="41"/>
  <c r="M21" i="41"/>
  <c r="V21" i="41" s="1"/>
  <c r="K21" i="41"/>
  <c r="K33" i="41" s="1"/>
  <c r="V20" i="41"/>
  <c r="R20" i="41"/>
  <c r="N20" i="41"/>
  <c r="M20" i="41"/>
  <c r="X19" i="41"/>
  <c r="W19" i="41"/>
  <c r="AM19" i="41" s="1"/>
  <c r="P19" i="41"/>
  <c r="O19" i="41"/>
  <c r="M19" i="41"/>
  <c r="V19" i="41" s="1"/>
  <c r="V18" i="41"/>
  <c r="R18" i="41"/>
  <c r="N18" i="41"/>
  <c r="M18" i="41"/>
  <c r="X17" i="41"/>
  <c r="W17" i="41"/>
  <c r="AM17" i="41" s="1"/>
  <c r="P17" i="41"/>
  <c r="O17" i="41"/>
  <c r="M17" i="41"/>
  <c r="V17" i="41" s="1"/>
  <c r="X16" i="41"/>
  <c r="W16" i="41"/>
  <c r="AM16" i="41" s="1"/>
  <c r="P16" i="41"/>
  <c r="O16" i="41"/>
  <c r="M16" i="41"/>
  <c r="V16" i="41" s="1"/>
  <c r="K28" i="41"/>
  <c r="V15" i="41"/>
  <c r="R15" i="41"/>
  <c r="N15" i="41"/>
  <c r="M15" i="41"/>
  <c r="K27" i="41"/>
  <c r="K39" i="41" s="1"/>
  <c r="X14" i="41"/>
  <c r="W14" i="41"/>
  <c r="AM14" i="41" s="1"/>
  <c r="P14" i="41"/>
  <c r="O14" i="41"/>
  <c r="M14" i="41"/>
  <c r="V14" i="41" s="1"/>
  <c r="K26" i="41"/>
  <c r="K38" i="41" s="1"/>
  <c r="V13" i="41"/>
  <c r="R13" i="41"/>
  <c r="N13" i="41"/>
  <c r="M13" i="41"/>
  <c r="X12" i="41"/>
  <c r="W12" i="41"/>
  <c r="AM12" i="41" s="1"/>
  <c r="P12" i="41"/>
  <c r="O12" i="41"/>
  <c r="M12" i="41"/>
  <c r="V12" i="41" s="1"/>
  <c r="K24" i="41"/>
  <c r="V11" i="41"/>
  <c r="R11" i="41"/>
  <c r="N11" i="41"/>
  <c r="M11" i="41"/>
  <c r="K23" i="41"/>
  <c r="K35" i="41" s="1"/>
  <c r="X10" i="41"/>
  <c r="W10" i="41"/>
  <c r="AM10" i="41" s="1"/>
  <c r="P10" i="41"/>
  <c r="O10" i="41"/>
  <c r="M10" i="41"/>
  <c r="V10" i="41" s="1"/>
  <c r="K22" i="41"/>
  <c r="V9" i="41"/>
  <c r="R9" i="41"/>
  <c r="N9" i="41"/>
  <c r="M9" i="41"/>
  <c r="X8" i="41"/>
  <c r="W8" i="41"/>
  <c r="AM8" i="41" s="1"/>
  <c r="P8" i="41"/>
  <c r="O8" i="41"/>
  <c r="M8" i="41"/>
  <c r="V8" i="41" s="1"/>
  <c r="K20" i="41"/>
  <c r="M7" i="41"/>
  <c r="K19" i="41"/>
  <c r="K31" i="41" s="1"/>
  <c r="X6" i="41"/>
  <c r="W6" i="41"/>
  <c r="AM6" i="41" s="1"/>
  <c r="P6" i="41"/>
  <c r="O6" i="41"/>
  <c r="M6" i="41"/>
  <c r="V6" i="41" s="1"/>
  <c r="K18" i="41"/>
  <c r="K30" i="41" s="1"/>
  <c r="R5" i="41"/>
  <c r="M5" i="41"/>
  <c r="AB278" i="41" l="1"/>
  <c r="AB276" i="41"/>
  <c r="AB277" i="41"/>
  <c r="AB296" i="41"/>
  <c r="AB279" i="41"/>
  <c r="D130" i="38"/>
  <c r="D132" i="38"/>
  <c r="D127" i="38"/>
  <c r="D129" i="38"/>
  <c r="D136" i="38"/>
  <c r="D126" i="38"/>
  <c r="D138" i="38" s="1"/>
  <c r="D134" i="38"/>
  <c r="D135" i="38"/>
  <c r="D119" i="38"/>
  <c r="D115" i="38"/>
  <c r="D117" i="38"/>
  <c r="D124" i="38"/>
  <c r="D114" i="38"/>
  <c r="D121" i="38"/>
  <c r="D116" i="38"/>
  <c r="D123" i="38"/>
  <c r="D122" i="38"/>
  <c r="D113" i="38"/>
  <c r="D118" i="38"/>
  <c r="D120" i="38"/>
  <c r="D125" i="38"/>
  <c r="D137" i="38" s="1"/>
  <c r="D131" i="38"/>
  <c r="D133" i="38"/>
  <c r="L21" i="41"/>
  <c r="L5" i="41"/>
  <c r="K17" i="41"/>
  <c r="K29" i="41" s="1"/>
  <c r="D126" i="41"/>
  <c r="D128" i="41"/>
  <c r="D125" i="41"/>
  <c r="D131" i="41"/>
  <c r="D133" i="41"/>
  <c r="D130" i="41"/>
  <c r="D132" i="41"/>
  <c r="D127" i="41"/>
  <c r="D129" i="41"/>
  <c r="D136" i="41"/>
  <c r="D134" i="41"/>
  <c r="D135" i="41"/>
  <c r="D16" i="41"/>
  <c r="D13" i="41"/>
  <c r="D5" i="41"/>
  <c r="D9" i="41"/>
  <c r="D12" i="41"/>
  <c r="D8" i="41"/>
  <c r="K42" i="41"/>
  <c r="K50" i="41"/>
  <c r="X7" i="41"/>
  <c r="P7" i="41"/>
  <c r="W7" i="41"/>
  <c r="AM7" i="41" s="1"/>
  <c r="O7" i="41"/>
  <c r="V7" i="41"/>
  <c r="L10" i="41"/>
  <c r="L11" i="41"/>
  <c r="D26" i="41"/>
  <c r="L14" i="41"/>
  <c r="L15" i="41"/>
  <c r="D19" i="41"/>
  <c r="D27" i="41"/>
  <c r="V34" i="41"/>
  <c r="R34" i="41"/>
  <c r="W34" i="41"/>
  <c r="AM34" i="41" s="1"/>
  <c r="P34" i="41"/>
  <c r="X35" i="41"/>
  <c r="P35" i="41"/>
  <c r="V35" i="41"/>
  <c r="K34" i="41"/>
  <c r="L22" i="41"/>
  <c r="L19" i="41"/>
  <c r="L23" i="41"/>
  <c r="P54" i="41"/>
  <c r="D22" i="41"/>
  <c r="D11" i="41"/>
  <c r="D14" i="41"/>
  <c r="D15" i="41"/>
  <c r="P53" i="41"/>
  <c r="P55" i="41"/>
  <c r="P57" i="41"/>
  <c r="P59" i="41"/>
  <c r="P61" i="41"/>
  <c r="L26" i="41"/>
  <c r="L25" i="41"/>
  <c r="L27" i="41"/>
  <c r="K49" i="41"/>
  <c r="P56" i="41"/>
  <c r="P58" i="41"/>
  <c r="P60" i="41"/>
  <c r="L18" i="41"/>
  <c r="N7" i="41"/>
  <c r="X5" i="41"/>
  <c r="P5" i="41"/>
  <c r="W5" i="41"/>
  <c r="AM5" i="41" s="1"/>
  <c r="O5" i="41"/>
  <c r="D6" i="41"/>
  <c r="L6" i="41"/>
  <c r="D7" i="41"/>
  <c r="L20" i="41"/>
  <c r="K32" i="41"/>
  <c r="D10" i="41"/>
  <c r="K36" i="41"/>
  <c r="L31" i="41" s="1"/>
  <c r="L24" i="41"/>
  <c r="L28" i="41"/>
  <c r="K40" i="41"/>
  <c r="N5" i="41"/>
  <c r="V5" i="41"/>
  <c r="L7" i="41"/>
  <c r="R7" i="41"/>
  <c r="L8" i="41"/>
  <c r="L9" i="41"/>
  <c r="D24" i="41"/>
  <c r="L12" i="41"/>
  <c r="L13" i="41"/>
  <c r="D28" i="41"/>
  <c r="L16" i="41"/>
  <c r="L17" i="41"/>
  <c r="K43" i="41"/>
  <c r="K45" i="41"/>
  <c r="L35" i="41"/>
  <c r="K47" i="41"/>
  <c r="K51" i="41"/>
  <c r="K41" i="41"/>
  <c r="X34" i="41"/>
  <c r="W35" i="41"/>
  <c r="AM35" i="41" s="1"/>
  <c r="P64" i="41"/>
  <c r="W9" i="41"/>
  <c r="AM9" i="41" s="1"/>
  <c r="O11" i="41"/>
  <c r="W11" i="41"/>
  <c r="AM11" i="41" s="1"/>
  <c r="O15" i="41"/>
  <c r="W15" i="41"/>
  <c r="AM15" i="41" s="1"/>
  <c r="W18" i="41"/>
  <c r="AM18" i="41" s="1"/>
  <c r="O20" i="41"/>
  <c r="W20" i="41"/>
  <c r="AM20" i="41" s="1"/>
  <c r="W22" i="41"/>
  <c r="AM22" i="41" s="1"/>
  <c r="W24" i="41"/>
  <c r="AM24" i="41" s="1"/>
  <c r="W26" i="41"/>
  <c r="AM26" i="41" s="1"/>
  <c r="X29" i="41"/>
  <c r="P29" i="41"/>
  <c r="R29" i="41"/>
  <c r="W29" i="41"/>
  <c r="AM29" i="41" s="1"/>
  <c r="P32" i="41"/>
  <c r="V36" i="41"/>
  <c r="R36" i="41"/>
  <c r="X36" i="41"/>
  <c r="X37" i="41"/>
  <c r="P37" i="41"/>
  <c r="R37" i="41"/>
  <c r="W37" i="41"/>
  <c r="AM37" i="41" s="1"/>
  <c r="P40" i="41"/>
  <c r="P42" i="41"/>
  <c r="P44" i="41"/>
  <c r="P46" i="41"/>
  <c r="P48" i="41"/>
  <c r="P50" i="41"/>
  <c r="P52" i="41"/>
  <c r="AB280" i="41"/>
  <c r="P62" i="41"/>
  <c r="P63" i="41"/>
  <c r="AB275" i="41"/>
  <c r="O9" i="41"/>
  <c r="O13" i="41"/>
  <c r="W13" i="41"/>
  <c r="AM13" i="41" s="1"/>
  <c r="O18" i="41"/>
  <c r="O22" i="41"/>
  <c r="O24" i="41"/>
  <c r="O26" i="41"/>
  <c r="N6" i="41"/>
  <c r="R6" i="41"/>
  <c r="N8" i="41"/>
  <c r="R8" i="41"/>
  <c r="P9" i="41"/>
  <c r="X9" i="41"/>
  <c r="N10" i="41"/>
  <c r="R10" i="41"/>
  <c r="P11" i="41"/>
  <c r="X11" i="41"/>
  <c r="N12" i="41"/>
  <c r="R12" i="41"/>
  <c r="P13" i="41"/>
  <c r="X13" i="41"/>
  <c r="N14" i="41"/>
  <c r="R14" i="41"/>
  <c r="P15" i="41"/>
  <c r="X15" i="41"/>
  <c r="N16" i="41"/>
  <c r="R16" i="41"/>
  <c r="N17" i="41"/>
  <c r="R17" i="41"/>
  <c r="P18" i="41"/>
  <c r="X18" i="41"/>
  <c r="N19" i="41"/>
  <c r="R19" i="41"/>
  <c r="P20" i="41"/>
  <c r="X20" i="41"/>
  <c r="N21" i="41"/>
  <c r="R21" i="41"/>
  <c r="P22" i="41"/>
  <c r="X22" i="41"/>
  <c r="N23" i="41"/>
  <c r="R23" i="41"/>
  <c r="P24" i="41"/>
  <c r="X24" i="41"/>
  <c r="N25" i="41"/>
  <c r="R25" i="41"/>
  <c r="P26" i="41"/>
  <c r="X26" i="41"/>
  <c r="N27" i="41"/>
  <c r="R27" i="41"/>
  <c r="X28" i="41"/>
  <c r="P28" i="41"/>
  <c r="R28" i="41"/>
  <c r="W28" i="41"/>
  <c r="AM28" i="41" s="1"/>
  <c r="V30" i="41"/>
  <c r="R30" i="41"/>
  <c r="X30" i="41"/>
  <c r="X31" i="41"/>
  <c r="P31" i="41"/>
  <c r="R31" i="41"/>
  <c r="W31" i="41"/>
  <c r="AM31" i="41" s="1"/>
  <c r="V38" i="41"/>
  <c r="R38" i="41"/>
  <c r="X38" i="41"/>
  <c r="X39" i="41"/>
  <c r="P39" i="41"/>
  <c r="R39" i="41"/>
  <c r="W39" i="41"/>
  <c r="AM39" i="41" s="1"/>
  <c r="AB281" i="41"/>
  <c r="V32" i="41"/>
  <c r="R32" i="41"/>
  <c r="X32" i="41"/>
  <c r="X33" i="41"/>
  <c r="P33" i="41"/>
  <c r="R33" i="41"/>
  <c r="W33" i="41"/>
  <c r="AM33" i="41" s="1"/>
  <c r="V40" i="41"/>
  <c r="R40" i="41"/>
  <c r="X40" i="41"/>
  <c r="AB282" i="41"/>
  <c r="AB283" i="41"/>
  <c r="AB284" i="41"/>
  <c r="AB285" i="41"/>
  <c r="AB288" i="41"/>
  <c r="AB286" i="41"/>
  <c r="AB291" i="41"/>
  <c r="AB289" i="41"/>
  <c r="AB290" i="41"/>
  <c r="AB292" i="41"/>
  <c r="AB293" i="41"/>
  <c r="AB295" i="41"/>
  <c r="AB294" i="41"/>
  <c r="AN28" i="41" l="1"/>
  <c r="D147" i="41"/>
  <c r="D145" i="41"/>
  <c r="D144" i="41"/>
  <c r="F13" i="41"/>
  <c r="D142" i="41"/>
  <c r="D137" i="41"/>
  <c r="E9" i="41"/>
  <c r="D139" i="41"/>
  <c r="D138" i="41"/>
  <c r="D146" i="41"/>
  <c r="D143" i="41"/>
  <c r="H12" i="41"/>
  <c r="H16" i="41"/>
  <c r="D141" i="41"/>
  <c r="D140" i="41"/>
  <c r="E5" i="41"/>
  <c r="H5" i="41"/>
  <c r="F5" i="41"/>
  <c r="E16" i="41"/>
  <c r="F16" i="41"/>
  <c r="E8" i="41"/>
  <c r="L30" i="41"/>
  <c r="L38" i="41"/>
  <c r="L37" i="41"/>
  <c r="H8" i="41"/>
  <c r="F8" i="41"/>
  <c r="D25" i="41"/>
  <c r="D18" i="41"/>
  <c r="H13" i="41"/>
  <c r="E12" i="41"/>
  <c r="D23" i="41"/>
  <c r="H9" i="41"/>
  <c r="D17" i="41"/>
  <c r="D20" i="41"/>
  <c r="F9" i="41"/>
  <c r="E13" i="41"/>
  <c r="F12" i="41"/>
  <c r="D21" i="41"/>
  <c r="D32" i="41"/>
  <c r="H22" i="41"/>
  <c r="F22" i="41"/>
  <c r="D37" i="41"/>
  <c r="L34" i="41"/>
  <c r="K46" i="41"/>
  <c r="AN40" i="41"/>
  <c r="K63" i="41"/>
  <c r="K57" i="41"/>
  <c r="D40" i="41"/>
  <c r="K48" i="41"/>
  <c r="L36" i="41"/>
  <c r="H7" i="41"/>
  <c r="E7" i="41"/>
  <c r="F7" i="41"/>
  <c r="F14" i="41"/>
  <c r="E14" i="41"/>
  <c r="H14" i="41"/>
  <c r="F27" i="41"/>
  <c r="H27" i="41"/>
  <c r="F19" i="41"/>
  <c r="H19" i="41"/>
  <c r="H26" i="41"/>
  <c r="F26" i="41"/>
  <c r="D35" i="41"/>
  <c r="K54" i="41"/>
  <c r="E15" i="41"/>
  <c r="H15" i="41"/>
  <c r="F15" i="41"/>
  <c r="K53" i="41"/>
  <c r="L39" i="41"/>
  <c r="L33" i="41"/>
  <c r="H28" i="41"/>
  <c r="F28" i="41"/>
  <c r="D36" i="41"/>
  <c r="L40" i="41"/>
  <c r="K52" i="41"/>
  <c r="L42" i="41" s="1"/>
  <c r="F10" i="41"/>
  <c r="E10" i="41"/>
  <c r="H10" i="41"/>
  <c r="AN16" i="41"/>
  <c r="D33" i="41"/>
  <c r="E11" i="41"/>
  <c r="H11" i="41"/>
  <c r="F11" i="41"/>
  <c r="D39" i="41"/>
  <c r="D38" i="41"/>
  <c r="L29" i="41"/>
  <c r="K59" i="41"/>
  <c r="K55" i="41"/>
  <c r="D29" i="41"/>
  <c r="H24" i="41"/>
  <c r="F24" i="41"/>
  <c r="L32" i="41"/>
  <c r="K44" i="41"/>
  <c r="F6" i="41"/>
  <c r="E6" i="41"/>
  <c r="H6" i="41"/>
  <c r="K61" i="41"/>
  <c r="L49" i="41"/>
  <c r="D31" i="41"/>
  <c r="K62" i="41"/>
  <c r="X40" i="40"/>
  <c r="W40" i="40"/>
  <c r="V40" i="40"/>
  <c r="X39" i="40"/>
  <c r="W39" i="40"/>
  <c r="V39" i="40"/>
  <c r="X38" i="40"/>
  <c r="W38" i="40"/>
  <c r="V38" i="40"/>
  <c r="X37" i="40"/>
  <c r="W37" i="40"/>
  <c r="V37" i="40"/>
  <c r="X36" i="40"/>
  <c r="W36" i="40"/>
  <c r="V36" i="40"/>
  <c r="X35" i="40"/>
  <c r="W35" i="40"/>
  <c r="V35" i="40"/>
  <c r="X34" i="40"/>
  <c r="W34" i="40"/>
  <c r="V34" i="40"/>
  <c r="X33" i="40"/>
  <c r="W33" i="40"/>
  <c r="V33" i="40"/>
  <c r="X32" i="40"/>
  <c r="W32" i="40"/>
  <c r="V32" i="40"/>
  <c r="X31" i="40"/>
  <c r="W31" i="40"/>
  <c r="V31" i="40"/>
  <c r="X30" i="40"/>
  <c r="W30" i="40"/>
  <c r="V30" i="40"/>
  <c r="X29" i="40"/>
  <c r="W29" i="40"/>
  <c r="V29" i="40"/>
  <c r="X28" i="40"/>
  <c r="W28" i="40"/>
  <c r="V28" i="40"/>
  <c r="X27" i="40"/>
  <c r="W27" i="40"/>
  <c r="V27" i="40"/>
  <c r="X26" i="40"/>
  <c r="W26" i="40"/>
  <c r="V26" i="40"/>
  <c r="X25" i="40"/>
  <c r="W25" i="40"/>
  <c r="V25" i="40"/>
  <c r="X24" i="40"/>
  <c r="W24" i="40"/>
  <c r="V24" i="40"/>
  <c r="X23" i="40"/>
  <c r="W23" i="40"/>
  <c r="V23" i="40"/>
  <c r="X22" i="40"/>
  <c r="W22" i="40"/>
  <c r="V22" i="40"/>
  <c r="X21" i="40"/>
  <c r="W21" i="40"/>
  <c r="V21" i="40"/>
  <c r="X20" i="40"/>
  <c r="W20" i="40"/>
  <c r="V20" i="40"/>
  <c r="X19" i="40"/>
  <c r="W19" i="40"/>
  <c r="V19" i="40"/>
  <c r="X18" i="40"/>
  <c r="W18" i="40"/>
  <c r="V18" i="40"/>
  <c r="X17" i="40"/>
  <c r="W17" i="40"/>
  <c r="V17" i="40"/>
  <c r="X16" i="40"/>
  <c r="W16" i="40"/>
  <c r="V16" i="40"/>
  <c r="X15" i="40"/>
  <c r="W15" i="40"/>
  <c r="V15" i="40"/>
  <c r="X14" i="40"/>
  <c r="W14" i="40"/>
  <c r="V14" i="40"/>
  <c r="X13" i="40"/>
  <c r="W13" i="40"/>
  <c r="V13" i="40"/>
  <c r="X12" i="40"/>
  <c r="W12" i="40"/>
  <c r="V12" i="40"/>
  <c r="X11" i="40"/>
  <c r="W11" i="40"/>
  <c r="V11" i="40"/>
  <c r="X10" i="40"/>
  <c r="W10" i="40"/>
  <c r="V10" i="40"/>
  <c r="X9" i="40"/>
  <c r="W9" i="40"/>
  <c r="V9" i="40"/>
  <c r="X8" i="40"/>
  <c r="W8" i="40"/>
  <c r="V8" i="40"/>
  <c r="X7" i="40"/>
  <c r="W7" i="40"/>
  <c r="V7" i="40"/>
  <c r="X6" i="40"/>
  <c r="W6" i="40"/>
  <c r="V6" i="40"/>
  <c r="X5" i="40"/>
  <c r="W5" i="40"/>
  <c r="V5" i="40"/>
  <c r="O28" i="40"/>
  <c r="N28" i="40"/>
  <c r="O27" i="40"/>
  <c r="N27" i="40"/>
  <c r="O26" i="40"/>
  <c r="N26" i="40"/>
  <c r="O25" i="40"/>
  <c r="N25" i="40"/>
  <c r="O24" i="40"/>
  <c r="N24" i="40"/>
  <c r="O23" i="40"/>
  <c r="N23" i="40"/>
  <c r="O22" i="40"/>
  <c r="N22" i="40"/>
  <c r="O21" i="40"/>
  <c r="N21" i="40"/>
  <c r="O20" i="40"/>
  <c r="N20" i="40"/>
  <c r="O19" i="40"/>
  <c r="N19" i="40"/>
  <c r="O18" i="40"/>
  <c r="N18" i="40"/>
  <c r="O17" i="40"/>
  <c r="N17" i="40"/>
  <c r="O16" i="40"/>
  <c r="N16" i="40"/>
  <c r="O15" i="40"/>
  <c r="N15" i="40"/>
  <c r="O14" i="40"/>
  <c r="N14" i="40"/>
  <c r="O13" i="40"/>
  <c r="N13" i="40"/>
  <c r="O12" i="40"/>
  <c r="N12" i="40"/>
  <c r="O11" i="40"/>
  <c r="N11" i="40"/>
  <c r="O10" i="40"/>
  <c r="N10" i="40"/>
  <c r="O9" i="40"/>
  <c r="N9" i="40"/>
  <c r="O8" i="40"/>
  <c r="N8" i="40"/>
  <c r="O7" i="40"/>
  <c r="N7" i="40"/>
  <c r="O6" i="40"/>
  <c r="N6" i="40"/>
  <c r="O5" i="40"/>
  <c r="N5" i="40"/>
  <c r="M244" i="40"/>
  <c r="M243" i="40"/>
  <c r="M242" i="40"/>
  <c r="M241" i="40"/>
  <c r="M240" i="40"/>
  <c r="M239" i="40"/>
  <c r="M238" i="40"/>
  <c r="M237" i="40"/>
  <c r="M236" i="40"/>
  <c r="M235" i="40"/>
  <c r="M234" i="40"/>
  <c r="M233" i="40"/>
  <c r="M196" i="40"/>
  <c r="M195" i="40"/>
  <c r="M194" i="40"/>
  <c r="M193" i="40"/>
  <c r="M192" i="40"/>
  <c r="M191" i="40"/>
  <c r="M190" i="40"/>
  <c r="M189" i="40"/>
  <c r="M188" i="40"/>
  <c r="M187" i="40"/>
  <c r="M186" i="40"/>
  <c r="M185" i="40"/>
  <c r="M148" i="40"/>
  <c r="M147" i="40"/>
  <c r="M146" i="40"/>
  <c r="M145" i="40"/>
  <c r="M144" i="40"/>
  <c r="M143" i="40"/>
  <c r="M142" i="40"/>
  <c r="M141" i="40"/>
  <c r="M140" i="40"/>
  <c r="M139" i="40"/>
  <c r="M138" i="40"/>
  <c r="M137" i="40"/>
  <c r="M100" i="40"/>
  <c r="M99" i="40"/>
  <c r="M98" i="40"/>
  <c r="M97" i="40"/>
  <c r="M96" i="40"/>
  <c r="M95" i="40"/>
  <c r="M94" i="40"/>
  <c r="M93" i="40"/>
  <c r="M92" i="40"/>
  <c r="M91" i="40"/>
  <c r="M90" i="40"/>
  <c r="M89" i="40"/>
  <c r="M42" i="40"/>
  <c r="M52" i="40"/>
  <c r="M51" i="40"/>
  <c r="M50" i="40"/>
  <c r="M49" i="40"/>
  <c r="M48" i="40"/>
  <c r="M47" i="40"/>
  <c r="P47" i="40" s="1"/>
  <c r="M46" i="40"/>
  <c r="M45" i="40"/>
  <c r="M44" i="40"/>
  <c r="M43" i="40"/>
  <c r="M41" i="40"/>
  <c r="M268" i="40"/>
  <c r="M267" i="40"/>
  <c r="M266" i="40"/>
  <c r="M265" i="40"/>
  <c r="M264" i="40"/>
  <c r="M263" i="40"/>
  <c r="M262" i="40"/>
  <c r="M261" i="40"/>
  <c r="M260" i="40"/>
  <c r="M259" i="40"/>
  <c r="M258" i="40"/>
  <c r="M257" i="40"/>
  <c r="M256" i="40"/>
  <c r="M255" i="40"/>
  <c r="M254" i="40"/>
  <c r="M253" i="40"/>
  <c r="M252" i="40"/>
  <c r="M251" i="40"/>
  <c r="M250" i="40"/>
  <c r="M249" i="40"/>
  <c r="M248" i="40"/>
  <c r="M247" i="40"/>
  <c r="M246" i="40"/>
  <c r="M245" i="40"/>
  <c r="M232" i="40"/>
  <c r="M231" i="40"/>
  <c r="M230" i="40"/>
  <c r="M229" i="40"/>
  <c r="M228" i="40"/>
  <c r="M227" i="40"/>
  <c r="M226" i="40"/>
  <c r="M225" i="40"/>
  <c r="M224" i="40"/>
  <c r="M223" i="40"/>
  <c r="M222" i="40"/>
  <c r="M221" i="40"/>
  <c r="M220" i="40"/>
  <c r="M219" i="40"/>
  <c r="M218" i="40"/>
  <c r="M217" i="40"/>
  <c r="M216" i="40"/>
  <c r="M215" i="40"/>
  <c r="M214" i="40"/>
  <c r="M213" i="40"/>
  <c r="M212" i="40"/>
  <c r="M211" i="40"/>
  <c r="M210" i="40"/>
  <c r="M209" i="40"/>
  <c r="M208" i="40"/>
  <c r="M207" i="40"/>
  <c r="M206" i="40"/>
  <c r="M205" i="40"/>
  <c r="M204" i="40"/>
  <c r="M203" i="40"/>
  <c r="M202" i="40"/>
  <c r="M201" i="40"/>
  <c r="M200" i="40"/>
  <c r="M199" i="40"/>
  <c r="M198" i="40"/>
  <c r="M197" i="40"/>
  <c r="M184" i="40"/>
  <c r="M183" i="40"/>
  <c r="M182" i="40"/>
  <c r="M181" i="40"/>
  <c r="M180" i="40"/>
  <c r="M179" i="40"/>
  <c r="M178" i="40"/>
  <c r="M177" i="40"/>
  <c r="M176" i="40"/>
  <c r="M175" i="40"/>
  <c r="M174" i="40"/>
  <c r="M173" i="40"/>
  <c r="M172" i="40"/>
  <c r="M171" i="40"/>
  <c r="M170" i="40"/>
  <c r="M169" i="40"/>
  <c r="M168" i="40"/>
  <c r="M167" i="40"/>
  <c r="M166" i="40"/>
  <c r="M165" i="40"/>
  <c r="M164" i="40"/>
  <c r="M163" i="40"/>
  <c r="M162" i="40"/>
  <c r="M161" i="40"/>
  <c r="M160" i="40"/>
  <c r="M159" i="40"/>
  <c r="M158" i="40"/>
  <c r="M157" i="40"/>
  <c r="M156" i="40"/>
  <c r="M155" i="40"/>
  <c r="M154" i="40"/>
  <c r="M153" i="40"/>
  <c r="M152" i="40"/>
  <c r="M151" i="40"/>
  <c r="M150" i="40"/>
  <c r="M149" i="40"/>
  <c r="M136" i="40"/>
  <c r="M135" i="40"/>
  <c r="M134" i="40"/>
  <c r="M133" i="40"/>
  <c r="M132" i="40"/>
  <c r="M131" i="40"/>
  <c r="M130" i="40"/>
  <c r="M129" i="40"/>
  <c r="M128" i="40"/>
  <c r="M127" i="40"/>
  <c r="M126" i="40"/>
  <c r="M125" i="40"/>
  <c r="M124" i="40"/>
  <c r="M123" i="40"/>
  <c r="M122" i="40"/>
  <c r="M121" i="40"/>
  <c r="M120" i="40"/>
  <c r="M119" i="40"/>
  <c r="M118" i="40"/>
  <c r="M117" i="40"/>
  <c r="M116" i="40"/>
  <c r="M115" i="40"/>
  <c r="M114" i="40"/>
  <c r="M113" i="40"/>
  <c r="M112" i="40"/>
  <c r="M111" i="40"/>
  <c r="M110" i="40"/>
  <c r="M109" i="40"/>
  <c r="M108" i="40"/>
  <c r="M107" i="40"/>
  <c r="M106" i="40"/>
  <c r="M105" i="40"/>
  <c r="M104" i="40"/>
  <c r="M103" i="40"/>
  <c r="M102" i="40"/>
  <c r="M101" i="40"/>
  <c r="M88" i="40"/>
  <c r="M87" i="40"/>
  <c r="M86" i="40"/>
  <c r="M85" i="40"/>
  <c r="M84" i="40"/>
  <c r="M83" i="40"/>
  <c r="M82" i="40"/>
  <c r="M81" i="40"/>
  <c r="M80" i="40"/>
  <c r="M79" i="40"/>
  <c r="M78" i="40"/>
  <c r="M77" i="40"/>
  <c r="M76" i="40"/>
  <c r="M75" i="40"/>
  <c r="M74" i="40"/>
  <c r="M73" i="40"/>
  <c r="M72" i="40"/>
  <c r="M71" i="40"/>
  <c r="M70" i="40"/>
  <c r="M69" i="40"/>
  <c r="M68" i="40"/>
  <c r="M67" i="40"/>
  <c r="M66" i="40"/>
  <c r="M65" i="40"/>
  <c r="M64" i="40"/>
  <c r="M63" i="40"/>
  <c r="M62" i="40"/>
  <c r="M61" i="40"/>
  <c r="M60" i="40"/>
  <c r="M59" i="40"/>
  <c r="M58" i="40"/>
  <c r="M57" i="40"/>
  <c r="M56" i="40"/>
  <c r="M55" i="40"/>
  <c r="M54" i="40"/>
  <c r="M53" i="40"/>
  <c r="M40" i="40"/>
  <c r="M39" i="40"/>
  <c r="M38" i="40"/>
  <c r="M37" i="40"/>
  <c r="M36" i="40"/>
  <c r="M35" i="40"/>
  <c r="M34" i="40"/>
  <c r="M33" i="40"/>
  <c r="M32" i="40"/>
  <c r="M31" i="40"/>
  <c r="M30" i="40"/>
  <c r="M29" i="40"/>
  <c r="M28" i="40"/>
  <c r="M27" i="40"/>
  <c r="M26" i="40"/>
  <c r="M25" i="40"/>
  <c r="M24" i="40"/>
  <c r="M23" i="40"/>
  <c r="M22" i="40"/>
  <c r="M21" i="40"/>
  <c r="M20" i="40"/>
  <c r="M19" i="40"/>
  <c r="M18" i="40"/>
  <c r="M17" i="40"/>
  <c r="M15" i="40"/>
  <c r="M13" i="40"/>
  <c r="R13" i="40" s="1"/>
  <c r="M10" i="40"/>
  <c r="M8" i="40"/>
  <c r="M6" i="40"/>
  <c r="R22" i="40"/>
  <c r="P24" i="40"/>
  <c r="P28" i="40"/>
  <c r="M7" i="40"/>
  <c r="M9" i="40"/>
  <c r="R9" i="40" s="1"/>
  <c r="M11" i="40"/>
  <c r="M12" i="40"/>
  <c r="M14" i="40"/>
  <c r="M16" i="40"/>
  <c r="M5" i="40"/>
  <c r="B244" i="40"/>
  <c r="B256" i="40" s="1"/>
  <c r="B268" i="40" s="1"/>
  <c r="A244" i="40"/>
  <c r="A256" i="40" s="1"/>
  <c r="A268" i="40" s="1"/>
  <c r="A243" i="40"/>
  <c r="A255" i="40" s="1"/>
  <c r="A267" i="40" s="1"/>
  <c r="B242" i="40"/>
  <c r="B254" i="40" s="1"/>
  <c r="B266" i="40" s="1"/>
  <c r="AB294" i="40"/>
  <c r="B232" i="40"/>
  <c r="A232" i="40"/>
  <c r="B231" i="40"/>
  <c r="B243" i="40" s="1"/>
  <c r="B255" i="40" s="1"/>
  <c r="B267" i="40" s="1"/>
  <c r="A231" i="40"/>
  <c r="B230" i="40"/>
  <c r="A230" i="40"/>
  <c r="A242" i="40" s="1"/>
  <c r="A254" i="40" s="1"/>
  <c r="A266" i="40" s="1"/>
  <c r="B229" i="40"/>
  <c r="B241" i="40" s="1"/>
  <c r="B253" i="40" s="1"/>
  <c r="B265" i="40" s="1"/>
  <c r="A229" i="40"/>
  <c r="A241" i="40" s="1"/>
  <c r="A253" i="40" s="1"/>
  <c r="A265" i="40" s="1"/>
  <c r="B228" i="40"/>
  <c r="B240" i="40" s="1"/>
  <c r="B252" i="40" s="1"/>
  <c r="B264" i="40" s="1"/>
  <c r="A228" i="40"/>
  <c r="A240" i="40" s="1"/>
  <c r="A252" i="40" s="1"/>
  <c r="A264" i="40" s="1"/>
  <c r="B227" i="40"/>
  <c r="B239" i="40" s="1"/>
  <c r="B251" i="40" s="1"/>
  <c r="B263" i="40" s="1"/>
  <c r="A227" i="40"/>
  <c r="A239" i="40" s="1"/>
  <c r="A251" i="40" s="1"/>
  <c r="A263" i="40" s="1"/>
  <c r="B226" i="40"/>
  <c r="B238" i="40" s="1"/>
  <c r="B250" i="40" s="1"/>
  <c r="B262" i="40" s="1"/>
  <c r="A226" i="40"/>
  <c r="A238" i="40" s="1"/>
  <c r="A250" i="40" s="1"/>
  <c r="A262" i="40" s="1"/>
  <c r="B225" i="40"/>
  <c r="B237" i="40" s="1"/>
  <c r="B249" i="40" s="1"/>
  <c r="B261" i="40" s="1"/>
  <c r="A225" i="40"/>
  <c r="A237" i="40" s="1"/>
  <c r="A249" i="40" s="1"/>
  <c r="A261" i="40" s="1"/>
  <c r="B224" i="40"/>
  <c r="B236" i="40" s="1"/>
  <c r="B248" i="40" s="1"/>
  <c r="B260" i="40" s="1"/>
  <c r="A224" i="40"/>
  <c r="A236" i="40" s="1"/>
  <c r="A248" i="40" s="1"/>
  <c r="A260" i="40" s="1"/>
  <c r="B223" i="40"/>
  <c r="B235" i="40" s="1"/>
  <c r="B247" i="40" s="1"/>
  <c r="B259" i="40" s="1"/>
  <c r="A223" i="40"/>
  <c r="A235" i="40" s="1"/>
  <c r="A247" i="40" s="1"/>
  <c r="A259" i="40" s="1"/>
  <c r="B222" i="40"/>
  <c r="B234" i="40" s="1"/>
  <c r="B246" i="40" s="1"/>
  <c r="B258" i="40" s="1"/>
  <c r="A222" i="40"/>
  <c r="A234" i="40" s="1"/>
  <c r="A246" i="40" s="1"/>
  <c r="A258" i="40" s="1"/>
  <c r="B221" i="40"/>
  <c r="B233" i="40" s="1"/>
  <c r="B245" i="40" s="1"/>
  <c r="B257" i="40" s="1"/>
  <c r="A221" i="40"/>
  <c r="A233" i="40" s="1"/>
  <c r="A245" i="40" s="1"/>
  <c r="A257" i="40" s="1"/>
  <c r="AB290" i="40"/>
  <c r="AB285" i="40"/>
  <c r="B112" i="40"/>
  <c r="B111" i="40"/>
  <c r="B110" i="40"/>
  <c r="B109" i="40"/>
  <c r="B108" i="40"/>
  <c r="B107" i="40"/>
  <c r="B106" i="40"/>
  <c r="B105" i="40"/>
  <c r="B104" i="40"/>
  <c r="B103" i="40"/>
  <c r="B102" i="40"/>
  <c r="A102" i="40"/>
  <c r="A103" i="40" s="1"/>
  <c r="A104" i="40" s="1"/>
  <c r="A105" i="40" s="1"/>
  <c r="A106" i="40" s="1"/>
  <c r="A107" i="40" s="1"/>
  <c r="A108" i="40" s="1"/>
  <c r="A109" i="40" s="1"/>
  <c r="A110" i="40" s="1"/>
  <c r="A111" i="40" s="1"/>
  <c r="A112" i="40" s="1"/>
  <c r="B101" i="40"/>
  <c r="R38" i="40"/>
  <c r="R35" i="40"/>
  <c r="R34" i="40"/>
  <c r="R31" i="40"/>
  <c r="R28" i="40"/>
  <c r="R26" i="40"/>
  <c r="R24" i="40"/>
  <c r="P23" i="40"/>
  <c r="P19" i="40"/>
  <c r="Q16" i="40"/>
  <c r="K28" i="40"/>
  <c r="K40" i="40" s="1"/>
  <c r="C28" i="40"/>
  <c r="C40" i="40" s="1"/>
  <c r="Q15" i="40"/>
  <c r="R14" i="40"/>
  <c r="P14" i="40"/>
  <c r="K26" i="40"/>
  <c r="C26" i="40"/>
  <c r="C38" i="40" s="1"/>
  <c r="P13" i="40"/>
  <c r="C25" i="40"/>
  <c r="Q12" i="40"/>
  <c r="P12" i="40"/>
  <c r="K24" i="40"/>
  <c r="K36" i="40" s="1"/>
  <c r="C24" i="40"/>
  <c r="C36" i="40" s="1"/>
  <c r="R10" i="40"/>
  <c r="P10" i="40"/>
  <c r="K22" i="40"/>
  <c r="C22" i="40"/>
  <c r="C34" i="40" s="1"/>
  <c r="K21" i="40"/>
  <c r="C21" i="40"/>
  <c r="P8" i="40"/>
  <c r="K20" i="40"/>
  <c r="K32" i="40" s="1"/>
  <c r="C20" i="40"/>
  <c r="C32" i="40" s="1"/>
  <c r="Q7" i="40"/>
  <c r="R7" i="40"/>
  <c r="L5" i="40"/>
  <c r="R6" i="40"/>
  <c r="P6" i="40"/>
  <c r="L6" i="40"/>
  <c r="K18" i="40"/>
  <c r="K30" i="40" s="1"/>
  <c r="C18" i="40"/>
  <c r="Q5" i="40"/>
  <c r="P5" i="40"/>
  <c r="R5" i="40"/>
  <c r="C17" i="40"/>
  <c r="F23" i="41" l="1"/>
  <c r="F25" i="41"/>
  <c r="H20" i="41"/>
  <c r="AB276" i="40"/>
  <c r="H25" i="41"/>
  <c r="L10" i="40"/>
  <c r="L50" i="41"/>
  <c r="L51" i="41"/>
  <c r="L43" i="41"/>
  <c r="L47" i="41"/>
  <c r="L45" i="41"/>
  <c r="L13" i="40"/>
  <c r="F18" i="41"/>
  <c r="H18" i="41"/>
  <c r="H23" i="41"/>
  <c r="F21" i="41"/>
  <c r="D34" i="41"/>
  <c r="D30" i="41"/>
  <c r="H21" i="41"/>
  <c r="F17" i="41"/>
  <c r="H17" i="41"/>
  <c r="F20" i="41"/>
  <c r="D47" i="41"/>
  <c r="D48" i="41"/>
  <c r="H37" i="41"/>
  <c r="F37" i="41"/>
  <c r="K73" i="41"/>
  <c r="K67" i="41"/>
  <c r="D46" i="41"/>
  <c r="D50" i="41"/>
  <c r="K64" i="41"/>
  <c r="L52" i="41"/>
  <c r="K66" i="41"/>
  <c r="K60" i="41"/>
  <c r="L48" i="41"/>
  <c r="K69" i="41"/>
  <c r="F38" i="41"/>
  <c r="H38" i="41"/>
  <c r="H39" i="41"/>
  <c r="F39" i="41"/>
  <c r="D43" i="41"/>
  <c r="D41" i="41"/>
  <c r="L41" i="41"/>
  <c r="H35" i="41"/>
  <c r="F35" i="41"/>
  <c r="F40" i="41"/>
  <c r="H40" i="41"/>
  <c r="K58" i="41"/>
  <c r="L46" i="41"/>
  <c r="F32" i="41"/>
  <c r="H32" i="41"/>
  <c r="H31" i="41"/>
  <c r="F31" i="41"/>
  <c r="D42" i="41"/>
  <c r="D51" i="41"/>
  <c r="D57" i="41"/>
  <c r="K74" i="41"/>
  <c r="D49" i="41"/>
  <c r="K56" i="41"/>
  <c r="L44" i="41"/>
  <c r="H29" i="41"/>
  <c r="F29" i="41"/>
  <c r="K71" i="41"/>
  <c r="H33" i="41"/>
  <c r="F33" i="41"/>
  <c r="F36" i="41"/>
  <c r="H36" i="41"/>
  <c r="D53" i="41"/>
  <c r="K65" i="41"/>
  <c r="D45" i="41"/>
  <c r="D52" i="41"/>
  <c r="K75" i="41"/>
  <c r="D44" i="41"/>
  <c r="P50" i="40"/>
  <c r="R25" i="40"/>
  <c r="P29" i="40"/>
  <c r="R21" i="40"/>
  <c r="P38" i="40"/>
  <c r="P43" i="40"/>
  <c r="P46" i="40"/>
  <c r="P34" i="40"/>
  <c r="P20" i="40"/>
  <c r="R20" i="40"/>
  <c r="P18" i="40"/>
  <c r="P37" i="40"/>
  <c r="P64" i="40"/>
  <c r="P60" i="40"/>
  <c r="P61" i="40"/>
  <c r="AM10" i="40"/>
  <c r="C33" i="40"/>
  <c r="C46" i="40"/>
  <c r="C37" i="40"/>
  <c r="C29" i="40"/>
  <c r="K33" i="40"/>
  <c r="AM13" i="40"/>
  <c r="D13" i="40"/>
  <c r="D14" i="40"/>
  <c r="C48" i="40"/>
  <c r="AM6" i="40"/>
  <c r="D10" i="40"/>
  <c r="C23" i="40"/>
  <c r="D11" i="40"/>
  <c r="L12" i="40"/>
  <c r="D16" i="40"/>
  <c r="R16" i="40"/>
  <c r="K17" i="40"/>
  <c r="C44" i="40"/>
  <c r="K44" i="40"/>
  <c r="K25" i="40"/>
  <c r="P26" i="40"/>
  <c r="R27" i="40"/>
  <c r="P36" i="40"/>
  <c r="R36" i="40"/>
  <c r="AM5" i="40"/>
  <c r="K19" i="40"/>
  <c r="L7" i="40"/>
  <c r="R11" i="40"/>
  <c r="C27" i="40"/>
  <c r="D15" i="40"/>
  <c r="L16" i="40"/>
  <c r="P40" i="40"/>
  <c r="R40" i="40"/>
  <c r="P62" i="40"/>
  <c r="P7" i="40"/>
  <c r="D9" i="40"/>
  <c r="D5" i="40"/>
  <c r="D6" i="40"/>
  <c r="C19" i="40"/>
  <c r="D7" i="40"/>
  <c r="L8" i="40"/>
  <c r="Q8" i="40"/>
  <c r="P9" i="40"/>
  <c r="D12" i="40"/>
  <c r="R12" i="40"/>
  <c r="Q13" i="40"/>
  <c r="L14" i="40"/>
  <c r="K27" i="40"/>
  <c r="L15" i="40"/>
  <c r="P17" i="40"/>
  <c r="R17" i="40"/>
  <c r="R18" i="40"/>
  <c r="P22" i="40"/>
  <c r="R23" i="40"/>
  <c r="P27" i="40"/>
  <c r="C30" i="40"/>
  <c r="P32" i="40"/>
  <c r="R32" i="40"/>
  <c r="K38" i="40"/>
  <c r="P48" i="40"/>
  <c r="P11" i="40"/>
  <c r="K48" i="40"/>
  <c r="AB275" i="40"/>
  <c r="D8" i="40"/>
  <c r="R8" i="40"/>
  <c r="L9" i="40"/>
  <c r="Q9" i="40"/>
  <c r="K23" i="40"/>
  <c r="L11" i="40"/>
  <c r="Q11" i="40"/>
  <c r="P15" i="40"/>
  <c r="R15" i="40"/>
  <c r="P16" i="40"/>
  <c r="R19" i="40"/>
  <c r="C52" i="40"/>
  <c r="K52" i="40"/>
  <c r="K34" i="40"/>
  <c r="K42" i="40"/>
  <c r="C50" i="40"/>
  <c r="P52" i="40"/>
  <c r="AB278" i="40"/>
  <c r="AB280" i="40"/>
  <c r="Q6" i="40"/>
  <c r="Q10" i="40"/>
  <c r="Q14" i="40"/>
  <c r="P21" i="40"/>
  <c r="P25" i="40"/>
  <c r="R29" i="40"/>
  <c r="P31" i="40"/>
  <c r="R33" i="40"/>
  <c r="P35" i="40"/>
  <c r="R37" i="40"/>
  <c r="P39" i="40"/>
  <c r="P41" i="40"/>
  <c r="P49" i="40"/>
  <c r="P55" i="40"/>
  <c r="P59" i="40"/>
  <c r="AB281" i="40"/>
  <c r="AB277" i="40"/>
  <c r="AB279" i="40"/>
  <c r="AB286" i="40"/>
  <c r="AB283" i="40"/>
  <c r="AB284" i="40"/>
  <c r="AB287" i="40"/>
  <c r="AB282" i="40"/>
  <c r="AB288" i="40"/>
  <c r="AB289" i="40"/>
  <c r="AB292" i="40"/>
  <c r="AB291" i="40"/>
  <c r="AB293" i="40"/>
  <c r="AB295" i="40"/>
  <c r="AB296" i="40"/>
  <c r="F30" i="41" l="1"/>
  <c r="F34" i="41"/>
  <c r="H34" i="41"/>
  <c r="F47" i="41"/>
  <c r="D18" i="40"/>
  <c r="H30" i="41"/>
  <c r="D59" i="41"/>
  <c r="K87" i="41"/>
  <c r="K86" i="41"/>
  <c r="F41" i="41"/>
  <c r="L60" i="41"/>
  <c r="K72" i="41"/>
  <c r="D63" i="41"/>
  <c r="D62" i="41"/>
  <c r="D56" i="41"/>
  <c r="L63" i="41"/>
  <c r="K77" i="41"/>
  <c r="K83" i="41"/>
  <c r="L56" i="41"/>
  <c r="K68" i="41"/>
  <c r="L62" i="41"/>
  <c r="F51" i="41"/>
  <c r="K81" i="41"/>
  <c r="K78" i="41"/>
  <c r="L64" i="41"/>
  <c r="K76" i="41"/>
  <c r="F46" i="41"/>
  <c r="K79" i="41"/>
  <c r="K85" i="41"/>
  <c r="F48" i="41"/>
  <c r="L58" i="41"/>
  <c r="K70" i="41"/>
  <c r="L73" i="41" s="1"/>
  <c r="F43" i="41"/>
  <c r="L57" i="41"/>
  <c r="L54" i="41"/>
  <c r="D58" i="41"/>
  <c r="D69" i="41"/>
  <c r="L55" i="41"/>
  <c r="L61" i="41"/>
  <c r="D60" i="41"/>
  <c r="F44" i="41"/>
  <c r="F45" i="41"/>
  <c r="D54" i="41"/>
  <c r="F52" i="41"/>
  <c r="L53" i="41"/>
  <c r="D55" i="41"/>
  <c r="L59" i="41"/>
  <c r="D64" i="41"/>
  <c r="F49" i="41"/>
  <c r="F42" i="41"/>
  <c r="D61" i="41"/>
  <c r="F50" i="41"/>
  <c r="D26" i="40"/>
  <c r="D20" i="40"/>
  <c r="F20" i="40" s="1"/>
  <c r="D21" i="40"/>
  <c r="H21" i="40" s="1"/>
  <c r="D28" i="40"/>
  <c r="H28" i="40" s="1"/>
  <c r="D25" i="40"/>
  <c r="H25" i="40" s="1"/>
  <c r="D22" i="40"/>
  <c r="F22" i="40" s="1"/>
  <c r="D24" i="40"/>
  <c r="P53" i="40"/>
  <c r="R39" i="40"/>
  <c r="P58" i="40"/>
  <c r="P30" i="40"/>
  <c r="R30" i="40"/>
  <c r="P33" i="40"/>
  <c r="AM16" i="40"/>
  <c r="AM12" i="40"/>
  <c r="H18" i="40"/>
  <c r="F18" i="40"/>
  <c r="K46" i="40"/>
  <c r="C64" i="40"/>
  <c r="K35" i="40"/>
  <c r="L23" i="40"/>
  <c r="E8" i="40"/>
  <c r="H8" i="40"/>
  <c r="F8" i="40"/>
  <c r="C42" i="40"/>
  <c r="AM15" i="40"/>
  <c r="H7" i="40"/>
  <c r="E7" i="40"/>
  <c r="F7" i="40"/>
  <c r="E6" i="40"/>
  <c r="F6" i="40"/>
  <c r="H6" i="40"/>
  <c r="L26" i="40"/>
  <c r="H15" i="40"/>
  <c r="F15" i="40"/>
  <c r="E15" i="40"/>
  <c r="AM7" i="40"/>
  <c r="K56" i="40"/>
  <c r="K29" i="40"/>
  <c r="L34" i="40" s="1"/>
  <c r="L17" i="40"/>
  <c r="L28" i="40"/>
  <c r="H11" i="40"/>
  <c r="F11" i="40"/>
  <c r="E11" i="40"/>
  <c r="E14" i="40"/>
  <c r="H14" i="40"/>
  <c r="F14" i="40"/>
  <c r="C49" i="40"/>
  <c r="C45" i="40"/>
  <c r="C62" i="40"/>
  <c r="AM11" i="40"/>
  <c r="K60" i="40"/>
  <c r="L20" i="40"/>
  <c r="K39" i="40"/>
  <c r="L27" i="40"/>
  <c r="E12" i="40"/>
  <c r="H12" i="40"/>
  <c r="F12" i="40"/>
  <c r="C31" i="40"/>
  <c r="D19" i="40"/>
  <c r="C39" i="40"/>
  <c r="D27" i="40"/>
  <c r="K31" i="40"/>
  <c r="L19" i="40"/>
  <c r="K37" i="40"/>
  <c r="L33" i="40" s="1"/>
  <c r="L25" i="40"/>
  <c r="C35" i="40"/>
  <c r="D23" i="40"/>
  <c r="F13" i="40"/>
  <c r="H13" i="40"/>
  <c r="E13" i="40"/>
  <c r="L21" i="40"/>
  <c r="D17" i="40"/>
  <c r="C58" i="40"/>
  <c r="L18" i="40"/>
  <c r="F5" i="40"/>
  <c r="E5" i="40"/>
  <c r="H5" i="40"/>
  <c r="K54" i="40"/>
  <c r="K64" i="40"/>
  <c r="AM9" i="40"/>
  <c r="L38" i="40"/>
  <c r="K50" i="40"/>
  <c r="AM14" i="40"/>
  <c r="L22" i="40"/>
  <c r="AM8" i="40"/>
  <c r="F9" i="40"/>
  <c r="E9" i="40"/>
  <c r="H9" i="40"/>
  <c r="L24" i="40"/>
  <c r="C56" i="40"/>
  <c r="F16" i="40"/>
  <c r="E16" i="40"/>
  <c r="H16" i="40"/>
  <c r="E10" i="40"/>
  <c r="F10" i="40"/>
  <c r="H10" i="40"/>
  <c r="C60" i="40"/>
  <c r="K45" i="40"/>
  <c r="C41" i="40"/>
  <c r="P64" i="38"/>
  <c r="P63" i="38"/>
  <c r="P62" i="38"/>
  <c r="P61" i="38"/>
  <c r="P60" i="38"/>
  <c r="P59" i="38"/>
  <c r="P58" i="38"/>
  <c r="P57" i="38"/>
  <c r="P56" i="38"/>
  <c r="P55" i="38"/>
  <c r="P54" i="38"/>
  <c r="P53" i="38"/>
  <c r="P52" i="38"/>
  <c r="P51" i="38"/>
  <c r="P50" i="38"/>
  <c r="P49" i="38"/>
  <c r="P48" i="38"/>
  <c r="P47" i="38"/>
  <c r="P46" i="38"/>
  <c r="P45" i="38"/>
  <c r="P44" i="38"/>
  <c r="P43" i="38"/>
  <c r="P42" i="38"/>
  <c r="P41" i="38"/>
  <c r="R40" i="38"/>
  <c r="P40" i="38"/>
  <c r="R39" i="38"/>
  <c r="P39" i="38"/>
  <c r="R38" i="38"/>
  <c r="P38" i="38"/>
  <c r="R37" i="38"/>
  <c r="P37" i="38"/>
  <c r="R36" i="38"/>
  <c r="P36" i="38"/>
  <c r="R35" i="38"/>
  <c r="P35" i="38"/>
  <c r="R34" i="38"/>
  <c r="P34" i="38"/>
  <c r="R33" i="38"/>
  <c r="P33" i="38"/>
  <c r="R32" i="38"/>
  <c r="P32" i="38"/>
  <c r="R31" i="38"/>
  <c r="P31" i="38"/>
  <c r="R30" i="38"/>
  <c r="P30" i="38"/>
  <c r="R29" i="38"/>
  <c r="P29" i="38"/>
  <c r="R28" i="38"/>
  <c r="P28" i="38"/>
  <c r="R27" i="38"/>
  <c r="P27" i="38"/>
  <c r="R26" i="38"/>
  <c r="P26" i="38"/>
  <c r="R25" i="38"/>
  <c r="P25" i="38"/>
  <c r="R24" i="38"/>
  <c r="P24" i="38"/>
  <c r="R23" i="38"/>
  <c r="P23" i="38"/>
  <c r="R22" i="38"/>
  <c r="P22" i="38"/>
  <c r="R21" i="38"/>
  <c r="P21" i="38"/>
  <c r="R20" i="38"/>
  <c r="P20" i="38"/>
  <c r="R19" i="38"/>
  <c r="P19" i="38"/>
  <c r="R18" i="38"/>
  <c r="P18" i="38"/>
  <c r="R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8" i="38"/>
  <c r="Q8" i="38"/>
  <c r="P8" i="38"/>
  <c r="R7" i="38"/>
  <c r="Q7" i="38"/>
  <c r="P7" i="38"/>
  <c r="R6" i="38"/>
  <c r="Q6" i="38"/>
  <c r="P6" i="38"/>
  <c r="R5" i="38"/>
  <c r="Q5" i="38"/>
  <c r="P5" i="38"/>
  <c r="M6" i="38"/>
  <c r="M7" i="38"/>
  <c r="M8" i="38"/>
  <c r="M9" i="38"/>
  <c r="M10" i="38"/>
  <c r="M11" i="38"/>
  <c r="M12" i="38"/>
  <c r="M13" i="38"/>
  <c r="M14" i="38"/>
  <c r="M15" i="38"/>
  <c r="M16" i="38"/>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201" i="38"/>
  <c r="M202" i="38"/>
  <c r="M203" i="38"/>
  <c r="M204" i="38"/>
  <c r="M205" i="38"/>
  <c r="M206" i="38"/>
  <c r="M207" i="38"/>
  <c r="M208" i="38"/>
  <c r="M209" i="38"/>
  <c r="M210" i="38"/>
  <c r="M211" i="38"/>
  <c r="M212" i="38"/>
  <c r="M213" i="38"/>
  <c r="M214" i="38"/>
  <c r="M215" i="38"/>
  <c r="M216" i="38"/>
  <c r="M217" i="38"/>
  <c r="M218" i="38"/>
  <c r="M219" i="38"/>
  <c r="M220" i="38"/>
  <c r="M221" i="38"/>
  <c r="M222" i="38"/>
  <c r="M223" i="38"/>
  <c r="M224" i="38"/>
  <c r="M225" i="38"/>
  <c r="M226" i="38"/>
  <c r="M227" i="38"/>
  <c r="M228" i="38"/>
  <c r="M229" i="38"/>
  <c r="M230" i="38"/>
  <c r="M231" i="38"/>
  <c r="M232" i="38"/>
  <c r="M233" i="38"/>
  <c r="M234" i="38"/>
  <c r="M235" i="38"/>
  <c r="M236" i="38"/>
  <c r="M237" i="38"/>
  <c r="M238" i="38"/>
  <c r="M239" i="38"/>
  <c r="M240" i="38"/>
  <c r="M241" i="38"/>
  <c r="M242" i="38"/>
  <c r="M243" i="38"/>
  <c r="M244" i="38"/>
  <c r="M245" i="38"/>
  <c r="M246" i="38"/>
  <c r="M247" i="38"/>
  <c r="M248" i="38"/>
  <c r="M249" i="38"/>
  <c r="M250" i="38"/>
  <c r="M251" i="38"/>
  <c r="M252" i="38"/>
  <c r="M253" i="38"/>
  <c r="M254" i="38"/>
  <c r="M255" i="38"/>
  <c r="M256" i="38"/>
  <c r="M257" i="38"/>
  <c r="M258" i="38"/>
  <c r="M259" i="38"/>
  <c r="M260" i="38"/>
  <c r="M261" i="38"/>
  <c r="M262" i="38"/>
  <c r="M263" i="38"/>
  <c r="M264" i="38"/>
  <c r="M265" i="38"/>
  <c r="M266" i="38"/>
  <c r="M267" i="38"/>
  <c r="M268" i="38"/>
  <c r="M5" i="38"/>
  <c r="H26" i="40" l="1"/>
  <c r="L74" i="41"/>
  <c r="L67" i="41"/>
  <c r="L66" i="41"/>
  <c r="L69" i="41"/>
  <c r="L75" i="41"/>
  <c r="F25" i="40"/>
  <c r="D34" i="40"/>
  <c r="F26" i="40"/>
  <c r="H24" i="40"/>
  <c r="H20" i="40"/>
  <c r="F21" i="40"/>
  <c r="D76" i="41"/>
  <c r="D73" i="41"/>
  <c r="K99" i="41"/>
  <c r="D66" i="41"/>
  <c r="D77" i="41"/>
  <c r="K97" i="41"/>
  <c r="K90" i="41"/>
  <c r="K95" i="41"/>
  <c r="K89" i="41"/>
  <c r="D68" i="41"/>
  <c r="D71" i="41"/>
  <c r="D75" i="41"/>
  <c r="D65" i="41"/>
  <c r="L76" i="41"/>
  <c r="K88" i="41"/>
  <c r="L71" i="41"/>
  <c r="L65" i="41"/>
  <c r="K84" i="41"/>
  <c r="L86" i="41" s="1"/>
  <c r="L72" i="41"/>
  <c r="D70" i="41"/>
  <c r="D72" i="41"/>
  <c r="K82" i="41"/>
  <c r="L70" i="41"/>
  <c r="K91" i="41"/>
  <c r="K93" i="41"/>
  <c r="K80" i="41"/>
  <c r="L68" i="41"/>
  <c r="D67" i="41"/>
  <c r="K98" i="41"/>
  <c r="F28" i="40"/>
  <c r="F24" i="40"/>
  <c r="D30" i="40"/>
  <c r="F30" i="40" s="1"/>
  <c r="D29" i="40"/>
  <c r="H29" i="40" s="1"/>
  <c r="D37" i="40"/>
  <c r="H22" i="40"/>
  <c r="D33" i="40"/>
  <c r="P51" i="40"/>
  <c r="P44" i="40"/>
  <c r="P42" i="40"/>
  <c r="P45" i="40"/>
  <c r="AM33" i="40"/>
  <c r="AM22" i="40"/>
  <c r="AM25" i="40"/>
  <c r="AM28" i="40"/>
  <c r="K57" i="40"/>
  <c r="AM24" i="40"/>
  <c r="K66" i="40"/>
  <c r="AN16" i="40"/>
  <c r="K49" i="40"/>
  <c r="L37" i="40"/>
  <c r="C51" i="40"/>
  <c r="D39" i="40"/>
  <c r="AM27" i="40"/>
  <c r="C74" i="40"/>
  <c r="C61" i="40"/>
  <c r="AM17" i="40"/>
  <c r="C76" i="40"/>
  <c r="AM21" i="40"/>
  <c r="F27" i="40"/>
  <c r="H27" i="40"/>
  <c r="K72" i="40"/>
  <c r="AM34" i="40"/>
  <c r="K76" i="40"/>
  <c r="C70" i="40"/>
  <c r="F23" i="40"/>
  <c r="H23" i="40"/>
  <c r="AM19" i="40"/>
  <c r="F19" i="40"/>
  <c r="H19" i="40"/>
  <c r="K51" i="40"/>
  <c r="L39" i="40"/>
  <c r="K41" i="40"/>
  <c r="L29" i="40"/>
  <c r="L30" i="40"/>
  <c r="L36" i="40"/>
  <c r="L40" i="40"/>
  <c r="L32" i="40"/>
  <c r="AM23" i="40"/>
  <c r="AM38" i="40"/>
  <c r="AM18" i="40"/>
  <c r="C53" i="40"/>
  <c r="C72" i="40"/>
  <c r="C68" i="40"/>
  <c r="K62" i="40"/>
  <c r="H17" i="40"/>
  <c r="F17" i="40"/>
  <c r="C47" i="40"/>
  <c r="D35" i="40"/>
  <c r="K43" i="40"/>
  <c r="L31" i="40"/>
  <c r="C43" i="40"/>
  <c r="D31" i="40"/>
  <c r="D36" i="40"/>
  <c r="D32" i="40"/>
  <c r="D40" i="40"/>
  <c r="D38" i="40"/>
  <c r="AM20" i="40"/>
  <c r="C57" i="40"/>
  <c r="K68" i="40"/>
  <c r="AM26" i="40"/>
  <c r="C54" i="40"/>
  <c r="K47" i="40"/>
  <c r="L35" i="40"/>
  <c r="K58" i="40"/>
  <c r="K28" i="38"/>
  <c r="K40" i="38" s="1"/>
  <c r="K52" i="38" s="1"/>
  <c r="K64" i="38" s="1"/>
  <c r="K76" i="38" s="1"/>
  <c r="K88" i="38" s="1"/>
  <c r="K100" i="38" s="1"/>
  <c r="K112" i="38" s="1"/>
  <c r="K124" i="38" s="1"/>
  <c r="K136" i="38" s="1"/>
  <c r="K148" i="38" s="1"/>
  <c r="K160" i="38" s="1"/>
  <c r="K172" i="38" s="1"/>
  <c r="K184" i="38" s="1"/>
  <c r="K196" i="38" s="1"/>
  <c r="K208" i="38" s="1"/>
  <c r="K220" i="38" s="1"/>
  <c r="K232" i="38" s="1"/>
  <c r="K244" i="38" s="1"/>
  <c r="K256" i="38" s="1"/>
  <c r="K268" i="38" s="1"/>
  <c r="K27" i="38"/>
  <c r="K39" i="38" s="1"/>
  <c r="K51" i="38" s="1"/>
  <c r="K63" i="38" s="1"/>
  <c r="K75" i="38" s="1"/>
  <c r="K87" i="38" s="1"/>
  <c r="K99" i="38" s="1"/>
  <c r="K111" i="38" s="1"/>
  <c r="K123" i="38" s="1"/>
  <c r="K135" i="38" s="1"/>
  <c r="K147" i="38" s="1"/>
  <c r="K159" i="38" s="1"/>
  <c r="K171" i="38" s="1"/>
  <c r="K183" i="38" s="1"/>
  <c r="K195" i="38" s="1"/>
  <c r="K207" i="38" s="1"/>
  <c r="K219" i="38" s="1"/>
  <c r="K231" i="38" s="1"/>
  <c r="K243" i="38" s="1"/>
  <c r="K255" i="38" s="1"/>
  <c r="K267" i="38" s="1"/>
  <c r="K26" i="38"/>
  <c r="K38" i="38" s="1"/>
  <c r="K50" i="38" s="1"/>
  <c r="K62" i="38" s="1"/>
  <c r="K74" i="38" s="1"/>
  <c r="K86" i="38" s="1"/>
  <c r="K98" i="38" s="1"/>
  <c r="K110" i="38" s="1"/>
  <c r="K122" i="38" s="1"/>
  <c r="K134" i="38" s="1"/>
  <c r="K146" i="38" s="1"/>
  <c r="K158" i="38" s="1"/>
  <c r="K170" i="38" s="1"/>
  <c r="K182" i="38" s="1"/>
  <c r="K194" i="38" s="1"/>
  <c r="K206" i="38" s="1"/>
  <c r="K218" i="38" s="1"/>
  <c r="K230" i="38" s="1"/>
  <c r="K242" i="38" s="1"/>
  <c r="K254" i="38" s="1"/>
  <c r="K266" i="38" s="1"/>
  <c r="K25" i="38"/>
  <c r="K37" i="38" s="1"/>
  <c r="K49" i="38" s="1"/>
  <c r="K61" i="38" s="1"/>
  <c r="K73" i="38" s="1"/>
  <c r="K85" i="38" s="1"/>
  <c r="K97" i="38" s="1"/>
  <c r="K109" i="38" s="1"/>
  <c r="K121" i="38" s="1"/>
  <c r="K133" i="38" s="1"/>
  <c r="K145" i="38" s="1"/>
  <c r="K157" i="38" s="1"/>
  <c r="K169" i="38" s="1"/>
  <c r="K181" i="38" s="1"/>
  <c r="K193" i="38" s="1"/>
  <c r="K205" i="38" s="1"/>
  <c r="K217" i="38" s="1"/>
  <c r="K229" i="38" s="1"/>
  <c r="K241" i="38" s="1"/>
  <c r="K253" i="38" s="1"/>
  <c r="K265" i="38" s="1"/>
  <c r="K24" i="38"/>
  <c r="K36" i="38" s="1"/>
  <c r="K48" i="38" s="1"/>
  <c r="K60" i="38" s="1"/>
  <c r="K72" i="38" s="1"/>
  <c r="K84" i="38" s="1"/>
  <c r="K96" i="38" s="1"/>
  <c r="K108" i="38" s="1"/>
  <c r="K120" i="38" s="1"/>
  <c r="K132" i="38" s="1"/>
  <c r="K144" i="38" s="1"/>
  <c r="K156" i="38" s="1"/>
  <c r="K168" i="38" s="1"/>
  <c r="K180" i="38" s="1"/>
  <c r="K192" i="38" s="1"/>
  <c r="K204" i="38" s="1"/>
  <c r="K216" i="38" s="1"/>
  <c r="K228" i="38" s="1"/>
  <c r="K240" i="38" s="1"/>
  <c r="K252" i="38" s="1"/>
  <c r="K264" i="38" s="1"/>
  <c r="K23" i="38"/>
  <c r="K35" i="38" s="1"/>
  <c r="K47" i="38" s="1"/>
  <c r="K59" i="38" s="1"/>
  <c r="K71" i="38" s="1"/>
  <c r="K83" i="38" s="1"/>
  <c r="K95" i="38" s="1"/>
  <c r="K107" i="38" s="1"/>
  <c r="K119" i="38" s="1"/>
  <c r="K131" i="38" s="1"/>
  <c r="K143" i="38" s="1"/>
  <c r="K155" i="38" s="1"/>
  <c r="K167" i="38" s="1"/>
  <c r="K179" i="38" s="1"/>
  <c r="K191" i="38" s="1"/>
  <c r="K203" i="38" s="1"/>
  <c r="K215" i="38" s="1"/>
  <c r="K227" i="38" s="1"/>
  <c r="K239" i="38" s="1"/>
  <c r="K251" i="38" s="1"/>
  <c r="K263" i="38" s="1"/>
  <c r="H34" i="40" l="1"/>
  <c r="H37" i="40"/>
  <c r="L5" i="38"/>
  <c r="K21" i="38"/>
  <c r="K33" i="38" s="1"/>
  <c r="K45" i="38" s="1"/>
  <c r="K57" i="38" s="1"/>
  <c r="K69" i="38" s="1"/>
  <c r="K81" i="38" s="1"/>
  <c r="K93" i="38" s="1"/>
  <c r="K105" i="38" s="1"/>
  <c r="K117" i="38" s="1"/>
  <c r="K129" i="38" s="1"/>
  <c r="K141" i="38" s="1"/>
  <c r="K153" i="38" s="1"/>
  <c r="K165" i="38" s="1"/>
  <c r="K177" i="38" s="1"/>
  <c r="K189" i="38" s="1"/>
  <c r="K201" i="38" s="1"/>
  <c r="K213" i="38" s="1"/>
  <c r="K225" i="38" s="1"/>
  <c r="K237" i="38" s="1"/>
  <c r="K249" i="38" s="1"/>
  <c r="K261" i="38" s="1"/>
  <c r="L9" i="38"/>
  <c r="L79" i="41"/>
  <c r="K20" i="38"/>
  <c r="L8" i="38"/>
  <c r="K18" i="38"/>
  <c r="L6" i="38"/>
  <c r="K22" i="38"/>
  <c r="K34" i="38" s="1"/>
  <c r="K46" i="38" s="1"/>
  <c r="K58" i="38" s="1"/>
  <c r="K70" i="38" s="1"/>
  <c r="K82" i="38" s="1"/>
  <c r="K94" i="38" s="1"/>
  <c r="K106" i="38" s="1"/>
  <c r="K118" i="38" s="1"/>
  <c r="K130" i="38" s="1"/>
  <c r="K142" i="38" s="1"/>
  <c r="K154" i="38" s="1"/>
  <c r="K166" i="38" s="1"/>
  <c r="K178" i="38" s="1"/>
  <c r="K190" i="38" s="1"/>
  <c r="K202" i="38" s="1"/>
  <c r="K214" i="38" s="1"/>
  <c r="K226" i="38" s="1"/>
  <c r="K238" i="38" s="1"/>
  <c r="K250" i="38" s="1"/>
  <c r="K262" i="38" s="1"/>
  <c r="L10" i="38"/>
  <c r="K19" i="38"/>
  <c r="L7" i="38"/>
  <c r="F34" i="40"/>
  <c r="F29" i="40"/>
  <c r="H30" i="40"/>
  <c r="F37" i="40"/>
  <c r="D78" i="41"/>
  <c r="K103" i="41"/>
  <c r="K101" i="41"/>
  <c r="K111" i="41"/>
  <c r="K110" i="41"/>
  <c r="L80" i="41"/>
  <c r="K92" i="41"/>
  <c r="K100" i="41"/>
  <c r="L88" i="41"/>
  <c r="L77" i="41"/>
  <c r="L87" i="41"/>
  <c r="L81" i="41"/>
  <c r="K96" i="41"/>
  <c r="L95" i="41" s="1"/>
  <c r="L84" i="41"/>
  <c r="K105" i="41"/>
  <c r="D79" i="41"/>
  <c r="L83" i="41"/>
  <c r="K102" i="41"/>
  <c r="L85" i="41"/>
  <c r="K94" i="41"/>
  <c r="L93" i="41" s="1"/>
  <c r="L82" i="41"/>
  <c r="D86" i="41"/>
  <c r="K107" i="41"/>
  <c r="L78" i="41"/>
  <c r="L97" i="41"/>
  <c r="K109" i="41"/>
  <c r="H33" i="40"/>
  <c r="F33" i="40"/>
  <c r="D52" i="40"/>
  <c r="P63" i="40"/>
  <c r="P56" i="40"/>
  <c r="P54" i="40"/>
  <c r="P57" i="40"/>
  <c r="K80" i="40"/>
  <c r="H32" i="40"/>
  <c r="F32" i="40"/>
  <c r="AM31" i="40"/>
  <c r="K74" i="40"/>
  <c r="AM30" i="40"/>
  <c r="K63" i="40"/>
  <c r="L51" i="40"/>
  <c r="C73" i="40"/>
  <c r="H39" i="40"/>
  <c r="F39" i="40"/>
  <c r="D46" i="40"/>
  <c r="K69" i="40"/>
  <c r="K59" i="40"/>
  <c r="L47" i="40"/>
  <c r="H40" i="40"/>
  <c r="F40" i="40"/>
  <c r="C59" i="40"/>
  <c r="D47" i="40"/>
  <c r="L50" i="40"/>
  <c r="C65" i="40"/>
  <c r="AM36" i="40"/>
  <c r="AM39" i="40"/>
  <c r="D49" i="40"/>
  <c r="K61" i="40"/>
  <c r="L49" i="40"/>
  <c r="K78" i="40"/>
  <c r="L45" i="40"/>
  <c r="L46" i="40"/>
  <c r="K70" i="40"/>
  <c r="D42" i="40"/>
  <c r="D45" i="40"/>
  <c r="H36" i="40"/>
  <c r="F36" i="40"/>
  <c r="K55" i="40"/>
  <c r="L43" i="40"/>
  <c r="C84" i="40"/>
  <c r="AM32" i="40"/>
  <c r="AM29" i="40"/>
  <c r="K84" i="40"/>
  <c r="AN28" i="40"/>
  <c r="C63" i="40"/>
  <c r="D51" i="40"/>
  <c r="C55" i="40"/>
  <c r="D43" i="40"/>
  <c r="D50" i="40"/>
  <c r="D44" i="40"/>
  <c r="D48" i="40"/>
  <c r="C80" i="40"/>
  <c r="AM35" i="40"/>
  <c r="C66" i="40"/>
  <c r="C69" i="40"/>
  <c r="F38" i="40"/>
  <c r="H38" i="40"/>
  <c r="H31" i="40"/>
  <c r="F31" i="40"/>
  <c r="H35" i="40"/>
  <c r="F35" i="40"/>
  <c r="D41" i="40"/>
  <c r="AM40" i="40"/>
  <c r="K53" i="40"/>
  <c r="L57" i="40" s="1"/>
  <c r="L41" i="40"/>
  <c r="L52" i="40"/>
  <c r="L44" i="40"/>
  <c r="L42" i="40"/>
  <c r="L48" i="40"/>
  <c r="C82" i="40"/>
  <c r="K88" i="40"/>
  <c r="C88" i="40"/>
  <c r="C86" i="40"/>
  <c r="AM37" i="40"/>
  <c r="L11" i="38"/>
  <c r="L12" i="38"/>
  <c r="L15" i="38"/>
  <c r="L13" i="38"/>
  <c r="K17" i="38"/>
  <c r="L16" i="38"/>
  <c r="L14" i="38"/>
  <c r="K29" i="38" l="1"/>
  <c r="K41" i="38" s="1"/>
  <c r="K53" i="38" s="1"/>
  <c r="K65" i="38" s="1"/>
  <c r="K77" i="38" s="1"/>
  <c r="K89" i="38" s="1"/>
  <c r="K101" i="38" s="1"/>
  <c r="K113" i="38" s="1"/>
  <c r="K125" i="38" s="1"/>
  <c r="K137" i="38" s="1"/>
  <c r="K149" i="38" s="1"/>
  <c r="K161" i="38" s="1"/>
  <c r="K173" i="38" s="1"/>
  <c r="K185" i="38" s="1"/>
  <c r="K197" i="38" s="1"/>
  <c r="K209" i="38" s="1"/>
  <c r="K221" i="38" s="1"/>
  <c r="K233" i="38" s="1"/>
  <c r="K245" i="38" s="1"/>
  <c r="K257" i="38" s="1"/>
  <c r="L17" i="38"/>
  <c r="K32" i="38"/>
  <c r="K44" i="38" s="1"/>
  <c r="K56" i="38" s="1"/>
  <c r="K68" i="38" s="1"/>
  <c r="K80" i="38" s="1"/>
  <c r="K92" i="38" s="1"/>
  <c r="K104" i="38" s="1"/>
  <c r="K116" i="38" s="1"/>
  <c r="K128" i="38" s="1"/>
  <c r="K140" i="38" s="1"/>
  <c r="K152" i="38" s="1"/>
  <c r="K164" i="38" s="1"/>
  <c r="K176" i="38" s="1"/>
  <c r="K188" i="38" s="1"/>
  <c r="K200" i="38" s="1"/>
  <c r="K212" i="38" s="1"/>
  <c r="K224" i="38" s="1"/>
  <c r="K236" i="38" s="1"/>
  <c r="K248" i="38" s="1"/>
  <c r="K260" i="38" s="1"/>
  <c r="L20" i="38"/>
  <c r="L58" i="40"/>
  <c r="K31" i="38"/>
  <c r="K43" i="38" s="1"/>
  <c r="K55" i="38" s="1"/>
  <c r="K67" i="38" s="1"/>
  <c r="K79" i="38" s="1"/>
  <c r="K91" i="38" s="1"/>
  <c r="K103" i="38" s="1"/>
  <c r="K115" i="38" s="1"/>
  <c r="K127" i="38" s="1"/>
  <c r="K139" i="38" s="1"/>
  <c r="K151" i="38" s="1"/>
  <c r="K163" i="38" s="1"/>
  <c r="K175" i="38" s="1"/>
  <c r="K187" i="38" s="1"/>
  <c r="K199" i="38" s="1"/>
  <c r="K211" i="38" s="1"/>
  <c r="K223" i="38" s="1"/>
  <c r="K235" i="38" s="1"/>
  <c r="K247" i="38" s="1"/>
  <c r="K259" i="38" s="1"/>
  <c r="L19" i="38"/>
  <c r="K30" i="38"/>
  <c r="K42" i="38" s="1"/>
  <c r="K54" i="38" s="1"/>
  <c r="K66" i="38" s="1"/>
  <c r="K78" i="38" s="1"/>
  <c r="K90" i="38" s="1"/>
  <c r="K102" i="38" s="1"/>
  <c r="K114" i="38" s="1"/>
  <c r="K126" i="38" s="1"/>
  <c r="K138" i="38" s="1"/>
  <c r="K150" i="38" s="1"/>
  <c r="K162" i="38" s="1"/>
  <c r="K174" i="38" s="1"/>
  <c r="K186" i="38" s="1"/>
  <c r="K198" i="38" s="1"/>
  <c r="K210" i="38" s="1"/>
  <c r="K222" i="38" s="1"/>
  <c r="K234" i="38" s="1"/>
  <c r="K246" i="38" s="1"/>
  <c r="K258" i="38" s="1"/>
  <c r="L18" i="38"/>
  <c r="K122" i="41"/>
  <c r="K134" i="41" s="1"/>
  <c r="K146" i="41" s="1"/>
  <c r="K158" i="41" s="1"/>
  <c r="K170" i="41" s="1"/>
  <c r="K182" i="41" s="1"/>
  <c r="K194" i="41" s="1"/>
  <c r="K206" i="41" s="1"/>
  <c r="K218" i="41" s="1"/>
  <c r="K230" i="41" s="1"/>
  <c r="K242" i="41" s="1"/>
  <c r="K254" i="41" s="1"/>
  <c r="K266" i="41" s="1"/>
  <c r="D97" i="41"/>
  <c r="K121" i="41"/>
  <c r="K133" i="41" s="1"/>
  <c r="K145" i="41" s="1"/>
  <c r="K157" i="41" s="1"/>
  <c r="K169" i="41" s="1"/>
  <c r="K181" i="41" s="1"/>
  <c r="K193" i="41" s="1"/>
  <c r="K205" i="41" s="1"/>
  <c r="K217" i="41" s="1"/>
  <c r="K229" i="41" s="1"/>
  <c r="K241" i="41" s="1"/>
  <c r="K253" i="41" s="1"/>
  <c r="K265" i="41" s="1"/>
  <c r="K106" i="41"/>
  <c r="L107" i="41" s="1"/>
  <c r="L119" i="41" s="1"/>
  <c r="L131" i="41" s="1"/>
  <c r="L143" i="41" s="1"/>
  <c r="L155" i="41" s="1"/>
  <c r="L167" i="41" s="1"/>
  <c r="L179" i="41" s="1"/>
  <c r="L191" i="41" s="1"/>
  <c r="L203" i="41" s="1"/>
  <c r="L215" i="41" s="1"/>
  <c r="L227" i="41" s="1"/>
  <c r="L239" i="41" s="1"/>
  <c r="L251" i="41" s="1"/>
  <c r="L263" i="41" s="1"/>
  <c r="L94" i="41"/>
  <c r="C147" i="41"/>
  <c r="C159" i="41" s="1"/>
  <c r="C171" i="41" s="1"/>
  <c r="C183" i="41" s="1"/>
  <c r="C195" i="41" s="1"/>
  <c r="C207" i="41" s="1"/>
  <c r="C219" i="41" s="1"/>
  <c r="C231" i="41" s="1"/>
  <c r="C243" i="41" s="1"/>
  <c r="C255" i="41" s="1"/>
  <c r="C267" i="41" s="1"/>
  <c r="K117" i="41"/>
  <c r="K129" i="41" s="1"/>
  <c r="K141" i="41" s="1"/>
  <c r="K153" i="41" s="1"/>
  <c r="K165" i="41" s="1"/>
  <c r="K177" i="41" s="1"/>
  <c r="K189" i="41" s="1"/>
  <c r="K201" i="41" s="1"/>
  <c r="K213" i="41" s="1"/>
  <c r="K225" i="41" s="1"/>
  <c r="K237" i="41" s="1"/>
  <c r="K249" i="41" s="1"/>
  <c r="K261" i="41" s="1"/>
  <c r="K104" i="41"/>
  <c r="L92" i="41"/>
  <c r="L98" i="41"/>
  <c r="L99" i="41"/>
  <c r="C145" i="41"/>
  <c r="C157" i="41" s="1"/>
  <c r="C169" i="41" s="1"/>
  <c r="C181" i="41" s="1"/>
  <c r="C193" i="41" s="1"/>
  <c r="C205" i="41" s="1"/>
  <c r="C217" i="41" s="1"/>
  <c r="C229" i="41" s="1"/>
  <c r="C241" i="41" s="1"/>
  <c r="C253" i="41" s="1"/>
  <c r="C265" i="41" s="1"/>
  <c r="L101" i="41"/>
  <c r="L113" i="41" s="1"/>
  <c r="L125" i="41" s="1"/>
  <c r="L137" i="41" s="1"/>
  <c r="L149" i="41" s="1"/>
  <c r="L161" i="41" s="1"/>
  <c r="L173" i="41" s="1"/>
  <c r="L185" i="41" s="1"/>
  <c r="L197" i="41" s="1"/>
  <c r="L209" i="41" s="1"/>
  <c r="L221" i="41" s="1"/>
  <c r="L233" i="41" s="1"/>
  <c r="L245" i="41" s="1"/>
  <c r="L257" i="41" s="1"/>
  <c r="K113" i="41"/>
  <c r="K125" i="41" s="1"/>
  <c r="K137" i="41" s="1"/>
  <c r="K149" i="41" s="1"/>
  <c r="K161" i="41" s="1"/>
  <c r="K173" i="41" s="1"/>
  <c r="K185" i="41" s="1"/>
  <c r="K197" i="41" s="1"/>
  <c r="K209" i="41" s="1"/>
  <c r="K221" i="41" s="1"/>
  <c r="K233" i="41" s="1"/>
  <c r="K245" i="41" s="1"/>
  <c r="K257" i="41" s="1"/>
  <c r="K115" i="41"/>
  <c r="K127" i="41" s="1"/>
  <c r="K139" i="41" s="1"/>
  <c r="K151" i="41" s="1"/>
  <c r="K163" i="41" s="1"/>
  <c r="K175" i="41" s="1"/>
  <c r="K187" i="41" s="1"/>
  <c r="K199" i="41" s="1"/>
  <c r="K211" i="41" s="1"/>
  <c r="K223" i="41" s="1"/>
  <c r="K235" i="41" s="1"/>
  <c r="K247" i="41" s="1"/>
  <c r="K259" i="41" s="1"/>
  <c r="D90" i="41"/>
  <c r="D99" i="41"/>
  <c r="K108" i="41"/>
  <c r="L96" i="41"/>
  <c r="C143" i="41"/>
  <c r="C155" i="41" s="1"/>
  <c r="C167" i="41" s="1"/>
  <c r="C179" i="41" s="1"/>
  <c r="C191" i="41" s="1"/>
  <c r="C203" i="41" s="1"/>
  <c r="C215" i="41" s="1"/>
  <c r="C227" i="41" s="1"/>
  <c r="C239" i="41" s="1"/>
  <c r="C251" i="41" s="1"/>
  <c r="C263" i="41" s="1"/>
  <c r="L91" i="41"/>
  <c r="D98" i="41"/>
  <c r="L90" i="41"/>
  <c r="D92" i="41"/>
  <c r="C151" i="41"/>
  <c r="C163" i="41" s="1"/>
  <c r="C175" i="41" s="1"/>
  <c r="C187" i="41" s="1"/>
  <c r="C199" i="41" s="1"/>
  <c r="C211" i="41" s="1"/>
  <c r="C223" i="41" s="1"/>
  <c r="C235" i="41" s="1"/>
  <c r="C247" i="41" s="1"/>
  <c r="C259" i="41" s="1"/>
  <c r="D94" i="41"/>
  <c r="D95" i="41"/>
  <c r="C141" i="41"/>
  <c r="C153" i="41" s="1"/>
  <c r="C165" i="41" s="1"/>
  <c r="C177" i="41" s="1"/>
  <c r="C189" i="41" s="1"/>
  <c r="C201" i="41" s="1"/>
  <c r="C213" i="41" s="1"/>
  <c r="C225" i="41" s="1"/>
  <c r="C237" i="41" s="1"/>
  <c r="C249" i="41" s="1"/>
  <c r="C261" i="41" s="1"/>
  <c r="L89" i="41"/>
  <c r="K119" i="41"/>
  <c r="K131" i="41" s="1"/>
  <c r="K143" i="41" s="1"/>
  <c r="K155" i="41" s="1"/>
  <c r="K167" i="41" s="1"/>
  <c r="K179" i="41" s="1"/>
  <c r="K191" i="41" s="1"/>
  <c r="K203" i="41" s="1"/>
  <c r="K215" i="41" s="1"/>
  <c r="K227" i="41" s="1"/>
  <c r="K239" i="41" s="1"/>
  <c r="K251" i="41" s="1"/>
  <c r="K263" i="41" s="1"/>
  <c r="K114" i="41"/>
  <c r="K126" i="41" s="1"/>
  <c r="K138" i="41" s="1"/>
  <c r="K150" i="41" s="1"/>
  <c r="K162" i="41" s="1"/>
  <c r="K174" i="41" s="1"/>
  <c r="K186" i="41" s="1"/>
  <c r="K198" i="41" s="1"/>
  <c r="K210" i="41" s="1"/>
  <c r="K222" i="41" s="1"/>
  <c r="K234" i="41" s="1"/>
  <c r="K246" i="41" s="1"/>
  <c r="K258" i="41" s="1"/>
  <c r="L102" i="41"/>
  <c r="L114" i="41" s="1"/>
  <c r="L126" i="41" s="1"/>
  <c r="L138" i="41" s="1"/>
  <c r="L150" i="41" s="1"/>
  <c r="L162" i="41" s="1"/>
  <c r="L174" i="41" s="1"/>
  <c r="L186" i="41" s="1"/>
  <c r="L198" i="41" s="1"/>
  <c r="L210" i="41" s="1"/>
  <c r="L222" i="41" s="1"/>
  <c r="L234" i="41" s="1"/>
  <c r="L246" i="41" s="1"/>
  <c r="L258" i="41" s="1"/>
  <c r="C149" i="41"/>
  <c r="C161" i="41" s="1"/>
  <c r="C173" i="41" s="1"/>
  <c r="C185" i="41" s="1"/>
  <c r="C197" i="41" s="1"/>
  <c r="C209" i="41" s="1"/>
  <c r="C221" i="41" s="1"/>
  <c r="C233" i="41" s="1"/>
  <c r="C245" i="41" s="1"/>
  <c r="C257" i="41" s="1"/>
  <c r="D91" i="41"/>
  <c r="K112" i="41"/>
  <c r="L100" i="41"/>
  <c r="D96" i="41"/>
  <c r="L111" i="41"/>
  <c r="L123" i="41" s="1"/>
  <c r="L135" i="41" s="1"/>
  <c r="L147" i="41" s="1"/>
  <c r="L159" i="41" s="1"/>
  <c r="L171" i="41" s="1"/>
  <c r="L183" i="41" s="1"/>
  <c r="L195" i="41" s="1"/>
  <c r="L207" i="41" s="1"/>
  <c r="L219" i="41" s="1"/>
  <c r="L231" i="41" s="1"/>
  <c r="L243" i="41" s="1"/>
  <c r="L255" i="41" s="1"/>
  <c r="L267" i="41" s="1"/>
  <c r="K123" i="41"/>
  <c r="K135" i="41" s="1"/>
  <c r="K147" i="41" s="1"/>
  <c r="K159" i="41" s="1"/>
  <c r="K171" i="41" s="1"/>
  <c r="K183" i="41" s="1"/>
  <c r="K195" i="41" s="1"/>
  <c r="K207" i="41" s="1"/>
  <c r="K219" i="41" s="1"/>
  <c r="K231" i="41" s="1"/>
  <c r="K243" i="41" s="1"/>
  <c r="K255" i="41" s="1"/>
  <c r="K267" i="41" s="1"/>
  <c r="D93" i="41"/>
  <c r="F52" i="40"/>
  <c r="D57" i="40"/>
  <c r="D60" i="40"/>
  <c r="D54" i="40"/>
  <c r="D58" i="40"/>
  <c r="C78" i="40"/>
  <c r="C92" i="40"/>
  <c r="K73" i="40"/>
  <c r="L61" i="40"/>
  <c r="L62" i="40"/>
  <c r="D64" i="40"/>
  <c r="C100" i="40"/>
  <c r="K100" i="40"/>
  <c r="AN40" i="40"/>
  <c r="F45" i="40"/>
  <c r="K82" i="40"/>
  <c r="F49" i="40"/>
  <c r="F47" i="40"/>
  <c r="K71" i="40"/>
  <c r="L59" i="40"/>
  <c r="L63" i="40"/>
  <c r="K75" i="40"/>
  <c r="K86" i="40"/>
  <c r="K92" i="40"/>
  <c r="F41" i="40"/>
  <c r="F43" i="40"/>
  <c r="C75" i="40"/>
  <c r="D63" i="40"/>
  <c r="K65" i="40"/>
  <c r="L74" i="40" s="1"/>
  <c r="L53" i="40"/>
  <c r="L64" i="40"/>
  <c r="L56" i="40"/>
  <c r="L54" i="40"/>
  <c r="L60" i="40"/>
  <c r="D56" i="40"/>
  <c r="C81" i="40"/>
  <c r="F48" i="40"/>
  <c r="C67" i="40"/>
  <c r="D55" i="40"/>
  <c r="D62" i="40"/>
  <c r="C98" i="40"/>
  <c r="C94" i="40"/>
  <c r="F44" i="40"/>
  <c r="K96" i="40"/>
  <c r="C96" i="40"/>
  <c r="K67" i="40"/>
  <c r="L55" i="40"/>
  <c r="K90" i="40"/>
  <c r="D53" i="40"/>
  <c r="D59" i="40"/>
  <c r="C71" i="40"/>
  <c r="L69" i="40"/>
  <c r="K81" i="40"/>
  <c r="D61" i="40"/>
  <c r="F50" i="40"/>
  <c r="F51" i="40"/>
  <c r="F42" i="40"/>
  <c r="C77" i="40"/>
  <c r="F46" i="40"/>
  <c r="C85" i="40"/>
  <c r="L112" i="38"/>
  <c r="L124" i="38" s="1"/>
  <c r="L136" i="38" s="1"/>
  <c r="L148" i="38" s="1"/>
  <c r="L160" i="38" s="1"/>
  <c r="L172" i="38" s="1"/>
  <c r="L184" i="38" s="1"/>
  <c r="L196" i="38" s="1"/>
  <c r="L208" i="38" s="1"/>
  <c r="L220" i="38" s="1"/>
  <c r="L232" i="38" s="1"/>
  <c r="L102" i="38"/>
  <c r="L101" i="38"/>
  <c r="L99" i="38"/>
  <c r="L90" i="38"/>
  <c r="L57" i="38"/>
  <c r="L55" i="38"/>
  <c r="L21" i="38"/>
  <c r="L111" i="38"/>
  <c r="L109" i="38"/>
  <c r="L121" i="38" s="1"/>
  <c r="L133" i="38" s="1"/>
  <c r="L145" i="38" s="1"/>
  <c r="L157" i="38" s="1"/>
  <c r="L169" i="38" s="1"/>
  <c r="L181" i="38" s="1"/>
  <c r="L193" i="38" s="1"/>
  <c r="L205" i="38" s="1"/>
  <c r="L217" i="38" s="1"/>
  <c r="L229" i="38" s="1"/>
  <c r="L108" i="38"/>
  <c r="L120" i="38" s="1"/>
  <c r="L132" i="38" s="1"/>
  <c r="L144" i="38" s="1"/>
  <c r="L107" i="38"/>
  <c r="L119" i="38" s="1"/>
  <c r="L131" i="38" s="1"/>
  <c r="L143" i="38" s="1"/>
  <c r="L155" i="38" s="1"/>
  <c r="L167" i="38" s="1"/>
  <c r="L179" i="38" s="1"/>
  <c r="L191" i="38" s="1"/>
  <c r="L203" i="38" s="1"/>
  <c r="L215" i="38" s="1"/>
  <c r="L227" i="38" s="1"/>
  <c r="L105" i="38"/>
  <c r="L117" i="38" s="1"/>
  <c r="L129" i="38" s="1"/>
  <c r="L141" i="38" s="1"/>
  <c r="L153" i="38" s="1"/>
  <c r="L165" i="38" s="1"/>
  <c r="L177" i="38" s="1"/>
  <c r="L189" i="38" s="1"/>
  <c r="L201" i="38" s="1"/>
  <c r="L213" i="38" s="1"/>
  <c r="L225" i="38" s="1"/>
  <c r="L104" i="38"/>
  <c r="L103" i="38"/>
  <c r="L97" i="38"/>
  <c r="L96" i="38"/>
  <c r="L95" i="38"/>
  <c r="L93" i="38"/>
  <c r="L92" i="38"/>
  <c r="L91" i="38"/>
  <c r="L88" i="38"/>
  <c r="L87" i="38"/>
  <c r="L86" i="38"/>
  <c r="L84" i="38"/>
  <c r="L83" i="38"/>
  <c r="L82" i="38"/>
  <c r="L80" i="38"/>
  <c r="L79" i="38"/>
  <c r="L78" i="38"/>
  <c r="L76" i="38"/>
  <c r="L75" i="38"/>
  <c r="L74" i="38"/>
  <c r="L72" i="38"/>
  <c r="L71" i="38"/>
  <c r="L70" i="38"/>
  <c r="L68" i="38"/>
  <c r="L67" i="38"/>
  <c r="L66" i="38"/>
  <c r="L64" i="38"/>
  <c r="L63" i="38"/>
  <c r="L62" i="38"/>
  <c r="L60" i="38"/>
  <c r="L59" i="38"/>
  <c r="L58" i="38"/>
  <c r="L53" i="38"/>
  <c r="L52" i="38"/>
  <c r="L51" i="38"/>
  <c r="L49" i="38"/>
  <c r="L48" i="38"/>
  <c r="L47" i="38"/>
  <c r="L45" i="38"/>
  <c r="L44" i="38"/>
  <c r="L43" i="38"/>
  <c r="L41" i="38"/>
  <c r="L40" i="38"/>
  <c r="L39" i="38"/>
  <c r="L37" i="38"/>
  <c r="L36" i="38"/>
  <c r="L35" i="38"/>
  <c r="L33" i="38"/>
  <c r="L32" i="38"/>
  <c r="L31" i="38"/>
  <c r="L29" i="38"/>
  <c r="L28" i="38"/>
  <c r="L27" i="38"/>
  <c r="L26" i="38"/>
  <c r="L25" i="38"/>
  <c r="L24" i="38"/>
  <c r="L23" i="38"/>
  <c r="L22" i="38"/>
  <c r="L30" i="38" l="1"/>
  <c r="L34" i="38"/>
  <c r="L38" i="38"/>
  <c r="L42" i="38"/>
  <c r="L46" i="38"/>
  <c r="L50" i="38"/>
  <c r="L54" i="38"/>
  <c r="L61" i="38"/>
  <c r="L65" i="38"/>
  <c r="L69" i="38"/>
  <c r="L73" i="38"/>
  <c r="L77" i="38"/>
  <c r="L81" i="38"/>
  <c r="L85" i="38"/>
  <c r="L89" i="38"/>
  <c r="L94" i="38"/>
  <c r="L98" i="38"/>
  <c r="L106" i="38"/>
  <c r="L118" i="38" s="1"/>
  <c r="L130" i="38" s="1"/>
  <c r="L142" i="38" s="1"/>
  <c r="L154" i="38" s="1"/>
  <c r="L166" i="38" s="1"/>
  <c r="L178" i="38" s="1"/>
  <c r="L190" i="38" s="1"/>
  <c r="L202" i="38" s="1"/>
  <c r="L214" i="38" s="1"/>
  <c r="L226" i="38" s="1"/>
  <c r="L110" i="38"/>
  <c r="L122" i="38" s="1"/>
  <c r="L134" i="38" s="1"/>
  <c r="L146" i="38" s="1"/>
  <c r="L158" i="38" s="1"/>
  <c r="L170" i="38" s="1"/>
  <c r="L182" i="38" s="1"/>
  <c r="L194" i="38" s="1"/>
  <c r="L206" i="38" s="1"/>
  <c r="L218" i="38" s="1"/>
  <c r="L230" i="38" s="1"/>
  <c r="L56" i="38"/>
  <c r="L100" i="38"/>
  <c r="K124" i="41"/>
  <c r="K136" i="41" s="1"/>
  <c r="K148" i="41" s="1"/>
  <c r="K160" i="41" s="1"/>
  <c r="K172" i="41" s="1"/>
  <c r="K184" i="41" s="1"/>
  <c r="K196" i="41" s="1"/>
  <c r="K208" i="41" s="1"/>
  <c r="K220" i="41" s="1"/>
  <c r="K232" i="41" s="1"/>
  <c r="K244" i="41" s="1"/>
  <c r="K256" i="41" s="1"/>
  <c r="K268" i="41" s="1"/>
  <c r="L112" i="41"/>
  <c r="L124" i="41" s="1"/>
  <c r="L136" i="41" s="1"/>
  <c r="L148" i="41" s="1"/>
  <c r="L160" i="41" s="1"/>
  <c r="L172" i="41" s="1"/>
  <c r="L184" i="41" s="1"/>
  <c r="L196" i="41" s="1"/>
  <c r="L208" i="41" s="1"/>
  <c r="L220" i="41" s="1"/>
  <c r="L232" i="41" s="1"/>
  <c r="L244" i="41" s="1"/>
  <c r="L256" i="41" s="1"/>
  <c r="L268" i="41" s="1"/>
  <c r="C146" i="41"/>
  <c r="C158" i="41" s="1"/>
  <c r="C170" i="41" s="1"/>
  <c r="C182" i="41" s="1"/>
  <c r="C194" i="41" s="1"/>
  <c r="C206" i="41" s="1"/>
  <c r="C218" i="41" s="1"/>
  <c r="C230" i="41" s="1"/>
  <c r="C242" i="41" s="1"/>
  <c r="C254" i="41" s="1"/>
  <c r="C266" i="41" s="1"/>
  <c r="K116" i="41"/>
  <c r="K128" i="41" s="1"/>
  <c r="K140" i="41" s="1"/>
  <c r="K152" i="41" s="1"/>
  <c r="K164" i="41" s="1"/>
  <c r="K176" i="41" s="1"/>
  <c r="K188" i="41" s="1"/>
  <c r="K200" i="41" s="1"/>
  <c r="K212" i="41" s="1"/>
  <c r="K224" i="41" s="1"/>
  <c r="K236" i="41" s="1"/>
  <c r="K248" i="41" s="1"/>
  <c r="K260" i="41" s="1"/>
  <c r="L104" i="41"/>
  <c r="L116" i="41" s="1"/>
  <c r="L128" i="41" s="1"/>
  <c r="L140" i="41" s="1"/>
  <c r="L152" i="41" s="1"/>
  <c r="L164" i="41" s="1"/>
  <c r="L176" i="41" s="1"/>
  <c r="L188" i="41" s="1"/>
  <c r="L200" i="41" s="1"/>
  <c r="L212" i="41" s="1"/>
  <c r="L224" i="41" s="1"/>
  <c r="L236" i="41" s="1"/>
  <c r="L248" i="41" s="1"/>
  <c r="L260" i="41" s="1"/>
  <c r="K118" i="41"/>
  <c r="K130" i="41" s="1"/>
  <c r="K142" i="41" s="1"/>
  <c r="K154" i="41" s="1"/>
  <c r="K166" i="41" s="1"/>
  <c r="K178" i="41" s="1"/>
  <c r="K190" i="41" s="1"/>
  <c r="K202" i="41" s="1"/>
  <c r="K214" i="41" s="1"/>
  <c r="K226" i="41" s="1"/>
  <c r="K238" i="41" s="1"/>
  <c r="K250" i="41" s="1"/>
  <c r="K262" i="41" s="1"/>
  <c r="L106" i="41"/>
  <c r="L118" i="41" s="1"/>
  <c r="L130" i="41" s="1"/>
  <c r="L142" i="41" s="1"/>
  <c r="L154" i="41" s="1"/>
  <c r="L166" i="41" s="1"/>
  <c r="L178" i="41" s="1"/>
  <c r="L190" i="41" s="1"/>
  <c r="L202" i="41" s="1"/>
  <c r="L214" i="41" s="1"/>
  <c r="L226" i="41" s="1"/>
  <c r="L238" i="41" s="1"/>
  <c r="L250" i="41" s="1"/>
  <c r="L262" i="41" s="1"/>
  <c r="L110" i="41"/>
  <c r="L122" i="41" s="1"/>
  <c r="L134" i="41" s="1"/>
  <c r="L146" i="41" s="1"/>
  <c r="L158" i="41" s="1"/>
  <c r="L170" i="41" s="1"/>
  <c r="L182" i="41" s="1"/>
  <c r="L194" i="41" s="1"/>
  <c r="L206" i="41" s="1"/>
  <c r="L218" i="41" s="1"/>
  <c r="L230" i="41" s="1"/>
  <c r="L242" i="41" s="1"/>
  <c r="L254" i="41" s="1"/>
  <c r="L266" i="41" s="1"/>
  <c r="C150" i="41"/>
  <c r="C162" i="41" s="1"/>
  <c r="C174" i="41" s="1"/>
  <c r="C186" i="41" s="1"/>
  <c r="C198" i="41" s="1"/>
  <c r="C210" i="41" s="1"/>
  <c r="C222" i="41" s="1"/>
  <c r="C234" i="41" s="1"/>
  <c r="C246" i="41" s="1"/>
  <c r="C258" i="41" s="1"/>
  <c r="C148" i="41"/>
  <c r="C160" i="41" s="1"/>
  <c r="C172" i="41" s="1"/>
  <c r="C184" i="41" s="1"/>
  <c r="C196" i="41" s="1"/>
  <c r="C208" i="41" s="1"/>
  <c r="C220" i="41" s="1"/>
  <c r="C232" i="41" s="1"/>
  <c r="C244" i="41" s="1"/>
  <c r="C256" i="41" s="1"/>
  <c r="C268" i="41" s="1"/>
  <c r="C142" i="41"/>
  <c r="C154" i="41" s="1"/>
  <c r="C166" i="41" s="1"/>
  <c r="C178" i="41" s="1"/>
  <c r="C190" i="41" s="1"/>
  <c r="C202" i="41" s="1"/>
  <c r="C214" i="41" s="1"/>
  <c r="C226" i="41" s="1"/>
  <c r="C238" i="41" s="1"/>
  <c r="C250" i="41" s="1"/>
  <c r="C262" i="41" s="1"/>
  <c r="K120" i="41"/>
  <c r="K132" i="41" s="1"/>
  <c r="K144" i="41" s="1"/>
  <c r="K156" i="41" s="1"/>
  <c r="K168" i="41" s="1"/>
  <c r="K180" i="41" s="1"/>
  <c r="K192" i="41" s="1"/>
  <c r="K204" i="41" s="1"/>
  <c r="K216" i="41" s="1"/>
  <c r="K228" i="41" s="1"/>
  <c r="K240" i="41" s="1"/>
  <c r="K252" i="41" s="1"/>
  <c r="K264" i="41" s="1"/>
  <c r="L108" i="41"/>
  <c r="L120" i="41" s="1"/>
  <c r="L132" i="41" s="1"/>
  <c r="L144" i="41" s="1"/>
  <c r="L156" i="41" s="1"/>
  <c r="L168" i="41" s="1"/>
  <c r="L180" i="41" s="1"/>
  <c r="L192" i="41" s="1"/>
  <c r="L204" i="41" s="1"/>
  <c r="L216" i="41" s="1"/>
  <c r="L228" i="41" s="1"/>
  <c r="L240" i="41" s="1"/>
  <c r="L252" i="41" s="1"/>
  <c r="L264" i="41" s="1"/>
  <c r="L103" i="41"/>
  <c r="L115" i="41" s="1"/>
  <c r="L127" i="41" s="1"/>
  <c r="L139" i="41" s="1"/>
  <c r="L151" i="41" s="1"/>
  <c r="L163" i="41" s="1"/>
  <c r="L175" i="41" s="1"/>
  <c r="L187" i="41" s="1"/>
  <c r="L199" i="41" s="1"/>
  <c r="L211" i="41" s="1"/>
  <c r="L223" i="41" s="1"/>
  <c r="L235" i="41" s="1"/>
  <c r="L247" i="41" s="1"/>
  <c r="L259" i="41" s="1"/>
  <c r="C140" i="41"/>
  <c r="C152" i="41" s="1"/>
  <c r="C164" i="41" s="1"/>
  <c r="C176" i="41" s="1"/>
  <c r="C188" i="41" s="1"/>
  <c r="C200" i="41" s="1"/>
  <c r="C212" i="41" s="1"/>
  <c r="C224" i="41" s="1"/>
  <c r="C236" i="41" s="1"/>
  <c r="C248" i="41" s="1"/>
  <c r="C260" i="41" s="1"/>
  <c r="C144" i="41"/>
  <c r="C156" i="41" s="1"/>
  <c r="C168" i="41" s="1"/>
  <c r="C180" i="41" s="1"/>
  <c r="C192" i="41" s="1"/>
  <c r="C204" i="41" s="1"/>
  <c r="C216" i="41" s="1"/>
  <c r="C228" i="41" s="1"/>
  <c r="C240" i="41" s="1"/>
  <c r="C252" i="41" s="1"/>
  <c r="C264" i="41" s="1"/>
  <c r="L105" i="41"/>
  <c r="L117" i="41" s="1"/>
  <c r="L129" i="41" s="1"/>
  <c r="L141" i="41" s="1"/>
  <c r="L153" i="41" s="1"/>
  <c r="L165" i="41" s="1"/>
  <c r="L177" i="41" s="1"/>
  <c r="L189" i="41" s="1"/>
  <c r="L201" i="41" s="1"/>
  <c r="L213" i="41" s="1"/>
  <c r="L225" i="41" s="1"/>
  <c r="L237" i="41" s="1"/>
  <c r="L249" i="41" s="1"/>
  <c r="L261" i="41" s="1"/>
  <c r="L109" i="41"/>
  <c r="L121" i="41" s="1"/>
  <c r="L133" i="41" s="1"/>
  <c r="L145" i="41" s="1"/>
  <c r="L157" i="41" s="1"/>
  <c r="L169" i="41" s="1"/>
  <c r="L181" i="41" s="1"/>
  <c r="L193" i="41" s="1"/>
  <c r="L205" i="41" s="1"/>
  <c r="L217" i="41" s="1"/>
  <c r="L229" i="41" s="1"/>
  <c r="L241" i="41" s="1"/>
  <c r="L253" i="41" s="1"/>
  <c r="L265" i="41" s="1"/>
  <c r="D65" i="40"/>
  <c r="D73" i="40"/>
  <c r="D66" i="40"/>
  <c r="C112" i="40"/>
  <c r="K85" i="40"/>
  <c r="L73" i="40"/>
  <c r="C89" i="40"/>
  <c r="C83" i="40"/>
  <c r="D71" i="40"/>
  <c r="D69" i="40"/>
  <c r="K98" i="40"/>
  <c r="K83" i="40"/>
  <c r="L71" i="40"/>
  <c r="C97" i="40"/>
  <c r="K102" i="40"/>
  <c r="K79" i="40"/>
  <c r="L67" i="40"/>
  <c r="C110" i="40"/>
  <c r="C93" i="40"/>
  <c r="C87" i="40"/>
  <c r="D75" i="40"/>
  <c r="L70" i="40"/>
  <c r="D72" i="40"/>
  <c r="K112" i="40"/>
  <c r="D74" i="40"/>
  <c r="C90" i="40"/>
  <c r="D68" i="40"/>
  <c r="D70" i="40"/>
  <c r="K93" i="40"/>
  <c r="C108" i="40"/>
  <c r="K108" i="40"/>
  <c r="C106" i="40"/>
  <c r="C79" i="40"/>
  <c r="D67" i="40"/>
  <c r="D76" i="40"/>
  <c r="K77" i="40"/>
  <c r="L65" i="40"/>
  <c r="L76" i="40"/>
  <c r="L66" i="40"/>
  <c r="L72" i="40"/>
  <c r="L68" i="40"/>
  <c r="K104" i="40"/>
  <c r="K87" i="40"/>
  <c r="L86" i="40" s="1"/>
  <c r="L75" i="40"/>
  <c r="K94" i="40"/>
  <c r="C104" i="40"/>
  <c r="L238" i="38"/>
  <c r="L113" i="38"/>
  <c r="L125" i="38" s="1"/>
  <c r="L137" i="38" s="1"/>
  <c r="L149" i="38" s="1"/>
  <c r="L161" i="38" s="1"/>
  <c r="L173" i="38" s="1"/>
  <c r="L185" i="38" s="1"/>
  <c r="L197" i="38" s="1"/>
  <c r="L209" i="38" s="1"/>
  <c r="L221" i="38" s="1"/>
  <c r="L239" i="38"/>
  <c r="L237" i="38"/>
  <c r="L241" i="38"/>
  <c r="L242" i="38"/>
  <c r="L115" i="38"/>
  <c r="L127" i="38" s="1"/>
  <c r="L139" i="38" s="1"/>
  <c r="L151" i="38" s="1"/>
  <c r="L163" i="38" s="1"/>
  <c r="L175" i="38" s="1"/>
  <c r="L187" i="38" s="1"/>
  <c r="L199" i="38" s="1"/>
  <c r="L211" i="38" s="1"/>
  <c r="L223" i="38" s="1"/>
  <c r="L114" i="38"/>
  <c r="L126" i="38" s="1"/>
  <c r="L138" i="38" s="1"/>
  <c r="L150" i="38" s="1"/>
  <c r="L162" i="38" s="1"/>
  <c r="L174" i="38" s="1"/>
  <c r="L186" i="38" s="1"/>
  <c r="L198" i="38" s="1"/>
  <c r="L210" i="38" s="1"/>
  <c r="L222" i="38" s="1"/>
  <c r="L116" i="38"/>
  <c r="L128" i="38" s="1"/>
  <c r="L140" i="38" s="1"/>
  <c r="L152" i="38" s="1"/>
  <c r="L164" i="38" s="1"/>
  <c r="L176" i="38" s="1"/>
  <c r="L188" i="38" s="1"/>
  <c r="L200" i="38" s="1"/>
  <c r="L212" i="38" s="1"/>
  <c r="L224" i="38" s="1"/>
  <c r="L244" i="38"/>
  <c r="L156" i="38"/>
  <c r="L168" i="38" s="1"/>
  <c r="L180" i="38" s="1"/>
  <c r="L192" i="38" s="1"/>
  <c r="L204" i="38" s="1"/>
  <c r="L216" i="38" s="1"/>
  <c r="L228" i="38" s="1"/>
  <c r="L123" i="38"/>
  <c r="L135" i="38" s="1"/>
  <c r="L147" i="38" s="1"/>
  <c r="L159" i="38" s="1"/>
  <c r="L171" i="38" s="1"/>
  <c r="L183" i="38" s="1"/>
  <c r="L195" i="38" s="1"/>
  <c r="L207" i="38" s="1"/>
  <c r="L219" i="38" s="1"/>
  <c r="L231" i="38" s="1"/>
  <c r="D85" i="40" l="1"/>
  <c r="D77" i="40"/>
  <c r="D78" i="40"/>
  <c r="K106" i="40"/>
  <c r="K120" i="40"/>
  <c r="K132" i="40" s="1"/>
  <c r="K144" i="40" s="1"/>
  <c r="K156" i="40" s="1"/>
  <c r="K168" i="40" s="1"/>
  <c r="K180" i="40" s="1"/>
  <c r="K192" i="40" s="1"/>
  <c r="K204" i="40" s="1"/>
  <c r="K216" i="40" s="1"/>
  <c r="K228" i="40" s="1"/>
  <c r="K240" i="40" s="1"/>
  <c r="K252" i="40" s="1"/>
  <c r="K264" i="40" s="1"/>
  <c r="C99" i="40"/>
  <c r="D87" i="40"/>
  <c r="D88" i="40"/>
  <c r="K110" i="40"/>
  <c r="D86" i="40"/>
  <c r="C101" i="40"/>
  <c r="C116" i="40"/>
  <c r="C128" i="40" s="1"/>
  <c r="C140" i="40" s="1"/>
  <c r="C152" i="40" s="1"/>
  <c r="C164" i="40" s="1"/>
  <c r="C176" i="40" s="1"/>
  <c r="C188" i="40" s="1"/>
  <c r="C200" i="40" s="1"/>
  <c r="C212" i="40" s="1"/>
  <c r="C224" i="40" s="1"/>
  <c r="C236" i="40" s="1"/>
  <c r="C248" i="40" s="1"/>
  <c r="C260" i="40" s="1"/>
  <c r="K116" i="40"/>
  <c r="K128" i="40" s="1"/>
  <c r="K140" i="40" s="1"/>
  <c r="K152" i="40" s="1"/>
  <c r="K164" i="40" s="1"/>
  <c r="K176" i="40" s="1"/>
  <c r="K188" i="40" s="1"/>
  <c r="K200" i="40" s="1"/>
  <c r="K212" i="40" s="1"/>
  <c r="K224" i="40" s="1"/>
  <c r="K236" i="40" s="1"/>
  <c r="K248" i="40" s="1"/>
  <c r="K260" i="40" s="1"/>
  <c r="K89" i="40"/>
  <c r="L77" i="40"/>
  <c r="L88" i="40"/>
  <c r="L80" i="40"/>
  <c r="L84" i="40"/>
  <c r="L78" i="40"/>
  <c r="C118" i="40"/>
  <c r="C130" i="40" s="1"/>
  <c r="C142" i="40" s="1"/>
  <c r="C154" i="40" s="1"/>
  <c r="C166" i="40" s="1"/>
  <c r="C178" i="40" s="1"/>
  <c r="C190" i="40" s="1"/>
  <c r="C202" i="40" s="1"/>
  <c r="C214" i="40" s="1"/>
  <c r="C226" i="40" s="1"/>
  <c r="C238" i="40" s="1"/>
  <c r="C250" i="40" s="1"/>
  <c r="C262" i="40" s="1"/>
  <c r="C120" i="40"/>
  <c r="C132" i="40" s="1"/>
  <c r="C144" i="40" s="1"/>
  <c r="C156" i="40" s="1"/>
  <c r="C168" i="40" s="1"/>
  <c r="C180" i="40" s="1"/>
  <c r="C192" i="40" s="1"/>
  <c r="C204" i="40" s="1"/>
  <c r="C216" i="40" s="1"/>
  <c r="C228" i="40" s="1"/>
  <c r="C240" i="40" s="1"/>
  <c r="C252" i="40" s="1"/>
  <c r="C264" i="40" s="1"/>
  <c r="L81" i="40"/>
  <c r="C102" i="40"/>
  <c r="D81" i="40"/>
  <c r="C122" i="40"/>
  <c r="C134" i="40" s="1"/>
  <c r="C146" i="40" s="1"/>
  <c r="C158" i="40" s="1"/>
  <c r="C170" i="40" s="1"/>
  <c r="C182" i="40" s="1"/>
  <c r="C194" i="40" s="1"/>
  <c r="C206" i="40" s="1"/>
  <c r="C218" i="40" s="1"/>
  <c r="C230" i="40" s="1"/>
  <c r="C242" i="40" s="1"/>
  <c r="C254" i="40" s="1"/>
  <c r="C266" i="40" s="1"/>
  <c r="L79" i="40"/>
  <c r="K91" i="40"/>
  <c r="C124" i="40"/>
  <c r="C136" i="40" s="1"/>
  <c r="C148" i="40" s="1"/>
  <c r="C160" i="40" s="1"/>
  <c r="C172" i="40" s="1"/>
  <c r="C184" i="40" s="1"/>
  <c r="C196" i="40" s="1"/>
  <c r="C208" i="40" s="1"/>
  <c r="C220" i="40" s="1"/>
  <c r="C232" i="40" s="1"/>
  <c r="C244" i="40" s="1"/>
  <c r="C256" i="40" s="1"/>
  <c r="C268" i="40" s="1"/>
  <c r="K99" i="40"/>
  <c r="L87" i="40"/>
  <c r="K114" i="40"/>
  <c r="K126" i="40" s="1"/>
  <c r="K138" i="40" s="1"/>
  <c r="K150" i="40" s="1"/>
  <c r="K162" i="40" s="1"/>
  <c r="K174" i="40" s="1"/>
  <c r="K186" i="40" s="1"/>
  <c r="K198" i="40" s="1"/>
  <c r="K210" i="40" s="1"/>
  <c r="K222" i="40" s="1"/>
  <c r="K234" i="40" s="1"/>
  <c r="K246" i="40" s="1"/>
  <c r="K258" i="40" s="1"/>
  <c r="L82" i="40"/>
  <c r="D79" i="40"/>
  <c r="C91" i="40"/>
  <c r="D82" i="40"/>
  <c r="D80" i="40"/>
  <c r="D84" i="40"/>
  <c r="K105" i="40"/>
  <c r="L93" i="40"/>
  <c r="K124" i="40"/>
  <c r="K136" i="40" s="1"/>
  <c r="K148" i="40" s="1"/>
  <c r="K160" i="40" s="1"/>
  <c r="K172" i="40" s="1"/>
  <c r="K184" i="40" s="1"/>
  <c r="K196" i="40" s="1"/>
  <c r="K208" i="40" s="1"/>
  <c r="K220" i="40" s="1"/>
  <c r="K232" i="40" s="1"/>
  <c r="K244" i="40" s="1"/>
  <c r="K256" i="40" s="1"/>
  <c r="K268" i="40" s="1"/>
  <c r="C105" i="40"/>
  <c r="C109" i="40"/>
  <c r="K95" i="40"/>
  <c r="L98" i="40" s="1"/>
  <c r="L83" i="40"/>
  <c r="C95" i="40"/>
  <c r="D83" i="40"/>
  <c r="K97" i="40"/>
  <c r="L85" i="40"/>
  <c r="L243" i="38"/>
  <c r="L234" i="38"/>
  <c r="L233" i="38"/>
  <c r="L250" i="38"/>
  <c r="L240" i="38"/>
  <c r="L256" i="38"/>
  <c r="L236" i="38"/>
  <c r="L235" i="38"/>
  <c r="L254" i="38"/>
  <c r="L253" i="38"/>
  <c r="L249" i="38"/>
  <c r="L251" i="38"/>
  <c r="U12" i="8"/>
  <c r="U13" i="8"/>
  <c r="U14" i="8"/>
  <c r="U15" i="8"/>
  <c r="U16" i="8"/>
  <c r="U17" i="8"/>
  <c r="U18" i="8"/>
  <c r="U19" i="8"/>
  <c r="U20" i="8"/>
  <c r="U21" i="8"/>
  <c r="U22" i="8"/>
  <c r="U23" i="8"/>
  <c r="U24" i="8"/>
  <c r="U25" i="8"/>
  <c r="U26" i="8"/>
  <c r="U27" i="8"/>
  <c r="U28" i="8"/>
  <c r="U11" i="8"/>
  <c r="D97" i="40" l="1"/>
  <c r="C117" i="40"/>
  <c r="C129" i="40" s="1"/>
  <c r="C141" i="40" s="1"/>
  <c r="C153" i="40" s="1"/>
  <c r="C165" i="40" s="1"/>
  <c r="C177" i="40" s="1"/>
  <c r="C189" i="40" s="1"/>
  <c r="C201" i="40" s="1"/>
  <c r="C213" i="40" s="1"/>
  <c r="C225" i="40" s="1"/>
  <c r="C237" i="40" s="1"/>
  <c r="C249" i="40" s="1"/>
  <c r="C261" i="40" s="1"/>
  <c r="D91" i="40"/>
  <c r="C103" i="40"/>
  <c r="D98" i="40"/>
  <c r="D96" i="40"/>
  <c r="D94" i="40"/>
  <c r="D92" i="40"/>
  <c r="D99" i="40"/>
  <c r="C111" i="40"/>
  <c r="K118" i="40"/>
  <c r="K130" i="40" s="1"/>
  <c r="K142" i="40" s="1"/>
  <c r="K154" i="40" s="1"/>
  <c r="K166" i="40" s="1"/>
  <c r="K178" i="40" s="1"/>
  <c r="K190" i="40" s="1"/>
  <c r="K202" i="40" s="1"/>
  <c r="K214" i="40" s="1"/>
  <c r="K226" i="40" s="1"/>
  <c r="K238" i="40" s="1"/>
  <c r="K250" i="40" s="1"/>
  <c r="K262" i="40" s="1"/>
  <c r="C121" i="40"/>
  <c r="C133" i="40" s="1"/>
  <c r="C145" i="40" s="1"/>
  <c r="C157" i="40" s="1"/>
  <c r="C169" i="40" s="1"/>
  <c r="C181" i="40" s="1"/>
  <c r="C193" i="40" s="1"/>
  <c r="C205" i="40" s="1"/>
  <c r="C217" i="40" s="1"/>
  <c r="C229" i="40" s="1"/>
  <c r="C241" i="40" s="1"/>
  <c r="C253" i="40" s="1"/>
  <c r="C265" i="40" s="1"/>
  <c r="D95" i="40"/>
  <c r="C107" i="40"/>
  <c r="L95" i="40"/>
  <c r="K107" i="40"/>
  <c r="K117" i="40"/>
  <c r="K129" i="40" s="1"/>
  <c r="K141" i="40" s="1"/>
  <c r="K153" i="40" s="1"/>
  <c r="K165" i="40" s="1"/>
  <c r="K177" i="40" s="1"/>
  <c r="K189" i="40" s="1"/>
  <c r="K201" i="40" s="1"/>
  <c r="K213" i="40" s="1"/>
  <c r="K225" i="40" s="1"/>
  <c r="K237" i="40" s="1"/>
  <c r="K249" i="40" s="1"/>
  <c r="K261" i="40" s="1"/>
  <c r="L99" i="40"/>
  <c r="K111" i="40"/>
  <c r="D90" i="40"/>
  <c r="D100" i="40"/>
  <c r="D89" i="40"/>
  <c r="L91" i="40"/>
  <c r="K103" i="40"/>
  <c r="K101" i="40"/>
  <c r="L89" i="40"/>
  <c r="L90" i="40"/>
  <c r="L96" i="40"/>
  <c r="L100" i="40"/>
  <c r="L92" i="40"/>
  <c r="K122" i="40"/>
  <c r="K134" i="40" s="1"/>
  <c r="K146" i="40" s="1"/>
  <c r="K158" i="40" s="1"/>
  <c r="K170" i="40" s="1"/>
  <c r="K182" i="40" s="1"/>
  <c r="K194" i="40" s="1"/>
  <c r="K206" i="40" s="1"/>
  <c r="K218" i="40" s="1"/>
  <c r="K230" i="40" s="1"/>
  <c r="K242" i="40" s="1"/>
  <c r="K254" i="40" s="1"/>
  <c r="K266" i="40" s="1"/>
  <c r="K109" i="40"/>
  <c r="L97" i="40"/>
  <c r="D93" i="40"/>
  <c r="C114" i="40"/>
  <c r="C126" i="40" s="1"/>
  <c r="C138" i="40" s="1"/>
  <c r="C150" i="40" s="1"/>
  <c r="C162" i="40" s="1"/>
  <c r="C174" i="40" s="1"/>
  <c r="C186" i="40" s="1"/>
  <c r="C198" i="40" s="1"/>
  <c r="C210" i="40" s="1"/>
  <c r="C222" i="40" s="1"/>
  <c r="C234" i="40" s="1"/>
  <c r="C246" i="40" s="1"/>
  <c r="C258" i="40" s="1"/>
  <c r="C113" i="40"/>
  <c r="C125" i="40" s="1"/>
  <c r="C137" i="40" s="1"/>
  <c r="C149" i="40" s="1"/>
  <c r="C161" i="40" s="1"/>
  <c r="C173" i="40" s="1"/>
  <c r="C185" i="40" s="1"/>
  <c r="C197" i="40" s="1"/>
  <c r="C209" i="40" s="1"/>
  <c r="C221" i="40" s="1"/>
  <c r="C233" i="40" s="1"/>
  <c r="C245" i="40" s="1"/>
  <c r="C257" i="40" s="1"/>
  <c r="L94" i="40"/>
  <c r="L263" i="38"/>
  <c r="L261" i="38"/>
  <c r="L265" i="38"/>
  <c r="L266" i="38"/>
  <c r="L247" i="38"/>
  <c r="L248" i="38"/>
  <c r="L268" i="38"/>
  <c r="L252" i="38"/>
  <c r="L262" i="38"/>
  <c r="L245" i="38"/>
  <c r="L246" i="38"/>
  <c r="L255" i="38"/>
  <c r="O42" i="8"/>
  <c r="O41" i="8"/>
  <c r="G41" i="8"/>
  <c r="O40" i="8"/>
  <c r="G40" i="8"/>
  <c r="O42" i="17"/>
  <c r="O41" i="17"/>
  <c r="O40" i="17"/>
  <c r="G57" i="17"/>
  <c r="G56" i="17"/>
  <c r="G55" i="17"/>
  <c r="G54" i="17"/>
  <c r="G53" i="17"/>
  <c r="G52" i="17"/>
  <c r="G51" i="17"/>
  <c r="G50" i="17"/>
  <c r="G49" i="17"/>
  <c r="G48" i="17"/>
  <c r="G47" i="17"/>
  <c r="G46" i="17"/>
  <c r="G45" i="17"/>
  <c r="G44" i="17"/>
  <c r="G43" i="17"/>
  <c r="G42" i="17"/>
  <c r="G41" i="17"/>
  <c r="G40" i="17"/>
  <c r="O41" i="2"/>
  <c r="O42" i="2"/>
  <c r="O40" i="2"/>
  <c r="Q100" i="41" l="1"/>
  <c r="Q96" i="41"/>
  <c r="Q92" i="41"/>
  <c r="Q98" i="41"/>
  <c r="Q90" i="41"/>
  <c r="Q97" i="41"/>
  <c r="Q89" i="41"/>
  <c r="Q99" i="41"/>
  <c r="Q95" i="41"/>
  <c r="Q91" i="41"/>
  <c r="Q94" i="41"/>
  <c r="Q93" i="41"/>
  <c r="Q148" i="41"/>
  <c r="Q144" i="41"/>
  <c r="Q140" i="41"/>
  <c r="Q138" i="41"/>
  <c r="Q141" i="41"/>
  <c r="Q147" i="41"/>
  <c r="Q143" i="41"/>
  <c r="Q139" i="41"/>
  <c r="Q146" i="41"/>
  <c r="Q142" i="41"/>
  <c r="Q145" i="41"/>
  <c r="Q137" i="41"/>
  <c r="Q196" i="41"/>
  <c r="Q192" i="41"/>
  <c r="Q188" i="41"/>
  <c r="Q190" i="41"/>
  <c r="Q189" i="41"/>
  <c r="Q195" i="41"/>
  <c r="Q191" i="41"/>
  <c r="Q187" i="41"/>
  <c r="Q194" i="41"/>
  <c r="Q186" i="41"/>
  <c r="Q193" i="41"/>
  <c r="Q185" i="41"/>
  <c r="N219" i="36"/>
  <c r="N220" i="36"/>
  <c r="N221" i="36"/>
  <c r="N222" i="36"/>
  <c r="N223" i="36"/>
  <c r="N224" i="36"/>
  <c r="N225" i="36"/>
  <c r="N226" i="36"/>
  <c r="N227" i="36"/>
  <c r="N228" i="36"/>
  <c r="N229" i="36"/>
  <c r="N230" i="36"/>
  <c r="N231" i="36"/>
  <c r="N232" i="36"/>
  <c r="N233" i="36"/>
  <c r="N234" i="36"/>
  <c r="N235" i="36"/>
  <c r="N236" i="36"/>
  <c r="N237" i="36"/>
  <c r="N238" i="36"/>
  <c r="N239" i="36"/>
  <c r="N240" i="36"/>
  <c r="N241" i="36"/>
  <c r="N242" i="36"/>
  <c r="N243" i="36"/>
  <c r="N244" i="36"/>
  <c r="N245" i="36"/>
  <c r="N246" i="36"/>
  <c r="N218" i="36"/>
  <c r="N247" i="36"/>
  <c r="N248" i="36"/>
  <c r="N249" i="36"/>
  <c r="N250" i="36"/>
  <c r="N251" i="36"/>
  <c r="N252" i="36"/>
  <c r="N253" i="36"/>
  <c r="N254" i="36"/>
  <c r="N255" i="36"/>
  <c r="N256" i="36"/>
  <c r="N257" i="36"/>
  <c r="N258" i="36"/>
  <c r="N259" i="36"/>
  <c r="N260" i="36"/>
  <c r="N261" i="36"/>
  <c r="N262" i="36"/>
  <c r="N264" i="36"/>
  <c r="N266" i="36"/>
  <c r="N263" i="36"/>
  <c r="N265" i="36"/>
  <c r="Q244" i="41"/>
  <c r="Q240" i="41"/>
  <c r="Q236" i="41"/>
  <c r="Q238" i="41"/>
  <c r="Q241" i="41"/>
  <c r="Q243" i="41"/>
  <c r="Q239" i="41"/>
  <c r="Q235" i="41"/>
  <c r="Q242" i="41"/>
  <c r="Q234" i="41"/>
  <c r="Q237" i="41"/>
  <c r="Q233" i="41"/>
  <c r="Q268" i="41"/>
  <c r="Q264" i="41"/>
  <c r="Q260" i="41"/>
  <c r="Q262" i="41"/>
  <c r="Q261" i="41"/>
  <c r="Q267" i="41"/>
  <c r="Q263" i="41"/>
  <c r="Q259" i="41"/>
  <c r="Q266" i="41"/>
  <c r="Q258" i="41"/>
  <c r="Q265" i="41"/>
  <c r="Q257" i="41"/>
  <c r="Q28" i="41"/>
  <c r="Q24" i="41"/>
  <c r="Q20" i="41"/>
  <c r="Q18" i="41"/>
  <c r="Q25" i="41"/>
  <c r="Q21" i="41"/>
  <c r="Q27" i="41"/>
  <c r="Q23" i="41"/>
  <c r="Q19" i="41"/>
  <c r="Q26" i="41"/>
  <c r="Q22" i="41"/>
  <c r="Q52" i="41"/>
  <c r="Q48" i="41"/>
  <c r="Q44" i="41"/>
  <c r="Q46" i="41"/>
  <c r="Q45" i="41"/>
  <c r="Q51" i="41"/>
  <c r="Q47" i="41"/>
  <c r="Q43" i="41"/>
  <c r="Q50" i="41"/>
  <c r="Q42" i="41"/>
  <c r="Q49" i="41"/>
  <c r="Q41" i="41"/>
  <c r="Q88" i="41"/>
  <c r="Q84" i="41"/>
  <c r="Q80" i="41"/>
  <c r="Q82" i="41"/>
  <c r="Q77" i="41"/>
  <c r="Q87" i="41"/>
  <c r="Q83" i="41"/>
  <c r="Q79" i="41"/>
  <c r="Q86" i="41"/>
  <c r="Q78" i="41"/>
  <c r="Q85" i="41"/>
  <c r="Q81" i="41"/>
  <c r="Q136" i="41"/>
  <c r="Q132" i="41"/>
  <c r="Q128" i="41"/>
  <c r="Q130" i="41"/>
  <c r="Q133" i="41"/>
  <c r="Q125" i="41"/>
  <c r="Q135" i="41"/>
  <c r="Q131" i="41"/>
  <c r="Q127" i="41"/>
  <c r="Q134" i="41"/>
  <c r="Q126" i="41"/>
  <c r="Q129" i="41"/>
  <c r="Q184" i="41"/>
  <c r="Q180" i="41"/>
  <c r="Q176" i="41"/>
  <c r="Q182" i="41"/>
  <c r="Q174" i="41"/>
  <c r="Q181" i="41"/>
  <c r="Q173" i="41"/>
  <c r="Q183" i="41"/>
  <c r="Q179" i="41"/>
  <c r="Q175" i="41"/>
  <c r="Q178" i="41"/>
  <c r="Q177" i="41"/>
  <c r="O225" i="36"/>
  <c r="O226" i="36"/>
  <c r="O227" i="36"/>
  <c r="O228" i="36"/>
  <c r="O229" i="36"/>
  <c r="O230" i="36"/>
  <c r="O231" i="36"/>
  <c r="O232" i="36"/>
  <c r="O233" i="36"/>
  <c r="O234" i="36"/>
  <c r="O235" i="36"/>
  <c r="O236" i="36"/>
  <c r="O237" i="36"/>
  <c r="O238" i="36"/>
  <c r="O239" i="36"/>
  <c r="O240" i="36"/>
  <c r="O241" i="36"/>
  <c r="O242" i="36"/>
  <c r="O243" i="36"/>
  <c r="O244" i="36"/>
  <c r="O245" i="36"/>
  <c r="O246" i="36"/>
  <c r="O247" i="36"/>
  <c r="O248" i="36"/>
  <c r="O249" i="36"/>
  <c r="O250" i="36"/>
  <c r="O251" i="36"/>
  <c r="O252" i="36"/>
  <c r="O253" i="36"/>
  <c r="O254" i="36"/>
  <c r="O255" i="36"/>
  <c r="O256" i="36"/>
  <c r="O257" i="36"/>
  <c r="O258" i="36"/>
  <c r="O259" i="36"/>
  <c r="O260" i="36"/>
  <c r="O261" i="36"/>
  <c r="O262" i="36"/>
  <c r="O263" i="36"/>
  <c r="O264" i="36"/>
  <c r="O265" i="36"/>
  <c r="O266" i="36"/>
  <c r="O220" i="36"/>
  <c r="O222" i="36"/>
  <c r="O224" i="36"/>
  <c r="O219" i="36"/>
  <c r="O221" i="36"/>
  <c r="O223" i="36"/>
  <c r="O218" i="36"/>
  <c r="Q232" i="41"/>
  <c r="Q228" i="41"/>
  <c r="Q224" i="41"/>
  <c r="Q230" i="41"/>
  <c r="Q222" i="41"/>
  <c r="Q229" i="41"/>
  <c r="Q225" i="41"/>
  <c r="Q231" i="41"/>
  <c r="Q227" i="41"/>
  <c r="Q223" i="41"/>
  <c r="Q226" i="41"/>
  <c r="Q221" i="41"/>
  <c r="Q76" i="41"/>
  <c r="Q72" i="41"/>
  <c r="Q68" i="41"/>
  <c r="Q74" i="41"/>
  <c r="Q69" i="41"/>
  <c r="Q75" i="41"/>
  <c r="Q71" i="41"/>
  <c r="Q67" i="41"/>
  <c r="Q70" i="41"/>
  <c r="Q66" i="41"/>
  <c r="Q73" i="41"/>
  <c r="Q65" i="41"/>
  <c r="Q124" i="41"/>
  <c r="Q120" i="41"/>
  <c r="Q116" i="41"/>
  <c r="Q122" i="41"/>
  <c r="Q114" i="41"/>
  <c r="Q117" i="41"/>
  <c r="Q123" i="41"/>
  <c r="Q119" i="41"/>
  <c r="Q115" i="41"/>
  <c r="Q118" i="41"/>
  <c r="Q121" i="41"/>
  <c r="Q113" i="41"/>
  <c r="Q172" i="41"/>
  <c r="Q168" i="41"/>
  <c r="Q164" i="41"/>
  <c r="Q166" i="41"/>
  <c r="Q165" i="41"/>
  <c r="Q171" i="41"/>
  <c r="Q167" i="41"/>
  <c r="Q163" i="41"/>
  <c r="Q170" i="41"/>
  <c r="Q162" i="41"/>
  <c r="Q169" i="41"/>
  <c r="Q161" i="41"/>
  <c r="P219" i="36"/>
  <c r="P220" i="36"/>
  <c r="P221" i="36"/>
  <c r="P222" i="36"/>
  <c r="P223" i="36"/>
  <c r="P224" i="36"/>
  <c r="P218" i="36"/>
  <c r="P225" i="36"/>
  <c r="P226" i="36"/>
  <c r="P227" i="36"/>
  <c r="P228" i="36"/>
  <c r="P229" i="36"/>
  <c r="P230" i="36"/>
  <c r="P231" i="36"/>
  <c r="P232" i="36"/>
  <c r="P233" i="36"/>
  <c r="P234" i="36"/>
  <c r="P235" i="36"/>
  <c r="P236" i="36"/>
  <c r="P237" i="36"/>
  <c r="P238" i="36"/>
  <c r="P239" i="36"/>
  <c r="P240" i="36"/>
  <c r="P241" i="36"/>
  <c r="P242" i="36"/>
  <c r="P243" i="36"/>
  <c r="P244" i="36"/>
  <c r="P245" i="36"/>
  <c r="P246" i="36"/>
  <c r="P247" i="36"/>
  <c r="P248" i="36"/>
  <c r="P249" i="36"/>
  <c r="P250" i="36"/>
  <c r="P251" i="36"/>
  <c r="P252" i="36"/>
  <c r="P253" i="36"/>
  <c r="P254" i="36"/>
  <c r="P255" i="36"/>
  <c r="P256" i="36"/>
  <c r="P257" i="36"/>
  <c r="P258" i="36"/>
  <c r="P259" i="36"/>
  <c r="P260" i="36"/>
  <c r="P261" i="36"/>
  <c r="P262" i="36"/>
  <c r="P263" i="36"/>
  <c r="P264" i="36"/>
  <c r="P265" i="36"/>
  <c r="P266" i="36"/>
  <c r="Q220" i="41"/>
  <c r="Q216" i="41"/>
  <c r="Q212" i="41"/>
  <c r="Q214" i="41"/>
  <c r="Q213" i="41"/>
  <c r="Q219" i="41"/>
  <c r="Q215" i="41"/>
  <c r="Q211" i="41"/>
  <c r="Q218" i="41"/>
  <c r="Q210" i="41"/>
  <c r="Q217" i="41"/>
  <c r="Q209" i="41"/>
  <c r="Q40" i="41"/>
  <c r="Q36" i="41"/>
  <c r="Q32" i="41"/>
  <c r="Q38" i="41"/>
  <c r="Q30" i="41"/>
  <c r="Q33" i="41"/>
  <c r="Q39" i="41"/>
  <c r="Q35" i="41"/>
  <c r="Q31" i="41"/>
  <c r="Q34" i="41"/>
  <c r="Q37" i="41"/>
  <c r="Q29" i="41"/>
  <c r="Q64" i="41"/>
  <c r="Q60" i="41"/>
  <c r="Q56" i="41"/>
  <c r="Q62" i="41"/>
  <c r="Q54" i="41"/>
  <c r="Q61" i="41"/>
  <c r="Q53" i="41"/>
  <c r="Q63" i="41"/>
  <c r="Q59" i="41"/>
  <c r="Q55" i="41"/>
  <c r="Q58" i="41"/>
  <c r="Q57" i="41"/>
  <c r="Q112" i="41"/>
  <c r="Q108" i="41"/>
  <c r="Q104" i="41"/>
  <c r="Q106" i="41"/>
  <c r="Q109" i="41"/>
  <c r="Q105" i="41"/>
  <c r="Q111" i="41"/>
  <c r="Q107" i="41"/>
  <c r="Q103" i="41"/>
  <c r="Q110" i="41"/>
  <c r="Q102" i="41"/>
  <c r="Q101" i="41"/>
  <c r="Q160" i="41"/>
  <c r="Q156" i="41"/>
  <c r="Q152" i="41"/>
  <c r="Q158" i="41"/>
  <c r="Q150" i="41"/>
  <c r="Q157" i="41"/>
  <c r="Q149" i="41"/>
  <c r="Q159" i="41"/>
  <c r="Q155" i="41"/>
  <c r="Q151" i="41"/>
  <c r="Q154" i="41"/>
  <c r="Q153" i="41"/>
  <c r="Q208" i="41"/>
  <c r="Q204" i="41"/>
  <c r="Q200" i="41"/>
  <c r="Q206" i="41"/>
  <c r="Q198" i="41"/>
  <c r="Q205" i="41"/>
  <c r="Q197" i="41"/>
  <c r="Q207" i="41"/>
  <c r="Q203" i="41"/>
  <c r="Q199" i="41"/>
  <c r="Q202" i="41"/>
  <c r="Q201" i="41"/>
  <c r="M219" i="36"/>
  <c r="M220" i="36"/>
  <c r="M221" i="36"/>
  <c r="M222" i="36"/>
  <c r="M223" i="36"/>
  <c r="M224" i="36"/>
  <c r="M225" i="36"/>
  <c r="M226" i="36"/>
  <c r="M227" i="36"/>
  <c r="M228" i="36"/>
  <c r="M229" i="36"/>
  <c r="M230" i="36"/>
  <c r="M231" i="36"/>
  <c r="M232" i="36"/>
  <c r="M233" i="36"/>
  <c r="M234" i="36"/>
  <c r="M235" i="36"/>
  <c r="M236" i="36"/>
  <c r="M237" i="36"/>
  <c r="M238" i="36"/>
  <c r="M239" i="36"/>
  <c r="M240" i="36"/>
  <c r="M241" i="36"/>
  <c r="M242" i="36"/>
  <c r="M243" i="36"/>
  <c r="M244" i="36"/>
  <c r="M245" i="36"/>
  <c r="M246" i="36"/>
  <c r="M247" i="36"/>
  <c r="M248" i="36"/>
  <c r="M249" i="36"/>
  <c r="M250" i="36"/>
  <c r="M251" i="36"/>
  <c r="M252" i="36"/>
  <c r="M253" i="36"/>
  <c r="M254" i="36"/>
  <c r="M255" i="36"/>
  <c r="M256" i="36"/>
  <c r="M257" i="36"/>
  <c r="M258" i="36"/>
  <c r="M259" i="36"/>
  <c r="M260" i="36"/>
  <c r="M261" i="36"/>
  <c r="M262" i="36"/>
  <c r="M263" i="36"/>
  <c r="M264" i="36"/>
  <c r="M265" i="36"/>
  <c r="M266" i="36"/>
  <c r="Q256" i="41"/>
  <c r="Q252" i="41"/>
  <c r="Q248" i="41"/>
  <c r="Q246" i="41"/>
  <c r="Q249" i="41"/>
  <c r="Q255" i="41"/>
  <c r="Q251" i="41"/>
  <c r="Q247" i="41"/>
  <c r="Q254" i="41"/>
  <c r="Q250" i="41"/>
  <c r="Q253" i="41"/>
  <c r="Q245" i="41"/>
  <c r="I31" i="43"/>
  <c r="I39" i="43"/>
  <c r="I33" i="43"/>
  <c r="I40" i="43"/>
  <c r="I35" i="43"/>
  <c r="I32" i="43"/>
  <c r="I34" i="43"/>
  <c r="I36" i="43"/>
  <c r="I38" i="43"/>
  <c r="I30" i="43"/>
  <c r="I29" i="43"/>
  <c r="I37" i="43"/>
  <c r="I57" i="43"/>
  <c r="I53" i="43"/>
  <c r="I55" i="43"/>
  <c r="I60" i="43"/>
  <c r="I54" i="43"/>
  <c r="I58" i="43"/>
  <c r="I56" i="43"/>
  <c r="I64" i="43"/>
  <c r="I63" i="43"/>
  <c r="I59" i="43"/>
  <c r="I62" i="43"/>
  <c r="I61" i="43"/>
  <c r="P82" i="43"/>
  <c r="P86" i="43"/>
  <c r="P77" i="43"/>
  <c r="P79" i="43"/>
  <c r="P84" i="43"/>
  <c r="P87" i="43"/>
  <c r="P81" i="43"/>
  <c r="P83" i="43"/>
  <c r="P88" i="43"/>
  <c r="P85" i="43"/>
  <c r="P78" i="43"/>
  <c r="P80" i="43"/>
  <c r="N110" i="43"/>
  <c r="N109" i="43"/>
  <c r="N108" i="43"/>
  <c r="N107" i="43"/>
  <c r="N106" i="43"/>
  <c r="N105" i="43"/>
  <c r="N104" i="43"/>
  <c r="N103" i="43"/>
  <c r="N102" i="43"/>
  <c r="N101" i="43"/>
  <c r="N112" i="43"/>
  <c r="N111" i="43"/>
  <c r="G129" i="43"/>
  <c r="G130" i="43"/>
  <c r="G128" i="43"/>
  <c r="G125" i="43"/>
  <c r="G134" i="43"/>
  <c r="G126" i="43"/>
  <c r="G133" i="43"/>
  <c r="G136" i="43"/>
  <c r="G131" i="43"/>
  <c r="G132" i="43"/>
  <c r="G127" i="43"/>
  <c r="G135" i="43"/>
  <c r="Q146" i="43"/>
  <c r="Q139" i="43"/>
  <c r="Q137" i="43"/>
  <c r="Q144" i="43"/>
  <c r="Q140" i="43"/>
  <c r="Q148" i="43"/>
  <c r="Q141" i="43"/>
  <c r="Q145" i="43"/>
  <c r="Q142" i="43"/>
  <c r="Q138" i="43"/>
  <c r="Q147" i="43"/>
  <c r="Q143" i="43"/>
  <c r="G173" i="43"/>
  <c r="G175" i="43"/>
  <c r="G179" i="43"/>
  <c r="G183" i="43"/>
  <c r="G182" i="43"/>
  <c r="G181" i="43"/>
  <c r="G174" i="43"/>
  <c r="G180" i="43"/>
  <c r="G178" i="43"/>
  <c r="G177" i="43"/>
  <c r="G176" i="43"/>
  <c r="G184" i="43"/>
  <c r="N203" i="43"/>
  <c r="N199" i="43"/>
  <c r="N205" i="43"/>
  <c r="N206" i="43"/>
  <c r="N201" i="43"/>
  <c r="N207" i="43"/>
  <c r="N208" i="43"/>
  <c r="N197" i="43"/>
  <c r="N198" i="43"/>
  <c r="N202" i="43"/>
  <c r="N200" i="43"/>
  <c r="N204" i="43"/>
  <c r="I236" i="43"/>
  <c r="I235" i="43"/>
  <c r="I234" i="43"/>
  <c r="I240" i="43"/>
  <c r="I241" i="43"/>
  <c r="I244" i="43"/>
  <c r="I243" i="43"/>
  <c r="I233" i="43"/>
  <c r="I237" i="43"/>
  <c r="I242" i="43"/>
  <c r="I239" i="43"/>
  <c r="I238" i="43"/>
  <c r="Q259" i="43"/>
  <c r="Q261" i="43"/>
  <c r="Q258" i="43"/>
  <c r="Q264" i="43"/>
  <c r="Q267" i="43"/>
  <c r="Q268" i="43"/>
  <c r="Q262" i="43"/>
  <c r="Q266" i="43"/>
  <c r="Q263" i="43"/>
  <c r="Q257" i="43"/>
  <c r="Q260" i="43"/>
  <c r="Q265" i="43"/>
  <c r="I9" i="43"/>
  <c r="I13" i="43"/>
  <c r="I15" i="43"/>
  <c r="I7" i="43"/>
  <c r="I6" i="43"/>
  <c r="I8" i="43"/>
  <c r="I10" i="43"/>
  <c r="I14" i="43"/>
  <c r="I16" i="43"/>
  <c r="I11" i="43"/>
  <c r="I5" i="43"/>
  <c r="I12" i="43"/>
  <c r="N36" i="43"/>
  <c r="N32" i="43"/>
  <c r="N40" i="43"/>
  <c r="N39" i="43"/>
  <c r="N35" i="43"/>
  <c r="N31" i="43"/>
  <c r="N30" i="43"/>
  <c r="N37" i="43"/>
  <c r="N33" i="43"/>
  <c r="N29" i="43"/>
  <c r="N34" i="43"/>
  <c r="N38" i="43"/>
  <c r="G52" i="43"/>
  <c r="G42" i="43"/>
  <c r="G44" i="43"/>
  <c r="G46" i="43"/>
  <c r="G48" i="43"/>
  <c r="G41" i="43"/>
  <c r="G43" i="43"/>
  <c r="G45" i="43"/>
  <c r="G47" i="43"/>
  <c r="G50" i="43"/>
  <c r="G51" i="43"/>
  <c r="G49" i="43"/>
  <c r="Q41" i="43"/>
  <c r="Q52" i="43"/>
  <c r="Q47" i="43"/>
  <c r="Q46" i="43"/>
  <c r="Q45" i="43"/>
  <c r="Q50" i="43"/>
  <c r="Q43" i="43"/>
  <c r="Q51" i="43"/>
  <c r="Q42" i="43"/>
  <c r="Q49" i="43"/>
  <c r="Q48" i="43"/>
  <c r="Q44" i="43"/>
  <c r="N54" i="43"/>
  <c r="N55" i="43"/>
  <c r="N53" i="43"/>
  <c r="N56" i="43"/>
  <c r="N64" i="43"/>
  <c r="N57" i="43"/>
  <c r="N60" i="43"/>
  <c r="N61" i="43"/>
  <c r="N62" i="43"/>
  <c r="N63" i="43"/>
  <c r="N58" i="43"/>
  <c r="N59" i="43"/>
  <c r="G65" i="43"/>
  <c r="G76" i="43"/>
  <c r="G66" i="43"/>
  <c r="G71" i="43"/>
  <c r="G69" i="43"/>
  <c r="G74" i="43"/>
  <c r="G67" i="43"/>
  <c r="G73" i="43"/>
  <c r="G68" i="43"/>
  <c r="G75" i="43"/>
  <c r="G72" i="43"/>
  <c r="G70" i="43"/>
  <c r="P65" i="43"/>
  <c r="P69" i="43"/>
  <c r="P71" i="43"/>
  <c r="P73" i="43"/>
  <c r="P75" i="43"/>
  <c r="P68" i="43"/>
  <c r="P66" i="43"/>
  <c r="P74" i="43"/>
  <c r="P72" i="43"/>
  <c r="P70" i="43"/>
  <c r="P76" i="43"/>
  <c r="P67" i="43"/>
  <c r="I85" i="40"/>
  <c r="I80" i="43"/>
  <c r="I81" i="43"/>
  <c r="I88" i="43"/>
  <c r="I87" i="43"/>
  <c r="I82" i="43"/>
  <c r="I79" i="43"/>
  <c r="I86" i="43"/>
  <c r="I78" i="43"/>
  <c r="I83" i="43"/>
  <c r="I77" i="43"/>
  <c r="I85" i="43"/>
  <c r="I84" i="43"/>
  <c r="Q80" i="43"/>
  <c r="Q88" i="43"/>
  <c r="Q87" i="43"/>
  <c r="Q82" i="43"/>
  <c r="Q79" i="43"/>
  <c r="Q77" i="43"/>
  <c r="Q85" i="43"/>
  <c r="Q84" i="43"/>
  <c r="Q83" i="43"/>
  <c r="Q81" i="43"/>
  <c r="Q86" i="43"/>
  <c r="Q78" i="43"/>
  <c r="N89" i="43"/>
  <c r="N91" i="43"/>
  <c r="N98" i="43"/>
  <c r="N92" i="43"/>
  <c r="N93" i="43"/>
  <c r="N95" i="43"/>
  <c r="N100" i="43"/>
  <c r="N97" i="43"/>
  <c r="N90" i="43"/>
  <c r="N94" i="43"/>
  <c r="N99" i="43"/>
  <c r="N96" i="43"/>
  <c r="E103" i="43"/>
  <c r="E111" i="43"/>
  <c r="E107" i="43"/>
  <c r="E110" i="43"/>
  <c r="E101" i="43"/>
  <c r="E109" i="43"/>
  <c r="E105" i="43"/>
  <c r="E102" i="43"/>
  <c r="E104" i="43"/>
  <c r="E108" i="43"/>
  <c r="E106" i="43"/>
  <c r="E112" i="43"/>
  <c r="O111" i="43"/>
  <c r="O101" i="43"/>
  <c r="O112" i="43"/>
  <c r="O103" i="43"/>
  <c r="O105" i="43"/>
  <c r="O107" i="43"/>
  <c r="O109" i="43"/>
  <c r="O104" i="43"/>
  <c r="O108" i="43"/>
  <c r="O106" i="43"/>
  <c r="O110" i="43"/>
  <c r="O102" i="43"/>
  <c r="P115" i="43"/>
  <c r="P120" i="43"/>
  <c r="P123" i="43"/>
  <c r="P116" i="43"/>
  <c r="P119" i="43"/>
  <c r="P113" i="43"/>
  <c r="P117" i="43"/>
  <c r="P118" i="43"/>
  <c r="P121" i="43"/>
  <c r="P122" i="43"/>
  <c r="P124" i="43"/>
  <c r="P114" i="43"/>
  <c r="I134" i="43"/>
  <c r="I126" i="43"/>
  <c r="I132" i="43"/>
  <c r="I127" i="43"/>
  <c r="I130" i="43"/>
  <c r="I131" i="43"/>
  <c r="I125" i="43"/>
  <c r="I133" i="43"/>
  <c r="I129" i="43"/>
  <c r="I128" i="43"/>
  <c r="I136" i="43"/>
  <c r="I135" i="43"/>
  <c r="Q132" i="43"/>
  <c r="Q127" i="43"/>
  <c r="Q136" i="43"/>
  <c r="Q129" i="43"/>
  <c r="Q135" i="43"/>
  <c r="Q128" i="43"/>
  <c r="Q134" i="43"/>
  <c r="Q126" i="43"/>
  <c r="Q130" i="43"/>
  <c r="Q131" i="43"/>
  <c r="Q125" i="43"/>
  <c r="Q133" i="43"/>
  <c r="N148" i="43"/>
  <c r="N147" i="43"/>
  <c r="N146" i="43"/>
  <c r="N145" i="43"/>
  <c r="N144" i="43"/>
  <c r="N143" i="43"/>
  <c r="N142" i="43"/>
  <c r="N140" i="43"/>
  <c r="N137" i="43"/>
  <c r="N138" i="43"/>
  <c r="N139" i="43"/>
  <c r="N141" i="43"/>
  <c r="E154" i="43"/>
  <c r="E153" i="43"/>
  <c r="E156" i="43"/>
  <c r="E157" i="43"/>
  <c r="E149" i="43"/>
  <c r="E159" i="43"/>
  <c r="E158" i="43"/>
  <c r="E152" i="43"/>
  <c r="E155" i="43"/>
  <c r="E160" i="43"/>
  <c r="E150" i="43"/>
  <c r="E151" i="43"/>
  <c r="O150" i="43"/>
  <c r="O152" i="43"/>
  <c r="O154" i="43"/>
  <c r="O156" i="43"/>
  <c r="O158" i="43"/>
  <c r="O160" i="43"/>
  <c r="O149" i="43"/>
  <c r="O157" i="43"/>
  <c r="O151" i="43"/>
  <c r="O159" i="43"/>
  <c r="O153" i="43"/>
  <c r="O155" i="43"/>
  <c r="G161" i="43"/>
  <c r="G171" i="43"/>
  <c r="G169" i="43"/>
  <c r="G163" i="43"/>
  <c r="G170" i="43"/>
  <c r="G162" i="43"/>
  <c r="G168" i="43"/>
  <c r="G165" i="43"/>
  <c r="G172" i="43"/>
  <c r="G167" i="43"/>
  <c r="G166" i="43"/>
  <c r="G164" i="43"/>
  <c r="P172" i="43"/>
  <c r="P171" i="43"/>
  <c r="P170" i="43"/>
  <c r="P169" i="43"/>
  <c r="P168" i="43"/>
  <c r="P167" i="43"/>
  <c r="P166" i="43"/>
  <c r="P165" i="43"/>
  <c r="P163" i="43"/>
  <c r="P164" i="43"/>
  <c r="P162" i="43"/>
  <c r="P161" i="43"/>
  <c r="I184" i="43"/>
  <c r="I178" i="43"/>
  <c r="I174" i="43"/>
  <c r="I177" i="43"/>
  <c r="I173" i="43"/>
  <c r="I180" i="43"/>
  <c r="I183" i="43"/>
  <c r="I182" i="43"/>
  <c r="I176" i="43"/>
  <c r="I179" i="43"/>
  <c r="I181" i="43"/>
  <c r="I175" i="43"/>
  <c r="Q174" i="43"/>
  <c r="Q177" i="43"/>
  <c r="Q178" i="43"/>
  <c r="Q183" i="43"/>
  <c r="Q182" i="43"/>
  <c r="Q176" i="43"/>
  <c r="Q179" i="43"/>
  <c r="Q184" i="43"/>
  <c r="Q173" i="43"/>
  <c r="Q181" i="43"/>
  <c r="Q180" i="43"/>
  <c r="Q175" i="43"/>
  <c r="N185" i="43"/>
  <c r="N187" i="43"/>
  <c r="N189" i="43"/>
  <c r="N191" i="43"/>
  <c r="N193" i="43"/>
  <c r="N195" i="43"/>
  <c r="N186" i="43"/>
  <c r="N194" i="43"/>
  <c r="N192" i="43"/>
  <c r="N188" i="43"/>
  <c r="N196" i="43"/>
  <c r="N190" i="43"/>
  <c r="E203" i="43"/>
  <c r="E197" i="43"/>
  <c r="E198" i="43"/>
  <c r="E205" i="43"/>
  <c r="E206" i="43"/>
  <c r="E201" i="43"/>
  <c r="E199" i="43"/>
  <c r="E200" i="43"/>
  <c r="E204" i="43"/>
  <c r="E207" i="43"/>
  <c r="E208" i="43"/>
  <c r="E202" i="43"/>
  <c r="O202" i="43"/>
  <c r="O201" i="43"/>
  <c r="O200" i="43"/>
  <c r="O199" i="43"/>
  <c r="O205" i="43"/>
  <c r="O207" i="43"/>
  <c r="O203" i="43"/>
  <c r="O197" i="43"/>
  <c r="O198" i="43"/>
  <c r="O204" i="43"/>
  <c r="O206" i="43"/>
  <c r="O208" i="43"/>
  <c r="G216" i="43"/>
  <c r="G214" i="43"/>
  <c r="G220" i="43"/>
  <c r="G212" i="43"/>
  <c r="G211" i="43"/>
  <c r="G217" i="43"/>
  <c r="G213" i="43"/>
  <c r="G209" i="43"/>
  <c r="G218" i="43"/>
  <c r="G210" i="43"/>
  <c r="G215" i="43"/>
  <c r="G219" i="43"/>
  <c r="P220" i="43"/>
  <c r="P218" i="43"/>
  <c r="P216" i="43"/>
  <c r="P214" i="43"/>
  <c r="P212" i="43"/>
  <c r="P210" i="43"/>
  <c r="P219" i="43"/>
  <c r="P217" i="43"/>
  <c r="P215" i="43"/>
  <c r="P213" i="43"/>
  <c r="P211" i="43"/>
  <c r="P209" i="43"/>
  <c r="I222" i="43"/>
  <c r="I225" i="43"/>
  <c r="I231" i="43"/>
  <c r="I226" i="43"/>
  <c r="I228" i="43"/>
  <c r="I232" i="43"/>
  <c r="I230" i="43"/>
  <c r="I221" i="43"/>
  <c r="I223" i="43"/>
  <c r="I227" i="43"/>
  <c r="I224" i="43"/>
  <c r="I229" i="43"/>
  <c r="Q226" i="43"/>
  <c r="Q228" i="43"/>
  <c r="Q229" i="43"/>
  <c r="Q232" i="43"/>
  <c r="Q230" i="43"/>
  <c r="Q223" i="43"/>
  <c r="Q231" i="43"/>
  <c r="Q221" i="43"/>
  <c r="Q225" i="43"/>
  <c r="Q222" i="43"/>
  <c r="Q227" i="43"/>
  <c r="Q224" i="43"/>
  <c r="N236" i="38"/>
  <c r="N244" i="43"/>
  <c r="N237" i="43"/>
  <c r="N234" i="43"/>
  <c r="N241" i="43"/>
  <c r="N238" i="43"/>
  <c r="N242" i="43"/>
  <c r="N233" i="43"/>
  <c r="N235" i="43"/>
  <c r="N243" i="43"/>
  <c r="N236" i="43"/>
  <c r="N239" i="43"/>
  <c r="N240" i="43"/>
  <c r="E249" i="43"/>
  <c r="E248" i="43"/>
  <c r="E255" i="43"/>
  <c r="E251" i="43"/>
  <c r="E247" i="43"/>
  <c r="E250" i="43"/>
  <c r="E254" i="43"/>
  <c r="E252" i="43"/>
  <c r="E245" i="43"/>
  <c r="E246" i="43"/>
  <c r="E253" i="43"/>
  <c r="E256" i="43"/>
  <c r="O256" i="38"/>
  <c r="O251" i="43"/>
  <c r="O247" i="43"/>
  <c r="O254" i="43"/>
  <c r="O255" i="43"/>
  <c r="O250" i="43"/>
  <c r="O246" i="43"/>
  <c r="O252" i="43"/>
  <c r="O256" i="43"/>
  <c r="O245" i="43"/>
  <c r="O249" i="43"/>
  <c r="O253" i="43"/>
  <c r="O248" i="43"/>
  <c r="G262" i="43"/>
  <c r="G265" i="43"/>
  <c r="G258" i="43"/>
  <c r="G257" i="43"/>
  <c r="G267" i="43"/>
  <c r="G266" i="43"/>
  <c r="G268" i="43"/>
  <c r="G259" i="43"/>
  <c r="G261" i="43"/>
  <c r="G263" i="43"/>
  <c r="G260" i="43"/>
  <c r="G264" i="43"/>
  <c r="X11" i="8"/>
  <c r="K275" i="43"/>
  <c r="G15" i="43"/>
  <c r="G7" i="43"/>
  <c r="G9" i="43"/>
  <c r="G8" i="43"/>
  <c r="J8" i="43" s="1"/>
  <c r="AD8" i="43" s="1"/>
  <c r="AE8" i="43" s="1"/>
  <c r="G11" i="43"/>
  <c r="J11" i="43" s="1"/>
  <c r="AD11" i="43" s="1"/>
  <c r="AE11" i="43" s="1"/>
  <c r="G6" i="43"/>
  <c r="G10" i="43"/>
  <c r="G14" i="43"/>
  <c r="G13" i="43"/>
  <c r="J13" i="43" s="1"/>
  <c r="AD13" i="43" s="1"/>
  <c r="AE13" i="43" s="1"/>
  <c r="G5" i="43"/>
  <c r="J5" i="43" s="1"/>
  <c r="G16" i="43"/>
  <c r="G12" i="43"/>
  <c r="O48" i="43"/>
  <c r="O52" i="43"/>
  <c r="O51" i="43"/>
  <c r="O47" i="43"/>
  <c r="O45" i="43"/>
  <c r="O43" i="43"/>
  <c r="O49" i="43"/>
  <c r="O46" i="43"/>
  <c r="O44" i="43"/>
  <c r="O41" i="43"/>
  <c r="O50" i="43"/>
  <c r="O42" i="43"/>
  <c r="G80" i="43"/>
  <c r="G82" i="43"/>
  <c r="G85" i="43"/>
  <c r="G84" i="43"/>
  <c r="G86" i="43"/>
  <c r="G79" i="43"/>
  <c r="G77" i="43"/>
  <c r="G87" i="43"/>
  <c r="G88" i="43"/>
  <c r="G81" i="43"/>
  <c r="G78" i="43"/>
  <c r="G83" i="43"/>
  <c r="Q90" i="43"/>
  <c r="Q95" i="43"/>
  <c r="Q97" i="43"/>
  <c r="Q100" i="43"/>
  <c r="Q94" i="43"/>
  <c r="Q92" i="43"/>
  <c r="Q98" i="43"/>
  <c r="Q99" i="43"/>
  <c r="Q93" i="43"/>
  <c r="Q96" i="43"/>
  <c r="Q89" i="43"/>
  <c r="Q91" i="43"/>
  <c r="P125" i="43"/>
  <c r="P127" i="43"/>
  <c r="P129" i="43"/>
  <c r="P134" i="43"/>
  <c r="P136" i="43"/>
  <c r="P130" i="43"/>
  <c r="P132" i="43"/>
  <c r="P128" i="43"/>
  <c r="P135" i="43"/>
  <c r="P126" i="43"/>
  <c r="P131" i="43"/>
  <c r="P133" i="43"/>
  <c r="N150" i="43"/>
  <c r="N152" i="43"/>
  <c r="N154" i="43"/>
  <c r="N156" i="43"/>
  <c r="N158" i="43"/>
  <c r="N160" i="43"/>
  <c r="N155" i="43"/>
  <c r="N153" i="43"/>
  <c r="N151" i="43"/>
  <c r="N159" i="43"/>
  <c r="N157" i="43"/>
  <c r="N149" i="43"/>
  <c r="P174" i="43"/>
  <c r="P177" i="43"/>
  <c r="P179" i="43"/>
  <c r="P181" i="43"/>
  <c r="P183" i="43"/>
  <c r="P175" i="43"/>
  <c r="P173" i="43"/>
  <c r="P178" i="43"/>
  <c r="P176" i="43"/>
  <c r="P180" i="43"/>
  <c r="P182" i="43"/>
  <c r="P184" i="43"/>
  <c r="E213" i="43"/>
  <c r="E209" i="43"/>
  <c r="E218" i="43"/>
  <c r="E210" i="43"/>
  <c r="E215" i="43"/>
  <c r="E217" i="43"/>
  <c r="E220" i="43"/>
  <c r="E211" i="43"/>
  <c r="E219" i="43"/>
  <c r="E216" i="43"/>
  <c r="E214" i="43"/>
  <c r="E212" i="43"/>
  <c r="G226" i="43"/>
  <c r="G222" i="43"/>
  <c r="G221" i="43"/>
  <c r="G227" i="43"/>
  <c r="G230" i="43"/>
  <c r="G223" i="43"/>
  <c r="G225" i="43"/>
  <c r="G224" i="43"/>
  <c r="G231" i="43"/>
  <c r="G229" i="43"/>
  <c r="G232" i="43"/>
  <c r="G228" i="43"/>
  <c r="N251" i="43"/>
  <c r="N247" i="43"/>
  <c r="N256" i="43"/>
  <c r="N255" i="43"/>
  <c r="N248" i="43"/>
  <c r="N252" i="43"/>
  <c r="N245" i="43"/>
  <c r="N249" i="43"/>
  <c r="N250" i="43"/>
  <c r="N254" i="43"/>
  <c r="N253" i="43"/>
  <c r="N246" i="43"/>
  <c r="K276" i="43"/>
  <c r="E24" i="43"/>
  <c r="E20" i="43"/>
  <c r="E18" i="43"/>
  <c r="E22" i="43"/>
  <c r="E17" i="43"/>
  <c r="E21" i="43"/>
  <c r="E25" i="43"/>
  <c r="E23" i="43"/>
  <c r="E19" i="43"/>
  <c r="E28" i="43"/>
  <c r="E27" i="43"/>
  <c r="E26" i="43"/>
  <c r="K277" i="43"/>
  <c r="E40" i="43"/>
  <c r="E33" i="43"/>
  <c r="E35" i="43"/>
  <c r="E31" i="43"/>
  <c r="E39" i="43"/>
  <c r="E29" i="43"/>
  <c r="E37" i="43"/>
  <c r="E30" i="43"/>
  <c r="E32" i="43"/>
  <c r="E34" i="43"/>
  <c r="E36" i="43"/>
  <c r="E38" i="43"/>
  <c r="O40" i="43"/>
  <c r="O30" i="43"/>
  <c r="O38" i="43"/>
  <c r="O34" i="43"/>
  <c r="O36" i="43"/>
  <c r="O32" i="43"/>
  <c r="O31" i="43"/>
  <c r="O33" i="43"/>
  <c r="O35" i="43"/>
  <c r="O37" i="43"/>
  <c r="O39" i="43"/>
  <c r="O29" i="43"/>
  <c r="I52" i="43"/>
  <c r="I42" i="43"/>
  <c r="I44" i="43"/>
  <c r="I46" i="43"/>
  <c r="I48" i="43"/>
  <c r="I41" i="43"/>
  <c r="I43" i="43"/>
  <c r="I45" i="43"/>
  <c r="I47" i="43"/>
  <c r="I49" i="43"/>
  <c r="I50" i="43"/>
  <c r="I51" i="43"/>
  <c r="E60" i="43"/>
  <c r="E57" i="43"/>
  <c r="E53" i="43"/>
  <c r="E54" i="43"/>
  <c r="E55" i="43"/>
  <c r="E56" i="43"/>
  <c r="E58" i="43"/>
  <c r="E59" i="43"/>
  <c r="E64" i="43"/>
  <c r="E63" i="43"/>
  <c r="E61" i="43"/>
  <c r="E62" i="43"/>
  <c r="O64" i="43"/>
  <c r="O63" i="43"/>
  <c r="O61" i="43"/>
  <c r="O62" i="43"/>
  <c r="O58" i="43"/>
  <c r="O54" i="43"/>
  <c r="O56" i="43"/>
  <c r="O60" i="43"/>
  <c r="O53" i="43"/>
  <c r="O59" i="43"/>
  <c r="O55" i="43"/>
  <c r="O57" i="43"/>
  <c r="I65" i="43"/>
  <c r="I76" i="43"/>
  <c r="I71" i="43"/>
  <c r="I69" i="43"/>
  <c r="I74" i="43"/>
  <c r="I68" i="43"/>
  <c r="I67" i="43"/>
  <c r="I66" i="43"/>
  <c r="I75" i="43"/>
  <c r="I72" i="43"/>
  <c r="I70" i="43"/>
  <c r="I73" i="43"/>
  <c r="Q65" i="43"/>
  <c r="Q72" i="43"/>
  <c r="Q73" i="43"/>
  <c r="Q75" i="43"/>
  <c r="Q67" i="43"/>
  <c r="Q70" i="43"/>
  <c r="Q68" i="43"/>
  <c r="Q66" i="43"/>
  <c r="Q76" i="43"/>
  <c r="Q71" i="43"/>
  <c r="Q69" i="43"/>
  <c r="Q74" i="43"/>
  <c r="N77" i="43"/>
  <c r="N79" i="43"/>
  <c r="N81" i="43"/>
  <c r="N83" i="43"/>
  <c r="N85" i="43"/>
  <c r="N88" i="43"/>
  <c r="N78" i="43"/>
  <c r="N80" i="43"/>
  <c r="N82" i="43"/>
  <c r="N86" i="43"/>
  <c r="N84" i="43"/>
  <c r="N87" i="43"/>
  <c r="E90" i="43"/>
  <c r="E92" i="43"/>
  <c r="E99" i="43"/>
  <c r="E93" i="43"/>
  <c r="E96" i="43"/>
  <c r="E98" i="43"/>
  <c r="E95" i="43"/>
  <c r="E91" i="43"/>
  <c r="E100" i="43"/>
  <c r="E94" i="43"/>
  <c r="E89" i="43"/>
  <c r="E97" i="43"/>
  <c r="O96" i="43"/>
  <c r="O92" i="43"/>
  <c r="O100" i="43"/>
  <c r="O99" i="43"/>
  <c r="O95" i="43"/>
  <c r="O91" i="43"/>
  <c r="O98" i="43"/>
  <c r="O94" i="43"/>
  <c r="O90" i="43"/>
  <c r="O89" i="43"/>
  <c r="O93" i="43"/>
  <c r="O97" i="43"/>
  <c r="G107" i="43"/>
  <c r="G103" i="43"/>
  <c r="G111" i="43"/>
  <c r="G105" i="43"/>
  <c r="G109" i="43"/>
  <c r="G110" i="43"/>
  <c r="G101" i="43"/>
  <c r="G106" i="43"/>
  <c r="G112" i="43"/>
  <c r="G102" i="43"/>
  <c r="G108" i="43"/>
  <c r="G104" i="43"/>
  <c r="P102" i="40"/>
  <c r="P111" i="43"/>
  <c r="P110" i="43"/>
  <c r="P109" i="43"/>
  <c r="P108" i="43"/>
  <c r="P107" i="43"/>
  <c r="P106" i="43"/>
  <c r="P105" i="43"/>
  <c r="P104" i="43"/>
  <c r="P103" i="43"/>
  <c r="P102" i="43"/>
  <c r="P101" i="43"/>
  <c r="P112" i="43"/>
  <c r="N133" i="43"/>
  <c r="N135" i="43"/>
  <c r="N129" i="43"/>
  <c r="N134" i="43"/>
  <c r="N127" i="43"/>
  <c r="N130" i="43"/>
  <c r="N132" i="43"/>
  <c r="N125" i="43"/>
  <c r="N128" i="43"/>
  <c r="N136" i="43"/>
  <c r="N131" i="43"/>
  <c r="N126" i="43"/>
  <c r="E141" i="43"/>
  <c r="E147" i="43"/>
  <c r="E137" i="43"/>
  <c r="E140" i="43"/>
  <c r="E143" i="43"/>
  <c r="E139" i="43"/>
  <c r="E148" i="43"/>
  <c r="E142" i="43"/>
  <c r="E146" i="43"/>
  <c r="E144" i="43"/>
  <c r="E138" i="43"/>
  <c r="E145" i="43"/>
  <c r="O148" i="43"/>
  <c r="O147" i="43"/>
  <c r="O146" i="43"/>
  <c r="O145" i="43"/>
  <c r="O144" i="43"/>
  <c r="O143" i="43"/>
  <c r="O142" i="43"/>
  <c r="O139" i="43"/>
  <c r="O141" i="43"/>
  <c r="O140" i="43"/>
  <c r="O137" i="43"/>
  <c r="O138" i="43"/>
  <c r="G159" i="43"/>
  <c r="G154" i="43"/>
  <c r="G158" i="43"/>
  <c r="G152" i="43"/>
  <c r="G155" i="43"/>
  <c r="G160" i="43"/>
  <c r="G156" i="43"/>
  <c r="G150" i="43"/>
  <c r="G151" i="43"/>
  <c r="G149" i="43"/>
  <c r="G153" i="43"/>
  <c r="G157" i="43"/>
  <c r="P157" i="40"/>
  <c r="P151" i="43"/>
  <c r="P154" i="43"/>
  <c r="P159" i="43"/>
  <c r="P149" i="43"/>
  <c r="P152" i="43"/>
  <c r="P157" i="43"/>
  <c r="P160" i="43"/>
  <c r="P150" i="43"/>
  <c r="P155" i="43"/>
  <c r="P158" i="43"/>
  <c r="P153" i="43"/>
  <c r="P156" i="43"/>
  <c r="I168" i="43"/>
  <c r="I165" i="43"/>
  <c r="I172" i="43"/>
  <c r="I167" i="43"/>
  <c r="I171" i="43"/>
  <c r="I169" i="43"/>
  <c r="I170" i="43"/>
  <c r="I164" i="43"/>
  <c r="I163" i="43"/>
  <c r="I166" i="43"/>
  <c r="I162" i="43"/>
  <c r="I161" i="43"/>
  <c r="Q164" i="43"/>
  <c r="Q165" i="43"/>
  <c r="Q166" i="43"/>
  <c r="Q162" i="43"/>
  <c r="Q168" i="43"/>
  <c r="Q161" i="43"/>
  <c r="Q171" i="43"/>
  <c r="Q169" i="43"/>
  <c r="Q163" i="43"/>
  <c r="Q170" i="43"/>
  <c r="Q172" i="43"/>
  <c r="Q167" i="43"/>
  <c r="N180" i="43"/>
  <c r="N178" i="43"/>
  <c r="N184" i="43"/>
  <c r="N183" i="43"/>
  <c r="N182" i="43"/>
  <c r="N181" i="43"/>
  <c r="N179" i="43"/>
  <c r="N173" i="43"/>
  <c r="N175" i="43"/>
  <c r="N177" i="43"/>
  <c r="N176" i="43"/>
  <c r="N174" i="43"/>
  <c r="E186" i="43"/>
  <c r="E189" i="43"/>
  <c r="E194" i="43"/>
  <c r="E187" i="43"/>
  <c r="E190" i="43"/>
  <c r="E192" i="43"/>
  <c r="E188" i="43"/>
  <c r="E193" i="43"/>
  <c r="E195" i="43"/>
  <c r="E191" i="43"/>
  <c r="E196" i="43"/>
  <c r="E185" i="43"/>
  <c r="O185" i="43"/>
  <c r="O186" i="43"/>
  <c r="O188" i="43"/>
  <c r="O190" i="43"/>
  <c r="O192" i="43"/>
  <c r="O194" i="43"/>
  <c r="O196" i="43"/>
  <c r="O187" i="43"/>
  <c r="O195" i="43"/>
  <c r="O189" i="43"/>
  <c r="O191" i="43"/>
  <c r="O193" i="43"/>
  <c r="G207" i="43"/>
  <c r="G208" i="43"/>
  <c r="G201" i="43"/>
  <c r="G197" i="43"/>
  <c r="G199" i="43"/>
  <c r="G200" i="43"/>
  <c r="G205" i="43"/>
  <c r="G203" i="43"/>
  <c r="G206" i="43"/>
  <c r="G202" i="43"/>
  <c r="G198" i="43"/>
  <c r="G204" i="43"/>
  <c r="P203" i="43"/>
  <c r="P198" i="43"/>
  <c r="P204" i="43"/>
  <c r="P206" i="43"/>
  <c r="P208" i="43"/>
  <c r="P197" i="43"/>
  <c r="P202" i="43"/>
  <c r="P201" i="43"/>
  <c r="P205" i="43"/>
  <c r="P199" i="43"/>
  <c r="P207" i="43"/>
  <c r="P200" i="43"/>
  <c r="I211" i="43"/>
  <c r="I219" i="43"/>
  <c r="I217" i="43"/>
  <c r="I209" i="43"/>
  <c r="I210" i="43"/>
  <c r="I216" i="43"/>
  <c r="I214" i="43"/>
  <c r="I212" i="43"/>
  <c r="I220" i="43"/>
  <c r="I213" i="43"/>
  <c r="I218" i="43"/>
  <c r="I215" i="43"/>
  <c r="Q216" i="43"/>
  <c r="Q214" i="43"/>
  <c r="Q220" i="43"/>
  <c r="Q211" i="43"/>
  <c r="Q217" i="43"/>
  <c r="Q212" i="43"/>
  <c r="Q219" i="43"/>
  <c r="Q213" i="43"/>
  <c r="Q209" i="43"/>
  <c r="Q218" i="43"/>
  <c r="Q210" i="43"/>
  <c r="Q215" i="43"/>
  <c r="N223" i="43"/>
  <c r="N230" i="43"/>
  <c r="N231" i="43"/>
  <c r="N228" i="43"/>
  <c r="N227" i="43"/>
  <c r="N232" i="43"/>
  <c r="N224" i="43"/>
  <c r="N221" i="43"/>
  <c r="N226" i="43"/>
  <c r="N229" i="43"/>
  <c r="N222" i="43"/>
  <c r="N225" i="43"/>
  <c r="E239" i="43"/>
  <c r="E238" i="43"/>
  <c r="E242" i="43"/>
  <c r="E236" i="43"/>
  <c r="E243" i="43"/>
  <c r="E237" i="43"/>
  <c r="E240" i="43"/>
  <c r="E241" i="43"/>
  <c r="E234" i="43"/>
  <c r="E244" i="43"/>
  <c r="E233" i="43"/>
  <c r="E235" i="43"/>
  <c r="O233" i="38"/>
  <c r="O241" i="43"/>
  <c r="O236" i="43"/>
  <c r="O233" i="43"/>
  <c r="O237" i="43"/>
  <c r="O244" i="43"/>
  <c r="O240" i="43"/>
  <c r="O243" i="43"/>
  <c r="O238" i="43"/>
  <c r="O239" i="43"/>
  <c r="O242" i="43"/>
  <c r="O235" i="43"/>
  <c r="O234" i="43"/>
  <c r="G254" i="43"/>
  <c r="G252" i="43"/>
  <c r="G253" i="43"/>
  <c r="G256" i="43"/>
  <c r="G255" i="43"/>
  <c r="G251" i="43"/>
  <c r="G248" i="43"/>
  <c r="G246" i="43"/>
  <c r="G245" i="43"/>
  <c r="G249" i="43"/>
  <c r="G247" i="43"/>
  <c r="G250" i="43"/>
  <c r="P254" i="43"/>
  <c r="P255" i="43"/>
  <c r="P250" i="43"/>
  <c r="P246" i="43"/>
  <c r="P249" i="43"/>
  <c r="P247" i="43"/>
  <c r="P245" i="43"/>
  <c r="P252" i="43"/>
  <c r="P256" i="43"/>
  <c r="P248" i="43"/>
  <c r="P253" i="43"/>
  <c r="P251" i="43"/>
  <c r="I263" i="43"/>
  <c r="I265" i="43"/>
  <c r="I267" i="43"/>
  <c r="I260" i="43"/>
  <c r="I259" i="43"/>
  <c r="I261" i="43"/>
  <c r="I258" i="43"/>
  <c r="I268" i="43"/>
  <c r="I262" i="43"/>
  <c r="I266" i="43"/>
  <c r="I264" i="43"/>
  <c r="I257" i="43"/>
  <c r="P265" i="43"/>
  <c r="P263" i="43"/>
  <c r="P260" i="43"/>
  <c r="P258" i="43"/>
  <c r="P259" i="43"/>
  <c r="P264" i="43"/>
  <c r="P262" i="43"/>
  <c r="P261" i="43"/>
  <c r="P266" i="43"/>
  <c r="P257" i="43"/>
  <c r="P268" i="43"/>
  <c r="P267" i="43"/>
  <c r="I20" i="43"/>
  <c r="I18" i="43"/>
  <c r="I22" i="43"/>
  <c r="I24" i="43"/>
  <c r="I17" i="43"/>
  <c r="I19" i="43"/>
  <c r="I21" i="43"/>
  <c r="I23" i="43"/>
  <c r="I25" i="43"/>
  <c r="I27" i="43"/>
  <c r="I26" i="43"/>
  <c r="I28" i="43"/>
  <c r="E52" i="43"/>
  <c r="E42" i="43"/>
  <c r="E44" i="43"/>
  <c r="E46" i="43"/>
  <c r="E48" i="43"/>
  <c r="E41" i="43"/>
  <c r="E43" i="43"/>
  <c r="E45" i="43"/>
  <c r="E47" i="43"/>
  <c r="E49" i="43"/>
  <c r="E51" i="43"/>
  <c r="E50" i="43"/>
  <c r="E65" i="43"/>
  <c r="E66" i="43"/>
  <c r="E72" i="43"/>
  <c r="E73" i="43"/>
  <c r="E75" i="43"/>
  <c r="E70" i="43"/>
  <c r="E68" i="43"/>
  <c r="E76" i="43"/>
  <c r="E71" i="43"/>
  <c r="E69" i="43"/>
  <c r="E74" i="43"/>
  <c r="E67" i="43"/>
  <c r="O67" i="43"/>
  <c r="O66" i="43"/>
  <c r="O65" i="43"/>
  <c r="O68" i="43"/>
  <c r="O70" i="43"/>
  <c r="O72" i="43"/>
  <c r="O74" i="43"/>
  <c r="O76" i="43"/>
  <c r="O71" i="43"/>
  <c r="O69" i="43"/>
  <c r="O75" i="43"/>
  <c r="O73" i="43"/>
  <c r="I90" i="43"/>
  <c r="I99" i="43"/>
  <c r="I93" i="43"/>
  <c r="I96" i="43"/>
  <c r="I95" i="43"/>
  <c r="I97" i="43"/>
  <c r="I100" i="43"/>
  <c r="I94" i="43"/>
  <c r="I92" i="43"/>
  <c r="I91" i="43"/>
  <c r="I89" i="43"/>
  <c r="I98" i="43"/>
  <c r="O117" i="43"/>
  <c r="O116" i="43"/>
  <c r="O115" i="43"/>
  <c r="O114" i="43"/>
  <c r="O113" i="43"/>
  <c r="O122" i="43"/>
  <c r="O123" i="43"/>
  <c r="O119" i="43"/>
  <c r="O118" i="43"/>
  <c r="O121" i="43"/>
  <c r="O124" i="43"/>
  <c r="O120" i="43"/>
  <c r="I143" i="43"/>
  <c r="I138" i="43"/>
  <c r="I148" i="43"/>
  <c r="I141" i="43"/>
  <c r="I146" i="43"/>
  <c r="I144" i="43"/>
  <c r="I140" i="43"/>
  <c r="I147" i="43"/>
  <c r="I145" i="43"/>
  <c r="I139" i="43"/>
  <c r="I137" i="43"/>
  <c r="I142" i="43"/>
  <c r="E161" i="43"/>
  <c r="E171" i="43"/>
  <c r="E169" i="43"/>
  <c r="E163" i="43"/>
  <c r="E170" i="43"/>
  <c r="E168" i="43"/>
  <c r="E165" i="43"/>
  <c r="E172" i="43"/>
  <c r="E167" i="43"/>
  <c r="E162" i="43"/>
  <c r="E164" i="43"/>
  <c r="E166" i="43"/>
  <c r="O172" i="43"/>
  <c r="O171" i="43"/>
  <c r="O170" i="43"/>
  <c r="O169" i="43"/>
  <c r="O168" i="43"/>
  <c r="O167" i="43"/>
  <c r="O165" i="43"/>
  <c r="O164" i="43"/>
  <c r="O163" i="43"/>
  <c r="O162" i="43"/>
  <c r="O161" i="43"/>
  <c r="O166" i="43"/>
  <c r="I196" i="43"/>
  <c r="I186" i="43"/>
  <c r="I187" i="43"/>
  <c r="I192" i="43"/>
  <c r="I188" i="43"/>
  <c r="I193" i="43"/>
  <c r="I195" i="43"/>
  <c r="I191" i="43"/>
  <c r="I189" i="43"/>
  <c r="I194" i="43"/>
  <c r="I190" i="43"/>
  <c r="I185" i="43"/>
  <c r="Q192" i="43"/>
  <c r="Q188" i="43"/>
  <c r="Q193" i="43"/>
  <c r="Q195" i="43"/>
  <c r="Q191" i="43"/>
  <c r="Q196" i="43"/>
  <c r="Q190" i="43"/>
  <c r="Q185" i="43"/>
  <c r="Q186" i="43"/>
  <c r="Q189" i="43"/>
  <c r="Q194" i="43"/>
  <c r="Q187" i="43"/>
  <c r="O220" i="43"/>
  <c r="O218" i="43"/>
  <c r="O216" i="43"/>
  <c r="O214" i="43"/>
  <c r="O212" i="43"/>
  <c r="O210" i="43"/>
  <c r="O217" i="43"/>
  <c r="O213" i="43"/>
  <c r="O209" i="43"/>
  <c r="O219" i="43"/>
  <c r="O215" i="43"/>
  <c r="O211" i="43"/>
  <c r="P226" i="43"/>
  <c r="P230" i="43"/>
  <c r="P222" i="43"/>
  <c r="P224" i="43"/>
  <c r="P229" i="43"/>
  <c r="P223" i="43"/>
  <c r="P231" i="43"/>
  <c r="P232" i="43"/>
  <c r="P225" i="43"/>
  <c r="P228" i="43"/>
  <c r="P221" i="43"/>
  <c r="P227" i="43"/>
  <c r="Q234" i="43"/>
  <c r="Q240" i="43"/>
  <c r="Q243" i="43"/>
  <c r="Q241" i="43"/>
  <c r="Q235" i="43"/>
  <c r="Q239" i="43"/>
  <c r="Q244" i="43"/>
  <c r="Q233" i="43"/>
  <c r="Q237" i="43"/>
  <c r="Q242" i="43"/>
  <c r="Q238" i="43"/>
  <c r="Q236" i="43"/>
  <c r="E268" i="43"/>
  <c r="E257" i="43"/>
  <c r="E260" i="43"/>
  <c r="E264" i="43"/>
  <c r="E258" i="43"/>
  <c r="E259" i="43"/>
  <c r="E263" i="43"/>
  <c r="E265" i="43"/>
  <c r="E267" i="43"/>
  <c r="E261" i="43"/>
  <c r="E262" i="43"/>
  <c r="E266" i="43"/>
  <c r="O266" i="43"/>
  <c r="O261" i="43"/>
  <c r="O257" i="43"/>
  <c r="O260" i="43"/>
  <c r="O264" i="43"/>
  <c r="O262" i="43"/>
  <c r="O267" i="43"/>
  <c r="O268" i="43"/>
  <c r="O265" i="43"/>
  <c r="O259" i="43"/>
  <c r="O258" i="43"/>
  <c r="O263" i="43"/>
  <c r="G22" i="43"/>
  <c r="G24" i="43"/>
  <c r="G19" i="43"/>
  <c r="G25" i="43"/>
  <c r="G20" i="43"/>
  <c r="G18" i="43"/>
  <c r="G17" i="43"/>
  <c r="G27" i="43"/>
  <c r="G23" i="43"/>
  <c r="G21" i="43"/>
  <c r="G26" i="43"/>
  <c r="G28" i="43"/>
  <c r="G34" i="43"/>
  <c r="G36" i="43"/>
  <c r="G40" i="43"/>
  <c r="G32" i="43"/>
  <c r="G30" i="43"/>
  <c r="G38" i="43"/>
  <c r="G29" i="43"/>
  <c r="G37" i="43"/>
  <c r="G31" i="43"/>
  <c r="G33" i="43"/>
  <c r="G39" i="43"/>
  <c r="G35" i="43"/>
  <c r="Q36" i="43"/>
  <c r="Q31" i="43"/>
  <c r="Q39" i="43"/>
  <c r="Q35" i="43"/>
  <c r="Q40" i="43"/>
  <c r="Q33" i="43"/>
  <c r="Q38" i="43"/>
  <c r="Q30" i="43"/>
  <c r="Q34" i="43"/>
  <c r="Q32" i="43"/>
  <c r="Q29" i="43"/>
  <c r="Q37" i="43"/>
  <c r="N49" i="43"/>
  <c r="N46" i="43"/>
  <c r="N44" i="43"/>
  <c r="N41" i="43"/>
  <c r="N48" i="43"/>
  <c r="N50" i="43"/>
  <c r="N42" i="43"/>
  <c r="N52" i="43"/>
  <c r="N43" i="43"/>
  <c r="N47" i="43"/>
  <c r="N51" i="43"/>
  <c r="N45" i="43"/>
  <c r="G54" i="43"/>
  <c r="G57" i="43"/>
  <c r="G60" i="43"/>
  <c r="G55" i="43"/>
  <c r="G59" i="43"/>
  <c r="G64" i="43"/>
  <c r="G62" i="43"/>
  <c r="G61" i="43"/>
  <c r="G58" i="43"/>
  <c r="G56" i="43"/>
  <c r="G53" i="43"/>
  <c r="G63" i="43"/>
  <c r="Q53" i="43"/>
  <c r="Q54" i="43"/>
  <c r="Q57" i="43"/>
  <c r="Q60" i="43"/>
  <c r="Q56" i="43"/>
  <c r="Q55" i="43"/>
  <c r="Q58" i="43"/>
  <c r="Q59" i="43"/>
  <c r="Q64" i="43"/>
  <c r="Q63" i="43"/>
  <c r="Q62" i="43"/>
  <c r="Q61" i="43"/>
  <c r="N66" i="43"/>
  <c r="N69" i="43"/>
  <c r="N71" i="43"/>
  <c r="N73" i="43"/>
  <c r="N75" i="43"/>
  <c r="N67" i="43"/>
  <c r="N76" i="43"/>
  <c r="N74" i="43"/>
  <c r="N65" i="43"/>
  <c r="N68" i="43"/>
  <c r="N72" i="43"/>
  <c r="N70" i="43"/>
  <c r="E80" i="43"/>
  <c r="E78" i="43"/>
  <c r="E85" i="43"/>
  <c r="E84" i="43"/>
  <c r="E86" i="43"/>
  <c r="E81" i="43"/>
  <c r="E88" i="43"/>
  <c r="E87" i="43"/>
  <c r="E77" i="43"/>
  <c r="E83" i="43"/>
  <c r="E82" i="43"/>
  <c r="E79" i="43"/>
  <c r="O88" i="43"/>
  <c r="O87" i="43"/>
  <c r="O83" i="43"/>
  <c r="O79" i="43"/>
  <c r="O78" i="43"/>
  <c r="O77" i="43"/>
  <c r="O86" i="43"/>
  <c r="O82" i="43"/>
  <c r="O84" i="43"/>
  <c r="O80" i="43"/>
  <c r="O81" i="43"/>
  <c r="O85" i="43"/>
  <c r="G90" i="43"/>
  <c r="G93" i="43"/>
  <c r="G96" i="43"/>
  <c r="G99" i="43"/>
  <c r="G91" i="43"/>
  <c r="G100" i="43"/>
  <c r="G89" i="43"/>
  <c r="G95" i="43"/>
  <c r="G98" i="43"/>
  <c r="G92" i="43"/>
  <c r="G97" i="43"/>
  <c r="G94" i="43"/>
  <c r="P90" i="43"/>
  <c r="P94" i="43"/>
  <c r="P96" i="43"/>
  <c r="P98" i="43"/>
  <c r="P100" i="43"/>
  <c r="P89" i="43"/>
  <c r="P91" i="43"/>
  <c r="P93" i="43"/>
  <c r="P95" i="43"/>
  <c r="P97" i="43"/>
  <c r="P92" i="43"/>
  <c r="P99" i="43"/>
  <c r="I103" i="43"/>
  <c r="I111" i="43"/>
  <c r="I107" i="43"/>
  <c r="I105" i="43"/>
  <c r="I109" i="43"/>
  <c r="I110" i="43"/>
  <c r="I101" i="43"/>
  <c r="I112" i="43"/>
  <c r="I102" i="43"/>
  <c r="I104" i="43"/>
  <c r="I108" i="43"/>
  <c r="I106" i="43"/>
  <c r="Q104" i="40"/>
  <c r="Q107" i="43"/>
  <c r="Q105" i="43"/>
  <c r="Q109" i="43"/>
  <c r="Q103" i="43"/>
  <c r="Q110" i="43"/>
  <c r="Q101" i="43"/>
  <c r="Q111" i="43"/>
  <c r="Q106" i="43"/>
  <c r="Q112" i="43"/>
  <c r="Q102" i="43"/>
  <c r="Q104" i="43"/>
  <c r="Q108" i="43"/>
  <c r="N117" i="43"/>
  <c r="N118" i="43"/>
  <c r="N121" i="43"/>
  <c r="N124" i="43"/>
  <c r="N114" i="43"/>
  <c r="N120" i="43"/>
  <c r="N115" i="43"/>
  <c r="N123" i="43"/>
  <c r="N119" i="43"/>
  <c r="N113" i="43"/>
  <c r="N122" i="43"/>
  <c r="N116" i="43"/>
  <c r="E130" i="43"/>
  <c r="E131" i="43"/>
  <c r="E125" i="43"/>
  <c r="E133" i="43"/>
  <c r="E134" i="43"/>
  <c r="E126" i="43"/>
  <c r="E136" i="43"/>
  <c r="E129" i="43"/>
  <c r="E135" i="43"/>
  <c r="E128" i="43"/>
  <c r="E132" i="43"/>
  <c r="E127" i="43"/>
  <c r="O132" i="43"/>
  <c r="O128" i="43"/>
  <c r="O136" i="43"/>
  <c r="O135" i="43"/>
  <c r="O131" i="43"/>
  <c r="O127" i="43"/>
  <c r="O126" i="43"/>
  <c r="O125" i="43"/>
  <c r="O134" i="43"/>
  <c r="O130" i="43"/>
  <c r="O133" i="43"/>
  <c r="O129" i="43"/>
  <c r="G143" i="43"/>
  <c r="G141" i="43"/>
  <c r="G142" i="43"/>
  <c r="G144" i="43"/>
  <c r="G140" i="43"/>
  <c r="G146" i="43"/>
  <c r="G145" i="43"/>
  <c r="G139" i="43"/>
  <c r="G138" i="43"/>
  <c r="G148" i="43"/>
  <c r="G137" i="43"/>
  <c r="G147" i="43"/>
  <c r="P139" i="40"/>
  <c r="P147" i="43"/>
  <c r="P143" i="43"/>
  <c r="P148" i="43"/>
  <c r="P144" i="43"/>
  <c r="P146" i="43"/>
  <c r="P142" i="43"/>
  <c r="P145" i="43"/>
  <c r="P139" i="43"/>
  <c r="P141" i="43"/>
  <c r="P140" i="43"/>
  <c r="P137" i="43"/>
  <c r="P138" i="43"/>
  <c r="I159" i="43"/>
  <c r="I153" i="43"/>
  <c r="I156" i="43"/>
  <c r="I157" i="43"/>
  <c r="I158" i="43"/>
  <c r="I152" i="43"/>
  <c r="I155" i="43"/>
  <c r="I160" i="43"/>
  <c r="I150" i="43"/>
  <c r="I151" i="43"/>
  <c r="I149" i="43"/>
  <c r="I154" i="43"/>
  <c r="Q160" i="40"/>
  <c r="Q158" i="43"/>
  <c r="Q152" i="43"/>
  <c r="Q155" i="43"/>
  <c r="Q160" i="43"/>
  <c r="Q150" i="43"/>
  <c r="Q151" i="43"/>
  <c r="Q149" i="43"/>
  <c r="Q154" i="43"/>
  <c r="Q153" i="43"/>
  <c r="Q156" i="43"/>
  <c r="Q157" i="43"/>
  <c r="Q159" i="43"/>
  <c r="N172" i="43"/>
  <c r="N171" i="43"/>
  <c r="N170" i="43"/>
  <c r="N169" i="43"/>
  <c r="N168" i="43"/>
  <c r="N165" i="43"/>
  <c r="N164" i="43"/>
  <c r="N163" i="43"/>
  <c r="N162" i="43"/>
  <c r="N161" i="43"/>
  <c r="N166" i="43"/>
  <c r="N167" i="43"/>
  <c r="E173" i="43"/>
  <c r="E181" i="43"/>
  <c r="E180" i="43"/>
  <c r="E175" i="43"/>
  <c r="E176" i="43"/>
  <c r="E184" i="43"/>
  <c r="E174" i="43"/>
  <c r="E178" i="43"/>
  <c r="E177" i="43"/>
  <c r="E183" i="43"/>
  <c r="E182" i="43"/>
  <c r="E179" i="43"/>
  <c r="O179" i="43"/>
  <c r="O180" i="43"/>
  <c r="O178" i="43"/>
  <c r="O174" i="43"/>
  <c r="O176" i="43"/>
  <c r="O181" i="43"/>
  <c r="O183" i="43"/>
  <c r="O177" i="43"/>
  <c r="O175" i="43"/>
  <c r="O182" i="43"/>
  <c r="O173" i="43"/>
  <c r="O184" i="43"/>
  <c r="G186" i="43"/>
  <c r="G189" i="43"/>
  <c r="G194" i="43"/>
  <c r="G187" i="43"/>
  <c r="G190" i="43"/>
  <c r="G185" i="43"/>
  <c r="G192" i="43"/>
  <c r="G188" i="43"/>
  <c r="G193" i="43"/>
  <c r="G195" i="43"/>
  <c r="G191" i="43"/>
  <c r="G196" i="43"/>
  <c r="P196" i="43"/>
  <c r="P195" i="43"/>
  <c r="P194" i="43"/>
  <c r="P193" i="43"/>
  <c r="P192" i="43"/>
  <c r="P191" i="43"/>
  <c r="P190" i="43"/>
  <c r="P189" i="43"/>
  <c r="P188" i="43"/>
  <c r="P187" i="43"/>
  <c r="P186" i="43"/>
  <c r="P185" i="43"/>
  <c r="I205" i="43"/>
  <c r="I203" i="43"/>
  <c r="I206" i="43"/>
  <c r="I201" i="43"/>
  <c r="I202" i="43"/>
  <c r="I200" i="43"/>
  <c r="I204" i="43"/>
  <c r="I207" i="43"/>
  <c r="I208" i="43"/>
  <c r="I197" i="43"/>
  <c r="I198" i="43"/>
  <c r="I199" i="43"/>
  <c r="Q198" i="43"/>
  <c r="Q202" i="43"/>
  <c r="Q200" i="43"/>
  <c r="Q204" i="43"/>
  <c r="Q197" i="43"/>
  <c r="Q207" i="43"/>
  <c r="Q208" i="43"/>
  <c r="Q199" i="43"/>
  <c r="Q205" i="43"/>
  <c r="Q203" i="43"/>
  <c r="Q206" i="43"/>
  <c r="Q201" i="43"/>
  <c r="N210" i="43"/>
  <c r="N212" i="43"/>
  <c r="N214" i="43"/>
  <c r="N216" i="43"/>
  <c r="N218" i="43"/>
  <c r="N220" i="43"/>
  <c r="N213" i="43"/>
  <c r="N211" i="43"/>
  <c r="N215" i="43"/>
  <c r="N209" i="43"/>
  <c r="N217" i="43"/>
  <c r="N219" i="43"/>
  <c r="E223" i="43"/>
  <c r="E221" i="43"/>
  <c r="E227" i="43"/>
  <c r="E222" i="43"/>
  <c r="E224" i="43"/>
  <c r="E226" i="43"/>
  <c r="E228" i="43"/>
  <c r="E225" i="43"/>
  <c r="E232" i="43"/>
  <c r="E231" i="43"/>
  <c r="E229" i="43"/>
  <c r="E230" i="43"/>
  <c r="O230" i="43"/>
  <c r="O222" i="43"/>
  <c r="O231" i="43"/>
  <c r="O227" i="43"/>
  <c r="O226" i="43"/>
  <c r="O223" i="43"/>
  <c r="O229" i="43"/>
  <c r="O225" i="43"/>
  <c r="O228" i="43"/>
  <c r="O224" i="43"/>
  <c r="O221" i="43"/>
  <c r="O232" i="43"/>
  <c r="G240" i="43"/>
  <c r="G233" i="43"/>
  <c r="G242" i="43"/>
  <c r="G236" i="43"/>
  <c r="G239" i="43"/>
  <c r="G244" i="43"/>
  <c r="G243" i="43"/>
  <c r="G237" i="43"/>
  <c r="G238" i="43"/>
  <c r="G234" i="43"/>
  <c r="G235" i="43"/>
  <c r="G241" i="43"/>
  <c r="P236" i="43"/>
  <c r="P244" i="43"/>
  <c r="P240" i="43"/>
  <c r="P233" i="43"/>
  <c r="P243" i="43"/>
  <c r="P234" i="43"/>
  <c r="P239" i="43"/>
  <c r="P238" i="43"/>
  <c r="P242" i="43"/>
  <c r="P237" i="43"/>
  <c r="P235" i="43"/>
  <c r="P241" i="43"/>
  <c r="I247" i="43"/>
  <c r="I250" i="43"/>
  <c r="I255" i="43"/>
  <c r="I254" i="43"/>
  <c r="I253" i="43"/>
  <c r="I248" i="43"/>
  <c r="I252" i="43"/>
  <c r="I245" i="43"/>
  <c r="I246" i="43"/>
  <c r="I256" i="43"/>
  <c r="I251" i="43"/>
  <c r="I249" i="43"/>
  <c r="Q254" i="43"/>
  <c r="Q249" i="43"/>
  <c r="Q245" i="43"/>
  <c r="Q253" i="43"/>
  <c r="Q256" i="43"/>
  <c r="Q247" i="43"/>
  <c r="Q250" i="43"/>
  <c r="Q252" i="43"/>
  <c r="Q246" i="43"/>
  <c r="Q251" i="43"/>
  <c r="Q248" i="43"/>
  <c r="Q255" i="43"/>
  <c r="N267" i="43"/>
  <c r="N261" i="43"/>
  <c r="N258" i="43"/>
  <c r="N265" i="43"/>
  <c r="N263" i="43"/>
  <c r="N257" i="43"/>
  <c r="N262" i="43"/>
  <c r="N259" i="43"/>
  <c r="N268" i="43"/>
  <c r="N266" i="43"/>
  <c r="N260" i="43"/>
  <c r="N264" i="43"/>
  <c r="E81" i="40"/>
  <c r="E129" i="41"/>
  <c r="E78" i="40"/>
  <c r="E84" i="40"/>
  <c r="Q111" i="40"/>
  <c r="E80" i="40"/>
  <c r="E85" i="40"/>
  <c r="X12" i="8"/>
  <c r="X13" i="8"/>
  <c r="Q157" i="40"/>
  <c r="E135" i="41"/>
  <c r="Q130" i="40"/>
  <c r="I80" i="40"/>
  <c r="W13" i="8"/>
  <c r="I83" i="40"/>
  <c r="N243" i="38"/>
  <c r="O249" i="38"/>
  <c r="Q105" i="40"/>
  <c r="E83" i="40"/>
  <c r="P105" i="40"/>
  <c r="Q132" i="40"/>
  <c r="E77" i="40"/>
  <c r="Q125" i="40"/>
  <c r="N234" i="38"/>
  <c r="K275" i="42"/>
  <c r="G7" i="42"/>
  <c r="G9" i="42"/>
  <c r="G11" i="42"/>
  <c r="G14" i="42"/>
  <c r="G8" i="42"/>
  <c r="G6" i="42"/>
  <c r="G12" i="42"/>
  <c r="G16" i="42"/>
  <c r="G10" i="42"/>
  <c r="G5" i="42"/>
  <c r="G13" i="42"/>
  <c r="G15" i="42"/>
  <c r="K275" i="41"/>
  <c r="G13" i="41"/>
  <c r="G7" i="41"/>
  <c r="G5" i="41"/>
  <c r="G8" i="41"/>
  <c r="G12" i="41"/>
  <c r="G14" i="41"/>
  <c r="G15" i="41"/>
  <c r="G11" i="41"/>
  <c r="G6" i="41"/>
  <c r="G16" i="41"/>
  <c r="G9" i="41"/>
  <c r="K275" i="40"/>
  <c r="G10" i="41"/>
  <c r="G6" i="40"/>
  <c r="G11" i="40"/>
  <c r="G14" i="40"/>
  <c r="G13" i="40"/>
  <c r="G10" i="40"/>
  <c r="G8" i="40"/>
  <c r="G12" i="40"/>
  <c r="G5" i="40"/>
  <c r="G16" i="40"/>
  <c r="G7" i="40"/>
  <c r="G15" i="40"/>
  <c r="G9" i="40"/>
  <c r="I21" i="42"/>
  <c r="I18" i="42"/>
  <c r="I22" i="42"/>
  <c r="I17" i="42"/>
  <c r="I23" i="42"/>
  <c r="I25" i="42"/>
  <c r="I28" i="42"/>
  <c r="I27" i="42"/>
  <c r="I19" i="42"/>
  <c r="I24" i="42"/>
  <c r="I20" i="42"/>
  <c r="I26" i="42"/>
  <c r="I27" i="41"/>
  <c r="I26" i="41"/>
  <c r="I28" i="41"/>
  <c r="I22" i="41"/>
  <c r="I19" i="41"/>
  <c r="I24" i="41"/>
  <c r="I21" i="41"/>
  <c r="I25" i="41"/>
  <c r="I18" i="41"/>
  <c r="I17" i="41"/>
  <c r="I23" i="41"/>
  <c r="I20" i="41"/>
  <c r="I18" i="40"/>
  <c r="I21" i="40"/>
  <c r="I24" i="40"/>
  <c r="I25" i="40"/>
  <c r="I26" i="40"/>
  <c r="I20" i="40"/>
  <c r="I22" i="40"/>
  <c r="I28" i="40"/>
  <c r="I17" i="40"/>
  <c r="I23" i="40"/>
  <c r="I19" i="40"/>
  <c r="I27" i="40"/>
  <c r="E41" i="42"/>
  <c r="E45" i="42"/>
  <c r="E44" i="42"/>
  <c r="E48" i="42"/>
  <c r="E52" i="42"/>
  <c r="E43" i="42"/>
  <c r="E51" i="42"/>
  <c r="E47" i="42"/>
  <c r="E42" i="42"/>
  <c r="E50" i="42"/>
  <c r="E49" i="42"/>
  <c r="E46" i="42"/>
  <c r="E47" i="41"/>
  <c r="E52" i="41"/>
  <c r="E49" i="41"/>
  <c r="E51" i="41"/>
  <c r="E48" i="41"/>
  <c r="E45" i="41"/>
  <c r="E42" i="41"/>
  <c r="E50" i="41"/>
  <c r="E41" i="41"/>
  <c r="E46" i="41"/>
  <c r="E43" i="41"/>
  <c r="E44" i="41"/>
  <c r="E50" i="40"/>
  <c r="E51" i="40"/>
  <c r="E49" i="40"/>
  <c r="E47" i="40"/>
  <c r="E46" i="40"/>
  <c r="E52" i="40"/>
  <c r="E44" i="40"/>
  <c r="E42" i="40"/>
  <c r="E45" i="40"/>
  <c r="E41" i="40"/>
  <c r="E43" i="40"/>
  <c r="E48" i="40"/>
  <c r="I53" i="42"/>
  <c r="I64" i="42"/>
  <c r="I54" i="42"/>
  <c r="I61" i="42"/>
  <c r="I60" i="42"/>
  <c r="I55" i="42"/>
  <c r="I56" i="42"/>
  <c r="I59" i="42"/>
  <c r="I57" i="42"/>
  <c r="I58" i="42"/>
  <c r="I62" i="42"/>
  <c r="I63" i="42"/>
  <c r="I57" i="41"/>
  <c r="I53" i="41"/>
  <c r="I59" i="41"/>
  <c r="I56" i="41"/>
  <c r="I61" i="41"/>
  <c r="I54" i="41"/>
  <c r="I64" i="41"/>
  <c r="I58" i="41"/>
  <c r="I63" i="41"/>
  <c r="I55" i="41"/>
  <c r="I60" i="41"/>
  <c r="I62" i="41"/>
  <c r="I54" i="40"/>
  <c r="I63" i="40"/>
  <c r="I55" i="40"/>
  <c r="I61" i="40"/>
  <c r="I58" i="40"/>
  <c r="I56" i="40"/>
  <c r="I59" i="40"/>
  <c r="I53" i="40"/>
  <c r="I57" i="40"/>
  <c r="I62" i="40"/>
  <c r="I60" i="40"/>
  <c r="I64" i="40"/>
  <c r="G45" i="8"/>
  <c r="O74" i="42"/>
  <c r="O70" i="42"/>
  <c r="O66" i="42"/>
  <c r="O76" i="42"/>
  <c r="O72" i="42"/>
  <c r="O68" i="42"/>
  <c r="O69" i="42"/>
  <c r="O73" i="42"/>
  <c r="O65" i="42"/>
  <c r="O75" i="42"/>
  <c r="O71" i="42"/>
  <c r="O67" i="42"/>
  <c r="O65" i="41"/>
  <c r="O74" i="41"/>
  <c r="O73" i="41"/>
  <c r="O72" i="41"/>
  <c r="O71" i="41"/>
  <c r="O70" i="41"/>
  <c r="O69" i="41"/>
  <c r="O68" i="41"/>
  <c r="O67" i="41"/>
  <c r="O75" i="41"/>
  <c r="O66" i="41"/>
  <c r="O76" i="41"/>
  <c r="O76" i="40"/>
  <c r="O74" i="40"/>
  <c r="O72" i="40"/>
  <c r="O70" i="40"/>
  <c r="O68" i="40"/>
  <c r="O66" i="40"/>
  <c r="O75" i="40"/>
  <c r="O69" i="40"/>
  <c r="O65" i="40"/>
  <c r="O73" i="40"/>
  <c r="O71" i="40"/>
  <c r="O67" i="40"/>
  <c r="G86" i="42"/>
  <c r="G78" i="42"/>
  <c r="G88" i="42"/>
  <c r="G87" i="42"/>
  <c r="G79" i="42"/>
  <c r="G84" i="42"/>
  <c r="G82" i="42"/>
  <c r="G85" i="42"/>
  <c r="G80" i="42"/>
  <c r="G83" i="42"/>
  <c r="G77" i="42"/>
  <c r="G81" i="42"/>
  <c r="G77" i="41"/>
  <c r="G82" i="41"/>
  <c r="G79" i="41"/>
  <c r="G88" i="41"/>
  <c r="G84" i="41"/>
  <c r="G86" i="41"/>
  <c r="G83" i="41"/>
  <c r="G85" i="41"/>
  <c r="G80" i="41"/>
  <c r="G81" i="41"/>
  <c r="G87" i="41"/>
  <c r="G78" i="41"/>
  <c r="I90" i="42"/>
  <c r="I91" i="42"/>
  <c r="I93" i="42"/>
  <c r="I92" i="42"/>
  <c r="I89" i="42"/>
  <c r="I94" i="42"/>
  <c r="I96" i="42"/>
  <c r="I97" i="42"/>
  <c r="I99" i="42"/>
  <c r="I95" i="42"/>
  <c r="I98" i="42"/>
  <c r="I100" i="42"/>
  <c r="I98" i="41"/>
  <c r="I100" i="41"/>
  <c r="I89" i="41"/>
  <c r="I97" i="41"/>
  <c r="I91" i="41"/>
  <c r="I95" i="41"/>
  <c r="I99" i="41"/>
  <c r="I92" i="41"/>
  <c r="I90" i="41"/>
  <c r="I94" i="41"/>
  <c r="I96" i="41"/>
  <c r="I93" i="41"/>
  <c r="Q90" i="42"/>
  <c r="Q92" i="42"/>
  <c r="Q94" i="42"/>
  <c r="Q96" i="42"/>
  <c r="Q98" i="42"/>
  <c r="Q100" i="42"/>
  <c r="Q91" i="42"/>
  <c r="Q99" i="42"/>
  <c r="Q89" i="42"/>
  <c r="Q93" i="42"/>
  <c r="Q97" i="42"/>
  <c r="Q95" i="42"/>
  <c r="Q100" i="38"/>
  <c r="Q97" i="38"/>
  <c r="Q94" i="38"/>
  <c r="Q91" i="38"/>
  <c r="Q89" i="38"/>
  <c r="Q99" i="38"/>
  <c r="Q98" i="38"/>
  <c r="Q96" i="38"/>
  <c r="Q95" i="38"/>
  <c r="Q93" i="38"/>
  <c r="Q92" i="38"/>
  <c r="Q90" i="38"/>
  <c r="Q98" i="40"/>
  <c r="Q97" i="40"/>
  <c r="Q100" i="40"/>
  <c r="Q95" i="40"/>
  <c r="Q91" i="40"/>
  <c r="Q96" i="40"/>
  <c r="Q89" i="40"/>
  <c r="Q94" i="40"/>
  <c r="Q99" i="40"/>
  <c r="Q93" i="40"/>
  <c r="Q92" i="40"/>
  <c r="Q90" i="40"/>
  <c r="G133" i="42"/>
  <c r="G132" i="42"/>
  <c r="G128" i="42"/>
  <c r="G131" i="42"/>
  <c r="G129" i="42"/>
  <c r="G135" i="42"/>
  <c r="G130" i="42"/>
  <c r="G134" i="42"/>
  <c r="G126" i="42"/>
  <c r="G127" i="42"/>
  <c r="G136" i="42"/>
  <c r="G125" i="42"/>
  <c r="P136" i="42"/>
  <c r="P132" i="42"/>
  <c r="P134" i="42"/>
  <c r="P131" i="42"/>
  <c r="P135" i="42"/>
  <c r="P133" i="42"/>
  <c r="P126" i="42"/>
  <c r="P129" i="42"/>
  <c r="P127" i="42"/>
  <c r="P125" i="42"/>
  <c r="P130" i="42"/>
  <c r="P128" i="42"/>
  <c r="P125" i="41"/>
  <c r="P127" i="41"/>
  <c r="P129" i="41"/>
  <c r="P131" i="41"/>
  <c r="P133" i="41"/>
  <c r="P135" i="41"/>
  <c r="P130" i="41"/>
  <c r="P132" i="41"/>
  <c r="P128" i="41"/>
  <c r="P126" i="41"/>
  <c r="P134" i="41"/>
  <c r="P136" i="41"/>
  <c r="P136" i="38"/>
  <c r="P133" i="38"/>
  <c r="P130" i="38"/>
  <c r="P127" i="38"/>
  <c r="P135" i="38"/>
  <c r="P134" i="38"/>
  <c r="P132" i="38"/>
  <c r="P131" i="38"/>
  <c r="P129" i="38"/>
  <c r="P128" i="38"/>
  <c r="P126" i="38"/>
  <c r="P125" i="38"/>
  <c r="P133" i="40"/>
  <c r="P136" i="40"/>
  <c r="P134" i="40"/>
  <c r="P127" i="40"/>
  <c r="P131" i="40"/>
  <c r="Q141" i="42"/>
  <c r="Q144" i="42"/>
  <c r="Q138" i="42"/>
  <c r="Q146" i="42"/>
  <c r="Q139" i="42"/>
  <c r="Q142" i="42"/>
  <c r="Q147" i="42"/>
  <c r="Q137" i="42"/>
  <c r="Q140" i="42"/>
  <c r="Q145" i="42"/>
  <c r="Q148" i="42"/>
  <c r="Q143" i="42"/>
  <c r="Q148" i="38"/>
  <c r="Q145" i="38"/>
  <c r="Q143" i="38"/>
  <c r="Q140" i="38"/>
  <c r="Q137" i="38"/>
  <c r="Q147" i="38"/>
  <c r="Q146" i="38"/>
  <c r="Q144" i="38"/>
  <c r="Q142" i="38"/>
  <c r="Q141" i="38"/>
  <c r="Q139" i="38"/>
  <c r="Q138" i="38"/>
  <c r="Q148" i="40"/>
  <c r="Q145" i="40"/>
  <c r="Q146" i="40"/>
  <c r="E168" i="42"/>
  <c r="E171" i="42"/>
  <c r="E172" i="42"/>
  <c r="E163" i="42"/>
  <c r="E164" i="42"/>
  <c r="E165" i="42"/>
  <c r="E161" i="42"/>
  <c r="E162" i="42"/>
  <c r="E169" i="42"/>
  <c r="E167" i="42"/>
  <c r="E170" i="42"/>
  <c r="E166" i="42"/>
  <c r="G53" i="8"/>
  <c r="O170" i="42"/>
  <c r="O166" i="42"/>
  <c r="O162" i="42"/>
  <c r="O172" i="42"/>
  <c r="O168" i="42"/>
  <c r="O164" i="42"/>
  <c r="O165" i="42"/>
  <c r="O169" i="42"/>
  <c r="O161" i="42"/>
  <c r="O171" i="42"/>
  <c r="O167" i="42"/>
  <c r="O163" i="42"/>
  <c r="O172" i="41"/>
  <c r="O171" i="41"/>
  <c r="O170" i="41"/>
  <c r="O169" i="41"/>
  <c r="O168" i="41"/>
  <c r="O167" i="41"/>
  <c r="O166" i="41"/>
  <c r="O162" i="41"/>
  <c r="O165" i="41"/>
  <c r="O161" i="41"/>
  <c r="O164" i="41"/>
  <c r="O163" i="41"/>
  <c r="O172" i="40"/>
  <c r="O170" i="40"/>
  <c r="O168" i="40"/>
  <c r="O166" i="40"/>
  <c r="O164" i="40"/>
  <c r="O162" i="40"/>
  <c r="O169" i="40"/>
  <c r="O165" i="40"/>
  <c r="O171" i="40"/>
  <c r="O167" i="40"/>
  <c r="O163" i="40"/>
  <c r="O161" i="40"/>
  <c r="P174" i="42"/>
  <c r="P178" i="42"/>
  <c r="P181" i="42"/>
  <c r="P173" i="42"/>
  <c r="P177" i="42"/>
  <c r="P175" i="42"/>
  <c r="P183" i="42"/>
  <c r="P179" i="42"/>
  <c r="P184" i="42"/>
  <c r="P180" i="42"/>
  <c r="P176" i="42"/>
  <c r="P182" i="42"/>
  <c r="P184" i="41"/>
  <c r="P183" i="41"/>
  <c r="P182" i="41"/>
  <c r="P181" i="41"/>
  <c r="P180" i="41"/>
  <c r="P179" i="41"/>
  <c r="P178" i="41"/>
  <c r="P177" i="41"/>
  <c r="P176" i="41"/>
  <c r="P175" i="41"/>
  <c r="P174" i="41"/>
  <c r="P173" i="41"/>
  <c r="P184" i="38"/>
  <c r="P181" i="38"/>
  <c r="P179" i="38"/>
  <c r="P176" i="38"/>
  <c r="P173" i="38"/>
  <c r="P183" i="38"/>
  <c r="P182" i="38"/>
  <c r="P180" i="38"/>
  <c r="P178" i="38"/>
  <c r="P177" i="38"/>
  <c r="P175" i="38"/>
  <c r="P174" i="38"/>
  <c r="I192" i="42"/>
  <c r="I185" i="42"/>
  <c r="I193" i="42"/>
  <c r="I187" i="42"/>
  <c r="I190" i="42"/>
  <c r="I189" i="42"/>
  <c r="I196" i="42"/>
  <c r="I191" i="42"/>
  <c r="I195" i="42"/>
  <c r="I194" i="42"/>
  <c r="I188" i="42"/>
  <c r="I186" i="42"/>
  <c r="N206" i="42"/>
  <c r="N202" i="42"/>
  <c r="N198" i="42"/>
  <c r="N208" i="42"/>
  <c r="N204" i="42"/>
  <c r="N200" i="42"/>
  <c r="N205" i="42"/>
  <c r="N197" i="42"/>
  <c r="N201" i="42"/>
  <c r="N203" i="42"/>
  <c r="N199" i="42"/>
  <c r="N207" i="42"/>
  <c r="N204" i="41"/>
  <c r="N206" i="41"/>
  <c r="N208" i="41"/>
  <c r="N202" i="41"/>
  <c r="N201" i="41"/>
  <c r="N200" i="41"/>
  <c r="N199" i="41"/>
  <c r="N205" i="41"/>
  <c r="N198" i="41"/>
  <c r="N207" i="41"/>
  <c r="N197" i="41"/>
  <c r="N203" i="41"/>
  <c r="N203" i="40"/>
  <c r="N197" i="40"/>
  <c r="N208" i="40"/>
  <c r="N206" i="40"/>
  <c r="N204" i="40"/>
  <c r="N202" i="40"/>
  <c r="N200" i="40"/>
  <c r="N198" i="40"/>
  <c r="N207" i="40"/>
  <c r="N205" i="40"/>
  <c r="N201" i="40"/>
  <c r="N199" i="40"/>
  <c r="G57" i="8"/>
  <c r="O218" i="42"/>
  <c r="O214" i="42"/>
  <c r="O210" i="42"/>
  <c r="O220" i="42"/>
  <c r="O216" i="42"/>
  <c r="O212" i="42"/>
  <c r="O213" i="42"/>
  <c r="O217" i="42"/>
  <c r="O209" i="42"/>
  <c r="O219" i="42"/>
  <c r="O215" i="42"/>
  <c r="O211" i="42"/>
  <c r="O212" i="41"/>
  <c r="O220" i="41"/>
  <c r="O218" i="41"/>
  <c r="O214" i="41"/>
  <c r="O216" i="41"/>
  <c r="O217" i="41"/>
  <c r="O210" i="41"/>
  <c r="O219" i="41"/>
  <c r="O213" i="41"/>
  <c r="O215" i="41"/>
  <c r="O209" i="41"/>
  <c r="O211" i="41"/>
  <c r="O220" i="40"/>
  <c r="O218" i="40"/>
  <c r="O216" i="40"/>
  <c r="O214" i="40"/>
  <c r="O212" i="40"/>
  <c r="O210" i="40"/>
  <c r="O219" i="40"/>
  <c r="O211" i="40"/>
  <c r="O217" i="40"/>
  <c r="O215" i="40"/>
  <c r="O213" i="40"/>
  <c r="O209" i="40"/>
  <c r="G224" i="42"/>
  <c r="G232" i="42"/>
  <c r="G226" i="42"/>
  <c r="G227" i="42"/>
  <c r="G229" i="42"/>
  <c r="G222" i="42"/>
  <c r="G230" i="42"/>
  <c r="G228" i="42"/>
  <c r="G223" i="42"/>
  <c r="G221" i="42"/>
  <c r="G225" i="42"/>
  <c r="G231" i="42"/>
  <c r="I237" i="42"/>
  <c r="I234" i="42"/>
  <c r="I235" i="42"/>
  <c r="I236" i="42"/>
  <c r="I244" i="42"/>
  <c r="I238" i="42"/>
  <c r="I240" i="42"/>
  <c r="I233" i="42"/>
  <c r="I239" i="42"/>
  <c r="I242" i="42"/>
  <c r="I241" i="42"/>
  <c r="I243" i="42"/>
  <c r="Q233" i="42"/>
  <c r="Q241" i="42"/>
  <c r="Q234" i="42"/>
  <c r="Q238" i="42"/>
  <c r="Q242" i="42"/>
  <c r="Q235" i="42"/>
  <c r="Q239" i="42"/>
  <c r="Q236" i="42"/>
  <c r="Q244" i="42"/>
  <c r="Q243" i="42"/>
  <c r="Q237" i="42"/>
  <c r="Q240" i="42"/>
  <c r="Q244" i="38"/>
  <c r="Q242" i="38"/>
  <c r="Q240" i="38"/>
  <c r="Q238" i="38"/>
  <c r="Q236" i="38"/>
  <c r="Q234" i="38"/>
  <c r="Q244" i="40"/>
  <c r="Q243" i="40"/>
  <c r="Q242" i="40"/>
  <c r="Q241" i="40"/>
  <c r="Q240" i="40"/>
  <c r="Q239" i="40"/>
  <c r="Q238" i="40"/>
  <c r="Q237" i="40"/>
  <c r="Q236" i="40"/>
  <c r="Q235" i="40"/>
  <c r="Q234" i="40"/>
  <c r="Q233" i="40"/>
  <c r="Q241" i="38"/>
  <c r="Q237" i="38"/>
  <c r="Q233" i="38"/>
  <c r="Q243" i="38"/>
  <c r="Q239" i="38"/>
  <c r="Q235" i="38"/>
  <c r="N254" i="42"/>
  <c r="N250" i="42"/>
  <c r="N246" i="42"/>
  <c r="N256" i="42"/>
  <c r="N252" i="42"/>
  <c r="N248" i="42"/>
  <c r="N253" i="42"/>
  <c r="N245" i="42"/>
  <c r="N249" i="42"/>
  <c r="N251" i="42"/>
  <c r="N247" i="42"/>
  <c r="N255" i="42"/>
  <c r="N256" i="41"/>
  <c r="N254" i="41"/>
  <c r="N252" i="41"/>
  <c r="N251" i="41"/>
  <c r="N250" i="41"/>
  <c r="N248" i="41"/>
  <c r="N246" i="41"/>
  <c r="N256" i="40"/>
  <c r="N255" i="40"/>
  <c r="N254" i="40"/>
  <c r="N253" i="40"/>
  <c r="N252" i="40"/>
  <c r="N251" i="40"/>
  <c r="N250" i="40"/>
  <c r="N249" i="40"/>
  <c r="N248" i="40"/>
  <c r="N247" i="40"/>
  <c r="N246" i="40"/>
  <c r="N245" i="40"/>
  <c r="N247" i="41"/>
  <c r="N245" i="41"/>
  <c r="N249" i="41"/>
  <c r="N253" i="41"/>
  <c r="N255" i="41"/>
  <c r="E265" i="42"/>
  <c r="E258" i="42"/>
  <c r="E266" i="42"/>
  <c r="E261" i="42"/>
  <c r="E257" i="42"/>
  <c r="E263" i="42"/>
  <c r="E259" i="42"/>
  <c r="E264" i="42"/>
  <c r="E262" i="42"/>
  <c r="E268" i="42"/>
  <c r="E260" i="42"/>
  <c r="E267" i="42"/>
  <c r="G86" i="40"/>
  <c r="G82" i="40"/>
  <c r="P130" i="40"/>
  <c r="P132" i="40"/>
  <c r="N251" i="38"/>
  <c r="Q263" i="42"/>
  <c r="Q261" i="42"/>
  <c r="Q257" i="42"/>
  <c r="Q264" i="42"/>
  <c r="Q268" i="42"/>
  <c r="Q258" i="42"/>
  <c r="Q262" i="42"/>
  <c r="Q265" i="42"/>
  <c r="Q260" i="42"/>
  <c r="Q259" i="42"/>
  <c r="Q266" i="42"/>
  <c r="Q267" i="42"/>
  <c r="Q268" i="38"/>
  <c r="Q266" i="38"/>
  <c r="Q264" i="38"/>
  <c r="Q262" i="38"/>
  <c r="Q260" i="38"/>
  <c r="Q258" i="38"/>
  <c r="Q268" i="40"/>
  <c r="Q267" i="40"/>
  <c r="Q266" i="40"/>
  <c r="Q265" i="40"/>
  <c r="Q264" i="40"/>
  <c r="Q263" i="40"/>
  <c r="Q262" i="40"/>
  <c r="Q261" i="40"/>
  <c r="Q260" i="40"/>
  <c r="Q259" i="40"/>
  <c r="Q258" i="40"/>
  <c r="Q257" i="40"/>
  <c r="Q265" i="38"/>
  <c r="Q261" i="38"/>
  <c r="Q257" i="38"/>
  <c r="Q267" i="38"/>
  <c r="Q263" i="38"/>
  <c r="Q259" i="38"/>
  <c r="Q24" i="42"/>
  <c r="Q26" i="42"/>
  <c r="Q21" i="42"/>
  <c r="Q18" i="42"/>
  <c r="Q20" i="42"/>
  <c r="Q22" i="42"/>
  <c r="Q19" i="42"/>
  <c r="Q23" i="42"/>
  <c r="Q28" i="42"/>
  <c r="Q27" i="42"/>
  <c r="Q25" i="42"/>
  <c r="Q28" i="38"/>
  <c r="Q25" i="38"/>
  <c r="Q23" i="38"/>
  <c r="Q20" i="38"/>
  <c r="Q18" i="38"/>
  <c r="Q27" i="38"/>
  <c r="Q26" i="38"/>
  <c r="Q24" i="38"/>
  <c r="Q22" i="38"/>
  <c r="Q21" i="38"/>
  <c r="Q19" i="38"/>
  <c r="Q17" i="38"/>
  <c r="N38" i="42"/>
  <c r="N34" i="42"/>
  <c r="N30" i="42"/>
  <c r="N40" i="42"/>
  <c r="N36" i="42"/>
  <c r="N32" i="42"/>
  <c r="N37" i="42"/>
  <c r="N29" i="42"/>
  <c r="N33" i="42"/>
  <c r="N39" i="42"/>
  <c r="N35" i="42"/>
  <c r="N31" i="42"/>
  <c r="N33" i="41"/>
  <c r="N31" i="41"/>
  <c r="N39" i="41"/>
  <c r="N35" i="41"/>
  <c r="N29" i="41"/>
  <c r="N30" i="41"/>
  <c r="N37" i="41"/>
  <c r="N38" i="41"/>
  <c r="N32" i="41"/>
  <c r="N34" i="41"/>
  <c r="N40" i="41"/>
  <c r="N36" i="41"/>
  <c r="N37" i="40"/>
  <c r="N33" i="40"/>
  <c r="N40" i="40"/>
  <c r="N38" i="40"/>
  <c r="N36" i="40"/>
  <c r="N34" i="40"/>
  <c r="N32" i="40"/>
  <c r="N30" i="40"/>
  <c r="N39" i="40"/>
  <c r="N35" i="40"/>
  <c r="N31" i="40"/>
  <c r="N29" i="40"/>
  <c r="Q43" i="42"/>
  <c r="Q47" i="42"/>
  <c r="Q51" i="42"/>
  <c r="Q42" i="42"/>
  <c r="Q46" i="42"/>
  <c r="Q50" i="42"/>
  <c r="Q45" i="42"/>
  <c r="Q48" i="42"/>
  <c r="Q41" i="42"/>
  <c r="Q49" i="42"/>
  <c r="Q44" i="42"/>
  <c r="Q52" i="42"/>
  <c r="Q52" i="40"/>
  <c r="Q48" i="40"/>
  <c r="Q47" i="40"/>
  <c r="Q46" i="40"/>
  <c r="Q50" i="40"/>
  <c r="Q41" i="40"/>
  <c r="Q49" i="40"/>
  <c r="Q43" i="40"/>
  <c r="Q50" i="38"/>
  <c r="Q48" i="38"/>
  <c r="Q47" i="38"/>
  <c r="Q45" i="38"/>
  <c r="Q43" i="38"/>
  <c r="Q41" i="38"/>
  <c r="Q52" i="38"/>
  <c r="Q51" i="38"/>
  <c r="Q49" i="38"/>
  <c r="Q46" i="38"/>
  <c r="Q44" i="38"/>
  <c r="Q42" i="38"/>
  <c r="Q51" i="40"/>
  <c r="Q42" i="40"/>
  <c r="Q45" i="40"/>
  <c r="Q44" i="40"/>
  <c r="N62" i="42"/>
  <c r="N58" i="42"/>
  <c r="N54" i="42"/>
  <c r="N64" i="42"/>
  <c r="N60" i="42"/>
  <c r="N56" i="42"/>
  <c r="N61" i="42"/>
  <c r="N53" i="42"/>
  <c r="N57" i="42"/>
  <c r="N59" i="42"/>
  <c r="N55" i="42"/>
  <c r="N63" i="42"/>
  <c r="N54" i="41"/>
  <c r="N53" i="41"/>
  <c r="N61" i="41"/>
  <c r="N56" i="41"/>
  <c r="N59" i="41"/>
  <c r="N64" i="41"/>
  <c r="N57" i="41"/>
  <c r="N60" i="41"/>
  <c r="N62" i="41"/>
  <c r="N63" i="41"/>
  <c r="N58" i="41"/>
  <c r="N55" i="41"/>
  <c r="N61" i="40"/>
  <c r="N55" i="40"/>
  <c r="N64" i="40"/>
  <c r="N62" i="40"/>
  <c r="N60" i="40"/>
  <c r="N58" i="40"/>
  <c r="N56" i="40"/>
  <c r="N54" i="40"/>
  <c r="N63" i="40"/>
  <c r="N59" i="40"/>
  <c r="N57" i="40"/>
  <c r="N53" i="40"/>
  <c r="P66" i="42"/>
  <c r="P70" i="42"/>
  <c r="P75" i="42"/>
  <c r="P69" i="42"/>
  <c r="P73" i="42"/>
  <c r="P67" i="42"/>
  <c r="P71" i="42"/>
  <c r="P65" i="42"/>
  <c r="P72" i="42"/>
  <c r="P76" i="42"/>
  <c r="P68" i="42"/>
  <c r="P74" i="42"/>
  <c r="P67" i="41"/>
  <c r="P69" i="41"/>
  <c r="P71" i="41"/>
  <c r="P73" i="41"/>
  <c r="P66" i="41"/>
  <c r="P70" i="41"/>
  <c r="P74" i="41"/>
  <c r="P75" i="41"/>
  <c r="P65" i="41"/>
  <c r="P76" i="41"/>
  <c r="P68" i="41"/>
  <c r="P72" i="41"/>
  <c r="P76" i="40"/>
  <c r="P73" i="40"/>
  <c r="P74" i="40"/>
  <c r="P71" i="40"/>
  <c r="P75" i="38"/>
  <c r="P72" i="38"/>
  <c r="P70" i="38"/>
  <c r="P67" i="38"/>
  <c r="P67" i="40"/>
  <c r="P76" i="38"/>
  <c r="P74" i="38"/>
  <c r="P73" i="38"/>
  <c r="P71" i="38"/>
  <c r="P69" i="38"/>
  <c r="P68" i="38"/>
  <c r="P66" i="38"/>
  <c r="P65" i="38"/>
  <c r="P70" i="40"/>
  <c r="P72" i="40"/>
  <c r="P65" i="40"/>
  <c r="P68" i="40"/>
  <c r="P66" i="40"/>
  <c r="P69" i="40"/>
  <c r="P75" i="40"/>
  <c r="Q78" i="42"/>
  <c r="Q79" i="42"/>
  <c r="Q81" i="42"/>
  <c r="Q83" i="42"/>
  <c r="Q85" i="42"/>
  <c r="Q87" i="42"/>
  <c r="Q77" i="42"/>
  <c r="Q82" i="42"/>
  <c r="Q80" i="42"/>
  <c r="Q84" i="42"/>
  <c r="Q88" i="42"/>
  <c r="Q86" i="42"/>
  <c r="Q86" i="40"/>
  <c r="Q85" i="40"/>
  <c r="Q88" i="40"/>
  <c r="Q87" i="38"/>
  <c r="Q85" i="38"/>
  <c r="Q83" i="38"/>
  <c r="Q80" i="38"/>
  <c r="Q77" i="38"/>
  <c r="Q88" i="38"/>
  <c r="Q86" i="38"/>
  <c r="Q84" i="38"/>
  <c r="Q82" i="38"/>
  <c r="Q81" i="38"/>
  <c r="Q79" i="38"/>
  <c r="Q78" i="38"/>
  <c r="Q83" i="40"/>
  <c r="Q79" i="40"/>
  <c r="Q84" i="40"/>
  <c r="Q77" i="40"/>
  <c r="Q82" i="40"/>
  <c r="Q87" i="40"/>
  <c r="Q81" i="40"/>
  <c r="Q78" i="40"/>
  <c r="Q80" i="40"/>
  <c r="N98" i="42"/>
  <c r="N94" i="42"/>
  <c r="N90" i="42"/>
  <c r="N100" i="42"/>
  <c r="N96" i="42"/>
  <c r="N92" i="42"/>
  <c r="N93" i="42"/>
  <c r="N97" i="42"/>
  <c r="N89" i="42"/>
  <c r="N91" i="42"/>
  <c r="N99" i="42"/>
  <c r="N95" i="42"/>
  <c r="N92" i="41"/>
  <c r="N90" i="41"/>
  <c r="N91" i="41"/>
  <c r="N89" i="41"/>
  <c r="N97" i="41"/>
  <c r="N100" i="41"/>
  <c r="N96" i="41"/>
  <c r="N95" i="41"/>
  <c r="N99" i="41"/>
  <c r="N94" i="41"/>
  <c r="N98" i="41"/>
  <c r="N93" i="41"/>
  <c r="N99" i="40"/>
  <c r="N93" i="40"/>
  <c r="N100" i="40"/>
  <c r="N98" i="40"/>
  <c r="N96" i="40"/>
  <c r="N94" i="40"/>
  <c r="N92" i="40"/>
  <c r="N90" i="40"/>
  <c r="N97" i="40"/>
  <c r="N95" i="40"/>
  <c r="N91" i="40"/>
  <c r="N89" i="40"/>
  <c r="G48" i="8"/>
  <c r="O110" i="42"/>
  <c r="O106" i="42"/>
  <c r="O102" i="42"/>
  <c r="O112" i="42"/>
  <c r="O108" i="42"/>
  <c r="O104" i="42"/>
  <c r="O109" i="42"/>
  <c r="O101" i="42"/>
  <c r="O105" i="42"/>
  <c r="O107" i="42"/>
  <c r="O103" i="42"/>
  <c r="O111" i="42"/>
  <c r="O109" i="41"/>
  <c r="O105" i="41"/>
  <c r="O111" i="41"/>
  <c r="O107" i="41"/>
  <c r="O103" i="41"/>
  <c r="O101" i="41"/>
  <c r="O104" i="41"/>
  <c r="O112" i="41"/>
  <c r="O108" i="41"/>
  <c r="O102" i="41"/>
  <c r="O110" i="41"/>
  <c r="O106" i="41"/>
  <c r="O112" i="40"/>
  <c r="O110" i="40"/>
  <c r="O108" i="40"/>
  <c r="O106" i="40"/>
  <c r="O104" i="40"/>
  <c r="O102" i="40"/>
  <c r="O111" i="40"/>
  <c r="O105" i="40"/>
  <c r="O109" i="40"/>
  <c r="O107" i="40"/>
  <c r="O103" i="40"/>
  <c r="O101" i="40"/>
  <c r="P113" i="42"/>
  <c r="P116" i="42"/>
  <c r="P114" i="42"/>
  <c r="P117" i="42"/>
  <c r="P120" i="42"/>
  <c r="P118" i="42"/>
  <c r="P119" i="42"/>
  <c r="P121" i="42"/>
  <c r="P122" i="42"/>
  <c r="P123" i="42"/>
  <c r="P124" i="42"/>
  <c r="P115" i="42"/>
  <c r="P123" i="41"/>
  <c r="P121" i="41"/>
  <c r="P119" i="41"/>
  <c r="P117" i="41"/>
  <c r="P115" i="41"/>
  <c r="P113" i="41"/>
  <c r="P120" i="41"/>
  <c r="P116" i="41"/>
  <c r="P124" i="41"/>
  <c r="P114" i="41"/>
  <c r="P122" i="41"/>
  <c r="P118" i="41"/>
  <c r="P124" i="38"/>
  <c r="P121" i="38"/>
  <c r="P118" i="38"/>
  <c r="P116" i="38"/>
  <c r="P114" i="38"/>
  <c r="P123" i="38"/>
  <c r="P122" i="38"/>
  <c r="P120" i="38"/>
  <c r="P119" i="38"/>
  <c r="P117" i="38"/>
  <c r="P115" i="38"/>
  <c r="P113" i="38"/>
  <c r="P124" i="40"/>
  <c r="P122" i="40"/>
  <c r="P121" i="40"/>
  <c r="P119" i="40"/>
  <c r="P115" i="40"/>
  <c r="P113" i="40"/>
  <c r="P118" i="40"/>
  <c r="P120" i="40"/>
  <c r="I129" i="42"/>
  <c r="I130" i="42"/>
  <c r="I134" i="42"/>
  <c r="I131" i="42"/>
  <c r="I126" i="42"/>
  <c r="I136" i="42"/>
  <c r="I132" i="42"/>
  <c r="I128" i="42"/>
  <c r="I127" i="42"/>
  <c r="I125" i="42"/>
  <c r="I133" i="42"/>
  <c r="I135" i="42"/>
  <c r="N146" i="42"/>
  <c r="N142" i="42"/>
  <c r="N138" i="42"/>
  <c r="N148" i="42"/>
  <c r="N144" i="42"/>
  <c r="N140" i="42"/>
  <c r="N141" i="42"/>
  <c r="N145" i="42"/>
  <c r="N137" i="42"/>
  <c r="N139" i="42"/>
  <c r="N147" i="42"/>
  <c r="N143" i="42"/>
  <c r="N148" i="41"/>
  <c r="N137" i="41"/>
  <c r="N139" i="41"/>
  <c r="N141" i="41"/>
  <c r="N143" i="41"/>
  <c r="N145" i="41"/>
  <c r="N147" i="41"/>
  <c r="N138" i="41"/>
  <c r="N146" i="41"/>
  <c r="N140" i="41"/>
  <c r="N144" i="41"/>
  <c r="N142" i="41"/>
  <c r="N145" i="40"/>
  <c r="N139" i="40"/>
  <c r="N148" i="40"/>
  <c r="N146" i="40"/>
  <c r="N144" i="40"/>
  <c r="N142" i="40"/>
  <c r="N140" i="40"/>
  <c r="N138" i="40"/>
  <c r="N147" i="40"/>
  <c r="N143" i="40"/>
  <c r="N141" i="40"/>
  <c r="N137" i="40"/>
  <c r="G52" i="8"/>
  <c r="O158" i="42"/>
  <c r="O154" i="42"/>
  <c r="O150" i="42"/>
  <c r="O160" i="42"/>
  <c r="O156" i="42"/>
  <c r="O152" i="42"/>
  <c r="O157" i="42"/>
  <c r="O149" i="42"/>
  <c r="O153" i="42"/>
  <c r="O155" i="42"/>
  <c r="O151" i="42"/>
  <c r="O159" i="42"/>
  <c r="O152" i="41"/>
  <c r="O159" i="41"/>
  <c r="O154" i="41"/>
  <c r="O149" i="41"/>
  <c r="O158" i="41"/>
  <c r="O151" i="41"/>
  <c r="O153" i="41"/>
  <c r="O157" i="41"/>
  <c r="O156" i="41"/>
  <c r="O160" i="41"/>
  <c r="O150" i="41"/>
  <c r="O155" i="41"/>
  <c r="O160" i="40"/>
  <c r="O158" i="40"/>
  <c r="O156" i="40"/>
  <c r="O154" i="40"/>
  <c r="O152" i="40"/>
  <c r="O150" i="40"/>
  <c r="O159" i="40"/>
  <c r="O153" i="40"/>
  <c r="O149" i="40"/>
  <c r="O157" i="40"/>
  <c r="O155" i="40"/>
  <c r="O151" i="40"/>
  <c r="P172" i="42"/>
  <c r="P170" i="42"/>
  <c r="P169" i="42"/>
  <c r="P168" i="42"/>
  <c r="P167" i="42"/>
  <c r="P166" i="42"/>
  <c r="P165" i="42"/>
  <c r="P164" i="42"/>
  <c r="P163" i="42"/>
  <c r="P162" i="42"/>
  <c r="P161" i="42"/>
  <c r="P171" i="42"/>
  <c r="P172" i="41"/>
  <c r="P171" i="41"/>
  <c r="P170" i="41"/>
  <c r="P169" i="41"/>
  <c r="P168" i="41"/>
  <c r="P167" i="41"/>
  <c r="P166" i="41"/>
  <c r="P165" i="41"/>
  <c r="P164" i="41"/>
  <c r="P163" i="41"/>
  <c r="P162" i="41"/>
  <c r="P161" i="41"/>
  <c r="P171" i="38"/>
  <c r="P168" i="38"/>
  <c r="P165" i="38"/>
  <c r="P163" i="38"/>
  <c r="P161" i="38"/>
  <c r="P172" i="38"/>
  <c r="P170" i="38"/>
  <c r="P169" i="38"/>
  <c r="P167" i="38"/>
  <c r="P166" i="38"/>
  <c r="P164" i="38"/>
  <c r="P162" i="38"/>
  <c r="I180" i="42"/>
  <c r="I182" i="42"/>
  <c r="I181" i="42"/>
  <c r="I183" i="42"/>
  <c r="I175" i="42"/>
  <c r="I178" i="42"/>
  <c r="I176" i="42"/>
  <c r="I184" i="42"/>
  <c r="I173" i="42"/>
  <c r="I177" i="42"/>
  <c r="I179" i="42"/>
  <c r="I174" i="42"/>
  <c r="N194" i="42"/>
  <c r="N190" i="42"/>
  <c r="N186" i="42"/>
  <c r="N196" i="42"/>
  <c r="N192" i="42"/>
  <c r="N188" i="42"/>
  <c r="N189" i="42"/>
  <c r="N193" i="42"/>
  <c r="N185" i="42"/>
  <c r="N187" i="42"/>
  <c r="N195" i="42"/>
  <c r="N191" i="42"/>
  <c r="N196" i="41"/>
  <c r="N194" i="41"/>
  <c r="N192" i="41"/>
  <c r="N190" i="41"/>
  <c r="N188" i="41"/>
  <c r="N186" i="41"/>
  <c r="N195" i="41"/>
  <c r="N193" i="41"/>
  <c r="N191" i="41"/>
  <c r="N189" i="41"/>
  <c r="N187" i="41"/>
  <c r="N185" i="41"/>
  <c r="N193" i="40"/>
  <c r="N189" i="40"/>
  <c r="N196" i="40"/>
  <c r="N194" i="40"/>
  <c r="N192" i="40"/>
  <c r="N190" i="40"/>
  <c r="N188" i="40"/>
  <c r="N186" i="40"/>
  <c r="N195" i="40"/>
  <c r="N191" i="40"/>
  <c r="N187" i="40"/>
  <c r="N185" i="40"/>
  <c r="E197" i="42"/>
  <c r="E201" i="42"/>
  <c r="E206" i="42"/>
  <c r="E208" i="42"/>
  <c r="E203" i="42"/>
  <c r="E204" i="42"/>
  <c r="E198" i="42"/>
  <c r="E205" i="42"/>
  <c r="E199" i="42"/>
  <c r="E207" i="42"/>
  <c r="E200" i="42"/>
  <c r="E202" i="42"/>
  <c r="G211" i="42"/>
  <c r="G216" i="42"/>
  <c r="G214" i="42"/>
  <c r="G219" i="42"/>
  <c r="G220" i="42"/>
  <c r="G217" i="42"/>
  <c r="G213" i="42"/>
  <c r="G209" i="42"/>
  <c r="G210" i="42"/>
  <c r="G218" i="42"/>
  <c r="G212" i="42"/>
  <c r="G215" i="42"/>
  <c r="I221" i="42"/>
  <c r="I226" i="42"/>
  <c r="I225" i="42"/>
  <c r="I223" i="42"/>
  <c r="I230" i="42"/>
  <c r="I229" i="42"/>
  <c r="I231" i="42"/>
  <c r="I224" i="42"/>
  <c r="I232" i="42"/>
  <c r="I227" i="42"/>
  <c r="I228" i="42"/>
  <c r="I222" i="42"/>
  <c r="Q223" i="42"/>
  <c r="Q227" i="42"/>
  <c r="Q229" i="42"/>
  <c r="Q225" i="42"/>
  <c r="Q226" i="42"/>
  <c r="Q221" i="42"/>
  <c r="Q230" i="42"/>
  <c r="Q228" i="42"/>
  <c r="Q222" i="42"/>
  <c r="Q231" i="42"/>
  <c r="Q224" i="42"/>
  <c r="Q232" i="42"/>
  <c r="Q232" i="38"/>
  <c r="Q230" i="38"/>
  <c r="Q228" i="38"/>
  <c r="Q226" i="38"/>
  <c r="Q224" i="38"/>
  <c r="Q222" i="38"/>
  <c r="Q232" i="40"/>
  <c r="Q231" i="40"/>
  <c r="Q230" i="40"/>
  <c r="Q229" i="40"/>
  <c r="Q228" i="40"/>
  <c r="Q227" i="40"/>
  <c r="Q226" i="40"/>
  <c r="Q225" i="40"/>
  <c r="Q224" i="40"/>
  <c r="Q223" i="40"/>
  <c r="Q222" i="40"/>
  <c r="Q221" i="40"/>
  <c r="Q229" i="38"/>
  <c r="Q225" i="38"/>
  <c r="Q221" i="38"/>
  <c r="Q227" i="38"/>
  <c r="Q223" i="38"/>
  <c r="Q231" i="38"/>
  <c r="E253" i="42"/>
  <c r="E245" i="42"/>
  <c r="E255" i="42"/>
  <c r="E248" i="42"/>
  <c r="E252" i="42"/>
  <c r="E254" i="42"/>
  <c r="E250" i="42"/>
  <c r="E251" i="42"/>
  <c r="E249" i="42"/>
  <c r="E256" i="42"/>
  <c r="E246" i="42"/>
  <c r="E247" i="42"/>
  <c r="O254" i="42"/>
  <c r="O250" i="42"/>
  <c r="O246" i="42"/>
  <c r="O256" i="42"/>
  <c r="O252" i="42"/>
  <c r="O248" i="42"/>
  <c r="O253" i="42"/>
  <c r="O245" i="42"/>
  <c r="O249" i="42"/>
  <c r="O251" i="42"/>
  <c r="O247" i="42"/>
  <c r="O255" i="42"/>
  <c r="O254" i="41"/>
  <c r="O255" i="41"/>
  <c r="O250" i="41"/>
  <c r="O249" i="41"/>
  <c r="O246" i="41"/>
  <c r="O247" i="41"/>
  <c r="O248" i="41"/>
  <c r="O245" i="41"/>
  <c r="O251" i="41"/>
  <c r="O252" i="41"/>
  <c r="O256" i="41"/>
  <c r="O256" i="40"/>
  <c r="O255" i="40"/>
  <c r="O254" i="40"/>
  <c r="O253" i="40"/>
  <c r="O252" i="40"/>
  <c r="O251" i="40"/>
  <c r="O250" i="40"/>
  <c r="O249" i="40"/>
  <c r="O248" i="40"/>
  <c r="O247" i="40"/>
  <c r="O246" i="40"/>
  <c r="O245" i="40"/>
  <c r="O253" i="41"/>
  <c r="G84" i="40"/>
  <c r="G88" i="40"/>
  <c r="I81" i="40"/>
  <c r="Q139" i="40"/>
  <c r="P125" i="40"/>
  <c r="I78" i="40"/>
  <c r="G135" i="41"/>
  <c r="I135" i="41"/>
  <c r="G129" i="41"/>
  <c r="N240" i="38"/>
  <c r="O254" i="38"/>
  <c r="N235" i="38"/>
  <c r="N249" i="38"/>
  <c r="K276" i="42"/>
  <c r="E18" i="42"/>
  <c r="E22" i="42"/>
  <c r="E17" i="42"/>
  <c r="E23" i="42"/>
  <c r="E25" i="42"/>
  <c r="E19" i="42"/>
  <c r="E27" i="42"/>
  <c r="E28" i="42"/>
  <c r="E21" i="42"/>
  <c r="E20" i="42"/>
  <c r="E26" i="42"/>
  <c r="E24" i="42"/>
  <c r="K276" i="41"/>
  <c r="E24" i="41"/>
  <c r="K276" i="40"/>
  <c r="E27" i="41"/>
  <c r="E19" i="41"/>
  <c r="E26" i="41"/>
  <c r="E21" i="41"/>
  <c r="E22" i="41"/>
  <c r="E28" i="41"/>
  <c r="E25" i="41"/>
  <c r="E23" i="41"/>
  <c r="E17" i="41"/>
  <c r="E20" i="41"/>
  <c r="E18" i="41"/>
  <c r="E18" i="40"/>
  <c r="E20" i="40"/>
  <c r="E25" i="40"/>
  <c r="E21" i="40"/>
  <c r="E24" i="40"/>
  <c r="E28" i="40"/>
  <c r="E22" i="40"/>
  <c r="E27" i="40"/>
  <c r="E23" i="40"/>
  <c r="E26" i="40"/>
  <c r="E19" i="40"/>
  <c r="E17" i="40"/>
  <c r="K277" i="42"/>
  <c r="E33" i="42"/>
  <c r="E38" i="42"/>
  <c r="E29" i="42"/>
  <c r="E40" i="42"/>
  <c r="E34" i="42"/>
  <c r="E31" i="42"/>
  <c r="E30" i="42"/>
  <c r="E39" i="42"/>
  <c r="E36" i="42"/>
  <c r="E37" i="42"/>
  <c r="E35" i="42"/>
  <c r="E32" i="42"/>
  <c r="K277" i="41"/>
  <c r="K277" i="40"/>
  <c r="E38" i="41"/>
  <c r="E35" i="41"/>
  <c r="E36" i="41"/>
  <c r="E39" i="41"/>
  <c r="E31" i="41"/>
  <c r="E33" i="41"/>
  <c r="E37" i="41"/>
  <c r="E29" i="41"/>
  <c r="E40" i="41"/>
  <c r="E32" i="41"/>
  <c r="E34" i="41"/>
  <c r="E30" i="41"/>
  <c r="E37" i="40"/>
  <c r="E32" i="40"/>
  <c r="E35" i="40"/>
  <c r="E33" i="40"/>
  <c r="E36" i="40"/>
  <c r="E31" i="40"/>
  <c r="E34" i="40"/>
  <c r="E30" i="40"/>
  <c r="E29" i="40"/>
  <c r="E39" i="40"/>
  <c r="E40" i="40"/>
  <c r="E38" i="40"/>
  <c r="G42" i="8"/>
  <c r="O38" i="42"/>
  <c r="O34" i="42"/>
  <c r="O30" i="42"/>
  <c r="O40" i="42"/>
  <c r="O36" i="42"/>
  <c r="O32" i="42"/>
  <c r="O37" i="42"/>
  <c r="O29" i="42"/>
  <c r="O33" i="42"/>
  <c r="O39" i="42"/>
  <c r="O35" i="42"/>
  <c r="O31" i="42"/>
  <c r="O37" i="41"/>
  <c r="O32" i="41"/>
  <c r="O30" i="41"/>
  <c r="O40" i="41"/>
  <c r="O38" i="41"/>
  <c r="O29" i="41"/>
  <c r="O39" i="41"/>
  <c r="O31" i="41"/>
  <c r="O36" i="41"/>
  <c r="O35" i="41"/>
  <c r="O34" i="41"/>
  <c r="O33" i="41"/>
  <c r="O40" i="40"/>
  <c r="O38" i="40"/>
  <c r="O36" i="40"/>
  <c r="O34" i="40"/>
  <c r="O32" i="40"/>
  <c r="O30" i="40"/>
  <c r="O39" i="40"/>
  <c r="O35" i="40"/>
  <c r="O31" i="40"/>
  <c r="O37" i="40"/>
  <c r="O33" i="40"/>
  <c r="O29" i="40"/>
  <c r="I42" i="42"/>
  <c r="I50" i="42"/>
  <c r="I41" i="42"/>
  <c r="I45" i="42"/>
  <c r="I48" i="42"/>
  <c r="I43" i="42"/>
  <c r="I51" i="42"/>
  <c r="I44" i="42"/>
  <c r="I52" i="42"/>
  <c r="I47" i="42"/>
  <c r="I49" i="42"/>
  <c r="I46" i="42"/>
  <c r="I41" i="41"/>
  <c r="I46" i="41"/>
  <c r="I43" i="41"/>
  <c r="I44" i="41"/>
  <c r="I49" i="41"/>
  <c r="I50" i="41"/>
  <c r="I52" i="41"/>
  <c r="I51" i="41"/>
  <c r="I48" i="41"/>
  <c r="I45" i="41"/>
  <c r="I42" i="41"/>
  <c r="I47" i="41"/>
  <c r="I49" i="40"/>
  <c r="I47" i="40"/>
  <c r="I48" i="40"/>
  <c r="I46" i="40"/>
  <c r="I43" i="40"/>
  <c r="I52" i="40"/>
  <c r="I42" i="40"/>
  <c r="I45" i="40"/>
  <c r="I41" i="40"/>
  <c r="I44" i="40"/>
  <c r="I50" i="40"/>
  <c r="I51" i="40"/>
  <c r="E64" i="42"/>
  <c r="E53" i="42"/>
  <c r="E54" i="42"/>
  <c r="E57" i="42"/>
  <c r="E63" i="42"/>
  <c r="E62" i="42"/>
  <c r="E56" i="42"/>
  <c r="E61" i="42"/>
  <c r="E60" i="42"/>
  <c r="E55" i="42"/>
  <c r="E58" i="42"/>
  <c r="E59" i="42"/>
  <c r="E57" i="41"/>
  <c r="E53" i="41"/>
  <c r="E59" i="41"/>
  <c r="E60" i="41"/>
  <c r="E62" i="41"/>
  <c r="E54" i="41"/>
  <c r="E64" i="41"/>
  <c r="E56" i="41"/>
  <c r="E61" i="41"/>
  <c r="E58" i="41"/>
  <c r="E63" i="41"/>
  <c r="E55" i="41"/>
  <c r="E58" i="40"/>
  <c r="E56" i="40"/>
  <c r="E64" i="40"/>
  <c r="E53" i="40"/>
  <c r="E61" i="40"/>
  <c r="E60" i="40"/>
  <c r="E63" i="40"/>
  <c r="E55" i="40"/>
  <c r="E57" i="40"/>
  <c r="E59" i="40"/>
  <c r="E54" i="40"/>
  <c r="E62" i="40"/>
  <c r="G44" i="8"/>
  <c r="O62" i="42"/>
  <c r="O58" i="42"/>
  <c r="O54" i="42"/>
  <c r="O64" i="42"/>
  <c r="O60" i="42"/>
  <c r="O56" i="42"/>
  <c r="O61" i="42"/>
  <c r="O53" i="42"/>
  <c r="O57" i="42"/>
  <c r="O59" i="42"/>
  <c r="O55" i="42"/>
  <c r="O63" i="42"/>
  <c r="O59" i="41"/>
  <c r="O63" i="41"/>
  <c r="O57" i="41"/>
  <c r="O60" i="41"/>
  <c r="O64" i="41"/>
  <c r="O55" i="41"/>
  <c r="O58" i="41"/>
  <c r="O54" i="41"/>
  <c r="O53" i="41"/>
  <c r="O61" i="41"/>
  <c r="O56" i="41"/>
  <c r="O62" i="41"/>
  <c r="O64" i="40"/>
  <c r="O62" i="40"/>
  <c r="O60" i="40"/>
  <c r="O58" i="40"/>
  <c r="O56" i="40"/>
  <c r="O54" i="40"/>
  <c r="O59" i="40"/>
  <c r="O55" i="40"/>
  <c r="O63" i="40"/>
  <c r="O61" i="40"/>
  <c r="O57" i="40"/>
  <c r="O53" i="40"/>
  <c r="I67" i="42"/>
  <c r="I66" i="42"/>
  <c r="I68" i="42"/>
  <c r="I65" i="42"/>
  <c r="I72" i="42"/>
  <c r="I74" i="42"/>
  <c r="I75" i="42"/>
  <c r="I69" i="42"/>
  <c r="I71" i="42"/>
  <c r="I70" i="42"/>
  <c r="I76" i="42"/>
  <c r="I73" i="42"/>
  <c r="I69" i="41"/>
  <c r="I66" i="41"/>
  <c r="I76" i="41"/>
  <c r="I72" i="41"/>
  <c r="I73" i="41"/>
  <c r="I67" i="41"/>
  <c r="I71" i="41"/>
  <c r="I70" i="41"/>
  <c r="I75" i="41"/>
  <c r="I68" i="41"/>
  <c r="I65" i="41"/>
  <c r="I74" i="41"/>
  <c r="I66" i="40"/>
  <c r="I72" i="40"/>
  <c r="I76" i="40"/>
  <c r="I74" i="40"/>
  <c r="I73" i="40"/>
  <c r="I69" i="40"/>
  <c r="I71" i="40"/>
  <c r="I70" i="40"/>
  <c r="I68" i="40"/>
  <c r="I67" i="40"/>
  <c r="I65" i="40"/>
  <c r="I75" i="40"/>
  <c r="Q67" i="42"/>
  <c r="Q66" i="42"/>
  <c r="Q65" i="42"/>
  <c r="Q68" i="42"/>
  <c r="Q72" i="42"/>
  <c r="Q69" i="42"/>
  <c r="Q73" i="42"/>
  <c r="Q75" i="42"/>
  <c r="Q70" i="42"/>
  <c r="Q76" i="42"/>
  <c r="Q71" i="42"/>
  <c r="Q74" i="42"/>
  <c r="Q73" i="40"/>
  <c r="Q74" i="40"/>
  <c r="Q76" i="40"/>
  <c r="Q74" i="38"/>
  <c r="Q71" i="38"/>
  <c r="Q68" i="38"/>
  <c r="Q66" i="38"/>
  <c r="Q71" i="40"/>
  <c r="Q76" i="38"/>
  <c r="Q75" i="38"/>
  <c r="Q73" i="38"/>
  <c r="Q72" i="38"/>
  <c r="Q70" i="38"/>
  <c r="Q69" i="38"/>
  <c r="Q67" i="38"/>
  <c r="Q65" i="38"/>
  <c r="Q67" i="40"/>
  <c r="Q70" i="40"/>
  <c r="Q65" i="40"/>
  <c r="Q72" i="40"/>
  <c r="Q69" i="40"/>
  <c r="Q66" i="40"/>
  <c r="Q75" i="40"/>
  <c r="Q68" i="40"/>
  <c r="N86" i="42"/>
  <c r="N82" i="42"/>
  <c r="N78" i="42"/>
  <c r="N88" i="42"/>
  <c r="N84" i="42"/>
  <c r="N80" i="42"/>
  <c r="N85" i="42"/>
  <c r="N77" i="42"/>
  <c r="N81" i="42"/>
  <c r="N87" i="42"/>
  <c r="N83" i="42"/>
  <c r="N79" i="42"/>
  <c r="N81" i="41"/>
  <c r="N77" i="41"/>
  <c r="N82" i="41"/>
  <c r="N79" i="41"/>
  <c r="N87" i="41"/>
  <c r="N88" i="41"/>
  <c r="N86" i="41"/>
  <c r="N85" i="41"/>
  <c r="N78" i="41"/>
  <c r="N84" i="41"/>
  <c r="N80" i="41"/>
  <c r="N83" i="41"/>
  <c r="N87" i="40"/>
  <c r="N83" i="40"/>
  <c r="N77" i="40"/>
  <c r="N88" i="40"/>
  <c r="N86" i="40"/>
  <c r="N84" i="40"/>
  <c r="N82" i="40"/>
  <c r="N80" i="40"/>
  <c r="N78" i="40"/>
  <c r="N85" i="40"/>
  <c r="N81" i="40"/>
  <c r="N79" i="40"/>
  <c r="E96" i="42"/>
  <c r="E90" i="42"/>
  <c r="E91" i="42"/>
  <c r="E93" i="42"/>
  <c r="E89" i="42"/>
  <c r="E94" i="42"/>
  <c r="E95" i="42"/>
  <c r="E92" i="42"/>
  <c r="E97" i="42"/>
  <c r="E99" i="42"/>
  <c r="E100" i="42"/>
  <c r="E98" i="42"/>
  <c r="E97" i="41"/>
  <c r="E91" i="41"/>
  <c r="E92" i="41"/>
  <c r="E90" i="41"/>
  <c r="E96" i="41"/>
  <c r="E98" i="41"/>
  <c r="E93" i="41"/>
  <c r="E100" i="41"/>
  <c r="E89" i="41"/>
  <c r="E95" i="41"/>
  <c r="E99" i="41"/>
  <c r="E94" i="41"/>
  <c r="G47" i="8"/>
  <c r="O98" i="42"/>
  <c r="O94" i="42"/>
  <c r="O90" i="42"/>
  <c r="O100" i="42"/>
  <c r="O96" i="42"/>
  <c r="O92" i="42"/>
  <c r="O93" i="42"/>
  <c r="O97" i="42"/>
  <c r="O89" i="42"/>
  <c r="O91" i="42"/>
  <c r="O99" i="42"/>
  <c r="O95" i="42"/>
  <c r="O91" i="41"/>
  <c r="O89" i="41"/>
  <c r="O96" i="41"/>
  <c r="O93" i="41"/>
  <c r="O95" i="41"/>
  <c r="O99" i="41"/>
  <c r="O90" i="41"/>
  <c r="O97" i="41"/>
  <c r="O100" i="41"/>
  <c r="O92" i="41"/>
  <c r="O98" i="41"/>
  <c r="O94" i="41"/>
  <c r="O100" i="40"/>
  <c r="O98" i="40"/>
  <c r="O96" i="40"/>
  <c r="O94" i="40"/>
  <c r="O92" i="40"/>
  <c r="O90" i="40"/>
  <c r="O99" i="40"/>
  <c r="O95" i="40"/>
  <c r="O89" i="40"/>
  <c r="O97" i="40"/>
  <c r="O93" i="40"/>
  <c r="O91" i="40"/>
  <c r="G101" i="42"/>
  <c r="G107" i="42"/>
  <c r="G104" i="42"/>
  <c r="G112" i="42"/>
  <c r="G111" i="42"/>
  <c r="G106" i="42"/>
  <c r="G109" i="42"/>
  <c r="G103" i="42"/>
  <c r="G110" i="42"/>
  <c r="G102" i="42"/>
  <c r="G108" i="42"/>
  <c r="G105" i="42"/>
  <c r="G105" i="41"/>
  <c r="G111" i="41"/>
  <c r="G101" i="41"/>
  <c r="G107" i="41"/>
  <c r="G103" i="41"/>
  <c r="G109" i="41"/>
  <c r="G102" i="41"/>
  <c r="G108" i="41"/>
  <c r="G110" i="41"/>
  <c r="G112" i="41"/>
  <c r="G104" i="41"/>
  <c r="G106" i="41"/>
  <c r="P107" i="42"/>
  <c r="P111" i="42"/>
  <c r="P109" i="42"/>
  <c r="P101" i="42"/>
  <c r="P106" i="42"/>
  <c r="P104" i="42"/>
  <c r="P108" i="42"/>
  <c r="P105" i="42"/>
  <c r="P112" i="42"/>
  <c r="P103" i="42"/>
  <c r="P102" i="42"/>
  <c r="P110" i="42"/>
  <c r="P110" i="41"/>
  <c r="P106" i="41"/>
  <c r="P102" i="41"/>
  <c r="P101" i="41"/>
  <c r="P112" i="41"/>
  <c r="P108" i="41"/>
  <c r="P104" i="41"/>
  <c r="P109" i="41"/>
  <c r="P105" i="41"/>
  <c r="P111" i="41"/>
  <c r="P107" i="41"/>
  <c r="P103" i="41"/>
  <c r="P111" i="38"/>
  <c r="P108" i="38"/>
  <c r="P105" i="38"/>
  <c r="P103" i="38"/>
  <c r="P112" i="38"/>
  <c r="P110" i="38"/>
  <c r="P109" i="38"/>
  <c r="P107" i="38"/>
  <c r="P106" i="38"/>
  <c r="P104" i="38"/>
  <c r="P102" i="38"/>
  <c r="P101" i="38"/>
  <c r="P112" i="40"/>
  <c r="P110" i="40"/>
  <c r="P109" i="40"/>
  <c r="P103" i="40"/>
  <c r="P107" i="40"/>
  <c r="P101" i="40"/>
  <c r="P106" i="40"/>
  <c r="P108" i="40"/>
  <c r="Q119" i="42"/>
  <c r="Q115" i="42"/>
  <c r="Q118" i="42"/>
  <c r="Q114" i="42"/>
  <c r="Q124" i="42"/>
  <c r="Q123" i="42"/>
  <c r="Q122" i="42"/>
  <c r="Q121" i="42"/>
  <c r="Q117" i="42"/>
  <c r="Q113" i="42"/>
  <c r="Q120" i="42"/>
  <c r="Q116" i="42"/>
  <c r="Q124" i="38"/>
  <c r="Q121" i="38"/>
  <c r="Q118" i="38"/>
  <c r="Q115" i="38"/>
  <c r="Q123" i="38"/>
  <c r="Q122" i="38"/>
  <c r="Q120" i="38"/>
  <c r="Q119" i="38"/>
  <c r="Q117" i="38"/>
  <c r="Q116" i="38"/>
  <c r="Q114" i="38"/>
  <c r="Q113" i="38"/>
  <c r="Q122" i="40"/>
  <c r="Q121" i="40"/>
  <c r="Q124" i="40"/>
  <c r="Q119" i="40"/>
  <c r="Q115" i="40"/>
  <c r="Q113" i="40"/>
  <c r="Q120" i="40"/>
  <c r="Q118" i="40"/>
  <c r="N134" i="42"/>
  <c r="N130" i="42"/>
  <c r="N126" i="42"/>
  <c r="N136" i="42"/>
  <c r="N132" i="42"/>
  <c r="N128" i="42"/>
  <c r="N133" i="42"/>
  <c r="N125" i="42"/>
  <c r="N129" i="42"/>
  <c r="N135" i="42"/>
  <c r="N131" i="42"/>
  <c r="N127" i="42"/>
  <c r="N125" i="41"/>
  <c r="N136" i="41"/>
  <c r="N135" i="41"/>
  <c r="N134" i="41"/>
  <c r="N133" i="41"/>
  <c r="N132" i="41"/>
  <c r="N131" i="41"/>
  <c r="N130" i="41"/>
  <c r="N129" i="41"/>
  <c r="N128" i="41"/>
  <c r="N127" i="41"/>
  <c r="N126" i="41"/>
  <c r="N133" i="40"/>
  <c r="N127" i="40"/>
  <c r="N136" i="40"/>
  <c r="N134" i="40"/>
  <c r="N132" i="40"/>
  <c r="N130" i="40"/>
  <c r="N128" i="40"/>
  <c r="N126" i="40"/>
  <c r="N135" i="40"/>
  <c r="N131" i="40"/>
  <c r="N129" i="40"/>
  <c r="N125" i="40"/>
  <c r="E139" i="42"/>
  <c r="E144" i="42"/>
  <c r="E145" i="42"/>
  <c r="E137" i="42"/>
  <c r="E148" i="42"/>
  <c r="E138" i="42"/>
  <c r="E140" i="42"/>
  <c r="E143" i="42"/>
  <c r="E147" i="42"/>
  <c r="E146" i="42"/>
  <c r="E142" i="42"/>
  <c r="E141" i="42"/>
  <c r="G51" i="8"/>
  <c r="O146" i="42"/>
  <c r="O142" i="42"/>
  <c r="O138" i="42"/>
  <c r="O148" i="42"/>
  <c r="O144" i="42"/>
  <c r="O140" i="42"/>
  <c r="O141" i="42"/>
  <c r="O145" i="42"/>
  <c r="O137" i="42"/>
  <c r="O139" i="42"/>
  <c r="O147" i="42"/>
  <c r="O143" i="42"/>
  <c r="O148" i="41"/>
  <c r="O139" i="41"/>
  <c r="O141" i="41"/>
  <c r="O143" i="41"/>
  <c r="O145" i="41"/>
  <c r="O147" i="41"/>
  <c r="O142" i="41"/>
  <c r="O138" i="41"/>
  <c r="O140" i="41"/>
  <c r="O144" i="41"/>
  <c r="O146" i="41"/>
  <c r="O137" i="41"/>
  <c r="O148" i="40"/>
  <c r="O146" i="40"/>
  <c r="O144" i="40"/>
  <c r="O142" i="40"/>
  <c r="O140" i="40"/>
  <c r="O138" i="40"/>
  <c r="O143" i="40"/>
  <c r="O141" i="40"/>
  <c r="O147" i="40"/>
  <c r="O145" i="40"/>
  <c r="O139" i="40"/>
  <c r="O137" i="40"/>
  <c r="G160" i="42"/>
  <c r="G156" i="42"/>
  <c r="G151" i="42"/>
  <c r="G159" i="42"/>
  <c r="G157" i="42"/>
  <c r="G153" i="42"/>
  <c r="G149" i="42"/>
  <c r="G155" i="42"/>
  <c r="G150" i="42"/>
  <c r="G152" i="42"/>
  <c r="G158" i="42"/>
  <c r="G154" i="42"/>
  <c r="P160" i="42"/>
  <c r="P158" i="42"/>
  <c r="P156" i="42"/>
  <c r="P154" i="42"/>
  <c r="P152" i="42"/>
  <c r="P150" i="42"/>
  <c r="P159" i="42"/>
  <c r="P157" i="42"/>
  <c r="P155" i="42"/>
  <c r="P153" i="42"/>
  <c r="P151" i="42"/>
  <c r="P149" i="42"/>
  <c r="P155" i="41"/>
  <c r="P150" i="41"/>
  <c r="P154" i="41"/>
  <c r="P151" i="41"/>
  <c r="P149" i="41"/>
  <c r="P156" i="41"/>
  <c r="P153" i="41"/>
  <c r="P160" i="41"/>
  <c r="P152" i="41"/>
  <c r="P157" i="41"/>
  <c r="P159" i="41"/>
  <c r="P158" i="41"/>
  <c r="P157" i="38"/>
  <c r="P155" i="38"/>
  <c r="P152" i="38"/>
  <c r="P149" i="38"/>
  <c r="P160" i="38"/>
  <c r="P159" i="38"/>
  <c r="P158" i="38"/>
  <c r="P156" i="38"/>
  <c r="P154" i="38"/>
  <c r="P153" i="38"/>
  <c r="P151" i="38"/>
  <c r="P150" i="38"/>
  <c r="I164" i="42"/>
  <c r="I165" i="42"/>
  <c r="I161" i="42"/>
  <c r="I162" i="42"/>
  <c r="I167" i="42"/>
  <c r="I170" i="42"/>
  <c r="I168" i="42"/>
  <c r="I172" i="42"/>
  <c r="I166" i="42"/>
  <c r="I171" i="42"/>
  <c r="I169" i="42"/>
  <c r="I163" i="42"/>
  <c r="Q171" i="42"/>
  <c r="Q163" i="42"/>
  <c r="Q167" i="42"/>
  <c r="Q161" i="42"/>
  <c r="Q166" i="42"/>
  <c r="Q170" i="42"/>
  <c r="Q162" i="42"/>
  <c r="Q168" i="42"/>
  <c r="Q172" i="42"/>
  <c r="Q164" i="42"/>
  <c r="Q169" i="42"/>
  <c r="Q165" i="42"/>
  <c r="Q171" i="38"/>
  <c r="Q168" i="38"/>
  <c r="Q166" i="38"/>
  <c r="Q164" i="38"/>
  <c r="Q161" i="38"/>
  <c r="Q172" i="38"/>
  <c r="Q170" i="38"/>
  <c r="Q169" i="38"/>
  <c r="Q167" i="38"/>
  <c r="Q165" i="38"/>
  <c r="Q163" i="38"/>
  <c r="Q162" i="38"/>
  <c r="N182" i="42"/>
  <c r="N178" i="42"/>
  <c r="N174" i="42"/>
  <c r="N184" i="42"/>
  <c r="N180" i="42"/>
  <c r="N176" i="42"/>
  <c r="N181" i="42"/>
  <c r="N173" i="42"/>
  <c r="N177" i="42"/>
  <c r="N183" i="42"/>
  <c r="N179" i="42"/>
  <c r="N175" i="42"/>
  <c r="N184" i="41"/>
  <c r="N183" i="41"/>
  <c r="N182" i="41"/>
  <c r="N181" i="41"/>
  <c r="N180" i="41"/>
  <c r="N179" i="41"/>
  <c r="N178" i="41"/>
  <c r="N177" i="41"/>
  <c r="N176" i="41"/>
  <c r="N175" i="41"/>
  <c r="N174" i="41"/>
  <c r="N173" i="41"/>
  <c r="N183" i="40"/>
  <c r="N177" i="40"/>
  <c r="N184" i="40"/>
  <c r="N182" i="40"/>
  <c r="N180" i="40"/>
  <c r="N178" i="40"/>
  <c r="N176" i="40"/>
  <c r="N174" i="40"/>
  <c r="N181" i="40"/>
  <c r="N179" i="40"/>
  <c r="N175" i="40"/>
  <c r="N173" i="40"/>
  <c r="E188" i="42"/>
  <c r="E186" i="42"/>
  <c r="E191" i="42"/>
  <c r="E195" i="42"/>
  <c r="E194" i="42"/>
  <c r="E192" i="42"/>
  <c r="E185" i="42"/>
  <c r="E193" i="42"/>
  <c r="E187" i="42"/>
  <c r="E189" i="42"/>
  <c r="E196" i="42"/>
  <c r="E190" i="42"/>
  <c r="G55" i="8"/>
  <c r="O194" i="42"/>
  <c r="O190" i="42"/>
  <c r="O186" i="42"/>
  <c r="O196" i="42"/>
  <c r="O192" i="42"/>
  <c r="O188" i="42"/>
  <c r="O189" i="42"/>
  <c r="O193" i="42"/>
  <c r="O185" i="42"/>
  <c r="O187" i="42"/>
  <c r="O195" i="42"/>
  <c r="O191" i="42"/>
  <c r="O196" i="41"/>
  <c r="O192" i="41"/>
  <c r="O194" i="41"/>
  <c r="O190" i="41"/>
  <c r="O186" i="41"/>
  <c r="O188" i="41"/>
  <c r="O193" i="41"/>
  <c r="O187" i="41"/>
  <c r="O185" i="41"/>
  <c r="O195" i="41"/>
  <c r="O189" i="41"/>
  <c r="O191" i="41"/>
  <c r="O196" i="40"/>
  <c r="O194" i="40"/>
  <c r="O192" i="40"/>
  <c r="O190" i="40"/>
  <c r="O188" i="40"/>
  <c r="O186" i="40"/>
  <c r="O195" i="40"/>
  <c r="O191" i="40"/>
  <c r="O185" i="40"/>
  <c r="O193" i="40"/>
  <c r="O189" i="40"/>
  <c r="O187" i="40"/>
  <c r="G204" i="42"/>
  <c r="G206" i="42"/>
  <c r="G207" i="42"/>
  <c r="G205" i="42"/>
  <c r="G197" i="42"/>
  <c r="G203" i="42"/>
  <c r="G200" i="42"/>
  <c r="G199" i="42"/>
  <c r="G202" i="42"/>
  <c r="G198" i="42"/>
  <c r="G208" i="42"/>
  <c r="G201" i="42"/>
  <c r="P205" i="42"/>
  <c r="P201" i="42"/>
  <c r="P207" i="42"/>
  <c r="P203" i="42"/>
  <c r="P208" i="42"/>
  <c r="P200" i="42"/>
  <c r="P202" i="42"/>
  <c r="P206" i="42"/>
  <c r="P204" i="42"/>
  <c r="P197" i="42"/>
  <c r="P199" i="42"/>
  <c r="P198" i="42"/>
  <c r="P199" i="41"/>
  <c r="P197" i="41"/>
  <c r="P200" i="41"/>
  <c r="P208" i="41"/>
  <c r="P198" i="41"/>
  <c r="P203" i="41"/>
  <c r="P207" i="41"/>
  <c r="P205" i="41"/>
  <c r="P204" i="41"/>
  <c r="P206" i="41"/>
  <c r="P201" i="41"/>
  <c r="P202" i="41"/>
  <c r="P206" i="38"/>
  <c r="P204" i="38"/>
  <c r="P201" i="38"/>
  <c r="P199" i="38"/>
  <c r="P208" i="38"/>
  <c r="P207" i="38"/>
  <c r="P205" i="38"/>
  <c r="P203" i="38"/>
  <c r="P202" i="38"/>
  <c r="P200" i="38"/>
  <c r="P198" i="38"/>
  <c r="P197" i="38"/>
  <c r="I210" i="42"/>
  <c r="I219" i="42"/>
  <c r="I220" i="42"/>
  <c r="I218" i="42"/>
  <c r="I215" i="42"/>
  <c r="I209" i="42"/>
  <c r="I217" i="42"/>
  <c r="I212" i="42"/>
  <c r="I211" i="42"/>
  <c r="I216" i="42"/>
  <c r="I214" i="42"/>
  <c r="I213" i="42"/>
  <c r="Q210" i="42"/>
  <c r="Q214" i="42"/>
  <c r="Q213" i="42"/>
  <c r="Q211" i="42"/>
  <c r="Q216" i="42"/>
  <c r="Q219" i="42"/>
  <c r="Q209" i="42"/>
  <c r="Q212" i="42"/>
  <c r="Q217" i="42"/>
  <c r="Q215" i="42"/>
  <c r="Q220" i="42"/>
  <c r="Q218" i="42"/>
  <c r="Q219" i="38"/>
  <c r="Q213" i="38"/>
  <c r="Q210" i="38"/>
  <c r="Q220" i="38"/>
  <c r="Q218" i="38"/>
  <c r="Q217" i="38"/>
  <c r="Q216" i="38"/>
  <c r="Q215" i="38"/>
  <c r="Q214" i="38"/>
  <c r="Q212" i="38"/>
  <c r="Q211" i="38"/>
  <c r="Q209" i="38"/>
  <c r="N230" i="42"/>
  <c r="N226" i="42"/>
  <c r="N222" i="42"/>
  <c r="N232" i="42"/>
  <c r="N228" i="42"/>
  <c r="N224" i="42"/>
  <c r="N229" i="42"/>
  <c r="N221" i="42"/>
  <c r="N225" i="42"/>
  <c r="N231" i="42"/>
  <c r="N227" i="42"/>
  <c r="N223" i="42"/>
  <c r="N232" i="41"/>
  <c r="N228" i="41"/>
  <c r="N226" i="41"/>
  <c r="N225" i="41"/>
  <c r="N222" i="41"/>
  <c r="N221" i="41"/>
  <c r="N231" i="41"/>
  <c r="N229" i="41"/>
  <c r="N224" i="41"/>
  <c r="N232" i="40"/>
  <c r="N231" i="40"/>
  <c r="N230" i="40"/>
  <c r="N229" i="40"/>
  <c r="N228" i="40"/>
  <c r="N227" i="40"/>
  <c r="N226" i="40"/>
  <c r="N225" i="40"/>
  <c r="N224" i="40"/>
  <c r="N223" i="40"/>
  <c r="N222" i="40"/>
  <c r="N221" i="40"/>
  <c r="N227" i="41"/>
  <c r="N230" i="41"/>
  <c r="N223" i="41"/>
  <c r="N227" i="38"/>
  <c r="N229" i="38"/>
  <c r="N225" i="38"/>
  <c r="N232" i="38"/>
  <c r="N230" i="38"/>
  <c r="N226" i="38"/>
  <c r="N223" i="38"/>
  <c r="N221" i="38"/>
  <c r="N224" i="38"/>
  <c r="N222" i="38"/>
  <c r="N231" i="38"/>
  <c r="N228" i="38"/>
  <c r="E241" i="42"/>
  <c r="E233" i="42"/>
  <c r="E236" i="42"/>
  <c r="E244" i="42"/>
  <c r="E237" i="42"/>
  <c r="E234" i="42"/>
  <c r="E238" i="42"/>
  <c r="E240" i="42"/>
  <c r="E243" i="42"/>
  <c r="E239" i="42"/>
  <c r="E242" i="42"/>
  <c r="E235" i="42"/>
  <c r="O242" i="42"/>
  <c r="O238" i="42"/>
  <c r="O234" i="42"/>
  <c r="O244" i="42"/>
  <c r="O240" i="42"/>
  <c r="O236" i="42"/>
  <c r="O237" i="42"/>
  <c r="O241" i="42"/>
  <c r="O233" i="42"/>
  <c r="O235" i="42"/>
  <c r="O243" i="42"/>
  <c r="O239" i="42"/>
  <c r="O241" i="41"/>
  <c r="O233" i="41"/>
  <c r="O242" i="41"/>
  <c r="O234" i="41"/>
  <c r="O238" i="41"/>
  <c r="O237" i="41"/>
  <c r="O236" i="41"/>
  <c r="O239" i="41"/>
  <c r="O240" i="41"/>
  <c r="O244" i="41"/>
  <c r="O243" i="41"/>
  <c r="O244" i="40"/>
  <c r="O243" i="40"/>
  <c r="O242" i="40"/>
  <c r="O241" i="40"/>
  <c r="O240" i="40"/>
  <c r="O239" i="40"/>
  <c r="O238" i="40"/>
  <c r="O237" i="40"/>
  <c r="O236" i="40"/>
  <c r="O235" i="40"/>
  <c r="O234" i="40"/>
  <c r="O233" i="40"/>
  <c r="O235" i="41"/>
  <c r="O237" i="38"/>
  <c r="O241" i="38"/>
  <c r="O238" i="38"/>
  <c r="O244" i="38"/>
  <c r="O242" i="38"/>
  <c r="O239" i="38"/>
  <c r="G256" i="42"/>
  <c r="G246" i="42"/>
  <c r="G249" i="42"/>
  <c r="G247" i="42"/>
  <c r="G252" i="42"/>
  <c r="G254" i="42"/>
  <c r="G245" i="42"/>
  <c r="G248" i="42"/>
  <c r="G255" i="42"/>
  <c r="G251" i="42"/>
  <c r="G253" i="42"/>
  <c r="G250" i="42"/>
  <c r="P251" i="42"/>
  <c r="P255" i="42"/>
  <c r="P247" i="42"/>
  <c r="P253" i="42"/>
  <c r="P249" i="42"/>
  <c r="P245" i="42"/>
  <c r="P250" i="42"/>
  <c r="P256" i="42"/>
  <c r="P254" i="42"/>
  <c r="P246" i="42"/>
  <c r="P248" i="42"/>
  <c r="P252" i="42"/>
  <c r="P256" i="41"/>
  <c r="P250" i="41"/>
  <c r="P249" i="41"/>
  <c r="P245" i="41"/>
  <c r="P246" i="41"/>
  <c r="P248" i="41"/>
  <c r="P254" i="41"/>
  <c r="P255" i="41"/>
  <c r="P255" i="38"/>
  <c r="P253" i="38"/>
  <c r="P251" i="38"/>
  <c r="P249" i="38"/>
  <c r="P247" i="38"/>
  <c r="P245" i="38"/>
  <c r="P251" i="41"/>
  <c r="P253" i="41"/>
  <c r="P252" i="41"/>
  <c r="P247" i="41"/>
  <c r="P256" i="38"/>
  <c r="P252" i="38"/>
  <c r="P248" i="38"/>
  <c r="P256" i="40"/>
  <c r="P255" i="40"/>
  <c r="P254" i="40"/>
  <c r="P253" i="40"/>
  <c r="P252" i="40"/>
  <c r="P251" i="40"/>
  <c r="P250" i="40"/>
  <c r="P249" i="40"/>
  <c r="P248" i="40"/>
  <c r="P247" i="40"/>
  <c r="P246" i="40"/>
  <c r="P245" i="40"/>
  <c r="P254" i="38"/>
  <c r="P250" i="38"/>
  <c r="P246" i="38"/>
  <c r="I259" i="42"/>
  <c r="I257" i="42"/>
  <c r="I264" i="42"/>
  <c r="I260" i="42"/>
  <c r="I266" i="42"/>
  <c r="I262" i="42"/>
  <c r="I265" i="42"/>
  <c r="I268" i="42"/>
  <c r="I261" i="42"/>
  <c r="I263" i="42"/>
  <c r="I267" i="42"/>
  <c r="I258" i="42"/>
  <c r="E87" i="40"/>
  <c r="E86" i="40"/>
  <c r="E82" i="40"/>
  <c r="I88" i="40"/>
  <c r="E79" i="40"/>
  <c r="P104" i="40"/>
  <c r="Q143" i="40"/>
  <c r="G78" i="40"/>
  <c r="G77" i="40"/>
  <c r="O243" i="38"/>
  <c r="O240" i="38"/>
  <c r="N254" i="38"/>
  <c r="O253" i="38"/>
  <c r="O234" i="38"/>
  <c r="O236" i="38"/>
  <c r="O250" i="38"/>
  <c r="O251" i="38"/>
  <c r="P268" i="42"/>
  <c r="P264" i="42"/>
  <c r="P260" i="42"/>
  <c r="P266" i="42"/>
  <c r="P258" i="42"/>
  <c r="P262" i="42"/>
  <c r="P257" i="42"/>
  <c r="P265" i="42"/>
  <c r="P263" i="42"/>
  <c r="P267" i="42"/>
  <c r="P259" i="42"/>
  <c r="P261" i="42"/>
  <c r="P265" i="41"/>
  <c r="P262" i="41"/>
  <c r="P258" i="41"/>
  <c r="P263" i="41"/>
  <c r="P257" i="41"/>
  <c r="P267" i="38"/>
  <c r="P265" i="38"/>
  <c r="P263" i="38"/>
  <c r="P261" i="38"/>
  <c r="P259" i="38"/>
  <c r="P257" i="38"/>
  <c r="P267" i="41"/>
  <c r="P266" i="41"/>
  <c r="P264" i="41"/>
  <c r="P259" i="41"/>
  <c r="P260" i="41"/>
  <c r="P261" i="41"/>
  <c r="P268" i="38"/>
  <c r="P264" i="38"/>
  <c r="P260" i="38"/>
  <c r="P268" i="40"/>
  <c r="P267" i="40"/>
  <c r="P266" i="40"/>
  <c r="P265" i="40"/>
  <c r="P264" i="40"/>
  <c r="P263" i="40"/>
  <c r="P262" i="40"/>
  <c r="P261" i="40"/>
  <c r="P260" i="40"/>
  <c r="P259" i="40"/>
  <c r="P258" i="40"/>
  <c r="P257" i="40"/>
  <c r="P268" i="41"/>
  <c r="P266" i="38"/>
  <c r="P262" i="38"/>
  <c r="P258" i="38"/>
  <c r="I33" i="42"/>
  <c r="I38" i="42"/>
  <c r="I40" i="42"/>
  <c r="I34" i="42"/>
  <c r="I29" i="42"/>
  <c r="I30" i="42"/>
  <c r="I36" i="42"/>
  <c r="I32" i="42"/>
  <c r="I37" i="42"/>
  <c r="I35" i="42"/>
  <c r="I39" i="42"/>
  <c r="I31" i="42"/>
  <c r="I40" i="41"/>
  <c r="I32" i="41"/>
  <c r="I29" i="41"/>
  <c r="I38" i="41"/>
  <c r="I35" i="41"/>
  <c r="I36" i="41"/>
  <c r="I39" i="41"/>
  <c r="I31" i="41"/>
  <c r="I33" i="41"/>
  <c r="I37" i="41"/>
  <c r="I30" i="41"/>
  <c r="I34" i="41"/>
  <c r="I33" i="40"/>
  <c r="I31" i="40"/>
  <c r="I37" i="40"/>
  <c r="I30" i="40"/>
  <c r="I34" i="40"/>
  <c r="I39" i="40"/>
  <c r="I29" i="40"/>
  <c r="I40" i="40"/>
  <c r="I38" i="40"/>
  <c r="I32" i="40"/>
  <c r="I36" i="40"/>
  <c r="I35" i="40"/>
  <c r="G43" i="8"/>
  <c r="O50" i="42"/>
  <c r="O46" i="42"/>
  <c r="O42" i="42"/>
  <c r="O52" i="42"/>
  <c r="O48" i="42"/>
  <c r="O44" i="42"/>
  <c r="O45" i="42"/>
  <c r="O49" i="42"/>
  <c r="O41" i="42"/>
  <c r="O43" i="42"/>
  <c r="O51" i="42"/>
  <c r="O47" i="42"/>
  <c r="O52" i="41"/>
  <c r="O44" i="41"/>
  <c r="O48" i="41"/>
  <c r="O50" i="41"/>
  <c r="O42" i="41"/>
  <c r="O46" i="41"/>
  <c r="O43" i="41"/>
  <c r="O51" i="41"/>
  <c r="O41" i="41"/>
  <c r="O49" i="41"/>
  <c r="O47" i="41"/>
  <c r="O45" i="41"/>
  <c r="O52" i="40"/>
  <c r="O50" i="40"/>
  <c r="O48" i="40"/>
  <c r="O46" i="40"/>
  <c r="O44" i="40"/>
  <c r="O42" i="40"/>
  <c r="O51" i="40"/>
  <c r="O45" i="40"/>
  <c r="O49" i="40"/>
  <c r="O47" i="40"/>
  <c r="O43" i="40"/>
  <c r="O41" i="40"/>
  <c r="E67" i="42"/>
  <c r="E68" i="42"/>
  <c r="E66" i="42"/>
  <c r="E71" i="42"/>
  <c r="E70" i="42"/>
  <c r="E76" i="42"/>
  <c r="E65" i="42"/>
  <c r="E73" i="42"/>
  <c r="E75" i="42"/>
  <c r="E72" i="42"/>
  <c r="E74" i="42"/>
  <c r="E69" i="42"/>
  <c r="E69" i="41"/>
  <c r="E67" i="41"/>
  <c r="E75" i="41"/>
  <c r="E65" i="41"/>
  <c r="E72" i="41"/>
  <c r="E73" i="41"/>
  <c r="E71" i="41"/>
  <c r="E70" i="41"/>
  <c r="E68" i="41"/>
  <c r="E74" i="41"/>
  <c r="E66" i="41"/>
  <c r="E76" i="41"/>
  <c r="E73" i="40"/>
  <c r="E70" i="40"/>
  <c r="E68" i="40"/>
  <c r="E69" i="40"/>
  <c r="E67" i="40"/>
  <c r="E71" i="40"/>
  <c r="E65" i="40"/>
  <c r="E66" i="40"/>
  <c r="E72" i="40"/>
  <c r="E75" i="40"/>
  <c r="E76" i="40"/>
  <c r="E74" i="40"/>
  <c r="P77" i="42"/>
  <c r="P78" i="42"/>
  <c r="P81" i="42"/>
  <c r="P83" i="42"/>
  <c r="P85" i="42"/>
  <c r="P87" i="42"/>
  <c r="P82" i="42"/>
  <c r="P86" i="42"/>
  <c r="P79" i="42"/>
  <c r="P80" i="42"/>
  <c r="P84" i="42"/>
  <c r="P88" i="42"/>
  <c r="P85" i="41"/>
  <c r="P77" i="41"/>
  <c r="P83" i="41"/>
  <c r="P87" i="41"/>
  <c r="P81" i="41"/>
  <c r="P79" i="41"/>
  <c r="P82" i="41"/>
  <c r="P78" i="41"/>
  <c r="P88" i="41"/>
  <c r="P86" i="41"/>
  <c r="P80" i="41"/>
  <c r="P84" i="41"/>
  <c r="P85" i="40"/>
  <c r="P87" i="38"/>
  <c r="P84" i="38"/>
  <c r="P80" i="38"/>
  <c r="P77" i="38"/>
  <c r="P88" i="40"/>
  <c r="P86" i="40"/>
  <c r="P88" i="38"/>
  <c r="P86" i="38"/>
  <c r="P85" i="38"/>
  <c r="P83" i="38"/>
  <c r="P82" i="38"/>
  <c r="P81" i="38"/>
  <c r="P79" i="38"/>
  <c r="P78" i="38"/>
  <c r="P79" i="40"/>
  <c r="P83" i="40"/>
  <c r="P84" i="40"/>
  <c r="P77" i="40"/>
  <c r="P82" i="40"/>
  <c r="P80" i="40"/>
  <c r="P87" i="40"/>
  <c r="P78" i="40"/>
  <c r="P81" i="40"/>
  <c r="N110" i="42"/>
  <c r="N106" i="42"/>
  <c r="N102" i="42"/>
  <c r="N112" i="42"/>
  <c r="N108" i="42"/>
  <c r="N104" i="42"/>
  <c r="N109" i="42"/>
  <c r="N101" i="42"/>
  <c r="N105" i="42"/>
  <c r="N107" i="42"/>
  <c r="N103" i="42"/>
  <c r="N111" i="42"/>
  <c r="N101" i="41"/>
  <c r="N111" i="41"/>
  <c r="N107" i="41"/>
  <c r="N103" i="41"/>
  <c r="N109" i="41"/>
  <c r="N105" i="41"/>
  <c r="N102" i="41"/>
  <c r="N106" i="41"/>
  <c r="N110" i="41"/>
  <c r="N108" i="41"/>
  <c r="N104" i="41"/>
  <c r="N112" i="41"/>
  <c r="N111" i="40"/>
  <c r="N105" i="40"/>
  <c r="N112" i="40"/>
  <c r="N110" i="40"/>
  <c r="N108" i="40"/>
  <c r="N106" i="40"/>
  <c r="N104" i="40"/>
  <c r="N102" i="40"/>
  <c r="N109" i="40"/>
  <c r="N107" i="40"/>
  <c r="N103" i="40"/>
  <c r="N101" i="40"/>
  <c r="G49" i="8"/>
  <c r="O122" i="42"/>
  <c r="O118" i="42"/>
  <c r="O114" i="42"/>
  <c r="O124" i="42"/>
  <c r="O120" i="42"/>
  <c r="O116" i="42"/>
  <c r="O117" i="42"/>
  <c r="O121" i="42"/>
  <c r="O113" i="42"/>
  <c r="O123" i="42"/>
  <c r="O119" i="42"/>
  <c r="O115" i="42"/>
  <c r="O124" i="41"/>
  <c r="O122" i="41"/>
  <c r="O120" i="41"/>
  <c r="O118" i="41"/>
  <c r="O116" i="41"/>
  <c r="O113" i="41"/>
  <c r="O123" i="41"/>
  <c r="O121" i="41"/>
  <c r="O119" i="41"/>
  <c r="O117" i="41"/>
  <c r="O115" i="41"/>
  <c r="O114" i="41"/>
  <c r="O124" i="40"/>
  <c r="O122" i="40"/>
  <c r="O120" i="40"/>
  <c r="O118" i="40"/>
  <c r="O116" i="40"/>
  <c r="O114" i="40"/>
  <c r="O121" i="40"/>
  <c r="O117" i="40"/>
  <c r="O123" i="40"/>
  <c r="O119" i="40"/>
  <c r="O115" i="40"/>
  <c r="O113" i="40"/>
  <c r="I137" i="42"/>
  <c r="I148" i="42"/>
  <c r="I143" i="42"/>
  <c r="I147" i="42"/>
  <c r="I146" i="42"/>
  <c r="I144" i="42"/>
  <c r="I145" i="42"/>
  <c r="I142" i="42"/>
  <c r="I141" i="42"/>
  <c r="I138" i="42"/>
  <c r="I140" i="42"/>
  <c r="I139" i="42"/>
  <c r="N158" i="42"/>
  <c r="N154" i="42"/>
  <c r="N150" i="42"/>
  <c r="N160" i="42"/>
  <c r="N156" i="42"/>
  <c r="N152" i="42"/>
  <c r="N157" i="42"/>
  <c r="N149" i="42"/>
  <c r="N153" i="42"/>
  <c r="N155" i="42"/>
  <c r="N151" i="42"/>
  <c r="N159" i="42"/>
  <c r="N155" i="41"/>
  <c r="N154" i="41"/>
  <c r="N160" i="41"/>
  <c r="N157" i="41"/>
  <c r="N151" i="41"/>
  <c r="N150" i="41"/>
  <c r="N158" i="41"/>
  <c r="N156" i="41"/>
  <c r="N149" i="41"/>
  <c r="N159" i="41"/>
  <c r="N153" i="41"/>
  <c r="N152" i="41"/>
  <c r="N155" i="40"/>
  <c r="N149" i="40"/>
  <c r="N160" i="40"/>
  <c r="N158" i="40"/>
  <c r="N156" i="40"/>
  <c r="N154" i="40"/>
  <c r="N152" i="40"/>
  <c r="N150" i="40"/>
  <c r="N159" i="40"/>
  <c r="N157" i="40"/>
  <c r="N153" i="40"/>
  <c r="N151" i="40"/>
  <c r="G180" i="42"/>
  <c r="G183" i="42"/>
  <c r="G179" i="42"/>
  <c r="G173" i="42"/>
  <c r="G177" i="42"/>
  <c r="G178" i="42"/>
  <c r="G182" i="42"/>
  <c r="G175" i="42"/>
  <c r="G181" i="42"/>
  <c r="G176" i="42"/>
  <c r="G184" i="42"/>
  <c r="G174" i="42"/>
  <c r="Q186" i="42"/>
  <c r="Q191" i="42"/>
  <c r="Q194" i="42"/>
  <c r="Q188" i="42"/>
  <c r="Q196" i="42"/>
  <c r="Q189" i="42"/>
  <c r="Q192" i="42"/>
  <c r="Q187" i="42"/>
  <c r="Q190" i="42"/>
  <c r="Q195" i="42"/>
  <c r="Q185" i="42"/>
  <c r="Q193" i="42"/>
  <c r="Q195" i="38"/>
  <c r="Q192" i="38"/>
  <c r="Q190" i="38"/>
  <c r="Q187" i="38"/>
  <c r="Q196" i="38"/>
  <c r="Q194" i="38"/>
  <c r="Q193" i="38"/>
  <c r="Q191" i="38"/>
  <c r="Q189" i="38"/>
  <c r="Q188" i="38"/>
  <c r="Q186" i="38"/>
  <c r="Q185" i="38"/>
  <c r="E213" i="42"/>
  <c r="E218" i="42"/>
  <c r="E212" i="42"/>
  <c r="E215" i="42"/>
  <c r="E209" i="42"/>
  <c r="E211" i="42"/>
  <c r="E210" i="42"/>
  <c r="E219" i="42"/>
  <c r="E220" i="42"/>
  <c r="E217" i="42"/>
  <c r="E216" i="42"/>
  <c r="E214" i="42"/>
  <c r="P225" i="42"/>
  <c r="P222" i="42"/>
  <c r="P224" i="42"/>
  <c r="P226" i="42"/>
  <c r="P232" i="42"/>
  <c r="P228" i="42"/>
  <c r="P221" i="42"/>
  <c r="P230" i="42"/>
  <c r="P227" i="42"/>
  <c r="P229" i="42"/>
  <c r="P231" i="42"/>
  <c r="P223" i="42"/>
  <c r="P231" i="41"/>
  <c r="P224" i="41"/>
  <c r="P230" i="41"/>
  <c r="P228" i="41"/>
  <c r="P221" i="41"/>
  <c r="P222" i="41"/>
  <c r="P231" i="38"/>
  <c r="P229" i="38"/>
  <c r="P227" i="38"/>
  <c r="P225" i="38"/>
  <c r="P223" i="38"/>
  <c r="P221" i="38"/>
  <c r="P232" i="38"/>
  <c r="P223" i="41"/>
  <c r="P225" i="41"/>
  <c r="P229" i="41"/>
  <c r="P232" i="41"/>
  <c r="P226" i="41"/>
  <c r="P228" i="38"/>
  <c r="P224" i="38"/>
  <c r="P232" i="40"/>
  <c r="P231" i="40"/>
  <c r="P230" i="40"/>
  <c r="P229" i="40"/>
  <c r="P228" i="40"/>
  <c r="P227" i="40"/>
  <c r="P226" i="40"/>
  <c r="P225" i="40"/>
  <c r="P224" i="40"/>
  <c r="P223" i="40"/>
  <c r="P222" i="40"/>
  <c r="P221" i="40"/>
  <c r="P227" i="41"/>
  <c r="P230" i="38"/>
  <c r="P226" i="38"/>
  <c r="P222" i="38"/>
  <c r="G81" i="40"/>
  <c r="G85" i="40"/>
  <c r="I8" i="42"/>
  <c r="I6" i="42"/>
  <c r="I11" i="42"/>
  <c r="I12" i="42"/>
  <c r="I9" i="42"/>
  <c r="I14" i="42"/>
  <c r="I5" i="42"/>
  <c r="I7" i="42"/>
  <c r="I16" i="42"/>
  <c r="I15" i="42"/>
  <c r="I10" i="42"/>
  <c r="I13" i="42"/>
  <c r="I16" i="41"/>
  <c r="I8" i="41"/>
  <c r="I6" i="41"/>
  <c r="I13" i="41"/>
  <c r="I12" i="41"/>
  <c r="I15" i="41"/>
  <c r="I10" i="41"/>
  <c r="I11" i="41"/>
  <c r="I5" i="41"/>
  <c r="I9" i="41"/>
  <c r="I7" i="41"/>
  <c r="I14" i="41"/>
  <c r="I8" i="40"/>
  <c r="I6" i="40"/>
  <c r="I16" i="40"/>
  <c r="I14" i="40"/>
  <c r="I12" i="40"/>
  <c r="I9" i="40"/>
  <c r="I7" i="40"/>
  <c r="I15" i="40"/>
  <c r="I13" i="40"/>
  <c r="I5" i="40"/>
  <c r="I10" i="40"/>
  <c r="I11" i="40"/>
  <c r="G42" i="42"/>
  <c r="G44" i="42"/>
  <c r="G45" i="42"/>
  <c r="G49" i="42"/>
  <c r="G51" i="42"/>
  <c r="G41" i="42"/>
  <c r="G43" i="42"/>
  <c r="G46" i="42"/>
  <c r="G48" i="42"/>
  <c r="G50" i="42"/>
  <c r="G52" i="42"/>
  <c r="G47" i="42"/>
  <c r="G48" i="41"/>
  <c r="G45" i="41"/>
  <c r="G42" i="41"/>
  <c r="G52" i="41"/>
  <c r="G51" i="41"/>
  <c r="G50" i="41"/>
  <c r="G46" i="41"/>
  <c r="G44" i="41"/>
  <c r="G47" i="41"/>
  <c r="G41" i="41"/>
  <c r="G43" i="41"/>
  <c r="G49" i="41"/>
  <c r="G52" i="40"/>
  <c r="G43" i="40"/>
  <c r="G44" i="40"/>
  <c r="G42" i="40"/>
  <c r="G50" i="40"/>
  <c r="G49" i="40"/>
  <c r="G45" i="40"/>
  <c r="G41" i="40"/>
  <c r="G48" i="40"/>
  <c r="G51" i="40"/>
  <c r="G47" i="40"/>
  <c r="G46" i="40"/>
  <c r="G68" i="42"/>
  <c r="G66" i="42"/>
  <c r="G67" i="42"/>
  <c r="G73" i="42"/>
  <c r="G75" i="42"/>
  <c r="G76" i="42"/>
  <c r="G69" i="42"/>
  <c r="G71" i="42"/>
  <c r="G65" i="42"/>
  <c r="G72" i="42"/>
  <c r="G74" i="42"/>
  <c r="G70" i="42"/>
  <c r="G69" i="41"/>
  <c r="G65" i="41"/>
  <c r="G72" i="41"/>
  <c r="G68" i="41"/>
  <c r="G66" i="41"/>
  <c r="G73" i="41"/>
  <c r="G71" i="41"/>
  <c r="G76" i="41"/>
  <c r="G70" i="41"/>
  <c r="G75" i="41"/>
  <c r="G74" i="41"/>
  <c r="G67" i="41"/>
  <c r="G73" i="40"/>
  <c r="G65" i="40"/>
  <c r="G72" i="40"/>
  <c r="G71" i="40"/>
  <c r="G76" i="40"/>
  <c r="G69" i="40"/>
  <c r="G67" i="40"/>
  <c r="G74" i="40"/>
  <c r="G66" i="40"/>
  <c r="G68" i="40"/>
  <c r="G70" i="40"/>
  <c r="G75" i="40"/>
  <c r="I78" i="42"/>
  <c r="I88" i="42"/>
  <c r="I79" i="42"/>
  <c r="I80" i="42"/>
  <c r="I81" i="42"/>
  <c r="I86" i="42"/>
  <c r="I83" i="42"/>
  <c r="I85" i="42"/>
  <c r="I82" i="42"/>
  <c r="I87" i="42"/>
  <c r="I84" i="42"/>
  <c r="I77" i="42"/>
  <c r="I77" i="41"/>
  <c r="I85" i="41"/>
  <c r="I80" i="41"/>
  <c r="I81" i="41"/>
  <c r="I84" i="41"/>
  <c r="I88" i="41"/>
  <c r="I87" i="41"/>
  <c r="I78" i="41"/>
  <c r="I82" i="41"/>
  <c r="I79" i="41"/>
  <c r="I86" i="41"/>
  <c r="I83" i="41"/>
  <c r="E101" i="42"/>
  <c r="E105" i="42"/>
  <c r="E106" i="42"/>
  <c r="E109" i="42"/>
  <c r="E103" i="42"/>
  <c r="E111" i="42"/>
  <c r="E107" i="42"/>
  <c r="E104" i="42"/>
  <c r="E112" i="42"/>
  <c r="E110" i="42"/>
  <c r="E102" i="42"/>
  <c r="E108" i="42"/>
  <c r="E105" i="41"/>
  <c r="E104" i="41"/>
  <c r="E101" i="41"/>
  <c r="E107" i="41"/>
  <c r="E103" i="41"/>
  <c r="E109" i="41"/>
  <c r="E110" i="41"/>
  <c r="E106" i="41"/>
  <c r="E108" i="41"/>
  <c r="E111" i="41"/>
  <c r="E112" i="41"/>
  <c r="E102" i="41"/>
  <c r="Q134" i="42"/>
  <c r="Q126" i="42"/>
  <c r="Q129" i="42"/>
  <c r="Q135" i="42"/>
  <c r="Q133" i="42"/>
  <c r="Q127" i="42"/>
  <c r="Q131" i="42"/>
  <c r="Q136" i="42"/>
  <c r="Q125" i="42"/>
  <c r="Q130" i="42"/>
  <c r="Q132" i="42"/>
  <c r="Q128" i="42"/>
  <c r="Q135" i="38"/>
  <c r="Q132" i="38"/>
  <c r="Q129" i="38"/>
  <c r="Q127" i="38"/>
  <c r="Q136" i="38"/>
  <c r="Q134" i="38"/>
  <c r="Q133" i="38"/>
  <c r="Q131" i="38"/>
  <c r="Q130" i="38"/>
  <c r="Q128" i="38"/>
  <c r="Q126" i="38"/>
  <c r="Q125" i="38"/>
  <c r="Q136" i="40"/>
  <c r="Q133" i="40"/>
  <c r="Q134" i="40"/>
  <c r="Q131" i="40"/>
  <c r="Q127" i="40"/>
  <c r="E156" i="42"/>
  <c r="E159" i="42"/>
  <c r="E150" i="42"/>
  <c r="E157" i="42"/>
  <c r="E154" i="42"/>
  <c r="E160" i="42"/>
  <c r="E158" i="42"/>
  <c r="E155" i="42"/>
  <c r="E151" i="42"/>
  <c r="E149" i="42"/>
  <c r="E152" i="42"/>
  <c r="E153" i="42"/>
  <c r="G167" i="42"/>
  <c r="G170" i="42"/>
  <c r="G166" i="42"/>
  <c r="G161" i="42"/>
  <c r="G169" i="42"/>
  <c r="G162" i="42"/>
  <c r="G172" i="42"/>
  <c r="G168" i="42"/>
  <c r="G163" i="42"/>
  <c r="G164" i="42"/>
  <c r="G165" i="42"/>
  <c r="G171" i="42"/>
  <c r="Q181" i="42"/>
  <c r="Q178" i="42"/>
  <c r="Q174" i="42"/>
  <c r="Q177" i="42"/>
  <c r="Q183" i="42"/>
  <c r="Q173" i="42"/>
  <c r="Q176" i="42"/>
  <c r="Q175" i="42"/>
  <c r="Q179" i="42"/>
  <c r="Q184" i="42"/>
  <c r="Q180" i="42"/>
  <c r="Q182" i="42"/>
  <c r="Q184" i="38"/>
  <c r="Q181" i="38"/>
  <c r="Q178" i="38"/>
  <c r="Q175" i="38"/>
  <c r="Q173" i="38"/>
  <c r="Q183" i="38"/>
  <c r="Q182" i="38"/>
  <c r="Q180" i="38"/>
  <c r="Q179" i="38"/>
  <c r="Q177" i="38"/>
  <c r="Q176" i="38"/>
  <c r="Q174" i="38"/>
  <c r="G56" i="8"/>
  <c r="O206" i="42"/>
  <c r="O202" i="42"/>
  <c r="O198" i="42"/>
  <c r="O208" i="42"/>
  <c r="O204" i="42"/>
  <c r="O200" i="42"/>
  <c r="O205" i="42"/>
  <c r="O197" i="42"/>
  <c r="O201" i="42"/>
  <c r="O203" i="42"/>
  <c r="O199" i="42"/>
  <c r="O207" i="42"/>
  <c r="O199" i="41"/>
  <c r="O204" i="41"/>
  <c r="O206" i="41"/>
  <c r="O200" i="41"/>
  <c r="O197" i="41"/>
  <c r="O202" i="41"/>
  <c r="O201" i="41"/>
  <c r="O208" i="41"/>
  <c r="O203" i="41"/>
  <c r="O205" i="41"/>
  <c r="O198" i="41"/>
  <c r="O207" i="41"/>
  <c r="O208" i="40"/>
  <c r="O206" i="40"/>
  <c r="O204" i="40"/>
  <c r="O202" i="40"/>
  <c r="O200" i="40"/>
  <c r="O198" i="40"/>
  <c r="O205" i="40"/>
  <c r="O201" i="40"/>
  <c r="O207" i="40"/>
  <c r="O203" i="40"/>
  <c r="O199" i="40"/>
  <c r="O197" i="40"/>
  <c r="P218" i="42"/>
  <c r="P220" i="42"/>
  <c r="P216" i="42"/>
  <c r="P219" i="42"/>
  <c r="P215" i="42"/>
  <c r="P217" i="42"/>
  <c r="P209" i="42"/>
  <c r="P213" i="42"/>
  <c r="P214" i="42"/>
  <c r="P212" i="42"/>
  <c r="P211" i="42"/>
  <c r="P210" i="42"/>
  <c r="P211" i="41"/>
  <c r="P216" i="41"/>
  <c r="P217" i="41"/>
  <c r="P219" i="41"/>
  <c r="P215" i="41"/>
  <c r="P220" i="41"/>
  <c r="P209" i="41"/>
  <c r="P210" i="41"/>
  <c r="P212" i="41"/>
  <c r="P218" i="41"/>
  <c r="P213" i="41"/>
  <c r="P214" i="41"/>
  <c r="P217" i="38"/>
  <c r="P214" i="38"/>
  <c r="P211" i="38"/>
  <c r="P209" i="38"/>
  <c r="P220" i="38"/>
  <c r="P219" i="38"/>
  <c r="P218" i="38"/>
  <c r="P216" i="38"/>
  <c r="P215" i="38"/>
  <c r="P213" i="38"/>
  <c r="P212" i="38"/>
  <c r="P210" i="38"/>
  <c r="N242" i="42"/>
  <c r="N238" i="42"/>
  <c r="N234" i="42"/>
  <c r="N244" i="42"/>
  <c r="N240" i="42"/>
  <c r="N236" i="42"/>
  <c r="N237" i="42"/>
  <c r="N241" i="42"/>
  <c r="N233" i="42"/>
  <c r="N235" i="42"/>
  <c r="N243" i="42"/>
  <c r="N239" i="42"/>
  <c r="N238" i="41"/>
  <c r="N237" i="41"/>
  <c r="N241" i="41"/>
  <c r="N235" i="41"/>
  <c r="N243" i="41"/>
  <c r="N239" i="41"/>
  <c r="N233" i="41"/>
  <c r="N240" i="41"/>
  <c r="N244" i="41"/>
  <c r="N244" i="40"/>
  <c r="N243" i="40"/>
  <c r="N242" i="40"/>
  <c r="N241" i="40"/>
  <c r="N240" i="40"/>
  <c r="N239" i="40"/>
  <c r="N238" i="40"/>
  <c r="N237" i="40"/>
  <c r="N236" i="40"/>
  <c r="N235" i="40"/>
  <c r="N234" i="40"/>
  <c r="N233" i="40"/>
  <c r="N242" i="41"/>
  <c r="N236" i="41"/>
  <c r="N234" i="41"/>
  <c r="N241" i="38"/>
  <c r="N242" i="38"/>
  <c r="N237" i="38"/>
  <c r="N239" i="38"/>
  <c r="N244" i="38"/>
  <c r="N238" i="38"/>
  <c r="G268" i="42"/>
  <c r="G263" i="42"/>
  <c r="G267" i="42"/>
  <c r="G259" i="42"/>
  <c r="G258" i="42"/>
  <c r="G260" i="42"/>
  <c r="G257" i="42"/>
  <c r="G266" i="42"/>
  <c r="G261" i="42"/>
  <c r="G262" i="42"/>
  <c r="G265" i="42"/>
  <c r="G264" i="42"/>
  <c r="I87" i="40"/>
  <c r="G87" i="40"/>
  <c r="I79" i="40"/>
  <c r="O266" i="42"/>
  <c r="O262" i="42"/>
  <c r="O258" i="42"/>
  <c r="O268" i="42"/>
  <c r="O264" i="42"/>
  <c r="O260" i="42"/>
  <c r="O261" i="42"/>
  <c r="O265" i="42"/>
  <c r="O257" i="42"/>
  <c r="O267" i="42"/>
  <c r="O263" i="42"/>
  <c r="O259" i="42"/>
  <c r="O257" i="41"/>
  <c r="O266" i="41"/>
  <c r="O265" i="41"/>
  <c r="O262" i="41"/>
  <c r="O258" i="41"/>
  <c r="O259" i="41"/>
  <c r="O261" i="41"/>
  <c r="O268" i="41"/>
  <c r="O260" i="41"/>
  <c r="O263" i="41"/>
  <c r="O268" i="40"/>
  <c r="O267" i="40"/>
  <c r="O266" i="40"/>
  <c r="O265" i="40"/>
  <c r="O264" i="40"/>
  <c r="O263" i="40"/>
  <c r="O262" i="40"/>
  <c r="O261" i="40"/>
  <c r="O260" i="40"/>
  <c r="O259" i="40"/>
  <c r="O258" i="40"/>
  <c r="O257" i="40"/>
  <c r="O267" i="41"/>
  <c r="O264" i="41"/>
  <c r="G19" i="42"/>
  <c r="G21" i="42"/>
  <c r="G23" i="42"/>
  <c r="G17" i="42"/>
  <c r="G25" i="42"/>
  <c r="G27" i="42"/>
  <c r="G18" i="42"/>
  <c r="G22" i="42"/>
  <c r="G26" i="42"/>
  <c r="G20" i="42"/>
  <c r="G28" i="42"/>
  <c r="G24" i="42"/>
  <c r="G22" i="41"/>
  <c r="G28" i="41"/>
  <c r="G27" i="41"/>
  <c r="G24" i="41"/>
  <c r="G19" i="41"/>
  <c r="G26" i="41"/>
  <c r="G18" i="41"/>
  <c r="G23" i="41"/>
  <c r="G20" i="41"/>
  <c r="G21" i="41"/>
  <c r="G25" i="41"/>
  <c r="G17" i="41"/>
  <c r="G18" i="40"/>
  <c r="G20" i="40"/>
  <c r="G25" i="40"/>
  <c r="G17" i="40"/>
  <c r="G23" i="40"/>
  <c r="G24" i="40"/>
  <c r="G27" i="40"/>
  <c r="G19" i="40"/>
  <c r="G26" i="40"/>
  <c r="G21" i="40"/>
  <c r="G22" i="40"/>
  <c r="G28" i="40"/>
  <c r="G30" i="42"/>
  <c r="G40" i="42"/>
  <c r="G38" i="42"/>
  <c r="G29" i="42"/>
  <c r="G33" i="42"/>
  <c r="G32" i="42"/>
  <c r="G35" i="42"/>
  <c r="G36" i="42"/>
  <c r="G39" i="42"/>
  <c r="G34" i="42"/>
  <c r="G37" i="42"/>
  <c r="G31" i="42"/>
  <c r="G37" i="41"/>
  <c r="G29" i="41"/>
  <c r="G35" i="41"/>
  <c r="G40" i="41"/>
  <c r="G32" i="41"/>
  <c r="G38" i="41"/>
  <c r="G39" i="41"/>
  <c r="G31" i="41"/>
  <c r="G33" i="41"/>
  <c r="G36" i="41"/>
  <c r="G34" i="41"/>
  <c r="G30" i="41"/>
  <c r="G30" i="40"/>
  <c r="G39" i="40"/>
  <c r="G40" i="40"/>
  <c r="G36" i="40"/>
  <c r="G35" i="40"/>
  <c r="G33" i="40"/>
  <c r="G32" i="40"/>
  <c r="G38" i="40"/>
  <c r="G31" i="40"/>
  <c r="G34" i="40"/>
  <c r="G37" i="40"/>
  <c r="G29" i="40"/>
  <c r="Q37" i="42"/>
  <c r="Q30" i="42"/>
  <c r="Q34" i="42"/>
  <c r="Q31" i="42"/>
  <c r="Q35" i="42"/>
  <c r="Q36" i="42"/>
  <c r="Q29" i="42"/>
  <c r="Q33" i="42"/>
  <c r="Q40" i="42"/>
  <c r="Q39" i="42"/>
  <c r="Q32" i="42"/>
  <c r="Q38" i="42"/>
  <c r="Q32" i="40"/>
  <c r="Q29" i="40"/>
  <c r="Q38" i="40"/>
  <c r="Q37" i="40"/>
  <c r="Q36" i="40"/>
  <c r="Q33" i="40"/>
  <c r="Q31" i="40"/>
  <c r="Q40" i="40"/>
  <c r="Q30" i="40"/>
  <c r="Q34" i="40"/>
  <c r="Q35" i="40"/>
  <c r="Q39" i="40"/>
  <c r="Q38" i="38"/>
  <c r="Q35" i="38"/>
  <c r="Q33" i="38"/>
  <c r="Q30" i="38"/>
  <c r="Q40" i="38"/>
  <c r="Q39" i="38"/>
  <c r="Q37" i="38"/>
  <c r="Q36" i="38"/>
  <c r="Q34" i="38"/>
  <c r="Q32" i="38"/>
  <c r="Q31" i="38"/>
  <c r="Q29" i="38"/>
  <c r="N50" i="42"/>
  <c r="N46" i="42"/>
  <c r="N42" i="42"/>
  <c r="N52" i="42"/>
  <c r="N48" i="42"/>
  <c r="N44" i="42"/>
  <c r="N45" i="42"/>
  <c r="N49" i="42"/>
  <c r="N41" i="42"/>
  <c r="N43" i="42"/>
  <c r="N51" i="42"/>
  <c r="N47" i="42"/>
  <c r="N45" i="41"/>
  <c r="N46" i="41"/>
  <c r="N42" i="41"/>
  <c r="N47" i="41"/>
  <c r="N44" i="41"/>
  <c r="N52" i="41"/>
  <c r="N41" i="41"/>
  <c r="N49" i="41"/>
  <c r="N50" i="41"/>
  <c r="N43" i="41"/>
  <c r="N51" i="41"/>
  <c r="N48" i="41"/>
  <c r="N51" i="40"/>
  <c r="N47" i="40"/>
  <c r="N41" i="40"/>
  <c r="N52" i="40"/>
  <c r="N50" i="40"/>
  <c r="N48" i="40"/>
  <c r="N46" i="40"/>
  <c r="N44" i="40"/>
  <c r="N42" i="40"/>
  <c r="N49" i="40"/>
  <c r="N45" i="40"/>
  <c r="N43" i="40"/>
  <c r="G53" i="42"/>
  <c r="G54" i="42"/>
  <c r="G64" i="42"/>
  <c r="G62" i="42"/>
  <c r="G63" i="42"/>
  <c r="G59" i="42"/>
  <c r="G57" i="42"/>
  <c r="G56" i="42"/>
  <c r="G60" i="42"/>
  <c r="G61" i="42"/>
  <c r="G58" i="42"/>
  <c r="G55" i="42"/>
  <c r="G53" i="41"/>
  <c r="G57" i="41"/>
  <c r="G54" i="41"/>
  <c r="G63" i="41"/>
  <c r="G55" i="41"/>
  <c r="G64" i="41"/>
  <c r="G60" i="41"/>
  <c r="G62" i="41"/>
  <c r="G59" i="41"/>
  <c r="G56" i="41"/>
  <c r="G61" i="41"/>
  <c r="G58" i="41"/>
  <c r="G54" i="40"/>
  <c r="G60" i="40"/>
  <c r="G62" i="40"/>
  <c r="G61" i="40"/>
  <c r="G59" i="40"/>
  <c r="G56" i="40"/>
  <c r="G63" i="40"/>
  <c r="G58" i="40"/>
  <c r="G64" i="40"/>
  <c r="G57" i="40"/>
  <c r="G55" i="40"/>
  <c r="G53" i="40"/>
  <c r="Q54" i="42"/>
  <c r="Q58" i="42"/>
  <c r="Q53" i="42"/>
  <c r="Q55" i="42"/>
  <c r="Q59" i="42"/>
  <c r="Q62" i="42"/>
  <c r="Q64" i="42"/>
  <c r="Q56" i="42"/>
  <c r="Q57" i="42"/>
  <c r="Q63" i="42"/>
  <c r="Q60" i="42"/>
  <c r="Q61" i="42"/>
  <c r="Q59" i="40"/>
  <c r="Q55" i="40"/>
  <c r="Q62" i="40"/>
  <c r="Q60" i="40"/>
  <c r="Q53" i="40"/>
  <c r="Q61" i="40"/>
  <c r="Q64" i="40"/>
  <c r="Q63" i="38"/>
  <c r="Q61" i="38"/>
  <c r="Q59" i="38"/>
  <c r="Q56" i="38"/>
  <c r="Q53" i="38"/>
  <c r="Q58" i="40"/>
  <c r="Q64" i="38"/>
  <c r="Q62" i="38"/>
  <c r="Q60" i="38"/>
  <c r="Q58" i="38"/>
  <c r="Q57" i="38"/>
  <c r="Q55" i="38"/>
  <c r="Q54" i="38"/>
  <c r="Q56" i="40"/>
  <c r="Q54" i="40"/>
  <c r="Q63" i="40"/>
  <c r="Q57" i="40"/>
  <c r="N74" i="42"/>
  <c r="N70" i="42"/>
  <c r="N66" i="42"/>
  <c r="N76" i="42"/>
  <c r="N72" i="42"/>
  <c r="N68" i="42"/>
  <c r="N69" i="42"/>
  <c r="N73" i="42"/>
  <c r="N65" i="42"/>
  <c r="N75" i="42"/>
  <c r="N71" i="42"/>
  <c r="N67" i="42"/>
  <c r="N75" i="41"/>
  <c r="N76" i="41"/>
  <c r="N66" i="41"/>
  <c r="N67" i="41"/>
  <c r="N69" i="41"/>
  <c r="N71" i="41"/>
  <c r="N73" i="41"/>
  <c r="N72" i="41"/>
  <c r="N65" i="41"/>
  <c r="N74" i="41"/>
  <c r="N70" i="41"/>
  <c r="N68" i="41"/>
  <c r="N71" i="40"/>
  <c r="N65" i="40"/>
  <c r="N76" i="40"/>
  <c r="N74" i="40"/>
  <c r="N72" i="40"/>
  <c r="N70" i="40"/>
  <c r="N68" i="40"/>
  <c r="N66" i="40"/>
  <c r="N75" i="40"/>
  <c r="N73" i="40"/>
  <c r="N69" i="40"/>
  <c r="N67" i="40"/>
  <c r="E78" i="42"/>
  <c r="E88" i="42"/>
  <c r="E87" i="42"/>
  <c r="E81" i="42"/>
  <c r="E86" i="42"/>
  <c r="E82" i="42"/>
  <c r="E83" i="42"/>
  <c r="E84" i="42"/>
  <c r="E79" i="42"/>
  <c r="E77" i="42"/>
  <c r="E85" i="42"/>
  <c r="E80" i="42"/>
  <c r="E77" i="41"/>
  <c r="E88" i="41"/>
  <c r="E87" i="41"/>
  <c r="E78" i="41"/>
  <c r="E85" i="41"/>
  <c r="E82" i="41"/>
  <c r="E79" i="41"/>
  <c r="E84" i="41"/>
  <c r="E86" i="41"/>
  <c r="E83" i="41"/>
  <c r="E80" i="41"/>
  <c r="E81" i="41"/>
  <c r="G46" i="8"/>
  <c r="O86" i="42"/>
  <c r="O82" i="42"/>
  <c r="O78" i="42"/>
  <c r="O88" i="42"/>
  <c r="O84" i="42"/>
  <c r="O80" i="42"/>
  <c r="O85" i="42"/>
  <c r="O77" i="42"/>
  <c r="O81" i="42"/>
  <c r="O87" i="42"/>
  <c r="O83" i="42"/>
  <c r="O79" i="42"/>
  <c r="O80" i="41"/>
  <c r="O84" i="41"/>
  <c r="O78" i="41"/>
  <c r="O79" i="41"/>
  <c r="O83" i="41"/>
  <c r="O87" i="41"/>
  <c r="O85" i="41"/>
  <c r="O82" i="41"/>
  <c r="O77" i="41"/>
  <c r="O81" i="41"/>
  <c r="O88" i="41"/>
  <c r="O86" i="41"/>
  <c r="O88" i="40"/>
  <c r="O86" i="40"/>
  <c r="O84" i="40"/>
  <c r="O82" i="40"/>
  <c r="O80" i="40"/>
  <c r="O78" i="40"/>
  <c r="O85" i="40"/>
  <c r="O81" i="40"/>
  <c r="O87" i="40"/>
  <c r="O83" i="40"/>
  <c r="O79" i="40"/>
  <c r="O77" i="40"/>
  <c r="G90" i="42"/>
  <c r="G91" i="42"/>
  <c r="G93" i="42"/>
  <c r="G92" i="42"/>
  <c r="G96" i="42"/>
  <c r="G97" i="42"/>
  <c r="G89" i="42"/>
  <c r="G94" i="42"/>
  <c r="G95" i="42"/>
  <c r="G99" i="42"/>
  <c r="G98" i="42"/>
  <c r="G100" i="42"/>
  <c r="G89" i="41"/>
  <c r="G94" i="41"/>
  <c r="G96" i="41"/>
  <c r="G99" i="41"/>
  <c r="G91" i="41"/>
  <c r="G97" i="41"/>
  <c r="G98" i="41"/>
  <c r="G92" i="41"/>
  <c r="G90" i="41"/>
  <c r="G100" i="41"/>
  <c r="G95" i="41"/>
  <c r="G93" i="41"/>
  <c r="P89" i="42"/>
  <c r="P91" i="42"/>
  <c r="P93" i="42"/>
  <c r="P95" i="42"/>
  <c r="P97" i="42"/>
  <c r="P99" i="42"/>
  <c r="P90" i="42"/>
  <c r="P94" i="42"/>
  <c r="P98" i="42"/>
  <c r="P92" i="42"/>
  <c r="P96" i="42"/>
  <c r="P100" i="42"/>
  <c r="P97" i="41"/>
  <c r="P100" i="41"/>
  <c r="P91" i="41"/>
  <c r="P94" i="41"/>
  <c r="P98" i="41"/>
  <c r="P92" i="41"/>
  <c r="P93" i="41"/>
  <c r="P90" i="41"/>
  <c r="P96" i="41"/>
  <c r="P95" i="41"/>
  <c r="P99" i="41"/>
  <c r="P89" i="41"/>
  <c r="P100" i="38"/>
  <c r="P97" i="38"/>
  <c r="P95" i="38"/>
  <c r="P92" i="38"/>
  <c r="P89" i="38"/>
  <c r="P99" i="38"/>
  <c r="P98" i="38"/>
  <c r="P96" i="38"/>
  <c r="P94" i="38"/>
  <c r="P93" i="38"/>
  <c r="P91" i="38"/>
  <c r="P90" i="38"/>
  <c r="P100" i="40"/>
  <c r="P98" i="40"/>
  <c r="P97" i="40"/>
  <c r="P91" i="40"/>
  <c r="P95" i="40"/>
  <c r="P89" i="40"/>
  <c r="P96" i="40"/>
  <c r="P94" i="40"/>
  <c r="P99" i="40"/>
  <c r="P90" i="40"/>
  <c r="P93" i="40"/>
  <c r="P92" i="40"/>
  <c r="I101" i="42"/>
  <c r="I110" i="42"/>
  <c r="I102" i="42"/>
  <c r="I112" i="42"/>
  <c r="I105" i="42"/>
  <c r="I108" i="42"/>
  <c r="I109" i="42"/>
  <c r="I103" i="42"/>
  <c r="I107" i="42"/>
  <c r="I106" i="42"/>
  <c r="I104" i="42"/>
  <c r="I111" i="42"/>
  <c r="I105" i="41"/>
  <c r="I106" i="41"/>
  <c r="I108" i="41"/>
  <c r="I102" i="41"/>
  <c r="I104" i="41"/>
  <c r="I110" i="41"/>
  <c r="I112" i="41"/>
  <c r="I111" i="41"/>
  <c r="I101" i="41"/>
  <c r="I107" i="41"/>
  <c r="I103" i="41"/>
  <c r="I109" i="41"/>
  <c r="Q109" i="42"/>
  <c r="Q107" i="42"/>
  <c r="Q111" i="42"/>
  <c r="Q101" i="42"/>
  <c r="Q103" i="42"/>
  <c r="Q105" i="42"/>
  <c r="Q102" i="42"/>
  <c r="Q110" i="42"/>
  <c r="Q104" i="42"/>
  <c r="Q108" i="42"/>
  <c r="Q112" i="42"/>
  <c r="Q106" i="42"/>
  <c r="Q112" i="38"/>
  <c r="Q109" i="38"/>
  <c r="Q106" i="38"/>
  <c r="Q103" i="38"/>
  <c r="Q111" i="38"/>
  <c r="Q110" i="38"/>
  <c r="Q108" i="38"/>
  <c r="Q107" i="38"/>
  <c r="Q105" i="38"/>
  <c r="Q104" i="38"/>
  <c r="Q102" i="38"/>
  <c r="Q101" i="38"/>
  <c r="Q110" i="40"/>
  <c r="Q109" i="40"/>
  <c r="Q112" i="40"/>
  <c r="Q107" i="40"/>
  <c r="Q103" i="40"/>
  <c r="Q101" i="40"/>
  <c r="Q106" i="40"/>
  <c r="Q108" i="40"/>
  <c r="N122" i="42"/>
  <c r="N118" i="42"/>
  <c r="N114" i="42"/>
  <c r="N124" i="42"/>
  <c r="N120" i="42"/>
  <c r="N116" i="42"/>
  <c r="N117" i="42"/>
  <c r="N121" i="42"/>
  <c r="N113" i="42"/>
  <c r="N123" i="42"/>
  <c r="N119" i="42"/>
  <c r="N115" i="42"/>
  <c r="N120" i="41"/>
  <c r="N115" i="41"/>
  <c r="N123" i="41"/>
  <c r="N116" i="41"/>
  <c r="N124" i="41"/>
  <c r="N118" i="41"/>
  <c r="N117" i="41"/>
  <c r="N119" i="41"/>
  <c r="N113" i="41"/>
  <c r="N122" i="41"/>
  <c r="N121" i="41"/>
  <c r="N114" i="41"/>
  <c r="N123" i="40"/>
  <c r="N117" i="40"/>
  <c r="N124" i="40"/>
  <c r="N122" i="40"/>
  <c r="N120" i="40"/>
  <c r="N118" i="40"/>
  <c r="N116" i="40"/>
  <c r="N114" i="40"/>
  <c r="N121" i="40"/>
  <c r="N119" i="40"/>
  <c r="N115" i="40"/>
  <c r="N113" i="40"/>
  <c r="E135" i="42"/>
  <c r="E132" i="42"/>
  <c r="E128" i="42"/>
  <c r="E125" i="42"/>
  <c r="E129" i="42"/>
  <c r="E130" i="42"/>
  <c r="E134" i="42"/>
  <c r="E131" i="42"/>
  <c r="E126" i="42"/>
  <c r="E136" i="42"/>
  <c r="E127" i="42"/>
  <c r="E133" i="42"/>
  <c r="G50" i="8"/>
  <c r="O134" i="42"/>
  <c r="O130" i="42"/>
  <c r="O126" i="42"/>
  <c r="O136" i="42"/>
  <c r="O132" i="42"/>
  <c r="O128" i="42"/>
  <c r="O133" i="42"/>
  <c r="O125" i="42"/>
  <c r="O129" i="42"/>
  <c r="O135" i="42"/>
  <c r="O131" i="42"/>
  <c r="O127" i="42"/>
  <c r="O136" i="41"/>
  <c r="O134" i="41"/>
  <c r="O132" i="41"/>
  <c r="O130" i="41"/>
  <c r="O128" i="41"/>
  <c r="O126" i="41"/>
  <c r="O135" i="41"/>
  <c r="O133" i="41"/>
  <c r="O131" i="41"/>
  <c r="O129" i="41"/>
  <c r="O127" i="41"/>
  <c r="O125" i="41"/>
  <c r="O136" i="40"/>
  <c r="O134" i="40"/>
  <c r="O132" i="40"/>
  <c r="O130" i="40"/>
  <c r="O128" i="40"/>
  <c r="O126" i="40"/>
  <c r="O135" i="40"/>
  <c r="O129" i="40"/>
  <c r="O125" i="40"/>
  <c r="O133" i="40"/>
  <c r="O131" i="40"/>
  <c r="O127" i="40"/>
  <c r="G142" i="42"/>
  <c r="G147" i="42"/>
  <c r="G146" i="42"/>
  <c r="G141" i="42"/>
  <c r="G138" i="42"/>
  <c r="G140" i="42"/>
  <c r="G139" i="42"/>
  <c r="G148" i="42"/>
  <c r="G144" i="42"/>
  <c r="G145" i="42"/>
  <c r="G137" i="42"/>
  <c r="G143" i="42"/>
  <c r="P148" i="42"/>
  <c r="P147" i="42"/>
  <c r="P146" i="42"/>
  <c r="P145" i="42"/>
  <c r="P144" i="42"/>
  <c r="P143" i="42"/>
  <c r="P142" i="42"/>
  <c r="P141" i="42"/>
  <c r="P140" i="42"/>
  <c r="P139" i="42"/>
  <c r="P138" i="42"/>
  <c r="P137" i="42"/>
  <c r="P144" i="41"/>
  <c r="P140" i="41"/>
  <c r="P145" i="41"/>
  <c r="P141" i="41"/>
  <c r="P137" i="41"/>
  <c r="P148" i="41"/>
  <c r="P147" i="41"/>
  <c r="P143" i="41"/>
  <c r="P139" i="41"/>
  <c r="P146" i="41"/>
  <c r="P142" i="41"/>
  <c r="P138" i="41"/>
  <c r="P147" i="38"/>
  <c r="P144" i="38"/>
  <c r="P141" i="38"/>
  <c r="P139" i="38"/>
  <c r="P148" i="38"/>
  <c r="P146" i="38"/>
  <c r="P145" i="38"/>
  <c r="P143" i="38"/>
  <c r="P142" i="38"/>
  <c r="P140" i="38"/>
  <c r="P138" i="38"/>
  <c r="P137" i="38"/>
  <c r="P148" i="40"/>
  <c r="P145" i="40"/>
  <c r="P146" i="40"/>
  <c r="I155" i="42"/>
  <c r="I153" i="42"/>
  <c r="I151" i="42"/>
  <c r="I149" i="42"/>
  <c r="I159" i="42"/>
  <c r="I150" i="42"/>
  <c r="I157" i="42"/>
  <c r="I154" i="42"/>
  <c r="I152" i="42"/>
  <c r="I160" i="42"/>
  <c r="I158" i="42"/>
  <c r="I156" i="42"/>
  <c r="Q160" i="42"/>
  <c r="Q152" i="42"/>
  <c r="Q156" i="42"/>
  <c r="Q153" i="42"/>
  <c r="Q158" i="42"/>
  <c r="Q157" i="42"/>
  <c r="Q149" i="42"/>
  <c r="Q154" i="42"/>
  <c r="Q159" i="42"/>
  <c r="Q150" i="42"/>
  <c r="Q155" i="42"/>
  <c r="Q151" i="42"/>
  <c r="Q159" i="38"/>
  <c r="Q155" i="38"/>
  <c r="Q153" i="38"/>
  <c r="Q151" i="38"/>
  <c r="Q160" i="38"/>
  <c r="Q158" i="38"/>
  <c r="Q157" i="38"/>
  <c r="Q156" i="38"/>
  <c r="Q154" i="38"/>
  <c r="Q152" i="38"/>
  <c r="Q150" i="38"/>
  <c r="Q149" i="38"/>
  <c r="N170" i="42"/>
  <c r="N166" i="42"/>
  <c r="N162" i="42"/>
  <c r="N172" i="42"/>
  <c r="N168" i="42"/>
  <c r="N164" i="42"/>
  <c r="N165" i="42"/>
  <c r="N169" i="42"/>
  <c r="N161" i="42"/>
  <c r="N171" i="42"/>
  <c r="N167" i="42"/>
  <c r="N163" i="42"/>
  <c r="N172" i="41"/>
  <c r="N171" i="41"/>
  <c r="N170" i="41"/>
  <c r="N169" i="41"/>
  <c r="N168" i="41"/>
  <c r="N167" i="41"/>
  <c r="N166" i="41"/>
  <c r="N165" i="41"/>
  <c r="N164" i="41"/>
  <c r="N163" i="41"/>
  <c r="N162" i="41"/>
  <c r="N161" i="41"/>
  <c r="N171" i="40"/>
  <c r="N161" i="40"/>
  <c r="N172" i="40"/>
  <c r="N170" i="40"/>
  <c r="N168" i="40"/>
  <c r="N166" i="40"/>
  <c r="N164" i="40"/>
  <c r="N162" i="40"/>
  <c r="N169" i="40"/>
  <c r="N167" i="40"/>
  <c r="N165" i="40"/>
  <c r="N163" i="40"/>
  <c r="E173" i="42"/>
  <c r="E176" i="42"/>
  <c r="E177" i="42"/>
  <c r="E184" i="42"/>
  <c r="E174" i="42"/>
  <c r="E179" i="42"/>
  <c r="E183" i="42"/>
  <c r="E182" i="42"/>
  <c r="E175" i="42"/>
  <c r="E181" i="42"/>
  <c r="E178" i="42"/>
  <c r="E180" i="42"/>
  <c r="G54" i="8"/>
  <c r="O182" i="42"/>
  <c r="O178" i="42"/>
  <c r="O174" i="42"/>
  <c r="O184" i="42"/>
  <c r="O180" i="42"/>
  <c r="O176" i="42"/>
  <c r="O181" i="42"/>
  <c r="O173" i="42"/>
  <c r="O177" i="42"/>
  <c r="O183" i="42"/>
  <c r="O179" i="42"/>
  <c r="O175" i="42"/>
  <c r="O184" i="41"/>
  <c r="O183" i="41"/>
  <c r="O182" i="41"/>
  <c r="O181" i="41"/>
  <c r="O180" i="41"/>
  <c r="O179" i="41"/>
  <c r="O178" i="41"/>
  <c r="O177" i="41"/>
  <c r="O176" i="41"/>
  <c r="O175" i="41"/>
  <c r="O173" i="41"/>
  <c r="O174" i="41"/>
  <c r="O184" i="40"/>
  <c r="O182" i="40"/>
  <c r="O180" i="40"/>
  <c r="O178" i="40"/>
  <c r="O176" i="40"/>
  <c r="O174" i="40"/>
  <c r="O181" i="40"/>
  <c r="O177" i="40"/>
  <c r="O173" i="40"/>
  <c r="O183" i="40"/>
  <c r="O179" i="40"/>
  <c r="O175" i="40"/>
  <c r="G192" i="42"/>
  <c r="G189" i="42"/>
  <c r="G193" i="42"/>
  <c r="G187" i="42"/>
  <c r="G188" i="42"/>
  <c r="G186" i="42"/>
  <c r="G190" i="42"/>
  <c r="G196" i="42"/>
  <c r="G195" i="42"/>
  <c r="G194" i="42"/>
  <c r="G191" i="42"/>
  <c r="G185" i="42"/>
  <c r="P193" i="42"/>
  <c r="P189" i="42"/>
  <c r="P185" i="42"/>
  <c r="P195" i="42"/>
  <c r="P191" i="42"/>
  <c r="P187" i="42"/>
  <c r="P192" i="42"/>
  <c r="P194" i="42"/>
  <c r="P186" i="42"/>
  <c r="P196" i="42"/>
  <c r="P190" i="42"/>
  <c r="P188" i="42"/>
  <c r="P189" i="41"/>
  <c r="P187" i="41"/>
  <c r="P185" i="41"/>
  <c r="P188" i="41"/>
  <c r="P186" i="41"/>
  <c r="P193" i="41"/>
  <c r="P196" i="41"/>
  <c r="P192" i="41"/>
  <c r="P191" i="41"/>
  <c r="P190" i="41"/>
  <c r="P195" i="41"/>
  <c r="P194" i="41"/>
  <c r="P196" i="38"/>
  <c r="P195" i="38"/>
  <c r="P194" i="38"/>
  <c r="P192" i="38"/>
  <c r="P190" i="38"/>
  <c r="P188" i="38"/>
  <c r="P193" i="38"/>
  <c r="P191" i="38"/>
  <c r="P189" i="38"/>
  <c r="P187" i="38"/>
  <c r="P186" i="38"/>
  <c r="P185" i="38"/>
  <c r="I203" i="42"/>
  <c r="I204" i="42"/>
  <c r="I198" i="42"/>
  <c r="I205" i="42"/>
  <c r="I208" i="42"/>
  <c r="I199" i="42"/>
  <c r="I197" i="42"/>
  <c r="I200" i="42"/>
  <c r="I201" i="42"/>
  <c r="I206" i="42"/>
  <c r="I207" i="42"/>
  <c r="I202" i="42"/>
  <c r="Q199" i="42"/>
  <c r="Q202" i="42"/>
  <c r="Q204" i="42"/>
  <c r="Q206" i="42"/>
  <c r="Q208" i="42"/>
  <c r="Q205" i="42"/>
  <c r="Q207" i="42"/>
  <c r="Q197" i="42"/>
  <c r="Q200" i="42"/>
  <c r="Q203" i="42"/>
  <c r="Q198" i="42"/>
  <c r="Q201" i="42"/>
  <c r="Q207" i="38"/>
  <c r="Q204" i="38"/>
  <c r="Q202" i="38"/>
  <c r="Q199" i="38"/>
  <c r="Q197" i="38"/>
  <c r="Q208" i="38"/>
  <c r="Q206" i="38"/>
  <c r="Q205" i="38"/>
  <c r="Q203" i="38"/>
  <c r="Q201" i="38"/>
  <c r="Q200" i="38"/>
  <c r="Q198" i="38"/>
  <c r="N218" i="42"/>
  <c r="N214" i="42"/>
  <c r="N210" i="42"/>
  <c r="N220" i="42"/>
  <c r="N216" i="42"/>
  <c r="N212" i="42"/>
  <c r="N213" i="42"/>
  <c r="N217" i="42"/>
  <c r="N209" i="42"/>
  <c r="N219" i="42"/>
  <c r="N215" i="42"/>
  <c r="N211" i="42"/>
  <c r="N219" i="41"/>
  <c r="N217" i="41"/>
  <c r="N210" i="41"/>
  <c r="N209" i="41"/>
  <c r="N212" i="41"/>
  <c r="N211" i="41"/>
  <c r="N220" i="41"/>
  <c r="N218" i="41"/>
  <c r="N214" i="41"/>
  <c r="N213" i="41"/>
  <c r="N215" i="41"/>
  <c r="N216" i="41"/>
  <c r="N217" i="40"/>
  <c r="N209" i="40"/>
  <c r="N220" i="40"/>
  <c r="N218" i="40"/>
  <c r="N216" i="40"/>
  <c r="N214" i="40"/>
  <c r="N212" i="40"/>
  <c r="N210" i="40"/>
  <c r="N219" i="40"/>
  <c r="N215" i="40"/>
  <c r="N213" i="40"/>
  <c r="N211" i="40"/>
  <c r="E222" i="42"/>
  <c r="E221" i="42"/>
  <c r="E226" i="42"/>
  <c r="E225" i="42"/>
  <c r="E223" i="42"/>
  <c r="E230" i="42"/>
  <c r="E231" i="42"/>
  <c r="E229" i="42"/>
  <c r="E224" i="42"/>
  <c r="E232" i="42"/>
  <c r="E227" i="42"/>
  <c r="E228" i="42"/>
  <c r="O230" i="42"/>
  <c r="O226" i="42"/>
  <c r="O222" i="42"/>
  <c r="O232" i="42"/>
  <c r="O228" i="42"/>
  <c r="O224" i="42"/>
  <c r="O229" i="42"/>
  <c r="O221" i="42"/>
  <c r="O225" i="42"/>
  <c r="O231" i="42"/>
  <c r="O227" i="42"/>
  <c r="O223" i="42"/>
  <c r="O232" i="41"/>
  <c r="O228" i="41"/>
  <c r="O225" i="41"/>
  <c r="O221" i="41"/>
  <c r="O231" i="41"/>
  <c r="O229" i="41"/>
  <c r="O224" i="41"/>
  <c r="O230" i="41"/>
  <c r="O223" i="41"/>
  <c r="O222" i="41"/>
  <c r="O227" i="41"/>
  <c r="O232" i="40"/>
  <c r="O231" i="40"/>
  <c r="O230" i="40"/>
  <c r="O229" i="40"/>
  <c r="O228" i="40"/>
  <c r="O227" i="40"/>
  <c r="O226" i="40"/>
  <c r="O225" i="40"/>
  <c r="O224" i="40"/>
  <c r="O223" i="40"/>
  <c r="O222" i="40"/>
  <c r="O221" i="40"/>
  <c r="O226" i="41"/>
  <c r="O225" i="38"/>
  <c r="O229" i="38"/>
  <c r="O227" i="38"/>
  <c r="O232" i="38"/>
  <c r="O222" i="38"/>
  <c r="O231" i="38"/>
  <c r="O224" i="38"/>
  <c r="O221" i="38"/>
  <c r="O230" i="38"/>
  <c r="O226" i="38"/>
  <c r="O228" i="38"/>
  <c r="O223" i="38"/>
  <c r="G233" i="42"/>
  <c r="G240" i="42"/>
  <c r="G239" i="42"/>
  <c r="G238" i="42"/>
  <c r="G241" i="42"/>
  <c r="G236" i="42"/>
  <c r="G237" i="42"/>
  <c r="G243" i="42"/>
  <c r="G234" i="42"/>
  <c r="G244" i="42"/>
  <c r="G242" i="42"/>
  <c r="G235" i="42"/>
  <c r="P244" i="42"/>
  <c r="P243" i="42"/>
  <c r="P240" i="42"/>
  <c r="P234" i="42"/>
  <c r="P242" i="42"/>
  <c r="P238" i="42"/>
  <c r="P233" i="42"/>
  <c r="P237" i="42"/>
  <c r="P241" i="42"/>
  <c r="P235" i="42"/>
  <c r="P239" i="42"/>
  <c r="P236" i="42"/>
  <c r="P233" i="41"/>
  <c r="P237" i="41"/>
  <c r="P241" i="41"/>
  <c r="P236" i="41"/>
  <c r="P242" i="41"/>
  <c r="P239" i="41"/>
  <c r="P243" i="41"/>
  <c r="P243" i="38"/>
  <c r="P241" i="38"/>
  <c r="P239" i="38"/>
  <c r="P237" i="38"/>
  <c r="P235" i="38"/>
  <c r="P233" i="38"/>
  <c r="P238" i="41"/>
  <c r="P234" i="41"/>
  <c r="P235" i="41"/>
  <c r="P240" i="41"/>
  <c r="P244" i="41"/>
  <c r="P244" i="38"/>
  <c r="P240" i="38"/>
  <c r="P236" i="38"/>
  <c r="P244" i="40"/>
  <c r="P243" i="40"/>
  <c r="P242" i="40"/>
  <c r="P241" i="40"/>
  <c r="P240" i="40"/>
  <c r="P239" i="40"/>
  <c r="P238" i="40"/>
  <c r="P237" i="40"/>
  <c r="P236" i="40"/>
  <c r="P235" i="40"/>
  <c r="P234" i="40"/>
  <c r="P233" i="40"/>
  <c r="P242" i="38"/>
  <c r="P238" i="38"/>
  <c r="P234" i="38"/>
  <c r="I254" i="42"/>
  <c r="I252" i="42"/>
  <c r="I250" i="42"/>
  <c r="I251" i="42"/>
  <c r="I253" i="42"/>
  <c r="I249" i="42"/>
  <c r="I245" i="42"/>
  <c r="I256" i="42"/>
  <c r="I246" i="42"/>
  <c r="I255" i="42"/>
  <c r="I247" i="42"/>
  <c r="I248" i="42"/>
  <c r="Q250" i="42"/>
  <c r="Q252" i="42"/>
  <c r="Q256" i="42"/>
  <c r="Q251" i="42"/>
  <c r="Q247" i="42"/>
  <c r="Q245" i="42"/>
  <c r="Q254" i="42"/>
  <c r="Q246" i="42"/>
  <c r="Q248" i="42"/>
  <c r="Q249" i="42"/>
  <c r="Q253" i="42"/>
  <c r="Q255" i="42"/>
  <c r="Q256" i="38"/>
  <c r="Q254" i="38"/>
  <c r="Q252" i="38"/>
  <c r="Q250" i="38"/>
  <c r="Q248" i="38"/>
  <c r="Q246" i="38"/>
  <c r="Q256" i="40"/>
  <c r="Q255" i="40"/>
  <c r="Q254" i="40"/>
  <c r="Q253" i="40"/>
  <c r="Q252" i="40"/>
  <c r="Q251" i="40"/>
  <c r="Q250" i="40"/>
  <c r="Q249" i="40"/>
  <c r="Q248" i="40"/>
  <c r="Q247" i="40"/>
  <c r="Q246" i="40"/>
  <c r="Q245" i="40"/>
  <c r="Q253" i="38"/>
  <c r="Q249" i="38"/>
  <c r="Q245" i="38"/>
  <c r="Q255" i="38"/>
  <c r="Q251" i="38"/>
  <c r="Q247" i="38"/>
  <c r="N266" i="42"/>
  <c r="N262" i="42"/>
  <c r="N258" i="42"/>
  <c r="N268" i="42"/>
  <c r="N264" i="42"/>
  <c r="N260" i="42"/>
  <c r="N261" i="42"/>
  <c r="N265" i="42"/>
  <c r="N257" i="42"/>
  <c r="N267" i="42"/>
  <c r="N263" i="42"/>
  <c r="N259" i="42"/>
  <c r="N263" i="41"/>
  <c r="N262" i="41"/>
  <c r="N260" i="41"/>
  <c r="N259" i="41"/>
  <c r="N258" i="41"/>
  <c r="N267" i="41"/>
  <c r="N266" i="41"/>
  <c r="N265" i="41"/>
  <c r="N268" i="40"/>
  <c r="N267" i="40"/>
  <c r="N266" i="40"/>
  <c r="N265" i="40"/>
  <c r="N264" i="40"/>
  <c r="N263" i="40"/>
  <c r="N262" i="40"/>
  <c r="N261" i="40"/>
  <c r="N260" i="40"/>
  <c r="N259" i="40"/>
  <c r="N258" i="40"/>
  <c r="N257" i="40"/>
  <c r="N264" i="41"/>
  <c r="N261" i="41"/>
  <c r="N257" i="41"/>
  <c r="N268" i="41"/>
  <c r="I86" i="40"/>
  <c r="I82" i="40"/>
  <c r="I84" i="40"/>
  <c r="G83" i="40"/>
  <c r="E88" i="40"/>
  <c r="G80" i="40"/>
  <c r="G79" i="40"/>
  <c r="Q102" i="40"/>
  <c r="P111" i="40"/>
  <c r="P143" i="40"/>
  <c r="P158" i="40"/>
  <c r="Q158" i="40"/>
  <c r="P160" i="40"/>
  <c r="I129" i="41"/>
  <c r="N256" i="38"/>
  <c r="N253" i="38"/>
  <c r="O235" i="38"/>
  <c r="N233" i="38"/>
  <c r="N250" i="38"/>
  <c r="I77" i="40"/>
  <c r="G97" i="40"/>
  <c r="N245" i="38"/>
  <c r="O245" i="38"/>
  <c r="O248" i="38"/>
  <c r="N248" i="38"/>
  <c r="O262" i="38"/>
  <c r="N262" i="38"/>
  <c r="O247" i="38"/>
  <c r="N247" i="38"/>
  <c r="O263" i="38"/>
  <c r="N263" i="38"/>
  <c r="N261" i="38"/>
  <c r="O261" i="38"/>
  <c r="O255" i="38"/>
  <c r="N255" i="38"/>
  <c r="N252" i="38"/>
  <c r="O252" i="38"/>
  <c r="O266" i="38"/>
  <c r="N266" i="38"/>
  <c r="L106" i="40"/>
  <c r="O246" i="38"/>
  <c r="N246" i="38"/>
  <c r="O268" i="38"/>
  <c r="N268" i="38"/>
  <c r="N265" i="38"/>
  <c r="O265" i="38"/>
  <c r="L110" i="40"/>
  <c r="E97" i="40"/>
  <c r="I97" i="40"/>
  <c r="I132" i="41"/>
  <c r="E132" i="41"/>
  <c r="G132" i="41"/>
  <c r="I133" i="41"/>
  <c r="E133" i="41"/>
  <c r="G133" i="41"/>
  <c r="I134" i="41"/>
  <c r="E134" i="41"/>
  <c r="G134" i="41"/>
  <c r="I131" i="41"/>
  <c r="E131" i="41"/>
  <c r="G131" i="41"/>
  <c r="I126" i="41"/>
  <c r="E126" i="41"/>
  <c r="G126" i="41"/>
  <c r="G141" i="41"/>
  <c r="D153" i="41"/>
  <c r="I141" i="41"/>
  <c r="E141" i="41"/>
  <c r="D159" i="41"/>
  <c r="G147" i="41"/>
  <c r="I147" i="41"/>
  <c r="E147" i="41"/>
  <c r="I136" i="41"/>
  <c r="E136" i="41"/>
  <c r="D148" i="41"/>
  <c r="G136" i="41"/>
  <c r="I125" i="41"/>
  <c r="E125" i="41"/>
  <c r="G125" i="41"/>
  <c r="I130" i="41"/>
  <c r="E130" i="41"/>
  <c r="G130" i="41"/>
  <c r="I127" i="41"/>
  <c r="E127" i="41"/>
  <c r="G127" i="41"/>
  <c r="I128" i="41"/>
  <c r="E128" i="41"/>
  <c r="G128" i="41"/>
  <c r="D102" i="40"/>
  <c r="G102" i="40" s="1"/>
  <c r="D108" i="40"/>
  <c r="G108" i="40" s="1"/>
  <c r="D101" i="40"/>
  <c r="I101" i="40" s="1"/>
  <c r="P170" i="40"/>
  <c r="Q170" i="40"/>
  <c r="P169" i="40"/>
  <c r="Q169" i="40"/>
  <c r="Q151" i="40"/>
  <c r="P151" i="40"/>
  <c r="Q137" i="40"/>
  <c r="P137" i="40"/>
  <c r="Q172" i="40"/>
  <c r="P172" i="40"/>
  <c r="Q155" i="40"/>
  <c r="P155" i="40"/>
  <c r="Q144" i="40"/>
  <c r="P144" i="40"/>
  <c r="P123" i="40"/>
  <c r="Q123" i="40"/>
  <c r="P142" i="40"/>
  <c r="Q142" i="40"/>
  <c r="P116" i="40"/>
  <c r="Q116" i="40"/>
  <c r="P114" i="40"/>
  <c r="Q114" i="40"/>
  <c r="P117" i="40"/>
  <c r="Q117" i="40"/>
  <c r="L118" i="40"/>
  <c r="I96" i="40"/>
  <c r="E96" i="40"/>
  <c r="G96" i="40"/>
  <c r="G93" i="40"/>
  <c r="I93" i="40"/>
  <c r="E93" i="40"/>
  <c r="C119" i="40"/>
  <c r="C131" i="40" s="1"/>
  <c r="C143" i="40" s="1"/>
  <c r="C155" i="40" s="1"/>
  <c r="C167" i="40" s="1"/>
  <c r="C179" i="40" s="1"/>
  <c r="C191" i="40" s="1"/>
  <c r="C203" i="40" s="1"/>
  <c r="C215" i="40" s="1"/>
  <c r="C227" i="40" s="1"/>
  <c r="C239" i="40" s="1"/>
  <c r="C251" i="40" s="1"/>
  <c r="C263" i="40" s="1"/>
  <c r="D107" i="40"/>
  <c r="G98" i="40"/>
  <c r="I98" i="40"/>
  <c r="E98" i="40"/>
  <c r="K121" i="40"/>
  <c r="K133" i="40" s="1"/>
  <c r="K145" i="40" s="1"/>
  <c r="K157" i="40" s="1"/>
  <c r="K169" i="40" s="1"/>
  <c r="K181" i="40" s="1"/>
  <c r="K193" i="40" s="1"/>
  <c r="K205" i="40" s="1"/>
  <c r="K217" i="40" s="1"/>
  <c r="K229" i="40" s="1"/>
  <c r="K241" i="40" s="1"/>
  <c r="K253" i="40" s="1"/>
  <c r="K265" i="40" s="1"/>
  <c r="L109" i="40"/>
  <c r="L103" i="40"/>
  <c r="K115" i="40"/>
  <c r="K127" i="40" s="1"/>
  <c r="K139" i="40" s="1"/>
  <c r="K151" i="40" s="1"/>
  <c r="K163" i="40" s="1"/>
  <c r="K175" i="40" s="1"/>
  <c r="K187" i="40" s="1"/>
  <c r="K199" i="40" s="1"/>
  <c r="K211" i="40" s="1"/>
  <c r="K223" i="40" s="1"/>
  <c r="K235" i="40" s="1"/>
  <c r="K247" i="40" s="1"/>
  <c r="K259" i="40" s="1"/>
  <c r="I100" i="40"/>
  <c r="E100" i="40"/>
  <c r="G100" i="40"/>
  <c r="G90" i="40"/>
  <c r="I90" i="40"/>
  <c r="E90" i="40"/>
  <c r="L107" i="40"/>
  <c r="K119" i="40"/>
  <c r="K131" i="40" s="1"/>
  <c r="K143" i="40" s="1"/>
  <c r="K155" i="40" s="1"/>
  <c r="K167" i="40" s="1"/>
  <c r="K179" i="40" s="1"/>
  <c r="K191" i="40" s="1"/>
  <c r="K203" i="40" s="1"/>
  <c r="K215" i="40" s="1"/>
  <c r="K227" i="40" s="1"/>
  <c r="K239" i="40" s="1"/>
  <c r="K251" i="40" s="1"/>
  <c r="K263" i="40" s="1"/>
  <c r="I95" i="40"/>
  <c r="E95" i="40"/>
  <c r="G95" i="40"/>
  <c r="D109" i="40"/>
  <c r="C123" i="40"/>
  <c r="C135" i="40" s="1"/>
  <c r="C147" i="40" s="1"/>
  <c r="C159" i="40" s="1"/>
  <c r="C171" i="40" s="1"/>
  <c r="C183" i="40" s="1"/>
  <c r="C195" i="40" s="1"/>
  <c r="C207" i="40" s="1"/>
  <c r="C219" i="40" s="1"/>
  <c r="C231" i="40" s="1"/>
  <c r="C243" i="40" s="1"/>
  <c r="C255" i="40" s="1"/>
  <c r="C267" i="40" s="1"/>
  <c r="D111" i="40"/>
  <c r="I92" i="40"/>
  <c r="E92" i="40"/>
  <c r="G92" i="40"/>
  <c r="D103" i="40"/>
  <c r="C115" i="40"/>
  <c r="C127" i="40" s="1"/>
  <c r="C139" i="40" s="1"/>
  <c r="C151" i="40" s="1"/>
  <c r="C163" i="40" s="1"/>
  <c r="C175" i="40" s="1"/>
  <c r="C187" i="40" s="1"/>
  <c r="C199" i="40" s="1"/>
  <c r="C211" i="40" s="1"/>
  <c r="C223" i="40" s="1"/>
  <c r="C235" i="40" s="1"/>
  <c r="C247" i="40" s="1"/>
  <c r="C259" i="40" s="1"/>
  <c r="D112" i="40"/>
  <c r="D106" i="40"/>
  <c r="D104" i="40"/>
  <c r="D105" i="40"/>
  <c r="D110" i="40"/>
  <c r="G89" i="40"/>
  <c r="I89" i="40"/>
  <c r="E89" i="40"/>
  <c r="L122" i="40"/>
  <c r="L101" i="40"/>
  <c r="K113" i="40"/>
  <c r="K125" i="40" s="1"/>
  <c r="K137" i="40" s="1"/>
  <c r="K149" i="40" s="1"/>
  <c r="K161" i="40" s="1"/>
  <c r="K173" i="40" s="1"/>
  <c r="K185" i="40" s="1"/>
  <c r="K197" i="40" s="1"/>
  <c r="K209" i="40" s="1"/>
  <c r="K221" i="40" s="1"/>
  <c r="K233" i="40" s="1"/>
  <c r="K245" i="40" s="1"/>
  <c r="K257" i="40" s="1"/>
  <c r="L108" i="40"/>
  <c r="L104" i="40"/>
  <c r="L112" i="40"/>
  <c r="L102" i="40"/>
  <c r="K123" i="40"/>
  <c r="K135" i="40" s="1"/>
  <c r="K147" i="40" s="1"/>
  <c r="K159" i="40" s="1"/>
  <c r="K171" i="40" s="1"/>
  <c r="K183" i="40" s="1"/>
  <c r="K195" i="40" s="1"/>
  <c r="K207" i="40" s="1"/>
  <c r="K219" i="40" s="1"/>
  <c r="K231" i="40" s="1"/>
  <c r="K243" i="40" s="1"/>
  <c r="K255" i="40" s="1"/>
  <c r="K267" i="40" s="1"/>
  <c r="L111" i="40"/>
  <c r="L105" i="40"/>
  <c r="I99" i="40"/>
  <c r="E99" i="40"/>
  <c r="G99" i="40"/>
  <c r="G94" i="40"/>
  <c r="E94" i="40"/>
  <c r="I94" i="40"/>
  <c r="I91" i="40"/>
  <c r="E91" i="40"/>
  <c r="G91" i="40"/>
  <c r="L267" i="38"/>
  <c r="L258" i="38"/>
  <c r="L257" i="38"/>
  <c r="L264" i="38"/>
  <c r="L260" i="38"/>
  <c r="L259" i="38"/>
  <c r="J18" i="41" l="1"/>
  <c r="J15" i="43"/>
  <c r="AD15" i="43" s="1"/>
  <c r="AE15" i="43" s="1"/>
  <c r="J16" i="43"/>
  <c r="AD16" i="43" s="1"/>
  <c r="AE16" i="43" s="1"/>
  <c r="J9" i="43"/>
  <c r="AD9" i="43" s="1"/>
  <c r="AE9" i="43" s="1"/>
  <c r="J6" i="43"/>
  <c r="AD6" i="43" s="1"/>
  <c r="AE6" i="43" s="1"/>
  <c r="J7" i="43"/>
  <c r="AD7" i="43" s="1"/>
  <c r="AE7" i="43" s="1"/>
  <c r="J23" i="43"/>
  <c r="AD23" i="43" s="1"/>
  <c r="AE23" i="43" s="1"/>
  <c r="J26" i="43"/>
  <c r="AD26" i="43" s="1"/>
  <c r="AE26" i="43" s="1"/>
  <c r="J22" i="43"/>
  <c r="AD22" i="43" s="1"/>
  <c r="AE22" i="43" s="1"/>
  <c r="J36" i="43"/>
  <c r="AD36" i="43" s="1"/>
  <c r="AE36" i="43" s="1"/>
  <c r="J10" i="43"/>
  <c r="AD10" i="43" s="1"/>
  <c r="AE10" i="43" s="1"/>
  <c r="AD5" i="43"/>
  <c r="J34" i="43"/>
  <c r="AD34" i="43" s="1"/>
  <c r="AE34" i="43" s="1"/>
  <c r="J29" i="43"/>
  <c r="J33" i="43"/>
  <c r="AD33" i="43" s="1"/>
  <c r="AE33" i="43" s="1"/>
  <c r="J27" i="43"/>
  <c r="AD27" i="43" s="1"/>
  <c r="AE27" i="43" s="1"/>
  <c r="J25" i="43"/>
  <c r="AD25" i="43" s="1"/>
  <c r="AE25" i="43" s="1"/>
  <c r="J18" i="43"/>
  <c r="AD18" i="43" s="1"/>
  <c r="AE18" i="43" s="1"/>
  <c r="J37" i="43"/>
  <c r="AD37" i="43" s="1"/>
  <c r="AE37" i="43" s="1"/>
  <c r="J32" i="43"/>
  <c r="AD32" i="43" s="1"/>
  <c r="AE32" i="43" s="1"/>
  <c r="J39" i="43"/>
  <c r="AD39" i="43" s="1"/>
  <c r="AE39" i="43" s="1"/>
  <c r="J40" i="43"/>
  <c r="AD40" i="43" s="1"/>
  <c r="AE40" i="43" s="1"/>
  <c r="J28" i="43"/>
  <c r="AD28" i="43" s="1"/>
  <c r="AE28" i="43" s="1"/>
  <c r="J21" i="43"/>
  <c r="AD21" i="43" s="1"/>
  <c r="AE21" i="43" s="1"/>
  <c r="J20" i="43"/>
  <c r="AD20" i="43" s="1"/>
  <c r="AE20" i="43" s="1"/>
  <c r="J12" i="43"/>
  <c r="AD12" i="43" s="1"/>
  <c r="AE12" i="43" s="1"/>
  <c r="J14" i="43"/>
  <c r="AD14" i="43" s="1"/>
  <c r="AE14" i="43" s="1"/>
  <c r="J35" i="43"/>
  <c r="AD35" i="43" s="1"/>
  <c r="AE35" i="43" s="1"/>
  <c r="J38" i="43"/>
  <c r="AD38" i="43" s="1"/>
  <c r="AE38" i="43" s="1"/>
  <c r="J30" i="43"/>
  <c r="AD30" i="43" s="1"/>
  <c r="AE30" i="43" s="1"/>
  <c r="J31" i="43"/>
  <c r="AD31" i="43" s="1"/>
  <c r="AE31" i="43" s="1"/>
  <c r="J19" i="43"/>
  <c r="AD19" i="43" s="1"/>
  <c r="AE19" i="43" s="1"/>
  <c r="J17" i="43"/>
  <c r="J24" i="43"/>
  <c r="AD24" i="43" s="1"/>
  <c r="AE24" i="43" s="1"/>
  <c r="J8" i="41"/>
  <c r="AD8" i="41" s="1"/>
  <c r="J10" i="41"/>
  <c r="AD10" i="41" s="1"/>
  <c r="J6" i="41"/>
  <c r="AD6" i="41" s="1"/>
  <c r="J5" i="42"/>
  <c r="AD5" i="42" s="1"/>
  <c r="AE5" i="42" s="1"/>
  <c r="J9" i="40"/>
  <c r="AD9" i="40" s="1"/>
  <c r="AE9" i="40" s="1"/>
  <c r="J5" i="40"/>
  <c r="AD5" i="40" s="1"/>
  <c r="AE5" i="40" s="1"/>
  <c r="J13" i="41"/>
  <c r="AD13" i="41" s="1"/>
  <c r="J6" i="42"/>
  <c r="AD6" i="42" s="1"/>
  <c r="AE6" i="42" s="1"/>
  <c r="J10" i="42"/>
  <c r="AD10" i="42" s="1"/>
  <c r="AE10" i="42" s="1"/>
  <c r="J40" i="40"/>
  <c r="AD40" i="40" s="1"/>
  <c r="AE40" i="40" s="1"/>
  <c r="J35" i="40"/>
  <c r="AD35" i="40" s="1"/>
  <c r="AE35" i="40" s="1"/>
  <c r="J34" i="41"/>
  <c r="AD34" i="41" s="1"/>
  <c r="J37" i="41"/>
  <c r="AD37" i="41" s="1"/>
  <c r="J36" i="42"/>
  <c r="AD36" i="42" s="1"/>
  <c r="AE36" i="42" s="1"/>
  <c r="J19" i="40"/>
  <c r="AD19" i="40" s="1"/>
  <c r="AE19" i="40" s="1"/>
  <c r="J20" i="41"/>
  <c r="AD20" i="41" s="1"/>
  <c r="J28" i="41"/>
  <c r="AD28" i="41" s="1"/>
  <c r="J19" i="41"/>
  <c r="AD19" i="41" s="1"/>
  <c r="J21" i="42"/>
  <c r="AD21" i="42" s="1"/>
  <c r="AE21" i="42" s="1"/>
  <c r="J25" i="42"/>
  <c r="AD25" i="42" s="1"/>
  <c r="AE25" i="42" s="1"/>
  <c r="J9" i="42"/>
  <c r="AD9" i="42" s="1"/>
  <c r="AE9" i="42" s="1"/>
  <c r="J32" i="40"/>
  <c r="AD32" i="40" s="1"/>
  <c r="AE32" i="40" s="1"/>
  <c r="J26" i="40"/>
  <c r="AD26" i="40" s="1"/>
  <c r="AE26" i="40" s="1"/>
  <c r="J28" i="40"/>
  <c r="AD28" i="40" s="1"/>
  <c r="AE28" i="40" s="1"/>
  <c r="J17" i="41"/>
  <c r="AD17" i="41" s="1"/>
  <c r="J22" i="41"/>
  <c r="AD22" i="41" s="1"/>
  <c r="J24" i="42"/>
  <c r="AD24" i="42" s="1"/>
  <c r="AE24" i="42" s="1"/>
  <c r="J36" i="41"/>
  <c r="AD36" i="41" s="1"/>
  <c r="J34" i="42"/>
  <c r="AD34" i="42" s="1"/>
  <c r="AE34" i="42" s="1"/>
  <c r="J33" i="42"/>
  <c r="AD33" i="42" s="1"/>
  <c r="AE33" i="42" s="1"/>
  <c r="J22" i="40"/>
  <c r="AD22" i="40" s="1"/>
  <c r="AE22" i="40" s="1"/>
  <c r="J18" i="42"/>
  <c r="AD18" i="42" s="1"/>
  <c r="AE18" i="42" s="1"/>
  <c r="J13" i="40"/>
  <c r="AD13" i="40" s="1"/>
  <c r="AE13" i="40" s="1"/>
  <c r="J12" i="41"/>
  <c r="J39" i="40"/>
  <c r="AD39" i="40" s="1"/>
  <c r="AE39" i="40" s="1"/>
  <c r="J31" i="40"/>
  <c r="AD31" i="40" s="1"/>
  <c r="AE31" i="40" s="1"/>
  <c r="J32" i="41"/>
  <c r="AD32" i="41" s="1"/>
  <c r="J33" i="41"/>
  <c r="AD33" i="41" s="1"/>
  <c r="J35" i="41"/>
  <c r="AD35" i="41" s="1"/>
  <c r="J32" i="42"/>
  <c r="AD32" i="42" s="1"/>
  <c r="AE32" i="42" s="1"/>
  <c r="J39" i="42"/>
  <c r="AD39" i="42" s="1"/>
  <c r="AE39" i="42" s="1"/>
  <c r="J40" i="42"/>
  <c r="AD40" i="42" s="1"/>
  <c r="AE40" i="42" s="1"/>
  <c r="J20" i="40"/>
  <c r="AD20" i="40" s="1"/>
  <c r="AE20" i="40" s="1"/>
  <c r="J27" i="41"/>
  <c r="AD27" i="41" s="1"/>
  <c r="J28" i="42"/>
  <c r="AD28" i="42" s="1"/>
  <c r="AE28" i="42" s="1"/>
  <c r="J23" i="42"/>
  <c r="AD23" i="42" s="1"/>
  <c r="AE23" i="42" s="1"/>
  <c r="J15" i="40"/>
  <c r="AD15" i="40" s="1"/>
  <c r="AE15" i="40" s="1"/>
  <c r="J12" i="40"/>
  <c r="AD12" i="40" s="1"/>
  <c r="AE12" i="40" s="1"/>
  <c r="J14" i="40"/>
  <c r="AD14" i="40" s="1"/>
  <c r="AE14" i="40" s="1"/>
  <c r="J11" i="41"/>
  <c r="AD11" i="41" s="1"/>
  <c r="J8" i="42"/>
  <c r="AD8" i="42" s="1"/>
  <c r="AE8" i="42" s="1"/>
  <c r="J7" i="42"/>
  <c r="AD7" i="42" s="1"/>
  <c r="AE7" i="42" s="1"/>
  <c r="D120" i="40"/>
  <c r="D132" i="40" s="1"/>
  <c r="J29" i="40"/>
  <c r="J36" i="40"/>
  <c r="AD36" i="40" s="1"/>
  <c r="AE36" i="40" s="1"/>
  <c r="J37" i="40"/>
  <c r="AD37" i="40" s="1"/>
  <c r="AE37" i="40" s="1"/>
  <c r="J40" i="41"/>
  <c r="AD40" i="41" s="1"/>
  <c r="J31" i="41"/>
  <c r="J38" i="41"/>
  <c r="AD38" i="41" s="1"/>
  <c r="J35" i="42"/>
  <c r="AD35" i="42" s="1"/>
  <c r="AE35" i="42" s="1"/>
  <c r="J30" i="42"/>
  <c r="AD30" i="42" s="1"/>
  <c r="AE30" i="42" s="1"/>
  <c r="J29" i="42"/>
  <c r="J23" i="40"/>
  <c r="AD23" i="40" s="1"/>
  <c r="AE23" i="40" s="1"/>
  <c r="J24" i="40"/>
  <c r="AD24" i="40" s="1"/>
  <c r="AE24" i="40" s="1"/>
  <c r="J18" i="40"/>
  <c r="AD18" i="40" s="1"/>
  <c r="AE18" i="40" s="1"/>
  <c r="J23" i="41"/>
  <c r="J21" i="41"/>
  <c r="J26" i="42"/>
  <c r="AD26" i="42" s="1"/>
  <c r="AE26" i="42" s="1"/>
  <c r="J27" i="42"/>
  <c r="AD27" i="42" s="1"/>
  <c r="AE27" i="42" s="1"/>
  <c r="J17" i="42"/>
  <c r="J7" i="40"/>
  <c r="AD7" i="40" s="1"/>
  <c r="AE7" i="40" s="1"/>
  <c r="J8" i="40"/>
  <c r="AD8" i="40" s="1"/>
  <c r="AE8" i="40" s="1"/>
  <c r="J11" i="40"/>
  <c r="AD11" i="40" s="1"/>
  <c r="AE11" i="40" s="1"/>
  <c r="J9" i="41"/>
  <c r="AD9" i="41" s="1"/>
  <c r="J15" i="41"/>
  <c r="AD15" i="41" s="1"/>
  <c r="J5" i="41"/>
  <c r="J15" i="42"/>
  <c r="AD15" i="42" s="1"/>
  <c r="AE15" i="42" s="1"/>
  <c r="J16" i="42"/>
  <c r="AD16" i="42" s="1"/>
  <c r="AE16" i="42" s="1"/>
  <c r="J14" i="42"/>
  <c r="AD14" i="42" s="1"/>
  <c r="AE14" i="42" s="1"/>
  <c r="J34" i="40"/>
  <c r="AD34" i="40" s="1"/>
  <c r="AE34" i="40" s="1"/>
  <c r="J25" i="40"/>
  <c r="AD25" i="40" s="1"/>
  <c r="AE25" i="40" s="1"/>
  <c r="J38" i="40"/>
  <c r="AD38" i="40" s="1"/>
  <c r="AE38" i="40" s="1"/>
  <c r="J30" i="40"/>
  <c r="AD30" i="40" s="1"/>
  <c r="AE30" i="40" s="1"/>
  <c r="J33" i="40"/>
  <c r="AD33" i="40" s="1"/>
  <c r="AE33" i="40" s="1"/>
  <c r="J30" i="41"/>
  <c r="AD30" i="41" s="1"/>
  <c r="J29" i="41"/>
  <c r="J39" i="41"/>
  <c r="AD39" i="41" s="1"/>
  <c r="J37" i="42"/>
  <c r="AD37" i="42" s="1"/>
  <c r="AE37" i="42" s="1"/>
  <c r="J31" i="42"/>
  <c r="AD31" i="42" s="1"/>
  <c r="AE31" i="42" s="1"/>
  <c r="J38" i="42"/>
  <c r="AD38" i="42" s="1"/>
  <c r="AE38" i="42" s="1"/>
  <c r="J17" i="40"/>
  <c r="J27" i="40"/>
  <c r="AD27" i="40" s="1"/>
  <c r="AE27" i="40" s="1"/>
  <c r="J21" i="40"/>
  <c r="AD21" i="40" s="1"/>
  <c r="AE21" i="40" s="1"/>
  <c r="J25" i="41"/>
  <c r="AD25" i="41" s="1"/>
  <c r="J26" i="41"/>
  <c r="AD26" i="41" s="1"/>
  <c r="J24" i="41"/>
  <c r="AD24" i="41" s="1"/>
  <c r="J20" i="42"/>
  <c r="AD20" i="42" s="1"/>
  <c r="AE20" i="42" s="1"/>
  <c r="J19" i="42"/>
  <c r="AD19" i="42" s="1"/>
  <c r="AE19" i="42" s="1"/>
  <c r="J22" i="42"/>
  <c r="AD22" i="42" s="1"/>
  <c r="AE22" i="42" s="1"/>
  <c r="J16" i="40"/>
  <c r="AD16" i="40" s="1"/>
  <c r="AE16" i="40" s="1"/>
  <c r="J10" i="40"/>
  <c r="AD10" i="40" s="1"/>
  <c r="AE10" i="40" s="1"/>
  <c r="J6" i="40"/>
  <c r="J16" i="41"/>
  <c r="AD16" i="41" s="1"/>
  <c r="J14" i="41"/>
  <c r="AD14" i="41" s="1"/>
  <c r="J7" i="41"/>
  <c r="AD7" i="41" s="1"/>
  <c r="J13" i="42"/>
  <c r="AD13" i="42" s="1"/>
  <c r="AE13" i="42" s="1"/>
  <c r="J12" i="42"/>
  <c r="AD12" i="42" s="1"/>
  <c r="AE12" i="42" s="1"/>
  <c r="J11" i="42"/>
  <c r="AD11" i="42" s="1"/>
  <c r="AE11" i="42" s="1"/>
  <c r="E108" i="40"/>
  <c r="E102" i="40"/>
  <c r="O259" i="38"/>
  <c r="N259" i="38"/>
  <c r="O258" i="38"/>
  <c r="N258" i="38"/>
  <c r="N257" i="38"/>
  <c r="O257" i="38"/>
  <c r="O260" i="38"/>
  <c r="N260" i="38"/>
  <c r="O267" i="38"/>
  <c r="N267" i="38"/>
  <c r="N264" i="38"/>
  <c r="O264" i="38"/>
  <c r="I108" i="40"/>
  <c r="G137" i="41"/>
  <c r="D149" i="41"/>
  <c r="I137" i="41"/>
  <c r="E137" i="41"/>
  <c r="G140" i="41"/>
  <c r="D152" i="41"/>
  <c r="I140" i="41"/>
  <c r="E140" i="41"/>
  <c r="D160" i="41"/>
  <c r="I148" i="41"/>
  <c r="E148" i="41"/>
  <c r="G148" i="41"/>
  <c r="D157" i="41"/>
  <c r="G145" i="41"/>
  <c r="I145" i="41"/>
  <c r="E145" i="41"/>
  <c r="D151" i="41"/>
  <c r="G139" i="41"/>
  <c r="I139" i="41"/>
  <c r="E139" i="41"/>
  <c r="G159" i="41"/>
  <c r="D171" i="41"/>
  <c r="I159" i="41"/>
  <c r="E159" i="41"/>
  <c r="G153" i="41"/>
  <c r="D165" i="41"/>
  <c r="E153" i="41"/>
  <c r="I153" i="41"/>
  <c r="G138" i="41"/>
  <c r="I138" i="41"/>
  <c r="E138" i="41"/>
  <c r="D150" i="41"/>
  <c r="G142" i="41"/>
  <c r="I142" i="41"/>
  <c r="E142" i="41"/>
  <c r="D154" i="41"/>
  <c r="D155" i="41"/>
  <c r="G143" i="41"/>
  <c r="I143" i="41"/>
  <c r="E143" i="41"/>
  <c r="D158" i="41"/>
  <c r="G146" i="41"/>
  <c r="I146" i="41"/>
  <c r="E146" i="41"/>
  <c r="G144" i="41"/>
  <c r="D156" i="41"/>
  <c r="I144" i="41"/>
  <c r="E144" i="41"/>
  <c r="I102" i="40"/>
  <c r="G101" i="40"/>
  <c r="D113" i="40"/>
  <c r="D125" i="40" s="1"/>
  <c r="D114" i="40"/>
  <c r="E114" i="40" s="1"/>
  <c r="E101" i="40"/>
  <c r="P156" i="40"/>
  <c r="Q156" i="40"/>
  <c r="P149" i="40"/>
  <c r="Q149" i="40"/>
  <c r="P163" i="40"/>
  <c r="Q163" i="40"/>
  <c r="Q184" i="40"/>
  <c r="P184" i="40"/>
  <c r="P167" i="40"/>
  <c r="Q167" i="40"/>
  <c r="P181" i="40"/>
  <c r="Q181" i="40"/>
  <c r="Q182" i="40"/>
  <c r="P182" i="40"/>
  <c r="P135" i="40"/>
  <c r="Q135" i="40"/>
  <c r="P154" i="40"/>
  <c r="Q154" i="40"/>
  <c r="P128" i="40"/>
  <c r="Q128" i="40"/>
  <c r="P126" i="40"/>
  <c r="Q126" i="40"/>
  <c r="P129" i="40"/>
  <c r="Q129" i="40"/>
  <c r="D122" i="40"/>
  <c r="G110" i="40"/>
  <c r="I110" i="40"/>
  <c r="E110" i="40"/>
  <c r="D124" i="40"/>
  <c r="I112" i="40"/>
  <c r="E112" i="40"/>
  <c r="G112" i="40"/>
  <c r="L121" i="40"/>
  <c r="L134" i="40"/>
  <c r="L124" i="40"/>
  <c r="L113" i="40"/>
  <c r="D117" i="40"/>
  <c r="G105" i="40"/>
  <c r="E105" i="40"/>
  <c r="I105" i="40"/>
  <c r="L115" i="40"/>
  <c r="G120" i="40"/>
  <c r="L116" i="40"/>
  <c r="I104" i="40"/>
  <c r="E104" i="40"/>
  <c r="D116" i="40"/>
  <c r="G104" i="40"/>
  <c r="I103" i="40"/>
  <c r="E103" i="40"/>
  <c r="D115" i="40"/>
  <c r="G103" i="40"/>
  <c r="L119" i="40"/>
  <c r="D119" i="40"/>
  <c r="I107" i="40"/>
  <c r="E107" i="40"/>
  <c r="G107" i="40"/>
  <c r="L114" i="40"/>
  <c r="D123" i="40"/>
  <c r="I111" i="40"/>
  <c r="E111" i="40"/>
  <c r="G111" i="40"/>
  <c r="L117" i="40"/>
  <c r="L123" i="40"/>
  <c r="L120" i="40"/>
  <c r="G106" i="40"/>
  <c r="I106" i="40"/>
  <c r="E106" i="40"/>
  <c r="D118" i="40"/>
  <c r="D121" i="40"/>
  <c r="G109" i="40"/>
  <c r="I109" i="40"/>
  <c r="E109" i="40"/>
  <c r="L130" i="40"/>
  <c r="K276" i="38"/>
  <c r="K277" i="38"/>
  <c r="K275" i="38"/>
  <c r="E120" i="40" l="1"/>
  <c r="I120" i="40"/>
  <c r="AE39" i="41"/>
  <c r="AE16" i="41"/>
  <c r="AE26" i="41"/>
  <c r="AE40" i="41"/>
  <c r="AE33" i="41"/>
  <c r="AE13" i="41"/>
  <c r="AE6" i="41"/>
  <c r="AE32" i="41"/>
  <c r="AE7" i="41"/>
  <c r="AE15" i="41"/>
  <c r="AE38" i="41"/>
  <c r="AE17" i="41"/>
  <c r="AE28" i="41"/>
  <c r="AE37" i="41"/>
  <c r="AE8" i="41"/>
  <c r="AE25" i="41"/>
  <c r="AE27" i="41"/>
  <c r="AE22" i="41"/>
  <c r="AE19" i="41"/>
  <c r="AE10" i="41"/>
  <c r="AE14" i="41"/>
  <c r="AE24" i="41"/>
  <c r="AE30" i="41"/>
  <c r="AE9" i="41"/>
  <c r="AE11" i="41"/>
  <c r="AE35" i="41"/>
  <c r="AE36" i="41"/>
  <c r="AE20" i="41"/>
  <c r="AE34" i="41"/>
  <c r="AD29" i="43"/>
  <c r="AE29" i="43" s="1"/>
  <c r="J277" i="43"/>
  <c r="J276" i="43"/>
  <c r="AD17" i="43"/>
  <c r="AE17" i="43" s="1"/>
  <c r="AE5" i="43"/>
  <c r="J275" i="43"/>
  <c r="D126" i="40"/>
  <c r="D138" i="40" s="1"/>
  <c r="I114" i="40"/>
  <c r="AD6" i="40"/>
  <c r="AE6" i="40" s="1"/>
  <c r="J275" i="40"/>
  <c r="J275" i="42"/>
  <c r="AD17" i="40"/>
  <c r="AE17" i="40" s="1"/>
  <c r="J276" i="40"/>
  <c r="AD5" i="41"/>
  <c r="J275" i="41"/>
  <c r="AD21" i="41"/>
  <c r="AD18" i="41"/>
  <c r="J276" i="41"/>
  <c r="AD29" i="41"/>
  <c r="J277" i="41"/>
  <c r="AD17" i="42"/>
  <c r="AE17" i="42" s="1"/>
  <c r="J276" i="42"/>
  <c r="AD23" i="41"/>
  <c r="AD29" i="42"/>
  <c r="AE29" i="42" s="1"/>
  <c r="J277" i="42"/>
  <c r="AD31" i="41"/>
  <c r="AD29" i="40"/>
  <c r="AE29" i="40" s="1"/>
  <c r="J277" i="40"/>
  <c r="AD12" i="41"/>
  <c r="G113" i="40"/>
  <c r="G114" i="40"/>
  <c r="G152" i="41"/>
  <c r="D164" i="41"/>
  <c r="E152" i="41"/>
  <c r="I152" i="41"/>
  <c r="G155" i="41"/>
  <c r="D167" i="41"/>
  <c r="I155" i="41"/>
  <c r="E155" i="41"/>
  <c r="G151" i="41"/>
  <c r="D163" i="41"/>
  <c r="I151" i="41"/>
  <c r="E151" i="41"/>
  <c r="G150" i="41"/>
  <c r="D162" i="41"/>
  <c r="E150" i="41"/>
  <c r="I150" i="41"/>
  <c r="G157" i="41"/>
  <c r="D169" i="41"/>
  <c r="E157" i="41"/>
  <c r="I157" i="41"/>
  <c r="G149" i="41"/>
  <c r="E149" i="41"/>
  <c r="I149" i="41"/>
  <c r="D161" i="41"/>
  <c r="G160" i="41"/>
  <c r="D172" i="41"/>
  <c r="E160" i="41"/>
  <c r="I160" i="41"/>
  <c r="G156" i="41"/>
  <c r="D168" i="41"/>
  <c r="E156" i="41"/>
  <c r="I156" i="41"/>
  <c r="G158" i="41"/>
  <c r="D170" i="41"/>
  <c r="I158" i="41"/>
  <c r="E158" i="41"/>
  <c r="G154" i="41"/>
  <c r="D166" i="41"/>
  <c r="E154" i="41"/>
  <c r="I154" i="41"/>
  <c r="I165" i="41"/>
  <c r="E165" i="41"/>
  <c r="G165" i="41"/>
  <c r="D177" i="41"/>
  <c r="D183" i="41"/>
  <c r="I171" i="41"/>
  <c r="E171" i="41"/>
  <c r="G171" i="41"/>
  <c r="I113" i="40"/>
  <c r="E113" i="40"/>
  <c r="P194" i="40"/>
  <c r="Q194" i="40"/>
  <c r="P161" i="40"/>
  <c r="Q161" i="40"/>
  <c r="P175" i="40"/>
  <c r="Q175" i="40"/>
  <c r="Q168" i="40"/>
  <c r="P168" i="40"/>
  <c r="Q179" i="40"/>
  <c r="P179" i="40"/>
  <c r="Q196" i="40"/>
  <c r="P196" i="40"/>
  <c r="Q193" i="40"/>
  <c r="P193" i="40"/>
  <c r="P147" i="40"/>
  <c r="Q147" i="40"/>
  <c r="P166" i="40"/>
  <c r="Q166" i="40"/>
  <c r="P140" i="40"/>
  <c r="Q140" i="40"/>
  <c r="P138" i="40"/>
  <c r="Q138" i="40"/>
  <c r="Q141" i="40"/>
  <c r="P141" i="40"/>
  <c r="L142" i="40"/>
  <c r="L129" i="40"/>
  <c r="E119" i="40"/>
  <c r="I119" i="40"/>
  <c r="D131" i="40"/>
  <c r="G119" i="40"/>
  <c r="L128" i="40"/>
  <c r="L146" i="40"/>
  <c r="L133" i="40"/>
  <c r="G122" i="40"/>
  <c r="I122" i="40"/>
  <c r="D134" i="40"/>
  <c r="E122" i="40"/>
  <c r="D133" i="40"/>
  <c r="E121" i="40"/>
  <c r="I121" i="40"/>
  <c r="G121" i="40"/>
  <c r="L132" i="40"/>
  <c r="D135" i="40"/>
  <c r="E123" i="40"/>
  <c r="I123" i="40"/>
  <c r="G123" i="40"/>
  <c r="L126" i="40"/>
  <c r="L125" i="40"/>
  <c r="D127" i="40"/>
  <c r="I115" i="40"/>
  <c r="E115" i="40"/>
  <c r="G115" i="40"/>
  <c r="G132" i="40"/>
  <c r="I132" i="40"/>
  <c r="E132" i="40"/>
  <c r="D144" i="40"/>
  <c r="D129" i="40"/>
  <c r="I117" i="40"/>
  <c r="G117" i="40"/>
  <c r="E117" i="40"/>
  <c r="L135" i="40"/>
  <c r="I116" i="40"/>
  <c r="E116" i="40"/>
  <c r="D128" i="40"/>
  <c r="G116" i="40"/>
  <c r="G118" i="40"/>
  <c r="D130" i="40"/>
  <c r="E118" i="40"/>
  <c r="I118" i="40"/>
  <c r="L131" i="40"/>
  <c r="D137" i="40"/>
  <c r="E125" i="40"/>
  <c r="I125" i="40"/>
  <c r="G125" i="40"/>
  <c r="L127" i="40"/>
  <c r="L136" i="40"/>
  <c r="I124" i="40"/>
  <c r="E124" i="40"/>
  <c r="G124" i="40"/>
  <c r="D136" i="40"/>
  <c r="G126" i="40" l="1"/>
  <c r="AE18" i="41"/>
  <c r="AE31" i="41"/>
  <c r="AE5" i="41"/>
  <c r="AE21" i="41"/>
  <c r="AE12" i="41"/>
  <c r="AE23" i="41"/>
  <c r="AE29" i="41"/>
  <c r="E126" i="40"/>
  <c r="I126" i="40"/>
  <c r="D175" i="41"/>
  <c r="I163" i="41"/>
  <c r="E163" i="41"/>
  <c r="G163" i="41"/>
  <c r="I164" i="41"/>
  <c r="E164" i="41"/>
  <c r="D176" i="41"/>
  <c r="G164" i="41"/>
  <c r="D184" i="41"/>
  <c r="I172" i="41"/>
  <c r="E172" i="41"/>
  <c r="G172" i="41"/>
  <c r="D189" i="41"/>
  <c r="I177" i="41"/>
  <c r="E177" i="41"/>
  <c r="G177" i="41"/>
  <c r="D173" i="41"/>
  <c r="I161" i="41"/>
  <c r="E161" i="41"/>
  <c r="G161" i="41"/>
  <c r="I169" i="41"/>
  <c r="E169" i="41"/>
  <c r="D181" i="41"/>
  <c r="G169" i="41"/>
  <c r="D195" i="41"/>
  <c r="I183" i="41"/>
  <c r="E183" i="41"/>
  <c r="G183" i="41"/>
  <c r="D178" i="41"/>
  <c r="I166" i="41"/>
  <c r="E166" i="41"/>
  <c r="G166" i="41"/>
  <c r="D182" i="41"/>
  <c r="I170" i="41"/>
  <c r="E170" i="41"/>
  <c r="G170" i="41"/>
  <c r="I168" i="41"/>
  <c r="E168" i="41"/>
  <c r="D180" i="41"/>
  <c r="G168" i="41"/>
  <c r="D174" i="41"/>
  <c r="I162" i="41"/>
  <c r="E162" i="41"/>
  <c r="G162" i="41"/>
  <c r="D179" i="41"/>
  <c r="I167" i="41"/>
  <c r="E167" i="41"/>
  <c r="G167" i="41"/>
  <c r="Q205" i="40"/>
  <c r="P205" i="40"/>
  <c r="P208" i="40"/>
  <c r="Q208" i="40"/>
  <c r="P191" i="40"/>
  <c r="Q191" i="40"/>
  <c r="Q180" i="40"/>
  <c r="P180" i="40"/>
  <c r="Q206" i="40"/>
  <c r="P206" i="40"/>
  <c r="Q187" i="40"/>
  <c r="P187" i="40"/>
  <c r="P173" i="40"/>
  <c r="Q173" i="40"/>
  <c r="Q159" i="40"/>
  <c r="P159" i="40"/>
  <c r="Q178" i="40"/>
  <c r="P178" i="40"/>
  <c r="P152" i="40"/>
  <c r="Q152" i="40"/>
  <c r="P150" i="40"/>
  <c r="Q150" i="40"/>
  <c r="Q153" i="40"/>
  <c r="P153" i="40"/>
  <c r="G138" i="40"/>
  <c r="I138" i="40"/>
  <c r="E138" i="40"/>
  <c r="D150" i="40"/>
  <c r="L158" i="40"/>
  <c r="D143" i="40"/>
  <c r="G131" i="40"/>
  <c r="E131" i="40"/>
  <c r="I131" i="40"/>
  <c r="L148" i="40"/>
  <c r="D149" i="40"/>
  <c r="G137" i="40"/>
  <c r="E137" i="40"/>
  <c r="I137" i="40"/>
  <c r="G128" i="40"/>
  <c r="I128" i="40"/>
  <c r="D140" i="40"/>
  <c r="E128" i="40"/>
  <c r="L147" i="40"/>
  <c r="D145" i="40"/>
  <c r="E133" i="40"/>
  <c r="I133" i="40"/>
  <c r="G133" i="40"/>
  <c r="L145" i="40"/>
  <c r="L139" i="40"/>
  <c r="I130" i="40"/>
  <c r="E130" i="40"/>
  <c r="G130" i="40"/>
  <c r="D142" i="40"/>
  <c r="D156" i="40"/>
  <c r="I144" i="40"/>
  <c r="E144" i="40"/>
  <c r="G144" i="40"/>
  <c r="L137" i="40"/>
  <c r="D147" i="40"/>
  <c r="I135" i="40"/>
  <c r="G135" i="40"/>
  <c r="E135" i="40"/>
  <c r="L144" i="40"/>
  <c r="I134" i="40"/>
  <c r="E134" i="40"/>
  <c r="G134" i="40"/>
  <c r="D146" i="40"/>
  <c r="L141" i="40"/>
  <c r="L138" i="40"/>
  <c r="G136" i="40"/>
  <c r="I136" i="40"/>
  <c r="E136" i="40"/>
  <c r="D148" i="40"/>
  <c r="L143" i="40"/>
  <c r="D141" i="40"/>
  <c r="E129" i="40"/>
  <c r="I129" i="40"/>
  <c r="G129" i="40"/>
  <c r="D139" i="40"/>
  <c r="E127" i="40"/>
  <c r="I127" i="40"/>
  <c r="G127" i="40"/>
  <c r="L140" i="40"/>
  <c r="L154" i="40"/>
  <c r="O57" i="8"/>
  <c r="O56" i="8"/>
  <c r="O55" i="8"/>
  <c r="O54" i="8"/>
  <c r="O53" i="8"/>
  <c r="O52" i="8"/>
  <c r="O51" i="8"/>
  <c r="O50" i="8"/>
  <c r="O49" i="8"/>
  <c r="O48" i="8"/>
  <c r="O47" i="8"/>
  <c r="O46" i="8"/>
  <c r="O45" i="8"/>
  <c r="O44" i="8"/>
  <c r="O43" i="8"/>
  <c r="O57" i="17"/>
  <c r="K57" i="17"/>
  <c r="O56" i="17"/>
  <c r="K56" i="17"/>
  <c r="O55" i="17"/>
  <c r="K55" i="17"/>
  <c r="O54" i="17"/>
  <c r="K54" i="17"/>
  <c r="O53" i="17"/>
  <c r="K53" i="17"/>
  <c r="O52" i="17"/>
  <c r="K52" i="17"/>
  <c r="O51" i="17"/>
  <c r="K51" i="17"/>
  <c r="O50" i="17"/>
  <c r="K50" i="17"/>
  <c r="O49" i="17"/>
  <c r="K49" i="17"/>
  <c r="O48" i="17"/>
  <c r="K48" i="17"/>
  <c r="O47" i="17"/>
  <c r="K47" i="17"/>
  <c r="O46" i="17"/>
  <c r="K46" i="17"/>
  <c r="O45" i="17"/>
  <c r="K45" i="17"/>
  <c r="O44" i="17"/>
  <c r="K44" i="17"/>
  <c r="O43" i="17"/>
  <c r="K43" i="17"/>
  <c r="K42" i="17"/>
  <c r="K41" i="17"/>
  <c r="K40" i="17"/>
  <c r="O57" i="2"/>
  <c r="K57" i="2"/>
  <c r="G57" i="2"/>
  <c r="O56" i="2"/>
  <c r="K56" i="2"/>
  <c r="G56" i="2"/>
  <c r="O55" i="2"/>
  <c r="K55" i="2"/>
  <c r="G55" i="2"/>
  <c r="O54" i="2"/>
  <c r="K54" i="2"/>
  <c r="G54" i="2"/>
  <c r="O53" i="2"/>
  <c r="K53" i="2"/>
  <c r="G53" i="2"/>
  <c r="O52" i="2"/>
  <c r="K52" i="2"/>
  <c r="G52" i="2"/>
  <c r="O51" i="2"/>
  <c r="K51" i="2"/>
  <c r="G51" i="2"/>
  <c r="O50" i="2"/>
  <c r="K50" i="2"/>
  <c r="G50" i="2"/>
  <c r="O49" i="2"/>
  <c r="K49" i="2"/>
  <c r="G49" i="2"/>
  <c r="O48" i="2"/>
  <c r="K48" i="2"/>
  <c r="G48" i="2"/>
  <c r="O47" i="2"/>
  <c r="K47" i="2"/>
  <c r="G47" i="2"/>
  <c r="O46" i="2"/>
  <c r="K46" i="2"/>
  <c r="G46" i="2"/>
  <c r="O45" i="2"/>
  <c r="K45" i="2"/>
  <c r="G45" i="2"/>
  <c r="O44" i="2"/>
  <c r="K44" i="2"/>
  <c r="G44" i="2"/>
  <c r="O43" i="2"/>
  <c r="K43" i="2"/>
  <c r="G43" i="2"/>
  <c r="K42" i="2"/>
  <c r="G42" i="2"/>
  <c r="K41" i="2"/>
  <c r="G41" i="2"/>
  <c r="K40" i="2"/>
  <c r="G40" i="2"/>
  <c r="R219" i="36" l="1"/>
  <c r="R220" i="36"/>
  <c r="R221" i="36"/>
  <c r="R222" i="36"/>
  <c r="R223" i="36"/>
  <c r="R224" i="36"/>
  <c r="R225" i="36"/>
  <c r="R226" i="36"/>
  <c r="R227" i="36"/>
  <c r="R228" i="36"/>
  <c r="R229" i="36"/>
  <c r="R230" i="36"/>
  <c r="R231" i="36"/>
  <c r="R232" i="36"/>
  <c r="R233" i="36"/>
  <c r="R234" i="36"/>
  <c r="R235" i="36"/>
  <c r="R236" i="36"/>
  <c r="R237" i="36"/>
  <c r="R238" i="36"/>
  <c r="R239" i="36"/>
  <c r="R240" i="36"/>
  <c r="R241" i="36"/>
  <c r="R242" i="36"/>
  <c r="R243" i="36"/>
  <c r="R244" i="36"/>
  <c r="R245" i="36"/>
  <c r="R218" i="36"/>
  <c r="R246" i="36"/>
  <c r="R247" i="36"/>
  <c r="R248" i="36"/>
  <c r="R249" i="36"/>
  <c r="R250" i="36"/>
  <c r="R251" i="36"/>
  <c r="R252" i="36"/>
  <c r="R253" i="36"/>
  <c r="R254" i="36"/>
  <c r="R255" i="36"/>
  <c r="R256" i="36"/>
  <c r="R257" i="36"/>
  <c r="R258" i="36"/>
  <c r="R259" i="36"/>
  <c r="R260" i="36"/>
  <c r="R261" i="36"/>
  <c r="R262" i="36"/>
  <c r="R264" i="36"/>
  <c r="R266" i="36"/>
  <c r="R263" i="36"/>
  <c r="R265" i="36"/>
  <c r="Q219" i="36"/>
  <c r="Q220" i="36"/>
  <c r="Q221" i="36"/>
  <c r="Q222" i="36"/>
  <c r="Q223" i="36"/>
  <c r="Q224" i="36"/>
  <c r="Q225" i="36"/>
  <c r="Q226" i="36"/>
  <c r="Q227" i="36"/>
  <c r="Q228" i="36"/>
  <c r="Q229" i="36"/>
  <c r="Q230" i="36"/>
  <c r="Q231" i="36"/>
  <c r="Q232" i="36"/>
  <c r="Q233" i="36"/>
  <c r="Q234" i="36"/>
  <c r="Q235" i="36"/>
  <c r="Q236" i="36"/>
  <c r="Q237" i="36"/>
  <c r="Q238" i="36"/>
  <c r="Q239" i="36"/>
  <c r="Q240" i="36"/>
  <c r="Q241" i="36"/>
  <c r="Q242" i="36"/>
  <c r="Q243" i="36"/>
  <c r="Q244" i="36"/>
  <c r="Q245" i="36"/>
  <c r="Q246" i="36"/>
  <c r="Q247" i="36"/>
  <c r="Q248" i="36"/>
  <c r="Q249" i="36"/>
  <c r="Q250" i="36"/>
  <c r="Q251" i="36"/>
  <c r="Q252" i="36"/>
  <c r="Q253" i="36"/>
  <c r="Q254" i="36"/>
  <c r="Q255" i="36"/>
  <c r="Q256" i="36"/>
  <c r="Q257" i="36"/>
  <c r="Q258" i="36"/>
  <c r="Q259" i="36"/>
  <c r="Q260" i="36"/>
  <c r="Q261" i="36"/>
  <c r="Q262" i="36"/>
  <c r="Q263" i="36"/>
  <c r="Q264" i="36"/>
  <c r="Q265" i="36"/>
  <c r="Q266" i="36"/>
  <c r="Q218" i="36"/>
  <c r="S12" i="43"/>
  <c r="S6" i="43"/>
  <c r="S10" i="43"/>
  <c r="S8" i="43"/>
  <c r="S16" i="43"/>
  <c r="S14" i="43"/>
  <c r="S5" i="43"/>
  <c r="S11" i="43"/>
  <c r="S9" i="43"/>
  <c r="S15" i="43"/>
  <c r="S7" i="43"/>
  <c r="S13" i="43"/>
  <c r="S67" i="43"/>
  <c r="S66" i="43"/>
  <c r="S65" i="43"/>
  <c r="S68" i="43"/>
  <c r="S70" i="43"/>
  <c r="S72" i="43"/>
  <c r="S74" i="43"/>
  <c r="S76" i="43"/>
  <c r="S69" i="43"/>
  <c r="S71" i="43"/>
  <c r="S73" i="43"/>
  <c r="S75" i="43"/>
  <c r="R125" i="43"/>
  <c r="R127" i="43"/>
  <c r="R129" i="43"/>
  <c r="R131" i="43"/>
  <c r="R126" i="43"/>
  <c r="R136" i="43"/>
  <c r="R134" i="43"/>
  <c r="R130" i="43"/>
  <c r="R132" i="43"/>
  <c r="R135" i="43"/>
  <c r="R128" i="43"/>
  <c r="R133" i="43"/>
  <c r="R178" i="40"/>
  <c r="R179" i="43"/>
  <c r="R184" i="43"/>
  <c r="R183" i="43"/>
  <c r="R182" i="43"/>
  <c r="R181" i="43"/>
  <c r="R180" i="43"/>
  <c r="R178" i="43"/>
  <c r="R174" i="43"/>
  <c r="R176" i="43"/>
  <c r="R173" i="43"/>
  <c r="R175" i="43"/>
  <c r="R177" i="43"/>
  <c r="R231" i="43"/>
  <c r="R227" i="43"/>
  <c r="R232" i="43"/>
  <c r="R230" i="43"/>
  <c r="R228" i="43"/>
  <c r="R223" i="43"/>
  <c r="R224" i="43"/>
  <c r="R229" i="43"/>
  <c r="R226" i="43"/>
  <c r="R225" i="43"/>
  <c r="R221" i="43"/>
  <c r="R222" i="43"/>
  <c r="S257" i="43"/>
  <c r="S260" i="43"/>
  <c r="S261" i="43"/>
  <c r="S266" i="43"/>
  <c r="S268" i="43"/>
  <c r="S263" i="43"/>
  <c r="S259" i="43"/>
  <c r="S258" i="43"/>
  <c r="S264" i="43"/>
  <c r="S262" i="43"/>
  <c r="S267" i="43"/>
  <c r="S265" i="43"/>
  <c r="X14" i="8"/>
  <c r="H52" i="43"/>
  <c r="J52" i="43" s="1"/>
  <c r="AD52" i="43" s="1"/>
  <c r="AE52" i="43" s="1"/>
  <c r="H42" i="43"/>
  <c r="J42" i="43" s="1"/>
  <c r="AD42" i="43" s="1"/>
  <c r="AE42" i="43" s="1"/>
  <c r="H44" i="43"/>
  <c r="J44" i="43" s="1"/>
  <c r="AD44" i="43" s="1"/>
  <c r="AE44" i="43" s="1"/>
  <c r="H46" i="43"/>
  <c r="J46" i="43" s="1"/>
  <c r="AD46" i="43" s="1"/>
  <c r="AE46" i="43" s="1"/>
  <c r="H48" i="43"/>
  <c r="J48" i="43" s="1"/>
  <c r="AD48" i="43" s="1"/>
  <c r="AE48" i="43" s="1"/>
  <c r="H41" i="43"/>
  <c r="J41" i="43" s="1"/>
  <c r="H47" i="43"/>
  <c r="J47" i="43" s="1"/>
  <c r="AD47" i="43" s="1"/>
  <c r="AE47" i="43" s="1"/>
  <c r="H45" i="43"/>
  <c r="J45" i="43" s="1"/>
  <c r="AD45" i="43" s="1"/>
  <c r="AE45" i="43" s="1"/>
  <c r="H43" i="43"/>
  <c r="J43" i="43" s="1"/>
  <c r="AD43" i="43" s="1"/>
  <c r="AE43" i="43" s="1"/>
  <c r="H50" i="43"/>
  <c r="J50" i="43" s="1"/>
  <c r="AD50" i="43" s="1"/>
  <c r="AE50" i="43" s="1"/>
  <c r="H49" i="43"/>
  <c r="J49" i="43" s="1"/>
  <c r="AD49" i="43" s="1"/>
  <c r="AE49" i="43" s="1"/>
  <c r="H51" i="43"/>
  <c r="J51" i="43" s="1"/>
  <c r="AD51" i="43" s="1"/>
  <c r="AE51" i="43" s="1"/>
  <c r="K278" i="43"/>
  <c r="X15" i="8"/>
  <c r="H57" i="43"/>
  <c r="H56" i="43"/>
  <c r="H60" i="43"/>
  <c r="H53" i="43"/>
  <c r="H54" i="43"/>
  <c r="H55" i="43"/>
  <c r="H59" i="43"/>
  <c r="H62" i="43"/>
  <c r="H61" i="43"/>
  <c r="H64" i="43"/>
  <c r="H58" i="43"/>
  <c r="H63" i="43"/>
  <c r="K279" i="43"/>
  <c r="S86" i="43"/>
  <c r="S82" i="43"/>
  <c r="S85" i="43"/>
  <c r="S81" i="43"/>
  <c r="S88" i="43"/>
  <c r="S87" i="43"/>
  <c r="S83" i="43"/>
  <c r="S79" i="43"/>
  <c r="S78" i="43"/>
  <c r="S77" i="43"/>
  <c r="S80" i="43"/>
  <c r="S84" i="43"/>
  <c r="R92" i="43"/>
  <c r="R94" i="43"/>
  <c r="R96" i="43"/>
  <c r="R99" i="43"/>
  <c r="R98" i="43"/>
  <c r="R90" i="43"/>
  <c r="R93" i="43"/>
  <c r="R95" i="43"/>
  <c r="R100" i="43"/>
  <c r="R89" i="43"/>
  <c r="R91" i="43"/>
  <c r="R97" i="43"/>
  <c r="F90" i="43"/>
  <c r="F95" i="43"/>
  <c r="F97" i="43"/>
  <c r="F100" i="43"/>
  <c r="F94" i="43"/>
  <c r="F91" i="43"/>
  <c r="F98" i="43"/>
  <c r="F89" i="43"/>
  <c r="F99" i="43"/>
  <c r="F96" i="43"/>
  <c r="F92" i="43"/>
  <c r="F93" i="43"/>
  <c r="X19" i="8"/>
  <c r="H107" i="43"/>
  <c r="H111" i="43"/>
  <c r="H110" i="43"/>
  <c r="H105" i="43"/>
  <c r="H109" i="43"/>
  <c r="H103" i="43"/>
  <c r="H101" i="43"/>
  <c r="H102" i="43"/>
  <c r="H104" i="43"/>
  <c r="H108" i="43"/>
  <c r="H112" i="43"/>
  <c r="H106" i="43"/>
  <c r="K283" i="43"/>
  <c r="S136" i="43"/>
  <c r="S135" i="43"/>
  <c r="S131" i="43"/>
  <c r="S127" i="43"/>
  <c r="S126" i="43"/>
  <c r="S125" i="43"/>
  <c r="S134" i="43"/>
  <c r="S130" i="43"/>
  <c r="S133" i="43"/>
  <c r="S129" i="43"/>
  <c r="S132" i="43"/>
  <c r="S128" i="43"/>
  <c r="R148" i="43"/>
  <c r="R147" i="43"/>
  <c r="R146" i="43"/>
  <c r="R145" i="43"/>
  <c r="R144" i="43"/>
  <c r="R143" i="43"/>
  <c r="R142" i="43"/>
  <c r="R139" i="43"/>
  <c r="R141" i="43"/>
  <c r="R140" i="43"/>
  <c r="R137" i="43"/>
  <c r="R138" i="43"/>
  <c r="F138" i="40"/>
  <c r="F137" i="43"/>
  <c r="F148" i="43"/>
  <c r="F146" i="43"/>
  <c r="F143" i="43"/>
  <c r="F141" i="43"/>
  <c r="F147" i="43"/>
  <c r="F142" i="43"/>
  <c r="F144" i="43"/>
  <c r="F140" i="43"/>
  <c r="F145" i="43"/>
  <c r="F139" i="43"/>
  <c r="F138" i="43"/>
  <c r="X23" i="8"/>
  <c r="H150" i="43"/>
  <c r="H151" i="43"/>
  <c r="H149" i="43"/>
  <c r="H154" i="43"/>
  <c r="H153" i="43"/>
  <c r="H156" i="43"/>
  <c r="H157" i="43"/>
  <c r="H152" i="43"/>
  <c r="H160" i="43"/>
  <c r="H159" i="43"/>
  <c r="H158" i="43"/>
  <c r="H155" i="43"/>
  <c r="K287" i="43"/>
  <c r="S178" i="40"/>
  <c r="S180" i="43"/>
  <c r="S178" i="43"/>
  <c r="S179" i="43"/>
  <c r="S173" i="43"/>
  <c r="S175" i="43"/>
  <c r="S177" i="43"/>
  <c r="S182" i="43"/>
  <c r="S184" i="43"/>
  <c r="S174" i="43"/>
  <c r="S176" i="43"/>
  <c r="S181" i="43"/>
  <c r="S183" i="43"/>
  <c r="R186" i="43"/>
  <c r="R188" i="43"/>
  <c r="R190" i="43"/>
  <c r="R192" i="43"/>
  <c r="R194" i="43"/>
  <c r="R196" i="43"/>
  <c r="R185" i="43"/>
  <c r="R187" i="43"/>
  <c r="R189" i="43"/>
  <c r="R191" i="43"/>
  <c r="R193" i="43"/>
  <c r="R195" i="43"/>
  <c r="F190" i="43"/>
  <c r="F185" i="43"/>
  <c r="F191" i="43"/>
  <c r="F196" i="43"/>
  <c r="F186" i="43"/>
  <c r="F189" i="43"/>
  <c r="F194" i="43"/>
  <c r="F187" i="43"/>
  <c r="F188" i="43"/>
  <c r="F193" i="43"/>
  <c r="F195" i="43"/>
  <c r="F192" i="43"/>
  <c r="X27" i="8"/>
  <c r="H199" i="43"/>
  <c r="H200" i="43"/>
  <c r="H208" i="43"/>
  <c r="H201" i="43"/>
  <c r="H205" i="43"/>
  <c r="H203" i="43"/>
  <c r="H206" i="43"/>
  <c r="H202" i="43"/>
  <c r="H207" i="43"/>
  <c r="H197" i="43"/>
  <c r="H198" i="43"/>
  <c r="H204" i="43"/>
  <c r="K291" i="43"/>
  <c r="S231" i="43"/>
  <c r="S227" i="43"/>
  <c r="S230" i="43"/>
  <c r="S226" i="43"/>
  <c r="S223" i="43"/>
  <c r="S222" i="43"/>
  <c r="S225" i="43"/>
  <c r="S224" i="43"/>
  <c r="S221" i="43"/>
  <c r="S228" i="43"/>
  <c r="S229" i="43"/>
  <c r="S232" i="43"/>
  <c r="R238" i="43"/>
  <c r="R233" i="43"/>
  <c r="R242" i="43"/>
  <c r="R237" i="43"/>
  <c r="R241" i="43"/>
  <c r="R235" i="43"/>
  <c r="R236" i="43"/>
  <c r="R240" i="43"/>
  <c r="R243" i="43"/>
  <c r="R234" i="43"/>
  <c r="R239" i="43"/>
  <c r="R244" i="43"/>
  <c r="F244" i="43"/>
  <c r="F242" i="43"/>
  <c r="F239" i="43"/>
  <c r="F235" i="43"/>
  <c r="F240" i="43"/>
  <c r="F237" i="43"/>
  <c r="F241" i="43"/>
  <c r="F234" i="43"/>
  <c r="F236" i="43"/>
  <c r="F243" i="43"/>
  <c r="F233" i="43"/>
  <c r="F238" i="43"/>
  <c r="X31" i="8"/>
  <c r="H248" i="43"/>
  <c r="H251" i="43"/>
  <c r="H252" i="43"/>
  <c r="H254" i="43"/>
  <c r="H245" i="43"/>
  <c r="H250" i="43"/>
  <c r="H255" i="43"/>
  <c r="H256" i="43"/>
  <c r="H249" i="43"/>
  <c r="H246" i="43"/>
  <c r="H247" i="43"/>
  <c r="H253" i="43"/>
  <c r="K295" i="43"/>
  <c r="F80" i="43"/>
  <c r="F77" i="43"/>
  <c r="F83" i="43"/>
  <c r="F88" i="43"/>
  <c r="F87" i="43"/>
  <c r="F78" i="43"/>
  <c r="F82" i="43"/>
  <c r="F86" i="43"/>
  <c r="F79" i="43"/>
  <c r="F84" i="43"/>
  <c r="F81" i="43"/>
  <c r="F85" i="43"/>
  <c r="S116" i="43"/>
  <c r="S115" i="43"/>
  <c r="S114" i="43"/>
  <c r="S113" i="43"/>
  <c r="S117" i="43"/>
  <c r="S119" i="43"/>
  <c r="S118" i="43"/>
  <c r="S121" i="43"/>
  <c r="S120" i="43"/>
  <c r="S122" i="43"/>
  <c r="S124" i="43"/>
  <c r="S123" i="43"/>
  <c r="F128" i="40"/>
  <c r="F134" i="43"/>
  <c r="F126" i="43"/>
  <c r="F136" i="43"/>
  <c r="F132" i="43"/>
  <c r="F135" i="43"/>
  <c r="F127" i="43"/>
  <c r="F130" i="43"/>
  <c r="F125" i="43"/>
  <c r="F131" i="43"/>
  <c r="F128" i="43"/>
  <c r="F133" i="43"/>
  <c r="F129" i="43"/>
  <c r="S172" i="43"/>
  <c r="S171" i="43"/>
  <c r="S170" i="43"/>
  <c r="S169" i="43"/>
  <c r="S168" i="43"/>
  <c r="S167" i="43"/>
  <c r="S164" i="43"/>
  <c r="S163" i="43"/>
  <c r="S162" i="43"/>
  <c r="S161" i="43"/>
  <c r="S165" i="43"/>
  <c r="S166" i="43"/>
  <c r="F183" i="41"/>
  <c r="F183" i="43"/>
  <c r="F182" i="43"/>
  <c r="F176" i="43"/>
  <c r="F178" i="43"/>
  <c r="F174" i="43"/>
  <c r="F177" i="43"/>
  <c r="F173" i="43"/>
  <c r="F181" i="43"/>
  <c r="F180" i="43"/>
  <c r="F175" i="43"/>
  <c r="F179" i="43"/>
  <c r="F184" i="43"/>
  <c r="X30" i="8"/>
  <c r="H233" i="43"/>
  <c r="H238" i="43"/>
  <c r="H244" i="43"/>
  <c r="H241" i="43"/>
  <c r="H236" i="43"/>
  <c r="H237" i="43"/>
  <c r="H239" i="43"/>
  <c r="H234" i="43"/>
  <c r="H240" i="43"/>
  <c r="H242" i="43"/>
  <c r="H235" i="43"/>
  <c r="H243" i="43"/>
  <c r="K294" i="43"/>
  <c r="S36" i="43"/>
  <c r="S32" i="43"/>
  <c r="S40" i="43"/>
  <c r="S30" i="43"/>
  <c r="S38" i="43"/>
  <c r="S34" i="43"/>
  <c r="S29" i="43"/>
  <c r="S31" i="43"/>
  <c r="S33" i="43"/>
  <c r="S35" i="43"/>
  <c r="S37" i="43"/>
  <c r="S39" i="43"/>
  <c r="R50" i="43"/>
  <c r="R42" i="43"/>
  <c r="R49" i="43"/>
  <c r="R46" i="43"/>
  <c r="R44" i="43"/>
  <c r="R41" i="43"/>
  <c r="R52" i="43"/>
  <c r="R51" i="43"/>
  <c r="R47" i="43"/>
  <c r="R45" i="43"/>
  <c r="R43" i="43"/>
  <c r="R48" i="43"/>
  <c r="R56" i="43"/>
  <c r="R53" i="43"/>
  <c r="R55" i="43"/>
  <c r="R54" i="43"/>
  <c r="R61" i="43"/>
  <c r="R58" i="43"/>
  <c r="R62" i="43"/>
  <c r="R63" i="43"/>
  <c r="R64" i="43"/>
  <c r="R59" i="43"/>
  <c r="R57" i="43"/>
  <c r="R60" i="43"/>
  <c r="F60" i="43"/>
  <c r="F54" i="43"/>
  <c r="J54" i="43" s="1"/>
  <c r="AD54" i="43" s="1"/>
  <c r="AE54" i="43" s="1"/>
  <c r="F56" i="43"/>
  <c r="J56" i="43" s="1"/>
  <c r="AD56" i="43" s="1"/>
  <c r="AE56" i="43" s="1"/>
  <c r="F53" i="43"/>
  <c r="F55" i="43"/>
  <c r="F57" i="43"/>
  <c r="J57" i="43" s="1"/>
  <c r="AD57" i="43" s="1"/>
  <c r="AE57" i="43" s="1"/>
  <c r="F58" i="43"/>
  <c r="F62" i="43"/>
  <c r="F61" i="43"/>
  <c r="F59" i="43"/>
  <c r="F64" i="43"/>
  <c r="J64" i="43" s="1"/>
  <c r="AD64" i="43" s="1"/>
  <c r="AE64" i="43" s="1"/>
  <c r="F63" i="43"/>
  <c r="X16" i="8"/>
  <c r="H65" i="43"/>
  <c r="H67" i="43"/>
  <c r="H72" i="43"/>
  <c r="H73" i="43"/>
  <c r="H75" i="43"/>
  <c r="H70" i="43"/>
  <c r="H76" i="43"/>
  <c r="H71" i="43"/>
  <c r="H69" i="43"/>
  <c r="H74" i="43"/>
  <c r="H68" i="43"/>
  <c r="H66" i="43"/>
  <c r="K280" i="43"/>
  <c r="S100" i="43"/>
  <c r="S99" i="43"/>
  <c r="S95" i="43"/>
  <c r="S91" i="43"/>
  <c r="S98" i="43"/>
  <c r="S94" i="43"/>
  <c r="S97" i="43"/>
  <c r="S93" i="43"/>
  <c r="S92" i="43"/>
  <c r="S96" i="43"/>
  <c r="S90" i="43"/>
  <c r="S89" i="43"/>
  <c r="R101" i="43"/>
  <c r="R107" i="43"/>
  <c r="R103" i="43"/>
  <c r="R110" i="43"/>
  <c r="R106" i="43"/>
  <c r="R102" i="43"/>
  <c r="R108" i="43"/>
  <c r="R104" i="43"/>
  <c r="R109" i="43"/>
  <c r="R105" i="43"/>
  <c r="R112" i="43"/>
  <c r="R111" i="43"/>
  <c r="F107" i="43"/>
  <c r="F103" i="43"/>
  <c r="F105" i="43"/>
  <c r="F109" i="43"/>
  <c r="F101" i="43"/>
  <c r="F111" i="43"/>
  <c r="F110" i="43"/>
  <c r="F106" i="43"/>
  <c r="F112" i="43"/>
  <c r="F102" i="43"/>
  <c r="F104" i="43"/>
  <c r="F108" i="43"/>
  <c r="X20" i="8"/>
  <c r="K284" i="43"/>
  <c r="S148" i="43"/>
  <c r="S147" i="43"/>
  <c r="S146" i="43"/>
  <c r="S145" i="43"/>
  <c r="S144" i="43"/>
  <c r="S143" i="43"/>
  <c r="S142" i="43"/>
  <c r="S141" i="43"/>
  <c r="S140" i="43"/>
  <c r="S137" i="43"/>
  <c r="S139" i="43"/>
  <c r="S138" i="43"/>
  <c r="R159" i="40"/>
  <c r="R149" i="43"/>
  <c r="R152" i="43"/>
  <c r="R157" i="43"/>
  <c r="R160" i="43"/>
  <c r="R150" i="43"/>
  <c r="R155" i="43"/>
  <c r="R158" i="43"/>
  <c r="R153" i="43"/>
  <c r="R156" i="43"/>
  <c r="R154" i="43"/>
  <c r="R159" i="43"/>
  <c r="R151" i="43"/>
  <c r="F150" i="43"/>
  <c r="F151" i="43"/>
  <c r="F149" i="43"/>
  <c r="F158" i="43"/>
  <c r="J158" i="43" s="1"/>
  <c r="AD158" i="43" s="1"/>
  <c r="AE158" i="43" s="1"/>
  <c r="F155" i="43"/>
  <c r="J155" i="43" s="1"/>
  <c r="AD155" i="43" s="1"/>
  <c r="AE155" i="43" s="1"/>
  <c r="F160" i="43"/>
  <c r="J160" i="43" s="1"/>
  <c r="AD160" i="43" s="1"/>
  <c r="AE160" i="43" s="1"/>
  <c r="F154" i="43"/>
  <c r="J154" i="43" s="1"/>
  <c r="AD154" i="43" s="1"/>
  <c r="AE154" i="43" s="1"/>
  <c r="F153" i="43"/>
  <c r="F156" i="43"/>
  <c r="F157" i="43"/>
  <c r="F159" i="43"/>
  <c r="J159" i="43" s="1"/>
  <c r="AD159" i="43" s="1"/>
  <c r="AE159" i="43" s="1"/>
  <c r="F152" i="43"/>
  <c r="H164" i="43"/>
  <c r="H168" i="43"/>
  <c r="H166" i="43"/>
  <c r="H162" i="43"/>
  <c r="H165" i="43"/>
  <c r="H172" i="43"/>
  <c r="H167" i="43"/>
  <c r="H161" i="43"/>
  <c r="H171" i="43"/>
  <c r="H169" i="43"/>
  <c r="H163" i="43"/>
  <c r="H170" i="43"/>
  <c r="K288" i="43"/>
  <c r="S187" i="40"/>
  <c r="S185" i="43"/>
  <c r="S187" i="43"/>
  <c r="S189" i="43"/>
  <c r="S191" i="43"/>
  <c r="S193" i="43"/>
  <c r="S195" i="43"/>
  <c r="S186" i="43"/>
  <c r="S188" i="43"/>
  <c r="S190" i="43"/>
  <c r="S192" i="43"/>
  <c r="S194" i="43"/>
  <c r="S196" i="43"/>
  <c r="R208" i="40"/>
  <c r="R203" i="43"/>
  <c r="R197" i="43"/>
  <c r="R199" i="43"/>
  <c r="R208" i="43"/>
  <c r="R207" i="43"/>
  <c r="R206" i="43"/>
  <c r="R205" i="43"/>
  <c r="R201" i="43"/>
  <c r="R204" i="43"/>
  <c r="R198" i="43"/>
  <c r="R202" i="43"/>
  <c r="R200" i="43"/>
  <c r="F205" i="43"/>
  <c r="F206" i="43"/>
  <c r="F197" i="43"/>
  <c r="J197" i="43" s="1"/>
  <c r="F204" i="43"/>
  <c r="F199" i="43"/>
  <c r="F201" i="43"/>
  <c r="F198" i="43"/>
  <c r="F207" i="43"/>
  <c r="F208" i="43"/>
  <c r="F203" i="43"/>
  <c r="F202" i="43"/>
  <c r="J202" i="43" s="1"/>
  <c r="AD202" i="43" s="1"/>
  <c r="AE202" i="43" s="1"/>
  <c r="F200" i="43"/>
  <c r="X28" i="8"/>
  <c r="H211" i="43"/>
  <c r="H209" i="43"/>
  <c r="H219" i="43"/>
  <c r="H218" i="43"/>
  <c r="H217" i="43"/>
  <c r="H210" i="43"/>
  <c r="H213" i="43"/>
  <c r="H212" i="43"/>
  <c r="H215" i="43"/>
  <c r="H216" i="43"/>
  <c r="H214" i="43"/>
  <c r="H220" i="43"/>
  <c r="K292" i="43"/>
  <c r="S236" i="43"/>
  <c r="S233" i="43"/>
  <c r="S244" i="43"/>
  <c r="S240" i="43"/>
  <c r="S237" i="43"/>
  <c r="S241" i="43"/>
  <c r="S239" i="43"/>
  <c r="S238" i="43"/>
  <c r="S234" i="43"/>
  <c r="S235" i="43"/>
  <c r="S242" i="43"/>
  <c r="S243" i="43"/>
  <c r="R255" i="43"/>
  <c r="R256" i="43"/>
  <c r="R252" i="43"/>
  <c r="R248" i="43"/>
  <c r="R251" i="43"/>
  <c r="R247" i="43"/>
  <c r="R253" i="43"/>
  <c r="R250" i="43"/>
  <c r="R254" i="43"/>
  <c r="R246" i="43"/>
  <c r="R245" i="43"/>
  <c r="R249" i="43"/>
  <c r="F252" i="43"/>
  <c r="F245" i="43"/>
  <c r="J245" i="43" s="1"/>
  <c r="F246" i="43"/>
  <c r="J246" i="43" s="1"/>
  <c r="AD246" i="43" s="1"/>
  <c r="AE246" i="43" s="1"/>
  <c r="F247" i="43"/>
  <c r="J247" i="43" s="1"/>
  <c r="AD247" i="43" s="1"/>
  <c r="AE247" i="43" s="1"/>
  <c r="F249" i="43"/>
  <c r="F253" i="43"/>
  <c r="F256" i="43"/>
  <c r="F255" i="43"/>
  <c r="J255" i="43" s="1"/>
  <c r="AD255" i="43" s="1"/>
  <c r="AE255" i="43" s="1"/>
  <c r="F248" i="43"/>
  <c r="F250" i="43"/>
  <c r="F251" i="43"/>
  <c r="J251" i="43" s="1"/>
  <c r="AD251" i="43" s="1"/>
  <c r="AE251" i="43" s="1"/>
  <c r="F254" i="43"/>
  <c r="X32" i="8"/>
  <c r="H266" i="43"/>
  <c r="H260" i="43"/>
  <c r="H262" i="43"/>
  <c r="H261" i="43"/>
  <c r="H258" i="43"/>
  <c r="H264" i="43"/>
  <c r="H268" i="43"/>
  <c r="H263" i="43"/>
  <c r="H257" i="43"/>
  <c r="H259" i="43"/>
  <c r="H265" i="43"/>
  <c r="H267" i="43"/>
  <c r="K296" i="43"/>
  <c r="R77" i="43"/>
  <c r="R79" i="43"/>
  <c r="R81" i="43"/>
  <c r="R83" i="43"/>
  <c r="R86" i="43"/>
  <c r="R84" i="43"/>
  <c r="R87" i="43"/>
  <c r="R82" i="43"/>
  <c r="R78" i="43"/>
  <c r="R85" i="43"/>
  <c r="R80" i="43"/>
  <c r="R88" i="43"/>
  <c r="X18" i="8"/>
  <c r="H90" i="43"/>
  <c r="H91" i="43"/>
  <c r="H98" i="43"/>
  <c r="H89" i="43"/>
  <c r="H93" i="43"/>
  <c r="H95" i="43"/>
  <c r="H97" i="43"/>
  <c r="H100" i="43"/>
  <c r="H94" i="43"/>
  <c r="H99" i="43"/>
  <c r="H92" i="43"/>
  <c r="H96" i="43"/>
  <c r="K282" i="43"/>
  <c r="H145" i="43"/>
  <c r="H139" i="43"/>
  <c r="H147" i="43"/>
  <c r="H138" i="43"/>
  <c r="H148" i="43"/>
  <c r="H137" i="43"/>
  <c r="H143" i="43"/>
  <c r="H146" i="43"/>
  <c r="H141" i="43"/>
  <c r="H142" i="43"/>
  <c r="H144" i="43"/>
  <c r="H140" i="43"/>
  <c r="K286" i="43"/>
  <c r="X26" i="8"/>
  <c r="H192" i="43"/>
  <c r="H188" i="43"/>
  <c r="H193" i="43"/>
  <c r="H195" i="43"/>
  <c r="H191" i="43"/>
  <c r="H196" i="43"/>
  <c r="H190" i="43"/>
  <c r="H185" i="43"/>
  <c r="H186" i="43"/>
  <c r="H189" i="43"/>
  <c r="H194" i="43"/>
  <c r="H187" i="43"/>
  <c r="K290" i="43"/>
  <c r="S219" i="43"/>
  <c r="S217" i="43"/>
  <c r="S215" i="43"/>
  <c r="S213" i="43"/>
  <c r="S211" i="43"/>
  <c r="S209" i="43"/>
  <c r="S218" i="43"/>
  <c r="S214" i="43"/>
  <c r="S210" i="43"/>
  <c r="S220" i="43"/>
  <c r="S216" i="43"/>
  <c r="S212" i="43"/>
  <c r="F228" i="43"/>
  <c r="F229" i="43"/>
  <c r="F224" i="43"/>
  <c r="F231" i="43"/>
  <c r="F222" i="43"/>
  <c r="F221" i="43"/>
  <c r="F223" i="43"/>
  <c r="F226" i="43"/>
  <c r="F227" i="43"/>
  <c r="F232" i="43"/>
  <c r="F230" i="43"/>
  <c r="F225" i="43"/>
  <c r="S27" i="43"/>
  <c r="S23" i="43"/>
  <c r="S21" i="43"/>
  <c r="S19" i="43"/>
  <c r="S25" i="43"/>
  <c r="S17" i="43"/>
  <c r="S18" i="43"/>
  <c r="S20" i="43"/>
  <c r="S22" i="43"/>
  <c r="S24" i="43"/>
  <c r="S26" i="43"/>
  <c r="S28" i="43"/>
  <c r="S49" i="43"/>
  <c r="S46" i="43"/>
  <c r="S44" i="43"/>
  <c r="S41" i="43"/>
  <c r="S48" i="43"/>
  <c r="S50" i="43"/>
  <c r="S42" i="43"/>
  <c r="S51" i="43"/>
  <c r="S45" i="43"/>
  <c r="S47" i="43"/>
  <c r="S52" i="43"/>
  <c r="S43" i="43"/>
  <c r="S64" i="43"/>
  <c r="S63" i="43"/>
  <c r="S62" i="43"/>
  <c r="S61" i="43"/>
  <c r="S60" i="43"/>
  <c r="S59" i="43"/>
  <c r="S55" i="43"/>
  <c r="S57" i="43"/>
  <c r="S58" i="43"/>
  <c r="S54" i="43"/>
  <c r="S56" i="43"/>
  <c r="S53" i="43"/>
  <c r="R69" i="43"/>
  <c r="R71" i="43"/>
  <c r="R73" i="43"/>
  <c r="R75" i="43"/>
  <c r="R67" i="43"/>
  <c r="R70" i="43"/>
  <c r="R72" i="43"/>
  <c r="R74" i="43"/>
  <c r="R76" i="43"/>
  <c r="R65" i="43"/>
  <c r="R68" i="43"/>
  <c r="R66" i="43"/>
  <c r="F65" i="43"/>
  <c r="F68" i="43"/>
  <c r="J68" i="43" s="1"/>
  <c r="AD68" i="43" s="1"/>
  <c r="AE68" i="43" s="1"/>
  <c r="F76" i="43"/>
  <c r="F71" i="43"/>
  <c r="F69" i="43"/>
  <c r="F67" i="43"/>
  <c r="F74" i="43"/>
  <c r="F72" i="43"/>
  <c r="F66" i="43"/>
  <c r="F73" i="43"/>
  <c r="F75" i="43"/>
  <c r="F70" i="43"/>
  <c r="X17" i="8"/>
  <c r="H80" i="43"/>
  <c r="H86" i="43"/>
  <c r="H77" i="43"/>
  <c r="H83" i="43"/>
  <c r="H88" i="43"/>
  <c r="H78" i="43"/>
  <c r="H82" i="43"/>
  <c r="H79" i="43"/>
  <c r="H85" i="43"/>
  <c r="H87" i="43"/>
  <c r="H81" i="43"/>
  <c r="H84" i="43"/>
  <c r="K281" i="43"/>
  <c r="S112" i="43"/>
  <c r="S101" i="43"/>
  <c r="S102" i="43"/>
  <c r="S106" i="43"/>
  <c r="S110" i="43"/>
  <c r="S111" i="43"/>
  <c r="S103" i="43"/>
  <c r="S105" i="43"/>
  <c r="S107" i="43"/>
  <c r="S109" i="43"/>
  <c r="S104" i="43"/>
  <c r="S108" i="43"/>
  <c r="R114" i="43"/>
  <c r="R120" i="43"/>
  <c r="R115" i="43"/>
  <c r="R113" i="43"/>
  <c r="R116" i="43"/>
  <c r="R119" i="43"/>
  <c r="R122" i="43"/>
  <c r="R117" i="43"/>
  <c r="R121" i="43"/>
  <c r="R118" i="43"/>
  <c r="R124" i="43"/>
  <c r="R123" i="43"/>
  <c r="X21" i="8"/>
  <c r="H136" i="43"/>
  <c r="H129" i="43"/>
  <c r="H135" i="43"/>
  <c r="H128" i="43"/>
  <c r="H131" i="43"/>
  <c r="H125" i="43"/>
  <c r="H133" i="43"/>
  <c r="H132" i="43"/>
  <c r="H127" i="43"/>
  <c r="H126" i="43"/>
  <c r="H130" i="43"/>
  <c r="H134" i="43"/>
  <c r="K285" i="43"/>
  <c r="S149" i="43"/>
  <c r="S151" i="43"/>
  <c r="S153" i="43"/>
  <c r="S155" i="43"/>
  <c r="S157" i="43"/>
  <c r="S159" i="43"/>
  <c r="S150" i="43"/>
  <c r="S152" i="43"/>
  <c r="S154" i="43"/>
  <c r="S156" i="43"/>
  <c r="S158" i="43"/>
  <c r="S160" i="43"/>
  <c r="R169" i="43"/>
  <c r="R166" i="43"/>
  <c r="R170" i="43"/>
  <c r="R171" i="43"/>
  <c r="R167" i="43"/>
  <c r="R164" i="43"/>
  <c r="R163" i="43"/>
  <c r="R162" i="43"/>
  <c r="R161" i="43"/>
  <c r="R172" i="43"/>
  <c r="R168" i="43"/>
  <c r="R165" i="43"/>
  <c r="F165" i="43"/>
  <c r="F161" i="43"/>
  <c r="F167" i="43"/>
  <c r="F164" i="43"/>
  <c r="J164" i="43" s="1"/>
  <c r="AD164" i="43" s="1"/>
  <c r="AE164" i="43" s="1"/>
  <c r="F166" i="43"/>
  <c r="F162" i="43"/>
  <c r="F171" i="43"/>
  <c r="F169" i="43"/>
  <c r="F170" i="43"/>
  <c r="F168" i="43"/>
  <c r="F172" i="43"/>
  <c r="F163" i="43"/>
  <c r="X25" i="8"/>
  <c r="H183" i="43"/>
  <c r="H182" i="43"/>
  <c r="H176" i="43"/>
  <c r="H179" i="43"/>
  <c r="H174" i="43"/>
  <c r="H178" i="43"/>
  <c r="H173" i="43"/>
  <c r="H181" i="43"/>
  <c r="H180" i="43"/>
  <c r="H175" i="43"/>
  <c r="H184" i="43"/>
  <c r="H177" i="43"/>
  <c r="K289" i="43"/>
  <c r="S200" i="43"/>
  <c r="S199" i="43"/>
  <c r="S206" i="43"/>
  <c r="S208" i="43"/>
  <c r="S203" i="43"/>
  <c r="S198" i="43"/>
  <c r="S204" i="43"/>
  <c r="S205" i="43"/>
  <c r="S207" i="43"/>
  <c r="S202" i="43"/>
  <c r="S201" i="43"/>
  <c r="S197" i="43"/>
  <c r="R209" i="43"/>
  <c r="R211" i="43"/>
  <c r="R213" i="43"/>
  <c r="R215" i="43"/>
  <c r="R217" i="43"/>
  <c r="R219" i="43"/>
  <c r="R210" i="43"/>
  <c r="R212" i="43"/>
  <c r="R214" i="43"/>
  <c r="R216" i="43"/>
  <c r="R218" i="43"/>
  <c r="R220" i="43"/>
  <c r="F212" i="43"/>
  <c r="F220" i="43"/>
  <c r="J220" i="43" s="1"/>
  <c r="AD220" i="43" s="1"/>
  <c r="AE220" i="43" s="1"/>
  <c r="F215" i="43"/>
  <c r="J215" i="43" s="1"/>
  <c r="AD215" i="43" s="1"/>
  <c r="AE215" i="43" s="1"/>
  <c r="F213" i="43"/>
  <c r="F209" i="43"/>
  <c r="F218" i="43"/>
  <c r="J218" i="43" s="1"/>
  <c r="AD218" i="43" s="1"/>
  <c r="AE218" i="43" s="1"/>
  <c r="F210" i="43"/>
  <c r="F214" i="43"/>
  <c r="F211" i="43"/>
  <c r="F219" i="43"/>
  <c r="F217" i="43"/>
  <c r="J217" i="43" s="1"/>
  <c r="AD217" i="43" s="1"/>
  <c r="AE217" i="43" s="1"/>
  <c r="F216" i="43"/>
  <c r="J216" i="43" s="1"/>
  <c r="AD216" i="43" s="1"/>
  <c r="AE216" i="43" s="1"/>
  <c r="X29" i="8"/>
  <c r="H231" i="43"/>
  <c r="H224" i="43"/>
  <c r="H223" i="43"/>
  <c r="H226" i="43"/>
  <c r="H228" i="43"/>
  <c r="H229" i="43"/>
  <c r="H227" i="43"/>
  <c r="H230" i="43"/>
  <c r="H222" i="43"/>
  <c r="H221" i="43"/>
  <c r="H225" i="43"/>
  <c r="H232" i="43"/>
  <c r="K293" i="43"/>
  <c r="S250" i="43"/>
  <c r="S246" i="43"/>
  <c r="S251" i="43"/>
  <c r="S247" i="43"/>
  <c r="S255" i="43"/>
  <c r="S254" i="43"/>
  <c r="S248" i="43"/>
  <c r="S256" i="43"/>
  <c r="S245" i="43"/>
  <c r="S249" i="43"/>
  <c r="S253" i="43"/>
  <c r="S252" i="43"/>
  <c r="R265" i="43"/>
  <c r="R263" i="43"/>
  <c r="R257" i="43"/>
  <c r="R262" i="43"/>
  <c r="R267" i="43"/>
  <c r="R261" i="43"/>
  <c r="R258" i="43"/>
  <c r="R260" i="43"/>
  <c r="R266" i="43"/>
  <c r="R268" i="43"/>
  <c r="R264" i="43"/>
  <c r="R259" i="43"/>
  <c r="F262" i="43"/>
  <c r="J262" i="43" s="1"/>
  <c r="AD262" i="43" s="1"/>
  <c r="AE262" i="43" s="1"/>
  <c r="F257" i="43"/>
  <c r="F266" i="43"/>
  <c r="J266" i="43" s="1"/>
  <c r="AD266" i="43" s="1"/>
  <c r="AE266" i="43" s="1"/>
  <c r="F267" i="43"/>
  <c r="F264" i="43"/>
  <c r="F260" i="43"/>
  <c r="J260" i="43" s="1"/>
  <c r="AD260" i="43" s="1"/>
  <c r="AE260" i="43" s="1"/>
  <c r="F263" i="43"/>
  <c r="F258" i="43"/>
  <c r="F261" i="43"/>
  <c r="F268" i="43"/>
  <c r="F265" i="43"/>
  <c r="F259" i="43"/>
  <c r="J259" i="43" s="1"/>
  <c r="AD259" i="43" s="1"/>
  <c r="AE259" i="43" s="1"/>
  <c r="H144" i="40"/>
  <c r="X22" i="8"/>
  <c r="W31" i="8"/>
  <c r="H161" i="41"/>
  <c r="X24" i="8"/>
  <c r="W17" i="8"/>
  <c r="W21" i="8"/>
  <c r="W25" i="8"/>
  <c r="W29" i="8"/>
  <c r="W14" i="8"/>
  <c r="W18" i="8"/>
  <c r="W22" i="8"/>
  <c r="W26" i="8"/>
  <c r="W30" i="8"/>
  <c r="W15" i="8"/>
  <c r="W19" i="8"/>
  <c r="W23" i="8"/>
  <c r="W27" i="8"/>
  <c r="W16" i="8"/>
  <c r="W20" i="8"/>
  <c r="W24" i="8"/>
  <c r="W28" i="8"/>
  <c r="W32" i="8"/>
  <c r="K41" i="8"/>
  <c r="S18" i="42"/>
  <c r="S26" i="42"/>
  <c r="S27" i="42"/>
  <c r="S28" i="42"/>
  <c r="S22" i="42"/>
  <c r="S25" i="42"/>
  <c r="S20" i="42"/>
  <c r="S17" i="42"/>
  <c r="S19" i="42"/>
  <c r="S21" i="42"/>
  <c r="S23" i="42"/>
  <c r="S24" i="42"/>
  <c r="S27" i="41"/>
  <c r="S21" i="41"/>
  <c r="S19" i="41"/>
  <c r="S17" i="41"/>
  <c r="S28" i="41"/>
  <c r="S23" i="41"/>
  <c r="S25" i="41"/>
  <c r="S18" i="41"/>
  <c r="S26" i="41"/>
  <c r="S22" i="41"/>
  <c r="S24" i="41"/>
  <c r="S20" i="41"/>
  <c r="S24" i="40"/>
  <c r="S28" i="40"/>
  <c r="S20" i="40"/>
  <c r="S25" i="40"/>
  <c r="S27" i="40"/>
  <c r="S23" i="40"/>
  <c r="S22" i="40"/>
  <c r="S18" i="40"/>
  <c r="S19" i="40"/>
  <c r="S21" i="40"/>
  <c r="S26" i="40"/>
  <c r="S17" i="40"/>
  <c r="S28" i="38"/>
  <c r="S27" i="38"/>
  <c r="S26" i="38"/>
  <c r="S25" i="38"/>
  <c r="S24" i="38"/>
  <c r="S23" i="38"/>
  <c r="S22" i="38"/>
  <c r="S21" i="38"/>
  <c r="S20" i="38"/>
  <c r="S19" i="38"/>
  <c r="S18" i="38"/>
  <c r="S17" i="38"/>
  <c r="K43" i="8"/>
  <c r="S42" i="42"/>
  <c r="S43" i="42"/>
  <c r="S44" i="42"/>
  <c r="S41" i="42"/>
  <c r="S45" i="42"/>
  <c r="S46" i="42"/>
  <c r="S47" i="42"/>
  <c r="S48" i="42"/>
  <c r="S49" i="42"/>
  <c r="S50" i="42"/>
  <c r="S51" i="42"/>
  <c r="S52" i="42"/>
  <c r="S43" i="41"/>
  <c r="S51" i="41"/>
  <c r="S48" i="41"/>
  <c r="S52" i="41"/>
  <c r="S45" i="41"/>
  <c r="S46" i="41"/>
  <c r="S47" i="41"/>
  <c r="S44" i="41"/>
  <c r="S42" i="41"/>
  <c r="S41" i="41"/>
  <c r="S49" i="41"/>
  <c r="S50" i="41"/>
  <c r="S47" i="40"/>
  <c r="S50" i="40"/>
  <c r="S43" i="40"/>
  <c r="S52" i="40"/>
  <c r="S46" i="40"/>
  <c r="S49" i="40"/>
  <c r="S41" i="40"/>
  <c r="S48" i="40"/>
  <c r="S52" i="38"/>
  <c r="S51" i="38"/>
  <c r="S50" i="38"/>
  <c r="S49" i="38"/>
  <c r="S48" i="38"/>
  <c r="S47" i="38"/>
  <c r="S46" i="38"/>
  <c r="S45" i="38"/>
  <c r="S44" i="38"/>
  <c r="S43" i="38"/>
  <c r="S42" i="38"/>
  <c r="S41" i="38"/>
  <c r="S51" i="40"/>
  <c r="S44" i="40"/>
  <c r="S45" i="40"/>
  <c r="S42" i="40"/>
  <c r="K44" i="8"/>
  <c r="S57" i="42"/>
  <c r="S58" i="42"/>
  <c r="S54" i="42"/>
  <c r="S56" i="42"/>
  <c r="S55" i="42"/>
  <c r="S53" i="42"/>
  <c r="S59" i="42"/>
  <c r="S60" i="42"/>
  <c r="S61" i="42"/>
  <c r="S64" i="42"/>
  <c r="S62" i="42"/>
  <c r="S63" i="42"/>
  <c r="S55" i="41"/>
  <c r="S58" i="41"/>
  <c r="S63" i="41"/>
  <c r="S54" i="41"/>
  <c r="S53" i="41"/>
  <c r="S61" i="41"/>
  <c r="S56" i="41"/>
  <c r="S64" i="41"/>
  <c r="S59" i="41"/>
  <c r="S57" i="41"/>
  <c r="S60" i="41"/>
  <c r="S62" i="41"/>
  <c r="S59" i="40"/>
  <c r="S64" i="40"/>
  <c r="S62" i="40"/>
  <c r="S60" i="40"/>
  <c r="S61" i="40"/>
  <c r="S55" i="40"/>
  <c r="S53" i="40"/>
  <c r="S64" i="38"/>
  <c r="S63" i="38"/>
  <c r="S62" i="38"/>
  <c r="S61" i="38"/>
  <c r="S60" i="38"/>
  <c r="S59" i="38"/>
  <c r="S58" i="38"/>
  <c r="S57" i="38"/>
  <c r="S56" i="38"/>
  <c r="S55" i="38"/>
  <c r="S54" i="38"/>
  <c r="S53" i="38"/>
  <c r="S58" i="40"/>
  <c r="S63" i="40"/>
  <c r="S54" i="40"/>
  <c r="S56" i="40"/>
  <c r="S57" i="40"/>
  <c r="R65" i="42"/>
  <c r="R67" i="42"/>
  <c r="R72" i="42"/>
  <c r="R74" i="42"/>
  <c r="R71" i="42"/>
  <c r="R68" i="42"/>
  <c r="R75" i="42"/>
  <c r="R70" i="42"/>
  <c r="R76" i="42"/>
  <c r="R69" i="42"/>
  <c r="R73" i="42"/>
  <c r="R66" i="42"/>
  <c r="R68" i="41"/>
  <c r="R70" i="41"/>
  <c r="R72" i="41"/>
  <c r="R74" i="41"/>
  <c r="R65" i="41"/>
  <c r="R69" i="41"/>
  <c r="R76" i="41"/>
  <c r="R67" i="41"/>
  <c r="R71" i="41"/>
  <c r="R73" i="41"/>
  <c r="R66" i="41"/>
  <c r="R75" i="41"/>
  <c r="R73" i="40"/>
  <c r="R74" i="40"/>
  <c r="R76" i="40"/>
  <c r="R71" i="40"/>
  <c r="R67" i="40"/>
  <c r="R76" i="38"/>
  <c r="R75" i="38"/>
  <c r="R74" i="38"/>
  <c r="R73" i="38"/>
  <c r="R72" i="38"/>
  <c r="R71" i="38"/>
  <c r="R70" i="38"/>
  <c r="R69" i="38"/>
  <c r="R68" i="38"/>
  <c r="R67" i="38"/>
  <c r="R66" i="38"/>
  <c r="R65" i="38"/>
  <c r="R65" i="40"/>
  <c r="R72" i="40"/>
  <c r="R70" i="40"/>
  <c r="R75" i="40"/>
  <c r="R69" i="40"/>
  <c r="R66" i="40"/>
  <c r="R68" i="40"/>
  <c r="F68" i="42"/>
  <c r="F66" i="42"/>
  <c r="F71" i="42"/>
  <c r="F70" i="42"/>
  <c r="F75" i="42"/>
  <c r="F72" i="42"/>
  <c r="F69" i="42"/>
  <c r="F73" i="42"/>
  <c r="F67" i="42"/>
  <c r="F74" i="42"/>
  <c r="F76" i="42"/>
  <c r="F65" i="42"/>
  <c r="F69" i="41"/>
  <c r="F71" i="41"/>
  <c r="F70" i="41"/>
  <c r="F68" i="41"/>
  <c r="F67" i="41"/>
  <c r="F76" i="41"/>
  <c r="F65" i="41"/>
  <c r="F74" i="41"/>
  <c r="F66" i="41"/>
  <c r="F72" i="41"/>
  <c r="F73" i="41"/>
  <c r="F75" i="41"/>
  <c r="F73" i="40"/>
  <c r="F75" i="40"/>
  <c r="F67" i="40"/>
  <c r="F68" i="40"/>
  <c r="F69" i="40"/>
  <c r="F65" i="40"/>
  <c r="F66" i="40"/>
  <c r="F71" i="40"/>
  <c r="F72" i="40"/>
  <c r="F74" i="40"/>
  <c r="F70" i="40"/>
  <c r="F76" i="40"/>
  <c r="H79" i="42"/>
  <c r="H86" i="42"/>
  <c r="H81" i="42"/>
  <c r="H82" i="42"/>
  <c r="H77" i="42"/>
  <c r="H78" i="42"/>
  <c r="H88" i="42"/>
  <c r="H87" i="42"/>
  <c r="H84" i="42"/>
  <c r="H85" i="42"/>
  <c r="H80" i="42"/>
  <c r="H83" i="42"/>
  <c r="H77" i="41"/>
  <c r="H85" i="41"/>
  <c r="H82" i="41"/>
  <c r="H86" i="41"/>
  <c r="H83" i="41"/>
  <c r="H87" i="41"/>
  <c r="H78" i="41"/>
  <c r="H80" i="41"/>
  <c r="H84" i="41"/>
  <c r="H81" i="41"/>
  <c r="H88" i="41"/>
  <c r="H79" i="41"/>
  <c r="H77" i="40"/>
  <c r="H80" i="40"/>
  <c r="H83" i="40"/>
  <c r="H87" i="40"/>
  <c r="H82" i="40"/>
  <c r="H86" i="40"/>
  <c r="H78" i="40"/>
  <c r="H81" i="40"/>
  <c r="H88" i="40"/>
  <c r="H84" i="40"/>
  <c r="H85" i="40"/>
  <c r="H79" i="40"/>
  <c r="K281" i="42"/>
  <c r="K281" i="40"/>
  <c r="K281" i="41"/>
  <c r="K48" i="8"/>
  <c r="S101" i="42"/>
  <c r="S112" i="42"/>
  <c r="S107" i="42"/>
  <c r="S104" i="42"/>
  <c r="S110" i="42"/>
  <c r="S103" i="42"/>
  <c r="S102" i="42"/>
  <c r="S108" i="42"/>
  <c r="S105" i="42"/>
  <c r="S109" i="42"/>
  <c r="S111" i="42"/>
  <c r="S106" i="42"/>
  <c r="S101" i="41"/>
  <c r="S109" i="41"/>
  <c r="S105" i="41"/>
  <c r="S111" i="41"/>
  <c r="S107" i="41"/>
  <c r="S103" i="41"/>
  <c r="S106" i="41"/>
  <c r="S104" i="41"/>
  <c r="S112" i="41"/>
  <c r="S102" i="41"/>
  <c r="S110" i="41"/>
  <c r="S108" i="41"/>
  <c r="S112" i="38"/>
  <c r="S111" i="38"/>
  <c r="S110" i="38"/>
  <c r="S109" i="38"/>
  <c r="S108" i="38"/>
  <c r="S107" i="38"/>
  <c r="S106" i="38"/>
  <c r="S105" i="38"/>
  <c r="S104" i="38"/>
  <c r="S103" i="38"/>
  <c r="S102" i="38"/>
  <c r="S101" i="38"/>
  <c r="S110" i="40"/>
  <c r="S112" i="40"/>
  <c r="S109" i="40"/>
  <c r="S107" i="40"/>
  <c r="S103" i="40"/>
  <c r="S101" i="40"/>
  <c r="S108" i="40"/>
  <c r="S106" i="40"/>
  <c r="S102" i="40"/>
  <c r="S111" i="40"/>
  <c r="S104" i="40"/>
  <c r="S105" i="40"/>
  <c r="R114" i="42"/>
  <c r="R115" i="42"/>
  <c r="R118" i="42"/>
  <c r="R121" i="42"/>
  <c r="R124" i="42"/>
  <c r="R113" i="42"/>
  <c r="R116" i="42"/>
  <c r="R117" i="42"/>
  <c r="R119" i="42"/>
  <c r="R122" i="42"/>
  <c r="R123" i="42"/>
  <c r="R120" i="42"/>
  <c r="R118" i="41"/>
  <c r="R117" i="41"/>
  <c r="R113" i="41"/>
  <c r="R121" i="41"/>
  <c r="R116" i="41"/>
  <c r="R124" i="41"/>
  <c r="R119" i="41"/>
  <c r="R114" i="41"/>
  <c r="R122" i="41"/>
  <c r="R120" i="41"/>
  <c r="R115" i="41"/>
  <c r="R123" i="41"/>
  <c r="R124" i="38"/>
  <c r="R123" i="38"/>
  <c r="R122" i="38"/>
  <c r="R121" i="38"/>
  <c r="R120" i="38"/>
  <c r="R119" i="38"/>
  <c r="R118" i="38"/>
  <c r="R117" i="38"/>
  <c r="R116" i="38"/>
  <c r="R115" i="38"/>
  <c r="R114" i="38"/>
  <c r="R113" i="38"/>
  <c r="R124" i="40"/>
  <c r="R122" i="40"/>
  <c r="R121" i="40"/>
  <c r="R119" i="40"/>
  <c r="R115" i="40"/>
  <c r="R120" i="40"/>
  <c r="R118" i="40"/>
  <c r="R113" i="40"/>
  <c r="R116" i="40"/>
  <c r="R117" i="40"/>
  <c r="R123" i="40"/>
  <c r="R114" i="40"/>
  <c r="F120" i="40"/>
  <c r="F113" i="40"/>
  <c r="F119" i="40"/>
  <c r="F121" i="40"/>
  <c r="F123" i="40"/>
  <c r="F116" i="40"/>
  <c r="F114" i="40"/>
  <c r="F124" i="40"/>
  <c r="F115" i="40"/>
  <c r="F117" i="40"/>
  <c r="F118" i="40"/>
  <c r="F122" i="40"/>
  <c r="H133" i="42"/>
  <c r="H127" i="42"/>
  <c r="H136" i="42"/>
  <c r="H125" i="42"/>
  <c r="H128" i="42"/>
  <c r="H131" i="42"/>
  <c r="H126" i="42"/>
  <c r="H135" i="42"/>
  <c r="H132" i="42"/>
  <c r="H134" i="42"/>
  <c r="H129" i="42"/>
  <c r="H130" i="42"/>
  <c r="H135" i="41"/>
  <c r="H129" i="41"/>
  <c r="K285" i="40"/>
  <c r="H134" i="41"/>
  <c r="H131" i="41"/>
  <c r="H132" i="41"/>
  <c r="H126" i="41"/>
  <c r="K285" i="42"/>
  <c r="H133" i="41"/>
  <c r="H127" i="41"/>
  <c r="K285" i="41"/>
  <c r="H136" i="41"/>
  <c r="H125" i="41"/>
  <c r="H130" i="41"/>
  <c r="H128" i="41"/>
  <c r="H132" i="40"/>
  <c r="H125" i="40"/>
  <c r="H126" i="40"/>
  <c r="K52" i="8"/>
  <c r="S159" i="42"/>
  <c r="S157" i="42"/>
  <c r="S155" i="42"/>
  <c r="S153" i="42"/>
  <c r="S151" i="42"/>
  <c r="S149" i="42"/>
  <c r="S158" i="42"/>
  <c r="S156" i="42"/>
  <c r="S154" i="42"/>
  <c r="S150" i="42"/>
  <c r="S152" i="42"/>
  <c r="S160" i="42"/>
  <c r="S149" i="41"/>
  <c r="S158" i="41"/>
  <c r="S151" i="41"/>
  <c r="S156" i="41"/>
  <c r="S150" i="41"/>
  <c r="S153" i="41"/>
  <c r="S155" i="41"/>
  <c r="S160" i="41"/>
  <c r="S157" i="41"/>
  <c r="S152" i="41"/>
  <c r="S159" i="41"/>
  <c r="S154" i="41"/>
  <c r="S160" i="38"/>
  <c r="S159" i="38"/>
  <c r="S158" i="38"/>
  <c r="S157" i="38"/>
  <c r="S156" i="38"/>
  <c r="S155" i="38"/>
  <c r="S154" i="38"/>
  <c r="S153" i="38"/>
  <c r="S152" i="38"/>
  <c r="S151" i="38"/>
  <c r="S150" i="38"/>
  <c r="S149" i="38"/>
  <c r="S157" i="40"/>
  <c r="S158" i="40"/>
  <c r="S160" i="40"/>
  <c r="S151" i="40"/>
  <c r="S155" i="40"/>
  <c r="S149" i="40"/>
  <c r="S154" i="40"/>
  <c r="S156" i="40"/>
  <c r="R170" i="42"/>
  <c r="R168" i="42"/>
  <c r="R166" i="42"/>
  <c r="R164" i="42"/>
  <c r="R162" i="42"/>
  <c r="R169" i="42"/>
  <c r="R167" i="42"/>
  <c r="R165" i="42"/>
  <c r="R163" i="42"/>
  <c r="R161" i="42"/>
  <c r="R171" i="42"/>
  <c r="R172" i="42"/>
  <c r="R172" i="41"/>
  <c r="R171" i="41"/>
  <c r="R170" i="41"/>
  <c r="R169" i="41"/>
  <c r="R168" i="41"/>
  <c r="R167" i="41"/>
  <c r="R166" i="41"/>
  <c r="R165" i="41"/>
  <c r="R161" i="41"/>
  <c r="R164" i="41"/>
  <c r="R163" i="41"/>
  <c r="R162" i="41"/>
  <c r="R172" i="38"/>
  <c r="R171" i="38"/>
  <c r="R170" i="38"/>
  <c r="R169" i="38"/>
  <c r="R168" i="38"/>
  <c r="R167" i="38"/>
  <c r="R166" i="38"/>
  <c r="R165" i="38"/>
  <c r="R164" i="38"/>
  <c r="R163" i="38"/>
  <c r="R162" i="38"/>
  <c r="R161" i="38"/>
  <c r="R172" i="40"/>
  <c r="R170" i="40"/>
  <c r="R169" i="40"/>
  <c r="R167" i="40"/>
  <c r="R163" i="40"/>
  <c r="R166" i="40"/>
  <c r="R161" i="40"/>
  <c r="R168" i="40"/>
  <c r="F166" i="42"/>
  <c r="F169" i="42"/>
  <c r="F168" i="42"/>
  <c r="F163" i="42"/>
  <c r="F170" i="42"/>
  <c r="F164" i="42"/>
  <c r="F165" i="42"/>
  <c r="F161" i="42"/>
  <c r="F171" i="42"/>
  <c r="F162" i="42"/>
  <c r="F172" i="42"/>
  <c r="F167" i="42"/>
  <c r="F165" i="41"/>
  <c r="F171" i="41"/>
  <c r="H182" i="42"/>
  <c r="H175" i="42"/>
  <c r="H181" i="42"/>
  <c r="H176" i="42"/>
  <c r="H184" i="42"/>
  <c r="H174" i="42"/>
  <c r="H180" i="42"/>
  <c r="H179" i="42"/>
  <c r="H173" i="42"/>
  <c r="H177" i="42"/>
  <c r="H178" i="42"/>
  <c r="H183" i="42"/>
  <c r="K289" i="41"/>
  <c r="K289" i="40"/>
  <c r="K289" i="42"/>
  <c r="K56" i="8"/>
  <c r="S208" i="42"/>
  <c r="S204" i="42"/>
  <c r="S206" i="42"/>
  <c r="S202" i="42"/>
  <c r="S201" i="42"/>
  <c r="S203" i="42"/>
  <c r="S207" i="42"/>
  <c r="S205" i="42"/>
  <c r="S199" i="42"/>
  <c r="S197" i="42"/>
  <c r="S200" i="42"/>
  <c r="S198" i="42"/>
  <c r="S198" i="41"/>
  <c r="S202" i="41"/>
  <c r="S197" i="41"/>
  <c r="S201" i="41"/>
  <c r="S203" i="41"/>
  <c r="S200" i="41"/>
  <c r="S208" i="41"/>
  <c r="S207" i="41"/>
  <c r="S205" i="41"/>
  <c r="S206" i="41"/>
  <c r="S204" i="41"/>
  <c r="S199" i="41"/>
  <c r="S208" i="38"/>
  <c r="S207" i="38"/>
  <c r="S206" i="38"/>
  <c r="S205" i="38"/>
  <c r="S204" i="38"/>
  <c r="S203" i="38"/>
  <c r="S202" i="38"/>
  <c r="S201" i="38"/>
  <c r="S200" i="38"/>
  <c r="S199" i="38"/>
  <c r="S198" i="38"/>
  <c r="S197" i="38"/>
  <c r="R211" i="42"/>
  <c r="R217" i="42"/>
  <c r="R212" i="42"/>
  <c r="R219" i="42"/>
  <c r="R213" i="42"/>
  <c r="R210" i="42"/>
  <c r="R214" i="42"/>
  <c r="R215" i="42"/>
  <c r="R220" i="42"/>
  <c r="R209" i="42"/>
  <c r="R216" i="42"/>
  <c r="R218" i="42"/>
  <c r="R220" i="41"/>
  <c r="R218" i="41"/>
  <c r="R219" i="41"/>
  <c r="R217" i="41"/>
  <c r="R213" i="41"/>
  <c r="R214" i="41"/>
  <c r="R210" i="41"/>
  <c r="R211" i="41"/>
  <c r="R216" i="41"/>
  <c r="R209" i="41"/>
  <c r="R215" i="41"/>
  <c r="R212" i="41"/>
  <c r="R220" i="38"/>
  <c r="R219" i="38"/>
  <c r="R218" i="38"/>
  <c r="R217" i="38"/>
  <c r="R216" i="38"/>
  <c r="R215" i="38"/>
  <c r="R214" i="38"/>
  <c r="R213" i="38"/>
  <c r="R212" i="38"/>
  <c r="R211" i="38"/>
  <c r="R210" i="38"/>
  <c r="R209" i="38"/>
  <c r="F217" i="42"/>
  <c r="F215" i="42"/>
  <c r="F209" i="42"/>
  <c r="F220" i="42"/>
  <c r="F211" i="42"/>
  <c r="F216" i="42"/>
  <c r="F214" i="42"/>
  <c r="F213" i="42"/>
  <c r="F218" i="42"/>
  <c r="F210" i="42"/>
  <c r="F219" i="42"/>
  <c r="F212" i="42"/>
  <c r="H224" i="42"/>
  <c r="H232" i="42"/>
  <c r="H228" i="42"/>
  <c r="H223" i="42"/>
  <c r="H222" i="42"/>
  <c r="H227" i="42"/>
  <c r="H221" i="42"/>
  <c r="H226" i="42"/>
  <c r="H225" i="42"/>
  <c r="H231" i="42"/>
  <c r="H230" i="42"/>
  <c r="H229" i="42"/>
  <c r="K293" i="42"/>
  <c r="K293" i="40"/>
  <c r="K293" i="41"/>
  <c r="X232" i="38"/>
  <c r="X227" i="38"/>
  <c r="X225" i="38"/>
  <c r="X229" i="38"/>
  <c r="X228" i="38"/>
  <c r="X223" i="38"/>
  <c r="X230" i="38"/>
  <c r="X226" i="38"/>
  <c r="X231" i="38"/>
  <c r="X221" i="38"/>
  <c r="X224" i="38"/>
  <c r="X222" i="38"/>
  <c r="W238" i="38"/>
  <c r="W244" i="38"/>
  <c r="W242" i="38"/>
  <c r="W237" i="38"/>
  <c r="W239" i="38"/>
  <c r="W241" i="38"/>
  <c r="W236" i="38"/>
  <c r="W234" i="38"/>
  <c r="W240" i="38"/>
  <c r="W243" i="38"/>
  <c r="W233" i="38"/>
  <c r="W235" i="38"/>
  <c r="S248" i="42"/>
  <c r="S247" i="42"/>
  <c r="S253" i="42"/>
  <c r="S254" i="42"/>
  <c r="S251" i="42"/>
  <c r="S252" i="42"/>
  <c r="S250" i="42"/>
  <c r="S256" i="42"/>
  <c r="S246" i="42"/>
  <c r="S245" i="42"/>
  <c r="S255" i="42"/>
  <c r="S249" i="42"/>
  <c r="S255" i="41"/>
  <c r="S251" i="41"/>
  <c r="S254" i="41"/>
  <c r="S250" i="41"/>
  <c r="S247" i="41"/>
  <c r="S246" i="41"/>
  <c r="S245" i="41"/>
  <c r="S249" i="41"/>
  <c r="S252" i="41"/>
  <c r="S248" i="41"/>
  <c r="S255" i="38"/>
  <c r="S253" i="38"/>
  <c r="S251" i="38"/>
  <c r="S249" i="38"/>
  <c r="S247" i="38"/>
  <c r="S245" i="38"/>
  <c r="S253" i="41"/>
  <c r="S254" i="38"/>
  <c r="S250" i="38"/>
  <c r="S246" i="38"/>
  <c r="S248" i="38"/>
  <c r="S256" i="40"/>
  <c r="S254" i="40"/>
  <c r="S253" i="40"/>
  <c r="S251" i="40"/>
  <c r="S249" i="40"/>
  <c r="S248" i="40"/>
  <c r="S246" i="40"/>
  <c r="S245" i="40"/>
  <c r="S256" i="41"/>
  <c r="S256" i="38"/>
  <c r="S252" i="38"/>
  <c r="S255" i="40"/>
  <c r="S252" i="40"/>
  <c r="S250" i="40"/>
  <c r="S247" i="40"/>
  <c r="V254" i="38"/>
  <c r="V249" i="38"/>
  <c r="V256" i="38"/>
  <c r="V251" i="38"/>
  <c r="V250" i="38"/>
  <c r="V253" i="38"/>
  <c r="V245" i="38"/>
  <c r="V246" i="38"/>
  <c r="V248" i="38"/>
  <c r="V255" i="38"/>
  <c r="V247" i="38"/>
  <c r="V252" i="38"/>
  <c r="R266" i="42"/>
  <c r="R264" i="42"/>
  <c r="R262" i="42"/>
  <c r="R260" i="42"/>
  <c r="R258" i="42"/>
  <c r="R268" i="42"/>
  <c r="R261" i="42"/>
  <c r="R259" i="42"/>
  <c r="R263" i="42"/>
  <c r="R257" i="42"/>
  <c r="R265" i="42"/>
  <c r="R267" i="42"/>
  <c r="R267" i="41"/>
  <c r="R265" i="41"/>
  <c r="R266" i="41"/>
  <c r="R262" i="41"/>
  <c r="R258" i="41"/>
  <c r="R260" i="41"/>
  <c r="R264" i="41"/>
  <c r="R257" i="41"/>
  <c r="R261" i="41"/>
  <c r="R268" i="38"/>
  <c r="R266" i="38"/>
  <c r="R264" i="38"/>
  <c r="R262" i="38"/>
  <c r="R260" i="38"/>
  <c r="R258" i="38"/>
  <c r="R268" i="40"/>
  <c r="R267" i="40"/>
  <c r="R266" i="40"/>
  <c r="R265" i="40"/>
  <c r="R264" i="40"/>
  <c r="R263" i="40"/>
  <c r="R262" i="40"/>
  <c r="R261" i="40"/>
  <c r="R260" i="40"/>
  <c r="R259" i="40"/>
  <c r="R258" i="40"/>
  <c r="R257" i="40"/>
  <c r="R263" i="41"/>
  <c r="R268" i="41"/>
  <c r="R259" i="41"/>
  <c r="R265" i="38"/>
  <c r="R261" i="38"/>
  <c r="R257" i="38"/>
  <c r="R267" i="38"/>
  <c r="R263" i="38"/>
  <c r="R259" i="38"/>
  <c r="F261" i="42"/>
  <c r="F262" i="42"/>
  <c r="F265" i="42"/>
  <c r="F257" i="42"/>
  <c r="F260" i="42"/>
  <c r="F268" i="42"/>
  <c r="F263" i="42"/>
  <c r="F267" i="42"/>
  <c r="F258" i="42"/>
  <c r="F264" i="42"/>
  <c r="F266" i="42"/>
  <c r="F259" i="42"/>
  <c r="H127" i="40"/>
  <c r="F129" i="40"/>
  <c r="H136" i="40"/>
  <c r="H134" i="40"/>
  <c r="H130" i="40"/>
  <c r="H131" i="40"/>
  <c r="R153" i="40"/>
  <c r="S150" i="40"/>
  <c r="S159" i="40"/>
  <c r="S206" i="40"/>
  <c r="S180" i="40"/>
  <c r="S191" i="40"/>
  <c r="S208" i="40"/>
  <c r="S205" i="40"/>
  <c r="H168" i="41"/>
  <c r="H170" i="41"/>
  <c r="F170" i="41"/>
  <c r="H177" i="41"/>
  <c r="H164" i="41"/>
  <c r="H163" i="41"/>
  <c r="S15" i="42"/>
  <c r="S10" i="42"/>
  <c r="S12" i="42"/>
  <c r="S16" i="42"/>
  <c r="S6" i="42"/>
  <c r="S5" i="42"/>
  <c r="S8" i="42"/>
  <c r="S9" i="42"/>
  <c r="S14" i="42"/>
  <c r="S7" i="42"/>
  <c r="S11" i="42"/>
  <c r="S13" i="42"/>
  <c r="S16" i="41"/>
  <c r="S8" i="41"/>
  <c r="S12" i="41"/>
  <c r="S14" i="41"/>
  <c r="S10" i="41"/>
  <c r="S6" i="41"/>
  <c r="S7" i="41"/>
  <c r="S5" i="41"/>
  <c r="S11" i="41"/>
  <c r="S13" i="41"/>
  <c r="S15" i="41"/>
  <c r="S9" i="41"/>
  <c r="S14" i="40"/>
  <c r="S8" i="40"/>
  <c r="S15" i="40"/>
  <c r="S16" i="40"/>
  <c r="S10" i="40"/>
  <c r="S6" i="40"/>
  <c r="S7" i="40"/>
  <c r="S5" i="40"/>
  <c r="S12" i="40"/>
  <c r="S9" i="40"/>
  <c r="S11" i="40"/>
  <c r="S13" i="40"/>
  <c r="S15" i="38"/>
  <c r="S10" i="38"/>
  <c r="S7" i="38"/>
  <c r="S16" i="38"/>
  <c r="S14" i="38"/>
  <c r="S13" i="38"/>
  <c r="S12" i="38"/>
  <c r="S11" i="38"/>
  <c r="S9" i="38"/>
  <c r="S8" i="38"/>
  <c r="S6" i="38"/>
  <c r="S5" i="38"/>
  <c r="K45" i="8"/>
  <c r="S76" i="42"/>
  <c r="S75" i="42"/>
  <c r="S74" i="42"/>
  <c r="S72" i="42"/>
  <c r="S69" i="42"/>
  <c r="S73" i="42"/>
  <c r="S65" i="42"/>
  <c r="S67" i="42"/>
  <c r="S66" i="42"/>
  <c r="S71" i="42"/>
  <c r="S68" i="42"/>
  <c r="S70" i="42"/>
  <c r="S65" i="41"/>
  <c r="S72" i="41"/>
  <c r="S68" i="41"/>
  <c r="S73" i="41"/>
  <c r="S69" i="41"/>
  <c r="S71" i="41"/>
  <c r="S76" i="41"/>
  <c r="S75" i="41"/>
  <c r="S74" i="41"/>
  <c r="S70" i="41"/>
  <c r="S66" i="41"/>
  <c r="S67" i="41"/>
  <c r="S76" i="40"/>
  <c r="S73" i="40"/>
  <c r="S74" i="40"/>
  <c r="S71" i="40"/>
  <c r="S76" i="38"/>
  <c r="S75" i="38"/>
  <c r="S74" i="38"/>
  <c r="S73" i="38"/>
  <c r="S72" i="38"/>
  <c r="S71" i="38"/>
  <c r="S70" i="38"/>
  <c r="S69" i="38"/>
  <c r="S68" i="38"/>
  <c r="S67" i="38"/>
  <c r="S66" i="38"/>
  <c r="S65" i="38"/>
  <c r="S67" i="40"/>
  <c r="S72" i="40"/>
  <c r="S65" i="40"/>
  <c r="S70" i="40"/>
  <c r="S68" i="40"/>
  <c r="S75" i="40"/>
  <c r="S66" i="40"/>
  <c r="S69" i="40"/>
  <c r="R78" i="42"/>
  <c r="R80" i="42"/>
  <c r="R84" i="42"/>
  <c r="R88" i="42"/>
  <c r="R81" i="42"/>
  <c r="R85" i="42"/>
  <c r="R83" i="42"/>
  <c r="R77" i="42"/>
  <c r="R86" i="42"/>
  <c r="R79" i="42"/>
  <c r="R87" i="42"/>
  <c r="R82" i="42"/>
  <c r="R82" i="41"/>
  <c r="R79" i="41"/>
  <c r="R87" i="41"/>
  <c r="R83" i="41"/>
  <c r="R88" i="41"/>
  <c r="R86" i="41"/>
  <c r="R77" i="41"/>
  <c r="R85" i="41"/>
  <c r="R80" i="41"/>
  <c r="R84" i="41"/>
  <c r="R78" i="41"/>
  <c r="R81" i="41"/>
  <c r="R85" i="40"/>
  <c r="R88" i="40"/>
  <c r="R88" i="38"/>
  <c r="R87" i="38"/>
  <c r="R86" i="38"/>
  <c r="R85" i="38"/>
  <c r="R84" i="38"/>
  <c r="R83" i="38"/>
  <c r="R82" i="38"/>
  <c r="R81" i="38"/>
  <c r="R80" i="38"/>
  <c r="R79" i="38"/>
  <c r="R78" i="38"/>
  <c r="R77" i="38"/>
  <c r="R86" i="40"/>
  <c r="R79" i="40"/>
  <c r="R83" i="40"/>
  <c r="R77" i="40"/>
  <c r="R84" i="40"/>
  <c r="R82" i="40"/>
  <c r="R78" i="40"/>
  <c r="R81" i="40"/>
  <c r="R87" i="40"/>
  <c r="R80" i="40"/>
  <c r="F78" i="42"/>
  <c r="F88" i="42"/>
  <c r="F86" i="42"/>
  <c r="F79" i="42"/>
  <c r="F84" i="42"/>
  <c r="J84" i="42" s="1"/>
  <c r="AD84" i="42" s="1"/>
  <c r="AE84" i="42" s="1"/>
  <c r="F85" i="42"/>
  <c r="J85" i="42" s="1"/>
  <c r="AD85" i="42" s="1"/>
  <c r="AE85" i="42" s="1"/>
  <c r="F80" i="42"/>
  <c r="F83" i="42"/>
  <c r="J83" i="42" s="1"/>
  <c r="AD83" i="42" s="1"/>
  <c r="AE83" i="42" s="1"/>
  <c r="F77" i="42"/>
  <c r="J77" i="42" s="1"/>
  <c r="F82" i="42"/>
  <c r="F81" i="42"/>
  <c r="F87" i="42"/>
  <c r="J87" i="42" s="1"/>
  <c r="AD87" i="42" s="1"/>
  <c r="AE87" i="42" s="1"/>
  <c r="F77" i="41"/>
  <c r="J77" i="41" s="1"/>
  <c r="F85" i="41"/>
  <c r="J85" i="41" s="1"/>
  <c r="AD85" i="41" s="1"/>
  <c r="F84" i="41"/>
  <c r="F86" i="41"/>
  <c r="J86" i="41" s="1"/>
  <c r="AD86" i="41" s="1"/>
  <c r="F87" i="41"/>
  <c r="F80" i="41"/>
  <c r="F79" i="41"/>
  <c r="F88" i="41"/>
  <c r="F83" i="41"/>
  <c r="J83" i="41" s="1"/>
  <c r="AD83" i="41" s="1"/>
  <c r="F78" i="41"/>
  <c r="F82" i="41"/>
  <c r="F81" i="41"/>
  <c r="F78" i="40"/>
  <c r="F81" i="40"/>
  <c r="F79" i="40"/>
  <c r="F77" i="40"/>
  <c r="F88" i="40"/>
  <c r="J88" i="40" s="1"/>
  <c r="AD88" i="40" s="1"/>
  <c r="AE88" i="40" s="1"/>
  <c r="F85" i="40"/>
  <c r="F80" i="40"/>
  <c r="F83" i="40"/>
  <c r="F84" i="40"/>
  <c r="F82" i="40"/>
  <c r="F86" i="40"/>
  <c r="F87" i="40"/>
  <c r="H89" i="42"/>
  <c r="H96" i="42"/>
  <c r="H92" i="42"/>
  <c r="H93" i="42"/>
  <c r="H98" i="42"/>
  <c r="H90" i="42"/>
  <c r="H91" i="42"/>
  <c r="H100" i="42"/>
  <c r="H99" i="42"/>
  <c r="H95" i="42"/>
  <c r="H97" i="42"/>
  <c r="H94" i="42"/>
  <c r="H89" i="41"/>
  <c r="H91" i="41"/>
  <c r="H92" i="41"/>
  <c r="H90" i="41"/>
  <c r="H97" i="41"/>
  <c r="H98" i="41"/>
  <c r="H100" i="41"/>
  <c r="H95" i="41"/>
  <c r="H99" i="41"/>
  <c r="H93" i="41"/>
  <c r="H94" i="41"/>
  <c r="H96" i="41"/>
  <c r="K282" i="42"/>
  <c r="H93" i="40"/>
  <c r="H99" i="40"/>
  <c r="H94" i="40"/>
  <c r="H96" i="40"/>
  <c r="K282" i="41"/>
  <c r="H90" i="40"/>
  <c r="H92" i="40"/>
  <c r="H91" i="40"/>
  <c r="K282" i="40"/>
  <c r="H89" i="40"/>
  <c r="H97" i="40"/>
  <c r="H98" i="40"/>
  <c r="H100" i="40"/>
  <c r="H95" i="40"/>
  <c r="K49" i="8"/>
  <c r="S115" i="42"/>
  <c r="S119" i="42"/>
  <c r="S122" i="42"/>
  <c r="S114" i="42"/>
  <c r="S123" i="42"/>
  <c r="S113" i="42"/>
  <c r="S116" i="42"/>
  <c r="S117" i="42"/>
  <c r="S118" i="42"/>
  <c r="S120" i="42"/>
  <c r="S121" i="42"/>
  <c r="S124" i="42"/>
  <c r="S114" i="41"/>
  <c r="S122" i="41"/>
  <c r="S113" i="41"/>
  <c r="S121" i="41"/>
  <c r="S120" i="41"/>
  <c r="S115" i="41"/>
  <c r="S123" i="41"/>
  <c r="S118" i="41"/>
  <c r="S117" i="41"/>
  <c r="S119" i="41"/>
  <c r="S116" i="41"/>
  <c r="S124" i="41"/>
  <c r="S124" i="38"/>
  <c r="S123" i="38"/>
  <c r="S122" i="38"/>
  <c r="S121" i="38"/>
  <c r="S120" i="38"/>
  <c r="S119" i="38"/>
  <c r="S118" i="38"/>
  <c r="S117" i="38"/>
  <c r="S116" i="38"/>
  <c r="S115" i="38"/>
  <c r="S114" i="38"/>
  <c r="S113" i="38"/>
  <c r="S124" i="40"/>
  <c r="S122" i="40"/>
  <c r="S121" i="40"/>
  <c r="S119" i="40"/>
  <c r="S115" i="40"/>
  <c r="S120" i="40"/>
  <c r="S118" i="40"/>
  <c r="S113" i="40"/>
  <c r="S114" i="40"/>
  <c r="S116" i="40"/>
  <c r="S123" i="40"/>
  <c r="S117" i="40"/>
  <c r="R133" i="42"/>
  <c r="R136" i="42"/>
  <c r="R132" i="42"/>
  <c r="R135" i="42"/>
  <c r="R131" i="42"/>
  <c r="R134" i="42"/>
  <c r="R125" i="42"/>
  <c r="R129" i="42"/>
  <c r="R128" i="42"/>
  <c r="R127" i="42"/>
  <c r="R130" i="42"/>
  <c r="R126" i="42"/>
  <c r="R136" i="41"/>
  <c r="R135" i="41"/>
  <c r="R134" i="41"/>
  <c r="R133" i="41"/>
  <c r="R132" i="41"/>
  <c r="R131" i="41"/>
  <c r="R130" i="41"/>
  <c r="R129" i="41"/>
  <c r="R128" i="41"/>
  <c r="R127" i="41"/>
  <c r="R126" i="41"/>
  <c r="R125" i="41"/>
  <c r="R136" i="38"/>
  <c r="R135" i="38"/>
  <c r="R134" i="38"/>
  <c r="R133" i="38"/>
  <c r="R132" i="38"/>
  <c r="R131" i="38"/>
  <c r="R130" i="38"/>
  <c r="R129" i="38"/>
  <c r="R128" i="38"/>
  <c r="R127" i="38"/>
  <c r="R126" i="38"/>
  <c r="R125" i="38"/>
  <c r="R136" i="40"/>
  <c r="R134" i="40"/>
  <c r="R133" i="40"/>
  <c r="R127" i="40"/>
  <c r="R131" i="40"/>
  <c r="R132" i="40"/>
  <c r="R125" i="40"/>
  <c r="R130" i="40"/>
  <c r="R128" i="40"/>
  <c r="R135" i="40"/>
  <c r="R126" i="40"/>
  <c r="R129" i="40"/>
  <c r="F127" i="42"/>
  <c r="F125" i="42"/>
  <c r="F129" i="42"/>
  <c r="J129" i="42" s="1"/>
  <c r="AD129" i="42" s="1"/>
  <c r="AE129" i="42" s="1"/>
  <c r="F130" i="42"/>
  <c r="J130" i="42" s="1"/>
  <c r="AD130" i="42" s="1"/>
  <c r="AE130" i="42" s="1"/>
  <c r="F134" i="42"/>
  <c r="F132" i="42"/>
  <c r="F133" i="42"/>
  <c r="F128" i="42"/>
  <c r="F131" i="42"/>
  <c r="F135" i="42"/>
  <c r="F126" i="42"/>
  <c r="J126" i="42" s="1"/>
  <c r="AD126" i="42" s="1"/>
  <c r="AE126" i="42" s="1"/>
  <c r="F136" i="42"/>
  <c r="F129" i="41"/>
  <c r="F135" i="41"/>
  <c r="F136" i="41"/>
  <c r="F125" i="41"/>
  <c r="F128" i="41"/>
  <c r="F132" i="41"/>
  <c r="J132" i="41" s="1"/>
  <c r="AD132" i="41" s="1"/>
  <c r="F133" i="41"/>
  <c r="F131" i="41"/>
  <c r="F126" i="41"/>
  <c r="F134" i="41"/>
  <c r="F127" i="41"/>
  <c r="F130" i="41"/>
  <c r="F132" i="40"/>
  <c r="F125" i="40"/>
  <c r="F126" i="40"/>
  <c r="H143" i="42"/>
  <c r="H142" i="42"/>
  <c r="H141" i="42"/>
  <c r="H144" i="42"/>
  <c r="H145" i="42"/>
  <c r="H138" i="42"/>
  <c r="H140" i="42"/>
  <c r="H147" i="42"/>
  <c r="H137" i="42"/>
  <c r="H139" i="42"/>
  <c r="H148" i="42"/>
  <c r="H146" i="42"/>
  <c r="K286" i="41"/>
  <c r="H147" i="41"/>
  <c r="K286" i="40"/>
  <c r="H141" i="41"/>
  <c r="K286" i="42"/>
  <c r="H137" i="41"/>
  <c r="H145" i="41"/>
  <c r="H140" i="41"/>
  <c r="H148" i="41"/>
  <c r="H139" i="41"/>
  <c r="H143" i="41"/>
  <c r="H144" i="41"/>
  <c r="H138" i="41"/>
  <c r="H142" i="41"/>
  <c r="H146" i="41"/>
  <c r="K53" i="8"/>
  <c r="S172" i="42"/>
  <c r="S168" i="42"/>
  <c r="S164" i="42"/>
  <c r="S169" i="42"/>
  <c r="S165" i="42"/>
  <c r="S161" i="42"/>
  <c r="S163" i="42"/>
  <c r="S166" i="42"/>
  <c r="S162" i="42"/>
  <c r="S167" i="42"/>
  <c r="S170" i="42"/>
  <c r="S171" i="42"/>
  <c r="S172" i="41"/>
  <c r="S171" i="41"/>
  <c r="S170" i="41"/>
  <c r="S169" i="41"/>
  <c r="S168" i="41"/>
  <c r="S167" i="41"/>
  <c r="S166" i="41"/>
  <c r="S165" i="41"/>
  <c r="S164" i="41"/>
  <c r="S163" i="41"/>
  <c r="S162" i="41"/>
  <c r="S161" i="41"/>
  <c r="S172" i="38"/>
  <c r="S171" i="38"/>
  <c r="S170" i="38"/>
  <c r="S169" i="38"/>
  <c r="S168" i="38"/>
  <c r="S167" i="38"/>
  <c r="S166" i="38"/>
  <c r="S165" i="38"/>
  <c r="S164" i="38"/>
  <c r="S163" i="38"/>
  <c r="S162" i="38"/>
  <c r="S161" i="38"/>
  <c r="S172" i="40"/>
  <c r="S169" i="40"/>
  <c r="S170" i="40"/>
  <c r="S163" i="40"/>
  <c r="S167" i="40"/>
  <c r="S161" i="40"/>
  <c r="S168" i="40"/>
  <c r="S166" i="40"/>
  <c r="R176" i="42"/>
  <c r="R178" i="42"/>
  <c r="R174" i="42"/>
  <c r="R177" i="42"/>
  <c r="R179" i="42"/>
  <c r="R184" i="42"/>
  <c r="R180" i="42"/>
  <c r="R173" i="42"/>
  <c r="R181" i="42"/>
  <c r="R183" i="42"/>
  <c r="R175" i="42"/>
  <c r="R182" i="42"/>
  <c r="R183" i="41"/>
  <c r="R179" i="41"/>
  <c r="R175" i="41"/>
  <c r="R184" i="41"/>
  <c r="R180" i="41"/>
  <c r="R176" i="41"/>
  <c r="R181" i="41"/>
  <c r="R177" i="41"/>
  <c r="R182" i="41"/>
  <c r="R178" i="41"/>
  <c r="R173" i="41"/>
  <c r="R174" i="41"/>
  <c r="R184" i="38"/>
  <c r="R183" i="38"/>
  <c r="R182" i="38"/>
  <c r="R181" i="38"/>
  <c r="R180" i="38"/>
  <c r="R179" i="38"/>
  <c r="R178" i="38"/>
  <c r="R177" i="38"/>
  <c r="R176" i="38"/>
  <c r="R175" i="38"/>
  <c r="R174" i="38"/>
  <c r="R173" i="38"/>
  <c r="R184" i="40"/>
  <c r="R182" i="40"/>
  <c r="R181" i="40"/>
  <c r="R175" i="40"/>
  <c r="R179" i="40"/>
  <c r="F175" i="42"/>
  <c r="F181" i="42"/>
  <c r="F173" i="42"/>
  <c r="F177" i="42"/>
  <c r="F174" i="42"/>
  <c r="F180" i="42"/>
  <c r="F183" i="42"/>
  <c r="F178" i="42"/>
  <c r="J178" i="42" s="1"/>
  <c r="AD178" i="42" s="1"/>
  <c r="AE178" i="42" s="1"/>
  <c r="F182" i="42"/>
  <c r="F176" i="42"/>
  <c r="F184" i="42"/>
  <c r="F179" i="42"/>
  <c r="H196" i="42"/>
  <c r="H195" i="42"/>
  <c r="H194" i="42"/>
  <c r="H190" i="42"/>
  <c r="H187" i="42"/>
  <c r="H189" i="42"/>
  <c r="H188" i="42"/>
  <c r="H191" i="42"/>
  <c r="H186" i="42"/>
  <c r="H192" i="42"/>
  <c r="H185" i="42"/>
  <c r="H193" i="42"/>
  <c r="K290" i="40"/>
  <c r="K290" i="42"/>
  <c r="K290" i="41"/>
  <c r="K57" i="8"/>
  <c r="S217" i="42"/>
  <c r="S219" i="42"/>
  <c r="S215" i="42"/>
  <c r="S220" i="42"/>
  <c r="S216" i="42"/>
  <c r="S218" i="42"/>
  <c r="S214" i="42"/>
  <c r="S213" i="42"/>
  <c r="S211" i="42"/>
  <c r="S210" i="42"/>
  <c r="S212" i="42"/>
  <c r="S209" i="42"/>
  <c r="S216" i="41"/>
  <c r="S211" i="41"/>
  <c r="S219" i="41"/>
  <c r="S217" i="41"/>
  <c r="S213" i="41"/>
  <c r="S210" i="41"/>
  <c r="S215" i="41"/>
  <c r="S212" i="41"/>
  <c r="S220" i="41"/>
  <c r="S209" i="41"/>
  <c r="S218" i="41"/>
  <c r="S214" i="41"/>
  <c r="S220" i="38"/>
  <c r="S219" i="38"/>
  <c r="S218" i="38"/>
  <c r="S217" i="38"/>
  <c r="S216" i="38"/>
  <c r="S215" i="38"/>
  <c r="S214" i="38"/>
  <c r="S213" i="38"/>
  <c r="S212" i="38"/>
  <c r="S211" i="38"/>
  <c r="S210" i="38"/>
  <c r="S209" i="38"/>
  <c r="R226" i="42"/>
  <c r="R232" i="42"/>
  <c r="R230" i="42"/>
  <c r="R228" i="42"/>
  <c r="R222" i="42"/>
  <c r="R229" i="42"/>
  <c r="R223" i="42"/>
  <c r="R221" i="42"/>
  <c r="R225" i="42"/>
  <c r="R224" i="42"/>
  <c r="R231" i="42"/>
  <c r="R227" i="42"/>
  <c r="R231" i="41"/>
  <c r="R226" i="41"/>
  <c r="R224" i="41"/>
  <c r="R221" i="41"/>
  <c r="R229" i="41"/>
  <c r="R222" i="41"/>
  <c r="R228" i="41"/>
  <c r="R225" i="41"/>
  <c r="R227" i="41"/>
  <c r="R232" i="38"/>
  <c r="R230" i="38"/>
  <c r="R228" i="38"/>
  <c r="R226" i="38"/>
  <c r="R224" i="38"/>
  <c r="R222" i="38"/>
  <c r="R232" i="40"/>
  <c r="R231" i="40"/>
  <c r="R230" i="40"/>
  <c r="R229" i="40"/>
  <c r="R228" i="40"/>
  <c r="R227" i="40"/>
  <c r="R226" i="40"/>
  <c r="R225" i="40"/>
  <c r="R224" i="40"/>
  <c r="R223" i="40"/>
  <c r="R222" i="40"/>
  <c r="R221" i="40"/>
  <c r="R223" i="41"/>
  <c r="R230" i="41"/>
  <c r="R232" i="41"/>
  <c r="R229" i="38"/>
  <c r="R225" i="38"/>
  <c r="R221" i="38"/>
  <c r="R231" i="38"/>
  <c r="R227" i="38"/>
  <c r="R223" i="38"/>
  <c r="F231" i="42"/>
  <c r="F230" i="42"/>
  <c r="F224" i="42"/>
  <c r="F232" i="42"/>
  <c r="F226" i="42"/>
  <c r="F222" i="42"/>
  <c r="F227" i="42"/>
  <c r="F228" i="42"/>
  <c r="F225" i="42"/>
  <c r="J225" i="42" s="1"/>
  <c r="AD225" i="42" s="1"/>
  <c r="AE225" i="42" s="1"/>
  <c r="F223" i="42"/>
  <c r="F229" i="42"/>
  <c r="F221" i="42"/>
  <c r="K294" i="38"/>
  <c r="H239" i="42"/>
  <c r="H241" i="42"/>
  <c r="H242" i="42"/>
  <c r="H243" i="42"/>
  <c r="H236" i="42"/>
  <c r="H234" i="42"/>
  <c r="H237" i="42"/>
  <c r="H235" i="42"/>
  <c r="H244" i="42"/>
  <c r="H238" i="42"/>
  <c r="H233" i="42"/>
  <c r="H240" i="42"/>
  <c r="K294" i="42"/>
  <c r="K294" i="41"/>
  <c r="K294" i="40"/>
  <c r="X238" i="38"/>
  <c r="X242" i="38"/>
  <c r="X239" i="38"/>
  <c r="X241" i="38"/>
  <c r="X244" i="38"/>
  <c r="X237" i="38"/>
  <c r="X234" i="38"/>
  <c r="X236" i="38"/>
  <c r="X233" i="38"/>
  <c r="X235" i="38"/>
  <c r="X240" i="38"/>
  <c r="X243" i="38"/>
  <c r="W251" i="38"/>
  <c r="W250" i="38"/>
  <c r="W249" i="38"/>
  <c r="W254" i="38"/>
  <c r="W253" i="38"/>
  <c r="W256" i="38"/>
  <c r="W247" i="38"/>
  <c r="W252" i="38"/>
  <c r="W245" i="38"/>
  <c r="W246" i="38"/>
  <c r="W248" i="38"/>
  <c r="W255" i="38"/>
  <c r="S265" i="42"/>
  <c r="S259" i="42"/>
  <c r="S267" i="42"/>
  <c r="S266" i="42"/>
  <c r="S257" i="42"/>
  <c r="S261" i="42"/>
  <c r="S258" i="42"/>
  <c r="S262" i="42"/>
  <c r="S260" i="42"/>
  <c r="S263" i="42"/>
  <c r="S264" i="42"/>
  <c r="S268" i="42"/>
  <c r="S266" i="41"/>
  <c r="S262" i="41"/>
  <c r="S258" i="41"/>
  <c r="S265" i="41"/>
  <c r="S259" i="41"/>
  <c r="S257" i="41"/>
  <c r="S261" i="41"/>
  <c r="S268" i="41"/>
  <c r="S263" i="41"/>
  <c r="S267" i="41"/>
  <c r="S264" i="41"/>
  <c r="S267" i="38"/>
  <c r="S265" i="38"/>
  <c r="S263" i="38"/>
  <c r="S261" i="38"/>
  <c r="S259" i="38"/>
  <c r="S257" i="38"/>
  <c r="S260" i="41"/>
  <c r="S266" i="38"/>
  <c r="S262" i="38"/>
  <c r="S258" i="38"/>
  <c r="S268" i="38"/>
  <c r="S264" i="38"/>
  <c r="S260" i="38"/>
  <c r="S268" i="40"/>
  <c r="S266" i="40"/>
  <c r="S265" i="40"/>
  <c r="S263" i="40"/>
  <c r="S262" i="40"/>
  <c r="S260" i="40"/>
  <c r="S259" i="40"/>
  <c r="S257" i="40"/>
  <c r="S267" i="40"/>
  <c r="S264" i="40"/>
  <c r="S261" i="40"/>
  <c r="S258" i="40"/>
  <c r="V262" i="38"/>
  <c r="V268" i="38"/>
  <c r="V265" i="38"/>
  <c r="V263" i="38"/>
  <c r="V261" i="38"/>
  <c r="V266" i="38"/>
  <c r="V259" i="38"/>
  <c r="V258" i="38"/>
  <c r="V257" i="38"/>
  <c r="V260" i="38"/>
  <c r="V267" i="38"/>
  <c r="V264" i="38"/>
  <c r="F134" i="40"/>
  <c r="F130" i="40"/>
  <c r="F133" i="40"/>
  <c r="H128" i="40"/>
  <c r="F131" i="40"/>
  <c r="J131" i="40" s="1"/>
  <c r="AD131" i="40" s="1"/>
  <c r="AE131" i="40" s="1"/>
  <c r="S153" i="40"/>
  <c r="R152" i="40"/>
  <c r="R173" i="40"/>
  <c r="R180" i="40"/>
  <c r="H167" i="41"/>
  <c r="F168" i="41"/>
  <c r="H166" i="41"/>
  <c r="F166" i="41"/>
  <c r="H169" i="41"/>
  <c r="F169" i="41"/>
  <c r="F161" i="41"/>
  <c r="F177" i="41"/>
  <c r="F164" i="41"/>
  <c r="F163" i="41"/>
  <c r="H42" i="42"/>
  <c r="J42" i="42" s="1"/>
  <c r="AD42" i="42" s="1"/>
  <c r="AE42" i="42" s="1"/>
  <c r="H50" i="42"/>
  <c r="J50" i="42" s="1"/>
  <c r="AD50" i="42" s="1"/>
  <c r="AE50" i="42" s="1"/>
  <c r="H41" i="42"/>
  <c r="J41" i="42" s="1"/>
  <c r="H48" i="42"/>
  <c r="J48" i="42" s="1"/>
  <c r="AD48" i="42" s="1"/>
  <c r="AE48" i="42" s="1"/>
  <c r="H44" i="42"/>
  <c r="J44" i="42" s="1"/>
  <c r="AD44" i="42" s="1"/>
  <c r="AE44" i="42" s="1"/>
  <c r="H51" i="42"/>
  <c r="J51" i="42" s="1"/>
  <c r="AD51" i="42" s="1"/>
  <c r="AE51" i="42" s="1"/>
  <c r="H52" i="42"/>
  <c r="J52" i="42" s="1"/>
  <c r="AD52" i="42" s="1"/>
  <c r="AE52" i="42" s="1"/>
  <c r="H43" i="42"/>
  <c r="J43" i="42" s="1"/>
  <c r="AD43" i="42" s="1"/>
  <c r="AE43" i="42" s="1"/>
  <c r="H45" i="42"/>
  <c r="J45" i="42" s="1"/>
  <c r="AD45" i="42" s="1"/>
  <c r="AE45" i="42" s="1"/>
  <c r="H47" i="42"/>
  <c r="J47" i="42" s="1"/>
  <c r="AD47" i="42" s="1"/>
  <c r="AE47" i="42" s="1"/>
  <c r="H49" i="42"/>
  <c r="J49" i="42" s="1"/>
  <c r="AD49" i="42" s="1"/>
  <c r="AE49" i="42" s="1"/>
  <c r="H46" i="42"/>
  <c r="J46" i="42" s="1"/>
  <c r="AD46" i="42" s="1"/>
  <c r="AE46" i="42" s="1"/>
  <c r="H47" i="41"/>
  <c r="J47" i="41" s="1"/>
  <c r="AD47" i="41" s="1"/>
  <c r="H50" i="41"/>
  <c r="J50" i="41" s="1"/>
  <c r="AD50" i="41" s="1"/>
  <c r="H41" i="41"/>
  <c r="J41" i="41" s="1"/>
  <c r="H46" i="41"/>
  <c r="J46" i="41" s="1"/>
  <c r="AD46" i="41" s="1"/>
  <c r="H43" i="41"/>
  <c r="J43" i="41" s="1"/>
  <c r="AD43" i="41" s="1"/>
  <c r="H44" i="41"/>
  <c r="J44" i="41" s="1"/>
  <c r="AD44" i="41" s="1"/>
  <c r="H49" i="41"/>
  <c r="J49" i="41" s="1"/>
  <c r="AD49" i="41" s="1"/>
  <c r="H52" i="41"/>
  <c r="J52" i="41" s="1"/>
  <c r="AD52" i="41" s="1"/>
  <c r="H51" i="41"/>
  <c r="J51" i="41" s="1"/>
  <c r="AD51" i="41" s="1"/>
  <c r="H48" i="41"/>
  <c r="J48" i="41" s="1"/>
  <c r="AD48" i="41" s="1"/>
  <c r="H45" i="41"/>
  <c r="J45" i="41" s="1"/>
  <c r="AD45" i="41" s="1"/>
  <c r="H42" i="41"/>
  <c r="J42" i="41" s="1"/>
  <c r="AD42" i="41" s="1"/>
  <c r="H45" i="40"/>
  <c r="J45" i="40" s="1"/>
  <c r="AD45" i="40" s="1"/>
  <c r="AE45" i="40" s="1"/>
  <c r="H41" i="40"/>
  <c r="J41" i="40" s="1"/>
  <c r="H43" i="40"/>
  <c r="J43" i="40" s="1"/>
  <c r="AD43" i="40" s="1"/>
  <c r="AE43" i="40" s="1"/>
  <c r="H48" i="40"/>
  <c r="J48" i="40" s="1"/>
  <c r="AD48" i="40" s="1"/>
  <c r="AE48" i="40" s="1"/>
  <c r="H50" i="40"/>
  <c r="J50" i="40" s="1"/>
  <c r="AD50" i="40" s="1"/>
  <c r="AE50" i="40" s="1"/>
  <c r="H51" i="40"/>
  <c r="J51" i="40" s="1"/>
  <c r="AD51" i="40" s="1"/>
  <c r="AE51" i="40" s="1"/>
  <c r="H49" i="40"/>
  <c r="J49" i="40" s="1"/>
  <c r="AD49" i="40" s="1"/>
  <c r="AE49" i="40" s="1"/>
  <c r="H47" i="40"/>
  <c r="J47" i="40" s="1"/>
  <c r="AD47" i="40" s="1"/>
  <c r="AE47" i="40" s="1"/>
  <c r="H46" i="40"/>
  <c r="J46" i="40" s="1"/>
  <c r="AD46" i="40" s="1"/>
  <c r="AE46" i="40" s="1"/>
  <c r="H52" i="40"/>
  <c r="J52" i="40" s="1"/>
  <c r="AD52" i="40" s="1"/>
  <c r="AE52" i="40" s="1"/>
  <c r="H44" i="40"/>
  <c r="J44" i="40" s="1"/>
  <c r="AD44" i="40" s="1"/>
  <c r="AE44" i="40" s="1"/>
  <c r="H42" i="40"/>
  <c r="J42" i="40" s="1"/>
  <c r="AD42" i="40" s="1"/>
  <c r="AE42" i="40" s="1"/>
  <c r="K278" i="40"/>
  <c r="K278" i="42"/>
  <c r="K278" i="41"/>
  <c r="H53" i="42"/>
  <c r="H64" i="42"/>
  <c r="H54" i="42"/>
  <c r="H60" i="42"/>
  <c r="H55" i="42"/>
  <c r="H61" i="42"/>
  <c r="H58" i="42"/>
  <c r="H59" i="42"/>
  <c r="H57" i="42"/>
  <c r="H62" i="42"/>
  <c r="H56" i="42"/>
  <c r="H63" i="42"/>
  <c r="H57" i="41"/>
  <c r="H53" i="41"/>
  <c r="H60" i="41"/>
  <c r="H62" i="41"/>
  <c r="H61" i="41"/>
  <c r="H59" i="41"/>
  <c r="H54" i="41"/>
  <c r="H56" i="41"/>
  <c r="H64" i="41"/>
  <c r="H58" i="41"/>
  <c r="H63" i="41"/>
  <c r="H55" i="41"/>
  <c r="H57" i="40"/>
  <c r="H61" i="40"/>
  <c r="H58" i="40"/>
  <c r="H62" i="40"/>
  <c r="H60" i="40"/>
  <c r="H54" i="40"/>
  <c r="H56" i="40"/>
  <c r="H64" i="40"/>
  <c r="H63" i="40"/>
  <c r="H55" i="40"/>
  <c r="H59" i="40"/>
  <c r="H53" i="40"/>
  <c r="K279" i="42"/>
  <c r="K279" i="41"/>
  <c r="K279" i="40"/>
  <c r="K46" i="8"/>
  <c r="S79" i="42"/>
  <c r="S80" i="42"/>
  <c r="S82" i="42"/>
  <c r="S84" i="42"/>
  <c r="S86" i="42"/>
  <c r="S88" i="42"/>
  <c r="S77" i="42"/>
  <c r="S81" i="42"/>
  <c r="S85" i="42"/>
  <c r="S78" i="42"/>
  <c r="S83" i="42"/>
  <c r="S87" i="42"/>
  <c r="S86" i="41"/>
  <c r="S78" i="41"/>
  <c r="S84" i="41"/>
  <c r="S83" i="41"/>
  <c r="S82" i="41"/>
  <c r="S81" i="41"/>
  <c r="S88" i="41"/>
  <c r="S79" i="41"/>
  <c r="S87" i="41"/>
  <c r="S80" i="41"/>
  <c r="S85" i="41"/>
  <c r="S77" i="41"/>
  <c r="S85" i="40"/>
  <c r="S88" i="38"/>
  <c r="S87" i="38"/>
  <c r="S86" i="38"/>
  <c r="S85" i="38"/>
  <c r="S84" i="38"/>
  <c r="S83" i="38"/>
  <c r="S82" i="38"/>
  <c r="S81" i="38"/>
  <c r="S80" i="38"/>
  <c r="S79" i="38"/>
  <c r="S78" i="38"/>
  <c r="S77" i="38"/>
  <c r="S88" i="40"/>
  <c r="S86" i="40"/>
  <c r="S83" i="40"/>
  <c r="S79" i="40"/>
  <c r="S82" i="40"/>
  <c r="S84" i="40"/>
  <c r="S77" i="40"/>
  <c r="S87" i="40"/>
  <c r="S81" i="40"/>
  <c r="S78" i="40"/>
  <c r="S80" i="40"/>
  <c r="R92" i="42"/>
  <c r="R96" i="42"/>
  <c r="R100" i="42"/>
  <c r="R89" i="42"/>
  <c r="R93" i="42"/>
  <c r="R97" i="42"/>
  <c r="R91" i="42"/>
  <c r="R99" i="42"/>
  <c r="R90" i="42"/>
  <c r="R98" i="42"/>
  <c r="R94" i="42"/>
  <c r="R95" i="42"/>
  <c r="R94" i="41"/>
  <c r="R98" i="41"/>
  <c r="R89" i="41"/>
  <c r="R92" i="41"/>
  <c r="R93" i="41"/>
  <c r="R96" i="41"/>
  <c r="R91" i="41"/>
  <c r="R95" i="41"/>
  <c r="R99" i="41"/>
  <c r="R97" i="41"/>
  <c r="R100" i="41"/>
  <c r="R90" i="41"/>
  <c r="R100" i="38"/>
  <c r="R99" i="38"/>
  <c r="R98" i="38"/>
  <c r="R97" i="38"/>
  <c r="R96" i="38"/>
  <c r="R95" i="38"/>
  <c r="R94" i="38"/>
  <c r="R93" i="38"/>
  <c r="R92" i="38"/>
  <c r="R91" i="38"/>
  <c r="R90" i="38"/>
  <c r="R89" i="38"/>
  <c r="R97" i="40"/>
  <c r="R98" i="40"/>
  <c r="R100" i="40"/>
  <c r="R91" i="40"/>
  <c r="R95" i="40"/>
  <c r="R89" i="40"/>
  <c r="R94" i="40"/>
  <c r="R96" i="40"/>
  <c r="R93" i="40"/>
  <c r="R92" i="40"/>
  <c r="R90" i="40"/>
  <c r="R99" i="40"/>
  <c r="F92" i="42"/>
  <c r="F89" i="42"/>
  <c r="F98" i="42"/>
  <c r="F96" i="42"/>
  <c r="F90" i="42"/>
  <c r="F91" i="42"/>
  <c r="J91" i="42" s="1"/>
  <c r="AD91" i="42" s="1"/>
  <c r="AE91" i="42" s="1"/>
  <c r="F93" i="42"/>
  <c r="F99" i="42"/>
  <c r="F100" i="42"/>
  <c r="F95" i="42"/>
  <c r="F97" i="42"/>
  <c r="F94" i="42"/>
  <c r="F95" i="41"/>
  <c r="F99" i="41"/>
  <c r="F93" i="41"/>
  <c r="F90" i="41"/>
  <c r="F97" i="41"/>
  <c r="F91" i="41"/>
  <c r="F98" i="41"/>
  <c r="F92" i="41"/>
  <c r="F94" i="41"/>
  <c r="F96" i="41"/>
  <c r="F89" i="41"/>
  <c r="F100" i="41"/>
  <c r="F96" i="40"/>
  <c r="F100" i="40"/>
  <c r="F90" i="40"/>
  <c r="F89" i="40"/>
  <c r="F94" i="40"/>
  <c r="F93" i="40"/>
  <c r="F98" i="40"/>
  <c r="F95" i="40"/>
  <c r="F97" i="40"/>
  <c r="F92" i="40"/>
  <c r="F99" i="40"/>
  <c r="F91" i="40"/>
  <c r="J91" i="40" s="1"/>
  <c r="AD91" i="40" s="1"/>
  <c r="AE91" i="40" s="1"/>
  <c r="H101" i="42"/>
  <c r="H108" i="42"/>
  <c r="H110" i="42"/>
  <c r="H105" i="42"/>
  <c r="H106" i="42"/>
  <c r="H109" i="42"/>
  <c r="H103" i="42"/>
  <c r="H107" i="42"/>
  <c r="H104" i="42"/>
  <c r="H112" i="42"/>
  <c r="H102" i="42"/>
  <c r="H111" i="42"/>
  <c r="H105" i="41"/>
  <c r="H111" i="41"/>
  <c r="H112" i="41"/>
  <c r="H102" i="41"/>
  <c r="H107" i="41"/>
  <c r="H103" i="41"/>
  <c r="H109" i="41"/>
  <c r="H108" i="41"/>
  <c r="H104" i="41"/>
  <c r="H106" i="41"/>
  <c r="H101" i="41"/>
  <c r="H110" i="41"/>
  <c r="K283" i="41"/>
  <c r="K283" i="42"/>
  <c r="K283" i="40"/>
  <c r="H105" i="40"/>
  <c r="H104" i="40"/>
  <c r="H103" i="40"/>
  <c r="H107" i="40"/>
  <c r="H111" i="40"/>
  <c r="H109" i="40"/>
  <c r="H108" i="40"/>
  <c r="H110" i="40"/>
  <c r="H112" i="40"/>
  <c r="H102" i="40"/>
  <c r="H106" i="40"/>
  <c r="H101" i="40"/>
  <c r="K50" i="8"/>
  <c r="S134" i="42"/>
  <c r="S135" i="42"/>
  <c r="S131" i="42"/>
  <c r="S133" i="42"/>
  <c r="S132" i="42"/>
  <c r="S130" i="42"/>
  <c r="S129" i="42"/>
  <c r="S128" i="42"/>
  <c r="S127" i="42"/>
  <c r="S126" i="42"/>
  <c r="S125" i="42"/>
  <c r="S136" i="42"/>
  <c r="S135" i="41"/>
  <c r="S133" i="41"/>
  <c r="S131" i="41"/>
  <c r="S129" i="41"/>
  <c r="S127" i="41"/>
  <c r="S125" i="41"/>
  <c r="S136" i="41"/>
  <c r="S134" i="41"/>
  <c r="S132" i="41"/>
  <c r="S130" i="41"/>
  <c r="S128" i="41"/>
  <c r="S126" i="41"/>
  <c r="S136" i="38"/>
  <c r="S135" i="38"/>
  <c r="S134" i="38"/>
  <c r="S133" i="38"/>
  <c r="S132" i="38"/>
  <c r="S131" i="38"/>
  <c r="S130" i="38"/>
  <c r="S129" i="38"/>
  <c r="S128" i="38"/>
  <c r="S127" i="38"/>
  <c r="S126" i="38"/>
  <c r="S125" i="38"/>
  <c r="S136" i="40"/>
  <c r="S133" i="40"/>
  <c r="S134" i="40"/>
  <c r="S131" i="40"/>
  <c r="S127" i="40"/>
  <c r="S125" i="40"/>
  <c r="S130" i="40"/>
  <c r="S132" i="40"/>
  <c r="S135" i="40"/>
  <c r="S129" i="40"/>
  <c r="S128" i="40"/>
  <c r="S126" i="40"/>
  <c r="R138" i="42"/>
  <c r="R142" i="42"/>
  <c r="R146" i="42"/>
  <c r="R140" i="42"/>
  <c r="R145" i="42"/>
  <c r="R139" i="42"/>
  <c r="R141" i="42"/>
  <c r="R147" i="42"/>
  <c r="R137" i="42"/>
  <c r="R143" i="42"/>
  <c r="R148" i="42"/>
  <c r="R144" i="42"/>
  <c r="R148" i="41"/>
  <c r="R138" i="41"/>
  <c r="R140" i="41"/>
  <c r="R142" i="41"/>
  <c r="R144" i="41"/>
  <c r="R146" i="41"/>
  <c r="R147" i="41"/>
  <c r="R137" i="41"/>
  <c r="R139" i="41"/>
  <c r="R141" i="41"/>
  <c r="R143" i="41"/>
  <c r="R145" i="41"/>
  <c r="R148" i="38"/>
  <c r="R147" i="38"/>
  <c r="R146" i="38"/>
  <c r="R145" i="38"/>
  <c r="R144" i="38"/>
  <c r="R143" i="38"/>
  <c r="R142" i="38"/>
  <c r="R141" i="38"/>
  <c r="R140" i="38"/>
  <c r="R139" i="38"/>
  <c r="R138" i="38"/>
  <c r="R137" i="38"/>
  <c r="R146" i="40"/>
  <c r="R145" i="40"/>
  <c r="R148" i="40"/>
  <c r="R143" i="40"/>
  <c r="R139" i="40"/>
  <c r="R142" i="40"/>
  <c r="R137" i="40"/>
  <c r="R144" i="40"/>
  <c r="R141" i="40"/>
  <c r="R147" i="40"/>
  <c r="R140" i="40"/>
  <c r="R138" i="40"/>
  <c r="F143" i="42"/>
  <c r="F147" i="42"/>
  <c r="F146" i="42"/>
  <c r="F142" i="42"/>
  <c r="J142" i="42" s="1"/>
  <c r="AD142" i="42" s="1"/>
  <c r="AE142" i="42" s="1"/>
  <c r="F141" i="42"/>
  <c r="F138" i="42"/>
  <c r="F140" i="42"/>
  <c r="F137" i="42"/>
  <c r="F139" i="42"/>
  <c r="F144" i="42"/>
  <c r="F145" i="42"/>
  <c r="F148" i="42"/>
  <c r="F141" i="41"/>
  <c r="F147" i="41"/>
  <c r="F137" i="41"/>
  <c r="F140" i="41"/>
  <c r="F142" i="41"/>
  <c r="F146" i="41"/>
  <c r="F145" i="41"/>
  <c r="F148" i="41"/>
  <c r="F139" i="41"/>
  <c r="F143" i="41"/>
  <c r="F144" i="41"/>
  <c r="F138" i="41"/>
  <c r="H152" i="42"/>
  <c r="H151" i="42"/>
  <c r="H158" i="42"/>
  <c r="H150" i="42"/>
  <c r="H157" i="42"/>
  <c r="H153" i="42"/>
  <c r="H154" i="42"/>
  <c r="H155" i="42"/>
  <c r="H149" i="42"/>
  <c r="H156" i="42"/>
  <c r="H159" i="42"/>
  <c r="H160" i="42"/>
  <c r="K287" i="41"/>
  <c r="K287" i="42"/>
  <c r="K287" i="40"/>
  <c r="H153" i="41"/>
  <c r="H159" i="41"/>
  <c r="H155" i="41"/>
  <c r="H152" i="41"/>
  <c r="H151" i="41"/>
  <c r="H150" i="41"/>
  <c r="H157" i="41"/>
  <c r="H158" i="41"/>
  <c r="H156" i="41"/>
  <c r="H154" i="41"/>
  <c r="H149" i="41"/>
  <c r="H160" i="41"/>
  <c r="K54" i="8"/>
  <c r="S176" i="42"/>
  <c r="S183" i="42"/>
  <c r="S173" i="42"/>
  <c r="S177" i="42"/>
  <c r="S182" i="42"/>
  <c r="S181" i="42"/>
  <c r="S175" i="42"/>
  <c r="S178" i="42"/>
  <c r="S179" i="42"/>
  <c r="S184" i="42"/>
  <c r="S180" i="42"/>
  <c r="S174" i="42"/>
  <c r="S184" i="41"/>
  <c r="S183" i="41"/>
  <c r="S182" i="41"/>
  <c r="S181" i="41"/>
  <c r="S180" i="41"/>
  <c r="S179" i="41"/>
  <c r="S178" i="41"/>
  <c r="S177" i="41"/>
  <c r="S176" i="41"/>
  <c r="S175" i="41"/>
  <c r="S174" i="41"/>
  <c r="S173" i="41"/>
  <c r="S184" i="38"/>
  <c r="S183" i="38"/>
  <c r="S182" i="38"/>
  <c r="S181" i="38"/>
  <c r="S180" i="38"/>
  <c r="S179" i="38"/>
  <c r="S178" i="38"/>
  <c r="S177" i="38"/>
  <c r="S176" i="38"/>
  <c r="S175" i="38"/>
  <c r="S174" i="38"/>
  <c r="S173" i="38"/>
  <c r="S184" i="40"/>
  <c r="S181" i="40"/>
  <c r="S182" i="40"/>
  <c r="S175" i="40"/>
  <c r="S179" i="40"/>
  <c r="R185" i="42"/>
  <c r="R189" i="42"/>
  <c r="R193" i="42"/>
  <c r="R186" i="42"/>
  <c r="R191" i="42"/>
  <c r="R196" i="42"/>
  <c r="R187" i="42"/>
  <c r="R192" i="42"/>
  <c r="R188" i="42"/>
  <c r="R194" i="42"/>
  <c r="R190" i="42"/>
  <c r="R195" i="42"/>
  <c r="R189" i="41"/>
  <c r="R187" i="41"/>
  <c r="R185" i="41"/>
  <c r="R188" i="41"/>
  <c r="R186" i="41"/>
  <c r="R195" i="41"/>
  <c r="R194" i="41"/>
  <c r="R193" i="41"/>
  <c r="R196" i="41"/>
  <c r="R191" i="41"/>
  <c r="R190" i="41"/>
  <c r="R192" i="41"/>
  <c r="R196" i="38"/>
  <c r="R195" i="38"/>
  <c r="R194" i="38"/>
  <c r="R193" i="38"/>
  <c r="R192" i="38"/>
  <c r="R191" i="38"/>
  <c r="R190" i="38"/>
  <c r="R189" i="38"/>
  <c r="R188" i="38"/>
  <c r="R187" i="38"/>
  <c r="R186" i="38"/>
  <c r="R185" i="38"/>
  <c r="R194" i="40"/>
  <c r="R196" i="40"/>
  <c r="R193" i="40"/>
  <c r="F189" i="42"/>
  <c r="F185" i="42"/>
  <c r="J185" i="42" s="1"/>
  <c r="F196" i="42"/>
  <c r="F191" i="42"/>
  <c r="F195" i="42"/>
  <c r="F194" i="42"/>
  <c r="J194" i="42" s="1"/>
  <c r="AD194" i="42" s="1"/>
  <c r="AE194" i="42" s="1"/>
  <c r="F190" i="42"/>
  <c r="F188" i="42"/>
  <c r="F186" i="42"/>
  <c r="F187" i="42"/>
  <c r="F192" i="42"/>
  <c r="F193" i="42"/>
  <c r="H197" i="42"/>
  <c r="H203" i="42"/>
  <c r="H200" i="42"/>
  <c r="H208" i="42"/>
  <c r="H202" i="42"/>
  <c r="H206" i="42"/>
  <c r="H199" i="42"/>
  <c r="H198" i="42"/>
  <c r="H204" i="42"/>
  <c r="H205" i="42"/>
  <c r="H201" i="42"/>
  <c r="H207" i="42"/>
  <c r="K291" i="42"/>
  <c r="K291" i="41"/>
  <c r="K291" i="40"/>
  <c r="S222" i="42"/>
  <c r="S221" i="42"/>
  <c r="S232" i="42"/>
  <c r="S225" i="42"/>
  <c r="S226" i="42"/>
  <c r="S231" i="42"/>
  <c r="S227" i="42"/>
  <c r="S229" i="42"/>
  <c r="S228" i="42"/>
  <c r="S223" i="42"/>
  <c r="S230" i="42"/>
  <c r="S224" i="42"/>
  <c r="S229" i="41"/>
  <c r="S228" i="41"/>
  <c r="S232" i="41"/>
  <c r="S225" i="41"/>
  <c r="S231" i="41"/>
  <c r="S224" i="41"/>
  <c r="S221" i="41"/>
  <c r="S223" i="41"/>
  <c r="S226" i="41"/>
  <c r="S230" i="41"/>
  <c r="S231" i="38"/>
  <c r="S229" i="38"/>
  <c r="S227" i="38"/>
  <c r="S225" i="38"/>
  <c r="S223" i="38"/>
  <c r="S221" i="38"/>
  <c r="S227" i="41"/>
  <c r="S232" i="38"/>
  <c r="S222" i="41"/>
  <c r="S230" i="38"/>
  <c r="S226" i="38"/>
  <c r="S222" i="38"/>
  <c r="S228" i="38"/>
  <c r="S224" i="38"/>
  <c r="S232" i="40"/>
  <c r="S231" i="40"/>
  <c r="S229" i="40"/>
  <c r="S228" i="40"/>
  <c r="S226" i="40"/>
  <c r="S224" i="40"/>
  <c r="S223" i="40"/>
  <c r="S221" i="40"/>
  <c r="S230" i="40"/>
  <c r="S227" i="40"/>
  <c r="S225" i="40"/>
  <c r="S222" i="40"/>
  <c r="V229" i="38"/>
  <c r="V232" i="38"/>
  <c r="V225" i="38"/>
  <c r="V227" i="38"/>
  <c r="V221" i="38"/>
  <c r="V228" i="38"/>
  <c r="V223" i="38"/>
  <c r="V222" i="38"/>
  <c r="V231" i="38"/>
  <c r="V224" i="38"/>
  <c r="V230" i="38"/>
  <c r="V226" i="38"/>
  <c r="R238" i="42"/>
  <c r="R242" i="42"/>
  <c r="R234" i="42"/>
  <c r="R236" i="42"/>
  <c r="R240" i="42"/>
  <c r="R237" i="42"/>
  <c r="R235" i="42"/>
  <c r="R243" i="42"/>
  <c r="R244" i="42"/>
  <c r="R233" i="42"/>
  <c r="R239" i="42"/>
  <c r="R241" i="42"/>
  <c r="R235" i="41"/>
  <c r="R243" i="41"/>
  <c r="R239" i="41"/>
  <c r="R237" i="41"/>
  <c r="R233" i="41"/>
  <c r="R234" i="41"/>
  <c r="R244" i="38"/>
  <c r="R242" i="38"/>
  <c r="R240" i="38"/>
  <c r="R238" i="38"/>
  <c r="R236" i="38"/>
  <c r="R234" i="38"/>
  <c r="R244" i="40"/>
  <c r="R243" i="40"/>
  <c r="R242" i="40"/>
  <c r="R241" i="40"/>
  <c r="R240" i="40"/>
  <c r="R239" i="40"/>
  <c r="R238" i="40"/>
  <c r="R237" i="40"/>
  <c r="R236" i="40"/>
  <c r="R235" i="40"/>
  <c r="R234" i="40"/>
  <c r="R233" i="40"/>
  <c r="R241" i="41"/>
  <c r="R236" i="41"/>
  <c r="R238" i="41"/>
  <c r="R241" i="38"/>
  <c r="R237" i="38"/>
  <c r="R233" i="38"/>
  <c r="R240" i="41"/>
  <c r="R244" i="41"/>
  <c r="R242" i="41"/>
  <c r="R243" i="38"/>
  <c r="R239" i="38"/>
  <c r="R235" i="38"/>
  <c r="F244" i="42"/>
  <c r="F238" i="42"/>
  <c r="J238" i="42" s="1"/>
  <c r="AD238" i="42" s="1"/>
  <c r="AE238" i="42" s="1"/>
  <c r="F234" i="42"/>
  <c r="F233" i="42"/>
  <c r="F240" i="42"/>
  <c r="F239" i="42"/>
  <c r="F242" i="42"/>
  <c r="J242" i="42" s="1"/>
  <c r="AD242" i="42" s="1"/>
  <c r="AE242" i="42" s="1"/>
  <c r="F243" i="42"/>
  <c r="F235" i="42"/>
  <c r="F241" i="42"/>
  <c r="J241" i="42" s="1"/>
  <c r="AD241" i="42" s="1"/>
  <c r="AE241" i="42" s="1"/>
  <c r="F236" i="42"/>
  <c r="F237" i="42"/>
  <c r="K295" i="38"/>
  <c r="H255" i="42"/>
  <c r="H251" i="42"/>
  <c r="H247" i="42"/>
  <c r="H248" i="42"/>
  <c r="H254" i="42"/>
  <c r="H249" i="42"/>
  <c r="H253" i="42"/>
  <c r="H250" i="42"/>
  <c r="H252" i="42"/>
  <c r="H256" i="42"/>
  <c r="H246" i="42"/>
  <c r="H245" i="42"/>
  <c r="K295" i="42"/>
  <c r="K295" i="41"/>
  <c r="K295" i="40"/>
  <c r="X249" i="38"/>
  <c r="X256" i="38"/>
  <c r="X250" i="38"/>
  <c r="X251" i="38"/>
  <c r="X253" i="38"/>
  <c r="X254" i="38"/>
  <c r="X248" i="38"/>
  <c r="X246" i="38"/>
  <c r="X252" i="38"/>
  <c r="X255" i="38"/>
  <c r="X245" i="38"/>
  <c r="X247" i="38"/>
  <c r="W266" i="38"/>
  <c r="W265" i="38"/>
  <c r="W263" i="38"/>
  <c r="W261" i="38"/>
  <c r="W268" i="38"/>
  <c r="W262" i="38"/>
  <c r="W267" i="38"/>
  <c r="W259" i="38"/>
  <c r="W257" i="38"/>
  <c r="W258" i="38"/>
  <c r="W260" i="38"/>
  <c r="W264" i="38"/>
  <c r="H129" i="40"/>
  <c r="H135" i="40"/>
  <c r="H137" i="40"/>
  <c r="H138" i="40"/>
  <c r="S152" i="40"/>
  <c r="S173" i="40"/>
  <c r="R191" i="40"/>
  <c r="F167" i="41"/>
  <c r="H183" i="41"/>
  <c r="K42" i="8"/>
  <c r="S34" i="42"/>
  <c r="S36" i="42"/>
  <c r="S32" i="42"/>
  <c r="S30" i="42"/>
  <c r="S38" i="42"/>
  <c r="S40" i="42"/>
  <c r="S29" i="42"/>
  <c r="S39" i="42"/>
  <c r="S33" i="42"/>
  <c r="S31" i="42"/>
  <c r="S37" i="42"/>
  <c r="S35" i="42"/>
  <c r="S34" i="41"/>
  <c r="S31" i="41"/>
  <c r="S33" i="41"/>
  <c r="S39" i="41"/>
  <c r="S36" i="41"/>
  <c r="S29" i="41"/>
  <c r="S30" i="41"/>
  <c r="S37" i="41"/>
  <c r="S38" i="41"/>
  <c r="S32" i="41"/>
  <c r="S35" i="41"/>
  <c r="S40" i="41"/>
  <c r="S35" i="40"/>
  <c r="S31" i="40"/>
  <c r="S29" i="40"/>
  <c r="S38" i="40"/>
  <c r="S40" i="40"/>
  <c r="S34" i="40"/>
  <c r="S37" i="40"/>
  <c r="S36" i="40"/>
  <c r="S32" i="40"/>
  <c r="S33" i="40"/>
  <c r="S40" i="38"/>
  <c r="S39" i="38"/>
  <c r="S38" i="38"/>
  <c r="S37" i="38"/>
  <c r="S36" i="38"/>
  <c r="S35" i="38"/>
  <c r="S34" i="38"/>
  <c r="S33" i="38"/>
  <c r="S32" i="38"/>
  <c r="S31" i="38"/>
  <c r="S30" i="38"/>
  <c r="S29" i="38"/>
  <c r="S39" i="40"/>
  <c r="S30" i="40"/>
  <c r="R49" i="42"/>
  <c r="R45" i="42"/>
  <c r="R44" i="42"/>
  <c r="R43" i="42"/>
  <c r="R42" i="42"/>
  <c r="R41" i="42"/>
  <c r="R50" i="42"/>
  <c r="R46" i="42"/>
  <c r="R51" i="42"/>
  <c r="R48" i="42"/>
  <c r="R52" i="42"/>
  <c r="R47" i="42"/>
  <c r="R47" i="41"/>
  <c r="R44" i="41"/>
  <c r="R52" i="41"/>
  <c r="R41" i="41"/>
  <c r="R49" i="41"/>
  <c r="R42" i="41"/>
  <c r="R50" i="41"/>
  <c r="R43" i="41"/>
  <c r="R51" i="41"/>
  <c r="R48" i="41"/>
  <c r="R46" i="41"/>
  <c r="R45" i="41"/>
  <c r="R41" i="40"/>
  <c r="R49" i="40"/>
  <c r="R52" i="40"/>
  <c r="R47" i="40"/>
  <c r="R50" i="40"/>
  <c r="R46" i="40"/>
  <c r="R48" i="40"/>
  <c r="R43" i="40"/>
  <c r="R52" i="38"/>
  <c r="R51" i="38"/>
  <c r="R50" i="38"/>
  <c r="R49" i="38"/>
  <c r="R48" i="38"/>
  <c r="R47" i="38"/>
  <c r="R46" i="38"/>
  <c r="R45" i="38"/>
  <c r="R44" i="38"/>
  <c r="R43" i="38"/>
  <c r="R42" i="38"/>
  <c r="R41" i="38"/>
  <c r="R44" i="40"/>
  <c r="R42" i="40"/>
  <c r="R45" i="40"/>
  <c r="R51" i="40"/>
  <c r="R60" i="42"/>
  <c r="R56" i="42"/>
  <c r="R63" i="42"/>
  <c r="R61" i="42"/>
  <c r="R57" i="42"/>
  <c r="R62" i="42"/>
  <c r="R59" i="42"/>
  <c r="R58" i="42"/>
  <c r="R64" i="42"/>
  <c r="R55" i="42"/>
  <c r="R53" i="42"/>
  <c r="R54" i="42"/>
  <c r="R59" i="41"/>
  <c r="R64" i="41"/>
  <c r="R57" i="41"/>
  <c r="R60" i="41"/>
  <c r="R62" i="41"/>
  <c r="R63" i="41"/>
  <c r="R55" i="41"/>
  <c r="R58" i="41"/>
  <c r="R61" i="41"/>
  <c r="R56" i="41"/>
  <c r="R53" i="41"/>
  <c r="R54" i="41"/>
  <c r="R59" i="40"/>
  <c r="R55" i="40"/>
  <c r="R61" i="40"/>
  <c r="R64" i="40"/>
  <c r="R62" i="40"/>
  <c r="R60" i="40"/>
  <c r="R58" i="40"/>
  <c r="R53" i="40"/>
  <c r="R64" i="38"/>
  <c r="R63" i="38"/>
  <c r="R62" i="38"/>
  <c r="R61" i="38"/>
  <c r="R60" i="38"/>
  <c r="R59" i="38"/>
  <c r="R58" i="38"/>
  <c r="R57" i="38"/>
  <c r="R56" i="38"/>
  <c r="R55" i="38"/>
  <c r="R54" i="38"/>
  <c r="R53" i="38"/>
  <c r="R63" i="40"/>
  <c r="R54" i="40"/>
  <c r="R57" i="40"/>
  <c r="R56" i="40"/>
  <c r="F54" i="42"/>
  <c r="F64" i="42"/>
  <c r="F56" i="42"/>
  <c r="F63" i="42"/>
  <c r="F60" i="42"/>
  <c r="F58" i="42"/>
  <c r="F57" i="42"/>
  <c r="F62" i="42"/>
  <c r="F59" i="42"/>
  <c r="F55" i="42"/>
  <c r="J55" i="42" s="1"/>
  <c r="AD55" i="42" s="1"/>
  <c r="AE55" i="42" s="1"/>
  <c r="F53" i="42"/>
  <c r="F61" i="42"/>
  <c r="F57" i="41"/>
  <c r="F53" i="41"/>
  <c r="F64" i="41"/>
  <c r="F58" i="41"/>
  <c r="F63" i="41"/>
  <c r="F55" i="41"/>
  <c r="F54" i="41"/>
  <c r="F56" i="41"/>
  <c r="F60" i="41"/>
  <c r="F62" i="41"/>
  <c r="F59" i="41"/>
  <c r="F61" i="41"/>
  <c r="F63" i="40"/>
  <c r="F55" i="40"/>
  <c r="F53" i="40"/>
  <c r="F64" i="40"/>
  <c r="F60" i="40"/>
  <c r="F62" i="40"/>
  <c r="F61" i="40"/>
  <c r="F59" i="40"/>
  <c r="J59" i="40" s="1"/>
  <c r="AD59" i="40" s="1"/>
  <c r="AE59" i="40" s="1"/>
  <c r="F56" i="40"/>
  <c r="F57" i="40"/>
  <c r="F54" i="40"/>
  <c r="F58" i="40"/>
  <c r="J58" i="40" s="1"/>
  <c r="AD58" i="40" s="1"/>
  <c r="AE58" i="40" s="1"/>
  <c r="H68" i="42"/>
  <c r="H66" i="42"/>
  <c r="H67" i="42"/>
  <c r="H65" i="42"/>
  <c r="H74" i="42"/>
  <c r="H69" i="42"/>
  <c r="H73" i="42"/>
  <c r="H71" i="42"/>
  <c r="H70" i="42"/>
  <c r="H76" i="42"/>
  <c r="H75" i="42"/>
  <c r="H72" i="42"/>
  <c r="H69" i="41"/>
  <c r="H74" i="41"/>
  <c r="H66" i="41"/>
  <c r="H75" i="41"/>
  <c r="H65" i="41"/>
  <c r="H67" i="41"/>
  <c r="H76" i="41"/>
  <c r="H72" i="41"/>
  <c r="H73" i="41"/>
  <c r="H71" i="41"/>
  <c r="H70" i="41"/>
  <c r="H68" i="41"/>
  <c r="H76" i="40"/>
  <c r="H72" i="40"/>
  <c r="H67" i="40"/>
  <c r="H71" i="40"/>
  <c r="H65" i="40"/>
  <c r="H75" i="40"/>
  <c r="H68" i="40"/>
  <c r="H74" i="40"/>
  <c r="H69" i="40"/>
  <c r="H73" i="40"/>
  <c r="H70" i="40"/>
  <c r="H66" i="40"/>
  <c r="K280" i="42"/>
  <c r="K280" i="41"/>
  <c r="K280" i="40"/>
  <c r="K47" i="8"/>
  <c r="S100" i="42"/>
  <c r="S99" i="42"/>
  <c r="S98" i="42"/>
  <c r="S97" i="42"/>
  <c r="S96" i="42"/>
  <c r="S95" i="42"/>
  <c r="S94" i="42"/>
  <c r="S93" i="42"/>
  <c r="S92" i="42"/>
  <c r="S91" i="42"/>
  <c r="S90" i="42"/>
  <c r="S89" i="42"/>
  <c r="S91" i="41"/>
  <c r="S89" i="41"/>
  <c r="S92" i="41"/>
  <c r="S90" i="41"/>
  <c r="S97" i="41"/>
  <c r="S100" i="41"/>
  <c r="S94" i="41"/>
  <c r="S98" i="41"/>
  <c r="S93" i="41"/>
  <c r="S95" i="41"/>
  <c r="S96" i="41"/>
  <c r="S99" i="41"/>
  <c r="S100" i="38"/>
  <c r="S99" i="38"/>
  <c r="S98" i="38"/>
  <c r="S97" i="38"/>
  <c r="S96" i="38"/>
  <c r="S95" i="38"/>
  <c r="S94" i="38"/>
  <c r="S93" i="38"/>
  <c r="S92" i="38"/>
  <c r="S91" i="38"/>
  <c r="S90" i="38"/>
  <c r="S89" i="38"/>
  <c r="S97" i="40"/>
  <c r="S100" i="40"/>
  <c r="S98" i="40"/>
  <c r="S95" i="40"/>
  <c r="S91" i="40"/>
  <c r="S94" i="40"/>
  <c r="S96" i="40"/>
  <c r="S89" i="40"/>
  <c r="S92" i="40"/>
  <c r="S90" i="40"/>
  <c r="S93" i="40"/>
  <c r="S99" i="40"/>
  <c r="R101" i="42"/>
  <c r="R111" i="42"/>
  <c r="R105" i="42"/>
  <c r="R102" i="42"/>
  <c r="R104" i="42"/>
  <c r="R106" i="42"/>
  <c r="R108" i="42"/>
  <c r="R110" i="42"/>
  <c r="R107" i="42"/>
  <c r="R112" i="42"/>
  <c r="R109" i="42"/>
  <c r="R103" i="42"/>
  <c r="R111" i="41"/>
  <c r="R107" i="41"/>
  <c r="R103" i="41"/>
  <c r="R109" i="41"/>
  <c r="R105" i="41"/>
  <c r="R101" i="41"/>
  <c r="R102" i="41"/>
  <c r="R106" i="41"/>
  <c r="R110" i="41"/>
  <c r="R108" i="41"/>
  <c r="R112" i="41"/>
  <c r="R104" i="41"/>
  <c r="R112" i="38"/>
  <c r="R111" i="38"/>
  <c r="R110" i="38"/>
  <c r="R109" i="38"/>
  <c r="R108" i="38"/>
  <c r="R107" i="38"/>
  <c r="R106" i="38"/>
  <c r="R105" i="38"/>
  <c r="R104" i="38"/>
  <c r="R103" i="38"/>
  <c r="R102" i="38"/>
  <c r="R101" i="38"/>
  <c r="R109" i="40"/>
  <c r="R110" i="40"/>
  <c r="R112" i="40"/>
  <c r="R107" i="40"/>
  <c r="R103" i="40"/>
  <c r="R101" i="40"/>
  <c r="R106" i="40"/>
  <c r="R108" i="40"/>
  <c r="R104" i="40"/>
  <c r="R102" i="40"/>
  <c r="R105" i="40"/>
  <c r="R111" i="40"/>
  <c r="F106" i="42"/>
  <c r="F107" i="42"/>
  <c r="F101" i="42"/>
  <c r="F104" i="42"/>
  <c r="F111" i="42"/>
  <c r="F105" i="42"/>
  <c r="F110" i="42"/>
  <c r="F102" i="42"/>
  <c r="J102" i="42" s="1"/>
  <c r="AD102" i="42" s="1"/>
  <c r="AE102" i="42" s="1"/>
  <c r="F109" i="42"/>
  <c r="F103" i="42"/>
  <c r="F108" i="42"/>
  <c r="F112" i="42"/>
  <c r="F105" i="41"/>
  <c r="F110" i="41"/>
  <c r="F112" i="41"/>
  <c r="F107" i="41"/>
  <c r="F103" i="41"/>
  <c r="F102" i="41"/>
  <c r="F111" i="41"/>
  <c r="F104" i="41"/>
  <c r="F101" i="41"/>
  <c r="F109" i="41"/>
  <c r="F106" i="41"/>
  <c r="F108" i="41"/>
  <c r="F108" i="40"/>
  <c r="F102" i="40"/>
  <c r="F103" i="40"/>
  <c r="F101" i="40"/>
  <c r="J101" i="40" s="1"/>
  <c r="F107" i="40"/>
  <c r="F111" i="40"/>
  <c r="F104" i="40"/>
  <c r="F106" i="40"/>
  <c r="F110" i="40"/>
  <c r="F105" i="40"/>
  <c r="F112" i="40"/>
  <c r="F109" i="40"/>
  <c r="K284" i="41"/>
  <c r="K284" i="40"/>
  <c r="K284" i="42"/>
  <c r="H120" i="40"/>
  <c r="H117" i="40"/>
  <c r="H116" i="40"/>
  <c r="H118" i="40"/>
  <c r="H122" i="40"/>
  <c r="H123" i="40"/>
  <c r="H115" i="40"/>
  <c r="H124" i="40"/>
  <c r="H114" i="40"/>
  <c r="H113" i="40"/>
  <c r="H119" i="40"/>
  <c r="H121" i="40"/>
  <c r="K51" i="8"/>
  <c r="S141" i="42"/>
  <c r="S145" i="42"/>
  <c r="S148" i="42"/>
  <c r="S138" i="42"/>
  <c r="S143" i="42"/>
  <c r="S142" i="42"/>
  <c r="S139" i="42"/>
  <c r="S144" i="42"/>
  <c r="S137" i="42"/>
  <c r="S140" i="42"/>
  <c r="S146" i="42"/>
  <c r="S147" i="42"/>
  <c r="S148" i="41"/>
  <c r="S137" i="41"/>
  <c r="S139" i="41"/>
  <c r="S141" i="41"/>
  <c r="S143" i="41"/>
  <c r="S145" i="41"/>
  <c r="S147" i="41"/>
  <c r="S138" i="41"/>
  <c r="S146" i="41"/>
  <c r="S140" i="41"/>
  <c r="S144" i="41"/>
  <c r="S142" i="41"/>
  <c r="S148" i="38"/>
  <c r="S147" i="38"/>
  <c r="S146" i="38"/>
  <c r="S145" i="38"/>
  <c r="S144" i="38"/>
  <c r="S143" i="38"/>
  <c r="S142" i="38"/>
  <c r="S141" i="38"/>
  <c r="S140" i="38"/>
  <c r="S139" i="38"/>
  <c r="S138" i="38"/>
  <c r="S137" i="38"/>
  <c r="S148" i="40"/>
  <c r="S145" i="40"/>
  <c r="S146" i="40"/>
  <c r="S143" i="40"/>
  <c r="S139" i="40"/>
  <c r="S142" i="40"/>
  <c r="S144" i="40"/>
  <c r="S137" i="40"/>
  <c r="S140" i="40"/>
  <c r="S138" i="40"/>
  <c r="S147" i="40"/>
  <c r="S141" i="40"/>
  <c r="R152" i="42"/>
  <c r="R151" i="42"/>
  <c r="R159" i="42"/>
  <c r="R158" i="42"/>
  <c r="R157" i="42"/>
  <c r="R156" i="42"/>
  <c r="R155" i="42"/>
  <c r="R154" i="42"/>
  <c r="R153" i="42"/>
  <c r="R149" i="42"/>
  <c r="R150" i="42"/>
  <c r="R160" i="42"/>
  <c r="R159" i="41"/>
  <c r="R160" i="41"/>
  <c r="R156" i="41"/>
  <c r="R155" i="41"/>
  <c r="R150" i="41"/>
  <c r="R158" i="41"/>
  <c r="R153" i="41"/>
  <c r="R152" i="41"/>
  <c r="R154" i="41"/>
  <c r="R157" i="41"/>
  <c r="R151" i="41"/>
  <c r="R149" i="41"/>
  <c r="R160" i="38"/>
  <c r="R159" i="38"/>
  <c r="R158" i="38"/>
  <c r="R157" i="38"/>
  <c r="R156" i="38"/>
  <c r="R155" i="38"/>
  <c r="R154" i="38"/>
  <c r="R153" i="38"/>
  <c r="R152" i="38"/>
  <c r="R151" i="38"/>
  <c r="R150" i="38"/>
  <c r="R149" i="38"/>
  <c r="R157" i="40"/>
  <c r="R160" i="40"/>
  <c r="R158" i="40"/>
  <c r="R155" i="40"/>
  <c r="R151" i="40"/>
  <c r="R149" i="40"/>
  <c r="R156" i="40"/>
  <c r="R154" i="40"/>
  <c r="F151" i="42"/>
  <c r="F159" i="42"/>
  <c r="F150" i="42"/>
  <c r="F157" i="42"/>
  <c r="F154" i="42"/>
  <c r="F155" i="42"/>
  <c r="F152" i="42"/>
  <c r="F160" i="42"/>
  <c r="F158" i="42"/>
  <c r="F153" i="42"/>
  <c r="F156" i="42"/>
  <c r="F149" i="42"/>
  <c r="F153" i="41"/>
  <c r="F159" i="41"/>
  <c r="J159" i="41" s="1"/>
  <c r="AD159" i="41" s="1"/>
  <c r="F149" i="41"/>
  <c r="F156" i="41"/>
  <c r="F158" i="41"/>
  <c r="F152" i="41"/>
  <c r="F155" i="41"/>
  <c r="F150" i="41"/>
  <c r="F151" i="41"/>
  <c r="F157" i="41"/>
  <c r="F160" i="41"/>
  <c r="F154" i="41"/>
  <c r="H167" i="42"/>
  <c r="H165" i="42"/>
  <c r="H170" i="42"/>
  <c r="H171" i="42"/>
  <c r="H169" i="42"/>
  <c r="H161" i="42"/>
  <c r="H162" i="42"/>
  <c r="H166" i="42"/>
  <c r="H172" i="42"/>
  <c r="H163" i="42"/>
  <c r="H164" i="42"/>
  <c r="H168" i="42"/>
  <c r="K288" i="41"/>
  <c r="K288" i="42"/>
  <c r="K288" i="40"/>
  <c r="H165" i="41"/>
  <c r="H171" i="41"/>
  <c r="K55" i="8"/>
  <c r="S196" i="42"/>
  <c r="S192" i="42"/>
  <c r="S188" i="42"/>
  <c r="S194" i="42"/>
  <c r="S190" i="42"/>
  <c r="S186" i="42"/>
  <c r="S193" i="42"/>
  <c r="S185" i="42"/>
  <c r="S195" i="42"/>
  <c r="S187" i="42"/>
  <c r="S191" i="42"/>
  <c r="S189" i="42"/>
  <c r="S196" i="41"/>
  <c r="S194" i="41"/>
  <c r="S192" i="41"/>
  <c r="S190" i="41"/>
  <c r="S195" i="41"/>
  <c r="S191" i="41"/>
  <c r="S193" i="41"/>
  <c r="S186" i="41"/>
  <c r="S188" i="41"/>
  <c r="S185" i="41"/>
  <c r="S189" i="41"/>
  <c r="S187" i="41"/>
  <c r="S196" i="38"/>
  <c r="S195" i="38"/>
  <c r="S194" i="38"/>
  <c r="S193" i="38"/>
  <c r="S192" i="38"/>
  <c r="S191" i="38"/>
  <c r="S190" i="38"/>
  <c r="S189" i="38"/>
  <c r="S188" i="38"/>
  <c r="S187" i="38"/>
  <c r="S186" i="38"/>
  <c r="S185" i="38"/>
  <c r="S196" i="40"/>
  <c r="S193" i="40"/>
  <c r="S194" i="40"/>
  <c r="R198" i="42"/>
  <c r="R204" i="42"/>
  <c r="R208" i="42"/>
  <c r="R203" i="42"/>
  <c r="R202" i="42"/>
  <c r="R207" i="42"/>
  <c r="R200" i="42"/>
  <c r="R205" i="42"/>
  <c r="R197" i="42"/>
  <c r="R201" i="42"/>
  <c r="R206" i="42"/>
  <c r="R199" i="42"/>
  <c r="R202" i="41"/>
  <c r="R201" i="41"/>
  <c r="R197" i="41"/>
  <c r="R205" i="41"/>
  <c r="R200" i="41"/>
  <c r="R208" i="41"/>
  <c r="R199" i="41"/>
  <c r="R198" i="41"/>
  <c r="R203" i="41"/>
  <c r="R207" i="41"/>
  <c r="R204" i="41"/>
  <c r="R206" i="41"/>
  <c r="R208" i="38"/>
  <c r="R207" i="38"/>
  <c r="R206" i="38"/>
  <c r="R205" i="38"/>
  <c r="R204" i="38"/>
  <c r="R203" i="38"/>
  <c r="R202" i="38"/>
  <c r="R201" i="38"/>
  <c r="R200" i="38"/>
  <c r="R199" i="38"/>
  <c r="R198" i="38"/>
  <c r="R197" i="38"/>
  <c r="F206" i="42"/>
  <c r="F207" i="42"/>
  <c r="F199" i="42"/>
  <c r="F202" i="42"/>
  <c r="F201" i="42"/>
  <c r="F208" i="42"/>
  <c r="F197" i="42"/>
  <c r="F204" i="42"/>
  <c r="F203" i="42"/>
  <c r="F198" i="42"/>
  <c r="F200" i="42"/>
  <c r="F205" i="42"/>
  <c r="H217" i="42"/>
  <c r="H213" i="42"/>
  <c r="H212" i="42"/>
  <c r="H209" i="42"/>
  <c r="H219" i="42"/>
  <c r="H216" i="42"/>
  <c r="H210" i="42"/>
  <c r="H218" i="42"/>
  <c r="H215" i="42"/>
  <c r="H211" i="42"/>
  <c r="H214" i="42"/>
  <c r="H220" i="42"/>
  <c r="K292" i="42"/>
  <c r="K292" i="41"/>
  <c r="K292" i="40"/>
  <c r="W229" i="38"/>
  <c r="W225" i="38"/>
  <c r="W227" i="38"/>
  <c r="W232" i="38"/>
  <c r="W221" i="38"/>
  <c r="W224" i="38"/>
  <c r="W222" i="38"/>
  <c r="W230" i="38"/>
  <c r="W226" i="38"/>
  <c r="W228" i="38"/>
  <c r="W223" i="38"/>
  <c r="W231" i="38"/>
  <c r="S242" i="42"/>
  <c r="S235" i="42"/>
  <c r="S234" i="42"/>
  <c r="S238" i="42"/>
  <c r="S239" i="42"/>
  <c r="S237" i="42"/>
  <c r="S240" i="42"/>
  <c r="S233" i="42"/>
  <c r="S241" i="42"/>
  <c r="S243" i="42"/>
  <c r="S244" i="42"/>
  <c r="S236" i="42"/>
  <c r="S237" i="41"/>
  <c r="S242" i="41"/>
  <c r="S234" i="41"/>
  <c r="S241" i="41"/>
  <c r="S238" i="41"/>
  <c r="S233" i="41"/>
  <c r="S235" i="41"/>
  <c r="S240" i="41"/>
  <c r="S244" i="41"/>
  <c r="S239" i="41"/>
  <c r="S243" i="38"/>
  <c r="S241" i="38"/>
  <c r="S239" i="38"/>
  <c r="S237" i="38"/>
  <c r="S235" i="38"/>
  <c r="S233" i="38"/>
  <c r="S242" i="38"/>
  <c r="S238" i="38"/>
  <c r="S234" i="38"/>
  <c r="S236" i="41"/>
  <c r="S244" i="38"/>
  <c r="S240" i="38"/>
  <c r="S236" i="38"/>
  <c r="S243" i="40"/>
  <c r="S242" i="40"/>
  <c r="S240" i="40"/>
  <c r="S238" i="40"/>
  <c r="S237" i="40"/>
  <c r="S235" i="40"/>
  <c r="S234" i="40"/>
  <c r="S243" i="41"/>
  <c r="S244" i="40"/>
  <c r="S241" i="40"/>
  <c r="S239" i="40"/>
  <c r="S236" i="40"/>
  <c r="S233" i="40"/>
  <c r="V237" i="38"/>
  <c r="V239" i="38"/>
  <c r="V238" i="38"/>
  <c r="V241" i="38"/>
  <c r="V242" i="38"/>
  <c r="V244" i="38"/>
  <c r="V235" i="38"/>
  <c r="V234" i="38"/>
  <c r="V240" i="38"/>
  <c r="V243" i="38"/>
  <c r="V236" i="38"/>
  <c r="V233" i="38"/>
  <c r="R249" i="42"/>
  <c r="R245" i="42"/>
  <c r="R253" i="42"/>
  <c r="R247" i="42"/>
  <c r="R255" i="42"/>
  <c r="R246" i="42"/>
  <c r="R251" i="42"/>
  <c r="R248" i="42"/>
  <c r="R250" i="42"/>
  <c r="R252" i="42"/>
  <c r="R256" i="42"/>
  <c r="R254" i="42"/>
  <c r="R252" i="41"/>
  <c r="R246" i="41"/>
  <c r="R248" i="41"/>
  <c r="R254" i="41"/>
  <c r="R256" i="41"/>
  <c r="R250" i="41"/>
  <c r="R251" i="41"/>
  <c r="R255" i="41"/>
  <c r="R256" i="38"/>
  <c r="R254" i="38"/>
  <c r="R252" i="38"/>
  <c r="R250" i="38"/>
  <c r="R248" i="38"/>
  <c r="R246" i="38"/>
  <c r="R256" i="40"/>
  <c r="R255" i="40"/>
  <c r="R254" i="40"/>
  <c r="R253" i="40"/>
  <c r="R252" i="40"/>
  <c r="R251" i="40"/>
  <c r="R250" i="40"/>
  <c r="R249" i="40"/>
  <c r="R248" i="40"/>
  <c r="R247" i="40"/>
  <c r="R246" i="40"/>
  <c r="R245" i="40"/>
  <c r="R249" i="41"/>
  <c r="R245" i="41"/>
  <c r="R247" i="41"/>
  <c r="R253" i="41"/>
  <c r="R253" i="38"/>
  <c r="R249" i="38"/>
  <c r="R245" i="38"/>
  <c r="R255" i="38"/>
  <c r="R251" i="38"/>
  <c r="R247" i="38"/>
  <c r="F254" i="42"/>
  <c r="F250" i="42"/>
  <c r="F256" i="42"/>
  <c r="F246" i="42"/>
  <c r="J246" i="42" s="1"/>
  <c r="AD246" i="42" s="1"/>
  <c r="AE246" i="42" s="1"/>
  <c r="F251" i="42"/>
  <c r="F249" i="42"/>
  <c r="F247" i="42"/>
  <c r="F248" i="42"/>
  <c r="F245" i="42"/>
  <c r="F255" i="42"/>
  <c r="F253" i="42"/>
  <c r="F252" i="42"/>
  <c r="H262" i="42"/>
  <c r="H260" i="42"/>
  <c r="H267" i="42"/>
  <c r="H261" i="42"/>
  <c r="H265" i="42"/>
  <c r="H257" i="42"/>
  <c r="H259" i="42"/>
  <c r="H258" i="42"/>
  <c r="H264" i="42"/>
  <c r="H268" i="42"/>
  <c r="H266" i="42"/>
  <c r="H263" i="42"/>
  <c r="K296" i="41"/>
  <c r="K296" i="42"/>
  <c r="K296" i="40"/>
  <c r="X263" i="38"/>
  <c r="X261" i="38"/>
  <c r="X266" i="38"/>
  <c r="X262" i="38"/>
  <c r="X268" i="38"/>
  <c r="X265" i="38"/>
  <c r="X259" i="38"/>
  <c r="X260" i="38"/>
  <c r="X257" i="38"/>
  <c r="X258" i="38"/>
  <c r="X267" i="38"/>
  <c r="X264" i="38"/>
  <c r="F127" i="40"/>
  <c r="F136" i="40"/>
  <c r="J136" i="40" s="1"/>
  <c r="AD136" i="40" s="1"/>
  <c r="AE136" i="40" s="1"/>
  <c r="F135" i="40"/>
  <c r="F144" i="40"/>
  <c r="J144" i="40" s="1"/>
  <c r="AD144" i="40" s="1"/>
  <c r="AE144" i="40" s="1"/>
  <c r="H133" i="40"/>
  <c r="F137" i="40"/>
  <c r="R150" i="40"/>
  <c r="R187" i="40"/>
  <c r="R206" i="40"/>
  <c r="R205" i="40"/>
  <c r="H162" i="41"/>
  <c r="F162" i="41"/>
  <c r="H172" i="41"/>
  <c r="F172" i="41"/>
  <c r="D192" i="41"/>
  <c r="I180" i="41"/>
  <c r="E180" i="41"/>
  <c r="G180" i="41"/>
  <c r="F180" i="41"/>
  <c r="H180" i="41"/>
  <c r="D194" i="41"/>
  <c r="I182" i="41"/>
  <c r="E182" i="41"/>
  <c r="H182" i="41"/>
  <c r="G182" i="41"/>
  <c r="F182" i="41"/>
  <c r="D201" i="41"/>
  <c r="H189" i="41"/>
  <c r="G189" i="41"/>
  <c r="I189" i="41"/>
  <c r="E189" i="41"/>
  <c r="F189" i="41"/>
  <c r="D188" i="41"/>
  <c r="I176" i="41"/>
  <c r="E176" i="41"/>
  <c r="G176" i="41"/>
  <c r="F176" i="41"/>
  <c r="H176" i="41"/>
  <c r="D187" i="41"/>
  <c r="I175" i="41"/>
  <c r="E175" i="41"/>
  <c r="F175" i="41"/>
  <c r="H175" i="41"/>
  <c r="G175" i="41"/>
  <c r="D191" i="41"/>
  <c r="I179" i="41"/>
  <c r="E179" i="41"/>
  <c r="F179" i="41"/>
  <c r="H179" i="41"/>
  <c r="G179" i="41"/>
  <c r="D186" i="41"/>
  <c r="H174" i="41"/>
  <c r="G174" i="41"/>
  <c r="F174" i="41"/>
  <c r="E174" i="41"/>
  <c r="I174" i="41"/>
  <c r="D190" i="41"/>
  <c r="I178" i="41"/>
  <c r="E178" i="41"/>
  <c r="H178" i="41"/>
  <c r="G178" i="41"/>
  <c r="F178" i="41"/>
  <c r="D185" i="41"/>
  <c r="H173" i="41"/>
  <c r="G173" i="41"/>
  <c r="F173" i="41"/>
  <c r="I173" i="41"/>
  <c r="E173" i="41"/>
  <c r="H195" i="41"/>
  <c r="D207" i="41"/>
  <c r="F195" i="41"/>
  <c r="E195" i="41"/>
  <c r="G195" i="41"/>
  <c r="I195" i="41"/>
  <c r="V195" i="41"/>
  <c r="D193" i="41"/>
  <c r="I181" i="41"/>
  <c r="E181" i="41"/>
  <c r="H181" i="41"/>
  <c r="G181" i="41"/>
  <c r="F181" i="41"/>
  <c r="D196" i="41"/>
  <c r="I184" i="41"/>
  <c r="E184" i="41"/>
  <c r="G184" i="41"/>
  <c r="H184" i="41"/>
  <c r="F184" i="41"/>
  <c r="W145" i="40"/>
  <c r="AM145" i="40" s="1"/>
  <c r="AO145" i="40" s="1"/>
  <c r="AP145" i="40" s="1"/>
  <c r="X143" i="40"/>
  <c r="Q192" i="40"/>
  <c r="R192" i="40"/>
  <c r="S192" i="40"/>
  <c r="P192" i="40"/>
  <c r="R199" i="40"/>
  <c r="P199" i="40"/>
  <c r="S199" i="40"/>
  <c r="Q199" i="40"/>
  <c r="S218" i="40"/>
  <c r="R218" i="40"/>
  <c r="P218" i="40"/>
  <c r="Q218" i="40"/>
  <c r="R220" i="40"/>
  <c r="Q220" i="40"/>
  <c r="S220" i="40"/>
  <c r="P220" i="40"/>
  <c r="Q185" i="40"/>
  <c r="P185" i="40"/>
  <c r="R185" i="40"/>
  <c r="S185" i="40"/>
  <c r="R203" i="40"/>
  <c r="P203" i="40"/>
  <c r="S203" i="40"/>
  <c r="Q203" i="40"/>
  <c r="S217" i="40"/>
  <c r="R217" i="40"/>
  <c r="Q217" i="40"/>
  <c r="P217" i="40"/>
  <c r="P171" i="40"/>
  <c r="S171" i="40"/>
  <c r="Q171" i="40"/>
  <c r="R171" i="40"/>
  <c r="P190" i="40"/>
  <c r="S190" i="40"/>
  <c r="R190" i="40"/>
  <c r="Q190" i="40"/>
  <c r="R164" i="40"/>
  <c r="S164" i="40"/>
  <c r="Q164" i="40"/>
  <c r="P164" i="40"/>
  <c r="S162" i="40"/>
  <c r="P162" i="40"/>
  <c r="R162" i="40"/>
  <c r="Q162" i="40"/>
  <c r="R165" i="40"/>
  <c r="S165" i="40"/>
  <c r="P165" i="40"/>
  <c r="Q165" i="40"/>
  <c r="L153" i="40"/>
  <c r="G146" i="40"/>
  <c r="I146" i="40"/>
  <c r="E146" i="40"/>
  <c r="D158" i="40"/>
  <c r="H146" i="40"/>
  <c r="F146" i="40"/>
  <c r="L156" i="40"/>
  <c r="L157" i="40"/>
  <c r="L159" i="40"/>
  <c r="D161" i="40"/>
  <c r="H149" i="40"/>
  <c r="F149" i="40"/>
  <c r="E149" i="40"/>
  <c r="I149" i="40"/>
  <c r="G149" i="40"/>
  <c r="L166" i="40"/>
  <c r="L152" i="40"/>
  <c r="H139" i="40"/>
  <c r="D151" i="40"/>
  <c r="F139" i="40"/>
  <c r="E139" i="40"/>
  <c r="I139" i="40"/>
  <c r="G139" i="40"/>
  <c r="I148" i="40"/>
  <c r="E148" i="40"/>
  <c r="G148" i="40"/>
  <c r="D160" i="40"/>
  <c r="H148" i="40"/>
  <c r="F148" i="40"/>
  <c r="L149" i="40"/>
  <c r="I140" i="40"/>
  <c r="E140" i="40"/>
  <c r="G140" i="40"/>
  <c r="F140" i="40"/>
  <c r="D152" i="40"/>
  <c r="H140" i="40"/>
  <c r="L170" i="40"/>
  <c r="D168" i="40"/>
  <c r="I156" i="40"/>
  <c r="E156" i="40"/>
  <c r="G156" i="40"/>
  <c r="H156" i="40"/>
  <c r="F156" i="40"/>
  <c r="F141" i="40"/>
  <c r="H141" i="40"/>
  <c r="I141" i="40"/>
  <c r="G141" i="40"/>
  <c r="E141" i="40"/>
  <c r="D153" i="40"/>
  <c r="L155" i="40"/>
  <c r="L150" i="40"/>
  <c r="D159" i="40"/>
  <c r="H147" i="40"/>
  <c r="F147" i="40"/>
  <c r="I147" i="40"/>
  <c r="G147" i="40"/>
  <c r="E147" i="40"/>
  <c r="D154" i="40"/>
  <c r="G142" i="40"/>
  <c r="I142" i="40"/>
  <c r="E142" i="40"/>
  <c r="H142" i="40"/>
  <c r="F142" i="40"/>
  <c r="L151" i="40"/>
  <c r="F145" i="40"/>
  <c r="D157" i="40"/>
  <c r="H145" i="40"/>
  <c r="I145" i="40"/>
  <c r="G145" i="40"/>
  <c r="E145" i="40"/>
  <c r="L160" i="40"/>
  <c r="D155" i="40"/>
  <c r="H143" i="40"/>
  <c r="F143" i="40"/>
  <c r="G143" i="40"/>
  <c r="E143" i="40"/>
  <c r="I143" i="40"/>
  <c r="D162" i="40"/>
  <c r="I150" i="40"/>
  <c r="E150" i="40"/>
  <c r="G150" i="40"/>
  <c r="F150" i="40"/>
  <c r="H150" i="40"/>
  <c r="K293" i="38"/>
  <c r="K280" i="38"/>
  <c r="K282" i="38"/>
  <c r="K284" i="38"/>
  <c r="K286" i="38"/>
  <c r="K288" i="38"/>
  <c r="K290" i="38"/>
  <c r="K292" i="38"/>
  <c r="K278" i="38"/>
  <c r="K279" i="38"/>
  <c r="K40" i="8"/>
  <c r="K281" i="38"/>
  <c r="K283" i="38"/>
  <c r="K285" i="38"/>
  <c r="K287" i="38"/>
  <c r="K289" i="38"/>
  <c r="K291" i="38"/>
  <c r="K296" i="38"/>
  <c r="E29" i="26"/>
  <c r="D21" i="26"/>
  <c r="E22" i="26"/>
  <c r="E15" i="26"/>
  <c r="D16" i="26"/>
  <c r="G12" i="26"/>
  <c r="F12" i="26"/>
  <c r="A31" i="6"/>
  <c r="A24" i="6"/>
  <c r="A25" i="6" s="1"/>
  <c r="A26" i="6" s="1"/>
  <c r="A27" i="6" s="1"/>
  <c r="A23" i="6"/>
  <c r="G27" i="6"/>
  <c r="G26" i="6"/>
  <c r="G25" i="6"/>
  <c r="G23" i="6"/>
  <c r="G22" i="6"/>
  <c r="G20" i="6"/>
  <c r="G19" i="6"/>
  <c r="G18" i="6"/>
  <c r="G17" i="6"/>
  <c r="G16" i="6"/>
  <c r="G15" i="6"/>
  <c r="G14" i="6"/>
  <c r="G13" i="6"/>
  <c r="G14" i="5"/>
  <c r="I23" i="4"/>
  <c r="D21" i="4"/>
  <c r="D32" i="7"/>
  <c r="E14" i="7"/>
  <c r="D20" i="7"/>
  <c r="J33" i="7"/>
  <c r="D26" i="7"/>
  <c r="J119" i="3"/>
  <c r="J117" i="3"/>
  <c r="J116" i="3"/>
  <c r="J115" i="3"/>
  <c r="J113" i="3"/>
  <c r="J112" i="3"/>
  <c r="J109" i="3"/>
  <c r="J104" i="3"/>
  <c r="J102" i="3"/>
  <c r="J101" i="3"/>
  <c r="J93" i="3"/>
  <c r="J92" i="3"/>
  <c r="J91" i="3"/>
  <c r="J89" i="3"/>
  <c r="J87" i="3"/>
  <c r="J86" i="3"/>
  <c r="J85" i="3"/>
  <c r="J84" i="3"/>
  <c r="J82" i="3"/>
  <c r="J80" i="3"/>
  <c r="J76" i="3"/>
  <c r="J62" i="3"/>
  <c r="J60" i="3"/>
  <c r="J59" i="3"/>
  <c r="J58" i="3"/>
  <c r="J56" i="3"/>
  <c r="J54" i="3"/>
  <c r="J53" i="3"/>
  <c r="J52" i="3"/>
  <c r="J51" i="3"/>
  <c r="J47" i="3"/>
  <c r="J43" i="3"/>
  <c r="J35" i="3"/>
  <c r="J33" i="3"/>
  <c r="J31" i="3"/>
  <c r="J29" i="3"/>
  <c r="J28" i="3"/>
  <c r="J25" i="3"/>
  <c r="J24" i="3"/>
  <c r="J22" i="3"/>
  <c r="J18" i="3"/>
  <c r="J16" i="3"/>
  <c r="E11" i="1"/>
  <c r="E12" i="1" s="1"/>
  <c r="E13" i="1" s="1"/>
  <c r="E14" i="1" s="1"/>
  <c r="E15" i="1" s="1"/>
  <c r="E16" i="1" s="1"/>
  <c r="E17" i="1" s="1"/>
  <c r="E18" i="1" s="1"/>
  <c r="E19" i="1" s="1"/>
  <c r="E20" i="1" s="1"/>
  <c r="E21" i="1" s="1"/>
  <c r="E22" i="1" s="1"/>
  <c r="E23" i="1" s="1"/>
  <c r="E24" i="1" s="1"/>
  <c r="E25" i="1" s="1"/>
  <c r="E26" i="1" s="1"/>
  <c r="E27" i="1" s="1"/>
  <c r="E28" i="1" s="1"/>
  <c r="E29" i="1" s="1"/>
  <c r="E30" i="1" s="1"/>
  <c r="E31" i="1" s="1"/>
  <c r="E32" i="1" s="1"/>
  <c r="H10" i="1"/>
  <c r="F10" i="1"/>
  <c r="P20" i="27"/>
  <c r="E11" i="28"/>
  <c r="E12" i="28" s="1"/>
  <c r="E13" i="28" s="1"/>
  <c r="E14" i="28" s="1"/>
  <c r="E15" i="28" s="1"/>
  <c r="E16" i="28" s="1"/>
  <c r="E17" i="28" s="1"/>
  <c r="E18" i="28" s="1"/>
  <c r="E19" i="28" s="1"/>
  <c r="E20" i="28" s="1"/>
  <c r="E21" i="28" s="1"/>
  <c r="E22" i="28" s="1"/>
  <c r="E23" i="28" s="1"/>
  <c r="E24" i="28" s="1"/>
  <c r="E25" i="28" s="1"/>
  <c r="E26" i="28" s="1"/>
  <c r="E27" i="28" s="1"/>
  <c r="E28" i="28" s="1"/>
  <c r="E29" i="28" s="1"/>
  <c r="E30" i="28" s="1"/>
  <c r="E31" i="28" s="1"/>
  <c r="E32" i="28" s="1"/>
  <c r="F104" i="29"/>
  <c r="G104" i="29"/>
  <c r="C104" i="29"/>
  <c r="F102" i="29"/>
  <c r="G101" i="29"/>
  <c r="F101" i="29"/>
  <c r="G100" i="29"/>
  <c r="F100" i="29"/>
  <c r="C100" i="29"/>
  <c r="G98" i="29"/>
  <c r="F98" i="29"/>
  <c r="J22" i="29"/>
  <c r="G97" i="29"/>
  <c r="F97" i="29"/>
  <c r="C96" i="29"/>
  <c r="M20" i="29"/>
  <c r="I20" i="29"/>
  <c r="F94" i="29"/>
  <c r="K18" i="29"/>
  <c r="F93" i="29"/>
  <c r="G93" i="29"/>
  <c r="K17" i="29"/>
  <c r="G92" i="29"/>
  <c r="C92" i="29"/>
  <c r="G90" i="29"/>
  <c r="F90" i="29"/>
  <c r="F89" i="29"/>
  <c r="G89" i="29"/>
  <c r="G88" i="29"/>
  <c r="C88" i="29"/>
  <c r="I12" i="29"/>
  <c r="F86" i="29"/>
  <c r="C86" i="29"/>
  <c r="G85" i="29"/>
  <c r="C85" i="29"/>
  <c r="N84" i="29"/>
  <c r="M84" i="29"/>
  <c r="L84" i="29"/>
  <c r="K84" i="29"/>
  <c r="J84" i="29"/>
  <c r="I84" i="29"/>
  <c r="H84" i="29"/>
  <c r="G84" i="29"/>
  <c r="F84" i="29"/>
  <c r="D84" i="29"/>
  <c r="C84" i="29"/>
  <c r="B84" i="29"/>
  <c r="K83" i="29"/>
  <c r="J83" i="29"/>
  <c r="I83" i="29"/>
  <c r="H83" i="29"/>
  <c r="N29" i="29"/>
  <c r="M29" i="29"/>
  <c r="J29" i="29"/>
  <c r="F79" i="29"/>
  <c r="B29" i="29"/>
  <c r="K28" i="29"/>
  <c r="F78" i="29"/>
  <c r="G78" i="29"/>
  <c r="C78" i="29"/>
  <c r="L26" i="29"/>
  <c r="M25" i="29"/>
  <c r="F75" i="29"/>
  <c r="K24" i="29"/>
  <c r="F74" i="29"/>
  <c r="G74" i="29"/>
  <c r="C74" i="29"/>
  <c r="B24" i="29"/>
  <c r="L23" i="29"/>
  <c r="K23" i="29"/>
  <c r="G73" i="29"/>
  <c r="M22" i="29"/>
  <c r="G72" i="29"/>
  <c r="F72" i="29"/>
  <c r="C72" i="29"/>
  <c r="N21" i="29"/>
  <c r="J21" i="29"/>
  <c r="F71" i="29"/>
  <c r="F70" i="29"/>
  <c r="G70" i="29"/>
  <c r="C70" i="29"/>
  <c r="G69" i="29"/>
  <c r="L18" i="29"/>
  <c r="G68" i="29"/>
  <c r="F68" i="29"/>
  <c r="C68" i="29"/>
  <c r="G67" i="29"/>
  <c r="F67" i="29"/>
  <c r="K16" i="29"/>
  <c r="F66" i="29"/>
  <c r="G66" i="29"/>
  <c r="C66" i="29"/>
  <c r="B16" i="29"/>
  <c r="L15" i="29"/>
  <c r="H15" i="29"/>
  <c r="G65" i="29"/>
  <c r="M14" i="29"/>
  <c r="F64" i="29"/>
  <c r="C64" i="29"/>
  <c r="N13" i="29"/>
  <c r="M13" i="29"/>
  <c r="J13" i="29"/>
  <c r="M12" i="29"/>
  <c r="G62" i="29"/>
  <c r="F62" i="29"/>
  <c r="C62" i="29"/>
  <c r="F61" i="29"/>
  <c r="G61" i="29"/>
  <c r="C61" i="29"/>
  <c r="E60" i="29"/>
  <c r="E61" i="29" s="1"/>
  <c r="E62" i="29" s="1"/>
  <c r="E63" i="29" s="1"/>
  <c r="E64" i="29" s="1"/>
  <c r="E65" i="29" s="1"/>
  <c r="E66" i="29" s="1"/>
  <c r="E67" i="29" s="1"/>
  <c r="E68" i="29" s="1"/>
  <c r="E69" i="29" s="1"/>
  <c r="E70" i="29" s="1"/>
  <c r="E71" i="29" s="1"/>
  <c r="E72" i="29" s="1"/>
  <c r="E73" i="29" s="1"/>
  <c r="E74" i="29" s="1"/>
  <c r="E75" i="29" s="1"/>
  <c r="E76" i="29" s="1"/>
  <c r="E77" i="29" s="1"/>
  <c r="E78" i="29" s="1"/>
  <c r="E79" i="29" s="1"/>
  <c r="G60" i="29"/>
  <c r="F60" i="29"/>
  <c r="C60" i="29"/>
  <c r="N59" i="29"/>
  <c r="M59" i="29"/>
  <c r="L59" i="29"/>
  <c r="K59" i="29"/>
  <c r="J59" i="29"/>
  <c r="I59" i="29"/>
  <c r="H59" i="29"/>
  <c r="G59" i="29"/>
  <c r="F59" i="29"/>
  <c r="D59" i="29"/>
  <c r="C59" i="29"/>
  <c r="B59" i="29"/>
  <c r="K58" i="29"/>
  <c r="J58" i="29"/>
  <c r="I58" i="29"/>
  <c r="H58" i="29"/>
  <c r="L29" i="29"/>
  <c r="K29" i="29"/>
  <c r="G54" i="29"/>
  <c r="C53" i="29"/>
  <c r="M27" i="29"/>
  <c r="J27" i="29"/>
  <c r="F52" i="29"/>
  <c r="C52" i="29"/>
  <c r="N26" i="29"/>
  <c r="C51" i="29"/>
  <c r="D25" i="29"/>
  <c r="C50" i="29"/>
  <c r="M24" i="29"/>
  <c r="L24" i="29"/>
  <c r="C49" i="29"/>
  <c r="N23" i="29"/>
  <c r="M23" i="29"/>
  <c r="J23" i="29"/>
  <c r="G48" i="29"/>
  <c r="C48" i="29"/>
  <c r="L22" i="29"/>
  <c r="F47" i="29"/>
  <c r="G47" i="29"/>
  <c r="C47" i="29"/>
  <c r="L21" i="29"/>
  <c r="G46" i="29"/>
  <c r="B21" i="29"/>
  <c r="N20" i="29"/>
  <c r="K20" i="29"/>
  <c r="J20" i="29"/>
  <c r="C45" i="29"/>
  <c r="L19" i="29"/>
  <c r="H19" i="29"/>
  <c r="C44" i="29"/>
  <c r="N18" i="29"/>
  <c r="J18" i="29"/>
  <c r="C43" i="29"/>
  <c r="M17" i="29"/>
  <c r="L17" i="29"/>
  <c r="C42" i="29"/>
  <c r="L16" i="29"/>
  <c r="C41" i="29"/>
  <c r="N15" i="29"/>
  <c r="M15" i="29"/>
  <c r="J15" i="29"/>
  <c r="L14" i="29"/>
  <c r="F39" i="29"/>
  <c r="G39" i="29"/>
  <c r="C39" i="29"/>
  <c r="L13" i="29"/>
  <c r="G38" i="29"/>
  <c r="B13" i="29"/>
  <c r="K12" i="29"/>
  <c r="J12" i="29"/>
  <c r="C37" i="29"/>
  <c r="B10" i="29"/>
  <c r="N34" i="29"/>
  <c r="M34" i="29"/>
  <c r="L34" i="29"/>
  <c r="K34" i="29"/>
  <c r="J34" i="29"/>
  <c r="I34" i="29"/>
  <c r="H34" i="29"/>
  <c r="D34" i="29"/>
  <c r="C34" i="29"/>
  <c r="B34" i="29"/>
  <c r="K33" i="29"/>
  <c r="J33" i="29"/>
  <c r="I33" i="29"/>
  <c r="H33" i="29"/>
  <c r="D29" i="29"/>
  <c r="M28" i="29"/>
  <c r="I28" i="29"/>
  <c r="H28" i="29"/>
  <c r="N27" i="29"/>
  <c r="J26" i="29"/>
  <c r="B26" i="29"/>
  <c r="I24" i="29"/>
  <c r="H23" i="29"/>
  <c r="N22" i="29"/>
  <c r="H22" i="29"/>
  <c r="F22" i="29" s="1"/>
  <c r="D22" i="29"/>
  <c r="I21" i="29"/>
  <c r="B20" i="29"/>
  <c r="M18" i="29"/>
  <c r="H18" i="29"/>
  <c r="D17" i="29"/>
  <c r="B17" i="29"/>
  <c r="N16" i="29"/>
  <c r="J16" i="29"/>
  <c r="K15" i="29"/>
  <c r="N14" i="29"/>
  <c r="J14" i="29"/>
  <c r="H14" i="29"/>
  <c r="D14" i="29"/>
  <c r="I13" i="29"/>
  <c r="N12" i="29"/>
  <c r="B12" i="29"/>
  <c r="B11" i="29"/>
  <c r="K13" i="30"/>
  <c r="K12" i="30"/>
  <c r="J12" i="30"/>
  <c r="X180" i="41"/>
  <c r="D16" i="32"/>
  <c r="D17" i="32" s="1"/>
  <c r="D18" i="32" s="1"/>
  <c r="D19" i="32" s="1"/>
  <c r="A19" i="32"/>
  <c r="A20" i="32" s="1"/>
  <c r="A21" i="32" s="1"/>
  <c r="A22" i="32" s="1"/>
  <c r="A23" i="32" s="1"/>
  <c r="A24" i="32" s="1"/>
  <c r="A25" i="32" s="1"/>
  <c r="A26" i="32" s="1"/>
  <c r="A27" i="32" s="1"/>
  <c r="A28" i="32" s="1"/>
  <c r="A29" i="32" s="1"/>
  <c r="A30" i="32" s="1"/>
  <c r="A31" i="32" s="1"/>
  <c r="A32" i="32" s="1"/>
  <c r="A33" i="32" s="1"/>
  <c r="A17" i="32"/>
  <c r="A18" i="32" s="1"/>
  <c r="A16" i="32"/>
  <c r="W189" i="41"/>
  <c r="AM189" i="41" s="1"/>
  <c r="AO189" i="41" s="1"/>
  <c r="AP189" i="41" s="1"/>
  <c r="W184" i="41"/>
  <c r="AM184" i="41" s="1"/>
  <c r="AO184" i="41" s="1"/>
  <c r="AP184" i="41" s="1"/>
  <c r="E25" i="31"/>
  <c r="L23" i="31"/>
  <c r="L18" i="31"/>
  <c r="A17" i="31"/>
  <c r="A18" i="31" s="1"/>
  <c r="A19" i="31" s="1"/>
  <c r="A20" i="31" s="1"/>
  <c r="A21" i="31" s="1"/>
  <c r="A22" i="31" s="1"/>
  <c r="A23" i="31" s="1"/>
  <c r="A24" i="31" s="1"/>
  <c r="A25" i="31" s="1"/>
  <c r="A26" i="31" s="1"/>
  <c r="A27" i="31" s="1"/>
  <c r="A28" i="31" s="1"/>
  <c r="A29" i="31" s="1"/>
  <c r="A30" i="31" s="1"/>
  <c r="A31" i="31" s="1"/>
  <c r="A32" i="31" s="1"/>
  <c r="A33" i="31" s="1"/>
  <c r="A16" i="31"/>
  <c r="K33" i="39"/>
  <c r="K31" i="39"/>
  <c r="K30" i="39"/>
  <c r="K28" i="39"/>
  <c r="K27" i="39"/>
  <c r="K26" i="39"/>
  <c r="M26" i="39" s="1"/>
  <c r="E26" i="39"/>
  <c r="L23" i="39"/>
  <c r="A16" i="39"/>
  <c r="A17" i="39" s="1"/>
  <c r="A18" i="39" s="1"/>
  <c r="A19" i="39" s="1"/>
  <c r="A20" i="39" s="1"/>
  <c r="A21" i="39" s="1"/>
  <c r="A22" i="39" s="1"/>
  <c r="A23" i="39" s="1"/>
  <c r="A24" i="39" s="1"/>
  <c r="A25" i="39" s="1"/>
  <c r="A26" i="39" s="1"/>
  <c r="A27" i="39" s="1"/>
  <c r="A28" i="39" s="1"/>
  <c r="A29" i="39" s="1"/>
  <c r="A30" i="39" s="1"/>
  <c r="A31" i="39" s="1"/>
  <c r="A32" i="39" s="1"/>
  <c r="A33" i="39" s="1"/>
  <c r="B232" i="38"/>
  <c r="B244" i="38" s="1"/>
  <c r="B256" i="38" s="1"/>
  <c r="B268" i="38" s="1"/>
  <c r="A232" i="38"/>
  <c r="A244" i="38" s="1"/>
  <c r="A256" i="38" s="1"/>
  <c r="A268" i="38" s="1"/>
  <c r="B231" i="38"/>
  <c r="B243" i="38" s="1"/>
  <c r="B255" i="38" s="1"/>
  <c r="B267" i="38" s="1"/>
  <c r="A231" i="38"/>
  <c r="A243" i="38" s="1"/>
  <c r="A255" i="38" s="1"/>
  <c r="A267" i="38" s="1"/>
  <c r="B230" i="38"/>
  <c r="B242" i="38" s="1"/>
  <c r="B254" i="38" s="1"/>
  <c r="B266" i="38" s="1"/>
  <c r="A230" i="38"/>
  <c r="A242" i="38" s="1"/>
  <c r="A254" i="38" s="1"/>
  <c r="A266" i="38" s="1"/>
  <c r="B229" i="38"/>
  <c r="B241" i="38" s="1"/>
  <c r="B253" i="38" s="1"/>
  <c r="B265" i="38" s="1"/>
  <c r="A229" i="38"/>
  <c r="A241" i="38" s="1"/>
  <c r="A253" i="38" s="1"/>
  <c r="A265" i="38" s="1"/>
  <c r="B228" i="38"/>
  <c r="B240" i="38" s="1"/>
  <c r="B252" i="38" s="1"/>
  <c r="B264" i="38" s="1"/>
  <c r="A228" i="38"/>
  <c r="A240" i="38" s="1"/>
  <c r="A252" i="38" s="1"/>
  <c r="A264" i="38" s="1"/>
  <c r="B227" i="38"/>
  <c r="B239" i="38" s="1"/>
  <c r="B251" i="38" s="1"/>
  <c r="B263" i="38" s="1"/>
  <c r="A227" i="38"/>
  <c r="A239" i="38" s="1"/>
  <c r="A251" i="38" s="1"/>
  <c r="A263" i="38" s="1"/>
  <c r="B226" i="38"/>
  <c r="B238" i="38" s="1"/>
  <c r="B250" i="38" s="1"/>
  <c r="B262" i="38" s="1"/>
  <c r="A226" i="38"/>
  <c r="A238" i="38" s="1"/>
  <c r="A250" i="38" s="1"/>
  <c r="A262" i="38" s="1"/>
  <c r="B225" i="38"/>
  <c r="B237" i="38" s="1"/>
  <c r="B249" i="38" s="1"/>
  <c r="B261" i="38" s="1"/>
  <c r="A225" i="38"/>
  <c r="A237" i="38" s="1"/>
  <c r="A249" i="38" s="1"/>
  <c r="A261" i="38" s="1"/>
  <c r="B224" i="38"/>
  <c r="B236" i="38" s="1"/>
  <c r="B248" i="38" s="1"/>
  <c r="B260" i="38" s="1"/>
  <c r="A224" i="38"/>
  <c r="A236" i="38" s="1"/>
  <c r="A248" i="38" s="1"/>
  <c r="A260" i="38" s="1"/>
  <c r="B223" i="38"/>
  <c r="B235" i="38" s="1"/>
  <c r="B247" i="38" s="1"/>
  <c r="B259" i="38" s="1"/>
  <c r="A223" i="38"/>
  <c r="A235" i="38" s="1"/>
  <c r="A247" i="38" s="1"/>
  <c r="A259" i="38" s="1"/>
  <c r="B222" i="38"/>
  <c r="B234" i="38" s="1"/>
  <c r="B246" i="38" s="1"/>
  <c r="B258" i="38" s="1"/>
  <c r="A222" i="38"/>
  <c r="A234" i="38" s="1"/>
  <c r="A246" i="38" s="1"/>
  <c r="A258" i="38" s="1"/>
  <c r="B221" i="38"/>
  <c r="B233" i="38" s="1"/>
  <c r="B245" i="38" s="1"/>
  <c r="B257" i="38" s="1"/>
  <c r="A221" i="38"/>
  <c r="A233" i="38" s="1"/>
  <c r="A245" i="38" s="1"/>
  <c r="A257" i="38" s="1"/>
  <c r="AB296" i="38"/>
  <c r="AB295" i="38"/>
  <c r="AB294" i="38"/>
  <c r="AB293" i="38"/>
  <c r="AB292" i="38"/>
  <c r="AB291" i="38"/>
  <c r="AB290" i="38"/>
  <c r="AB279" i="38"/>
  <c r="AB278" i="38"/>
  <c r="AB277" i="38"/>
  <c r="AB276" i="38"/>
  <c r="AB275" i="38"/>
  <c r="B112" i="38"/>
  <c r="B111" i="38"/>
  <c r="B110" i="38"/>
  <c r="B109" i="38"/>
  <c r="B108" i="38"/>
  <c r="B107" i="38"/>
  <c r="B106" i="38"/>
  <c r="B105" i="38"/>
  <c r="B104" i="38"/>
  <c r="B103" i="38"/>
  <c r="B102" i="38"/>
  <c r="A102" i="38"/>
  <c r="A103" i="38" s="1"/>
  <c r="A104" i="38" s="1"/>
  <c r="A105" i="38" s="1"/>
  <c r="A106" i="38" s="1"/>
  <c r="A107" i="38" s="1"/>
  <c r="A108" i="38" s="1"/>
  <c r="A109" i="38" s="1"/>
  <c r="A110" i="38" s="1"/>
  <c r="A111" i="38" s="1"/>
  <c r="A112" i="38" s="1"/>
  <c r="B101" i="38"/>
  <c r="A235" i="36"/>
  <c r="A247" i="36" s="1"/>
  <c r="A259" i="36" s="1"/>
  <c r="B230" i="36"/>
  <c r="B242" i="36" s="1"/>
  <c r="B254" i="36" s="1"/>
  <c r="B266" i="36" s="1"/>
  <c r="A230" i="36"/>
  <c r="A242" i="36" s="1"/>
  <c r="A254" i="36" s="1"/>
  <c r="A266" i="36" s="1"/>
  <c r="B229" i="36"/>
  <c r="B241" i="36" s="1"/>
  <c r="B253" i="36" s="1"/>
  <c r="B265" i="36" s="1"/>
  <c r="A229" i="36"/>
  <c r="A241" i="36" s="1"/>
  <c r="A253" i="36" s="1"/>
  <c r="A265" i="36" s="1"/>
  <c r="B228" i="36"/>
  <c r="B240" i="36" s="1"/>
  <c r="B252" i="36" s="1"/>
  <c r="B264" i="36" s="1"/>
  <c r="A228" i="36"/>
  <c r="A240" i="36" s="1"/>
  <c r="A252" i="36" s="1"/>
  <c r="A264" i="36" s="1"/>
  <c r="B227" i="36"/>
  <c r="B239" i="36" s="1"/>
  <c r="B251" i="36" s="1"/>
  <c r="B263" i="36" s="1"/>
  <c r="A227" i="36"/>
  <c r="A239" i="36" s="1"/>
  <c r="A251" i="36" s="1"/>
  <c r="A263" i="36" s="1"/>
  <c r="B226" i="36"/>
  <c r="B238" i="36" s="1"/>
  <c r="B250" i="36" s="1"/>
  <c r="B262" i="36" s="1"/>
  <c r="A226" i="36"/>
  <c r="A238" i="36" s="1"/>
  <c r="A250" i="36" s="1"/>
  <c r="A262" i="36" s="1"/>
  <c r="B225" i="36"/>
  <c r="B237" i="36" s="1"/>
  <c r="B249" i="36" s="1"/>
  <c r="B261" i="36" s="1"/>
  <c r="A225" i="36"/>
  <c r="A237" i="36" s="1"/>
  <c r="A249" i="36" s="1"/>
  <c r="A261" i="36" s="1"/>
  <c r="B224" i="36"/>
  <c r="B236" i="36" s="1"/>
  <c r="B248" i="36" s="1"/>
  <c r="B260" i="36" s="1"/>
  <c r="A224" i="36"/>
  <c r="A236" i="36" s="1"/>
  <c r="A248" i="36" s="1"/>
  <c r="A260" i="36" s="1"/>
  <c r="B223" i="36"/>
  <c r="B235" i="36" s="1"/>
  <c r="B247" i="36" s="1"/>
  <c r="B259" i="36" s="1"/>
  <c r="A223" i="36"/>
  <c r="B222" i="36"/>
  <c r="B234" i="36" s="1"/>
  <c r="B246" i="36" s="1"/>
  <c r="B258" i="36" s="1"/>
  <c r="A222" i="36"/>
  <c r="A234" i="36" s="1"/>
  <c r="A246" i="36" s="1"/>
  <c r="A258" i="36" s="1"/>
  <c r="B221" i="36"/>
  <c r="B233" i="36" s="1"/>
  <c r="B245" i="36" s="1"/>
  <c r="B257" i="36" s="1"/>
  <c r="A221" i="36"/>
  <c r="A233" i="36" s="1"/>
  <c r="A245" i="36" s="1"/>
  <c r="A257" i="36" s="1"/>
  <c r="B220" i="36"/>
  <c r="B232" i="36" s="1"/>
  <c r="B244" i="36" s="1"/>
  <c r="B256" i="36" s="1"/>
  <c r="A220" i="36"/>
  <c r="A232" i="36" s="1"/>
  <c r="A244" i="36" s="1"/>
  <c r="A256" i="36" s="1"/>
  <c r="B219" i="36"/>
  <c r="B231" i="36" s="1"/>
  <c r="B243" i="36" s="1"/>
  <c r="B255" i="36" s="1"/>
  <c r="A219" i="36"/>
  <c r="A231" i="36" s="1"/>
  <c r="A243" i="36" s="1"/>
  <c r="A255" i="36" s="1"/>
  <c r="A107" i="36"/>
  <c r="A108" i="36" s="1"/>
  <c r="A109" i="36" s="1"/>
  <c r="A110" i="36" s="1"/>
  <c r="A103" i="36"/>
  <c r="A104" i="36" s="1"/>
  <c r="A105" i="36" s="1"/>
  <c r="A106" i="36" s="1"/>
  <c r="A101" i="36"/>
  <c r="A102" i="36" s="1"/>
  <c r="A100" i="36"/>
  <c r="L266" i="36"/>
  <c r="L265" i="36"/>
  <c r="L264" i="36"/>
  <c r="L263" i="36"/>
  <c r="L262" i="36"/>
  <c r="L261" i="36"/>
  <c r="L260" i="36"/>
  <c r="L259" i="36"/>
  <c r="L258" i="36"/>
  <c r="L257" i="36"/>
  <c r="L256" i="36"/>
  <c r="L255" i="36"/>
  <c r="L254" i="36"/>
  <c r="L253" i="36"/>
  <c r="L252" i="36"/>
  <c r="L251" i="36"/>
  <c r="L250" i="36"/>
  <c r="L249" i="36"/>
  <c r="L248" i="36"/>
  <c r="L247" i="36"/>
  <c r="L246" i="36"/>
  <c r="L245" i="36"/>
  <c r="L244" i="36"/>
  <c r="L243" i="36"/>
  <c r="L242" i="36"/>
  <c r="L241" i="36"/>
  <c r="L240" i="36"/>
  <c r="L239" i="36"/>
  <c r="L238" i="36"/>
  <c r="L237" i="36"/>
  <c r="L236" i="36"/>
  <c r="L235" i="36"/>
  <c r="L234" i="36"/>
  <c r="L233" i="36"/>
  <c r="L232" i="36"/>
  <c r="L231" i="36"/>
  <c r="L230" i="36"/>
  <c r="L229" i="36"/>
  <c r="L228" i="36"/>
  <c r="L227" i="36"/>
  <c r="L226" i="36"/>
  <c r="L225" i="36"/>
  <c r="L224" i="36"/>
  <c r="L223" i="36"/>
  <c r="L222" i="36"/>
  <c r="L221" i="36"/>
  <c r="L220" i="36"/>
  <c r="L219" i="36"/>
  <c r="M218" i="36"/>
  <c r="L218" i="36"/>
  <c r="O217" i="36"/>
  <c r="N217" i="36"/>
  <c r="M217" i="36"/>
  <c r="L217" i="36"/>
  <c r="O216" i="36"/>
  <c r="M216" i="36"/>
  <c r="L216" i="36"/>
  <c r="O215" i="36"/>
  <c r="N215" i="36"/>
  <c r="M215" i="36"/>
  <c r="L215" i="36"/>
  <c r="O214" i="36"/>
  <c r="M214" i="36"/>
  <c r="L214" i="36"/>
  <c r="O213" i="36"/>
  <c r="N213" i="36"/>
  <c r="M213" i="36"/>
  <c r="L213" i="36"/>
  <c r="O212" i="36"/>
  <c r="M212" i="36"/>
  <c r="L212" i="36"/>
  <c r="O211" i="36"/>
  <c r="N211" i="36"/>
  <c r="M211" i="36"/>
  <c r="L211" i="36"/>
  <c r="O210" i="36"/>
  <c r="M210" i="36"/>
  <c r="L210" i="36"/>
  <c r="O209" i="36"/>
  <c r="N209" i="36"/>
  <c r="M209" i="36"/>
  <c r="L209" i="36"/>
  <c r="O208" i="36"/>
  <c r="M208" i="36"/>
  <c r="L208" i="36"/>
  <c r="O207" i="36"/>
  <c r="N207" i="36"/>
  <c r="M207" i="36"/>
  <c r="L207" i="36"/>
  <c r="O206" i="36"/>
  <c r="M206" i="36"/>
  <c r="L206" i="36"/>
  <c r="O205" i="36"/>
  <c r="N205" i="36"/>
  <c r="M205" i="36"/>
  <c r="L205" i="36"/>
  <c r="O204" i="36"/>
  <c r="M204" i="36"/>
  <c r="L204" i="36"/>
  <c r="O203" i="36"/>
  <c r="N203" i="36"/>
  <c r="M203" i="36"/>
  <c r="L203" i="36"/>
  <c r="O202" i="36"/>
  <c r="M202" i="36"/>
  <c r="L202" i="36"/>
  <c r="O201" i="36"/>
  <c r="N201" i="36"/>
  <c r="M201" i="36"/>
  <c r="L201" i="36"/>
  <c r="O200" i="36"/>
  <c r="M200" i="36"/>
  <c r="L200" i="36"/>
  <c r="O199" i="36"/>
  <c r="N199" i="36"/>
  <c r="M199" i="36"/>
  <c r="L199" i="36"/>
  <c r="O198" i="36"/>
  <c r="M198" i="36"/>
  <c r="L198" i="36"/>
  <c r="O197" i="36"/>
  <c r="N197" i="36"/>
  <c r="M197" i="36"/>
  <c r="L197" i="36"/>
  <c r="O196" i="36"/>
  <c r="M196" i="36"/>
  <c r="L196" i="36"/>
  <c r="O195" i="36"/>
  <c r="N195" i="36"/>
  <c r="M195" i="36"/>
  <c r="L195" i="36"/>
  <c r="O194" i="36"/>
  <c r="M194" i="36"/>
  <c r="L194" i="36"/>
  <c r="O193" i="36"/>
  <c r="N193" i="36"/>
  <c r="M193" i="36"/>
  <c r="L193" i="36"/>
  <c r="O192" i="36"/>
  <c r="M192" i="36"/>
  <c r="L192" i="36"/>
  <c r="O191" i="36"/>
  <c r="N191" i="36"/>
  <c r="M191" i="36"/>
  <c r="L191" i="36"/>
  <c r="O190" i="36"/>
  <c r="M190" i="36"/>
  <c r="L190" i="36"/>
  <c r="O189" i="36"/>
  <c r="N189" i="36"/>
  <c r="M189" i="36"/>
  <c r="L189" i="36"/>
  <c r="O188" i="36"/>
  <c r="M188" i="36"/>
  <c r="L188" i="36"/>
  <c r="O187" i="36"/>
  <c r="N187" i="36"/>
  <c r="M187" i="36"/>
  <c r="L187" i="36"/>
  <c r="O186" i="36"/>
  <c r="M186" i="36"/>
  <c r="L186" i="36"/>
  <c r="O185" i="36"/>
  <c r="N185" i="36"/>
  <c r="M185" i="36"/>
  <c r="L185" i="36"/>
  <c r="O184" i="36"/>
  <c r="M184" i="36"/>
  <c r="L184" i="36"/>
  <c r="O183" i="36"/>
  <c r="N183" i="36"/>
  <c r="M183" i="36"/>
  <c r="L183" i="36"/>
  <c r="O182" i="36"/>
  <c r="M182" i="36"/>
  <c r="L182" i="36"/>
  <c r="O181" i="36"/>
  <c r="N181" i="36"/>
  <c r="M181" i="36"/>
  <c r="L181" i="36"/>
  <c r="O180" i="36"/>
  <c r="M180" i="36"/>
  <c r="L180" i="36"/>
  <c r="T180" i="36" s="1"/>
  <c r="O179" i="36"/>
  <c r="N179" i="36"/>
  <c r="M179" i="36"/>
  <c r="L179" i="36"/>
  <c r="O178" i="36"/>
  <c r="M178" i="36"/>
  <c r="L178" i="36"/>
  <c r="O177" i="36"/>
  <c r="N177" i="36"/>
  <c r="M177" i="36"/>
  <c r="L177" i="36"/>
  <c r="O176" i="36"/>
  <c r="M176" i="36"/>
  <c r="L176" i="36"/>
  <c r="O175" i="36"/>
  <c r="N175" i="36"/>
  <c r="M175" i="36"/>
  <c r="L175" i="36"/>
  <c r="O174" i="36"/>
  <c r="M174" i="36"/>
  <c r="L174" i="36"/>
  <c r="O173" i="36"/>
  <c r="N173" i="36"/>
  <c r="M173" i="36"/>
  <c r="L173" i="36"/>
  <c r="O172" i="36"/>
  <c r="M172" i="36"/>
  <c r="L172" i="36"/>
  <c r="T172" i="36" s="1"/>
  <c r="O171" i="36"/>
  <c r="N171" i="36"/>
  <c r="M171" i="36"/>
  <c r="L171" i="36"/>
  <c r="O170" i="36"/>
  <c r="M170" i="36"/>
  <c r="L170" i="36"/>
  <c r="O169" i="36"/>
  <c r="N169" i="36"/>
  <c r="M169" i="36"/>
  <c r="L169" i="36"/>
  <c r="O168" i="36"/>
  <c r="M168" i="36"/>
  <c r="L168" i="36"/>
  <c r="O167" i="36"/>
  <c r="N167" i="36"/>
  <c r="M167" i="36"/>
  <c r="L167" i="36"/>
  <c r="O166" i="36"/>
  <c r="M166" i="36"/>
  <c r="L166" i="36"/>
  <c r="O165" i="36"/>
  <c r="N165" i="36"/>
  <c r="M165" i="36"/>
  <c r="L165" i="36"/>
  <c r="O164" i="36"/>
  <c r="M164" i="36"/>
  <c r="L164" i="36"/>
  <c r="O163" i="36"/>
  <c r="N163" i="36"/>
  <c r="M163" i="36"/>
  <c r="L163" i="36"/>
  <c r="O162" i="36"/>
  <c r="M162" i="36"/>
  <c r="L162" i="36"/>
  <c r="O161" i="36"/>
  <c r="N161" i="36"/>
  <c r="M161" i="36"/>
  <c r="L161" i="36"/>
  <c r="O160" i="36"/>
  <c r="M160" i="36"/>
  <c r="L160" i="36"/>
  <c r="O159" i="36"/>
  <c r="N159" i="36"/>
  <c r="M159" i="36"/>
  <c r="L159" i="36"/>
  <c r="O158" i="36"/>
  <c r="M158" i="36"/>
  <c r="L158" i="36"/>
  <c r="O157" i="36"/>
  <c r="N157" i="36"/>
  <c r="M157" i="36"/>
  <c r="L157" i="36"/>
  <c r="O156" i="36"/>
  <c r="M156" i="36"/>
  <c r="L156" i="36"/>
  <c r="O155" i="36"/>
  <c r="N155" i="36"/>
  <c r="M155" i="36"/>
  <c r="L155" i="36"/>
  <c r="O154" i="36"/>
  <c r="M154" i="36"/>
  <c r="L154" i="36"/>
  <c r="O153" i="36"/>
  <c r="N153" i="36"/>
  <c r="M153" i="36"/>
  <c r="L153" i="36"/>
  <c r="O152" i="36"/>
  <c r="M152" i="36"/>
  <c r="L152" i="36"/>
  <c r="O151" i="36"/>
  <c r="N151" i="36"/>
  <c r="M151" i="36"/>
  <c r="L151" i="36"/>
  <c r="O150" i="36"/>
  <c r="M150" i="36"/>
  <c r="L150" i="36"/>
  <c r="O149" i="36"/>
  <c r="N149" i="36"/>
  <c r="M149" i="36"/>
  <c r="L149" i="36"/>
  <c r="O148" i="36"/>
  <c r="M148" i="36"/>
  <c r="L148" i="36"/>
  <c r="O147" i="36"/>
  <c r="N147" i="36"/>
  <c r="M147" i="36"/>
  <c r="L147" i="36"/>
  <c r="O146" i="36"/>
  <c r="M146" i="36"/>
  <c r="L146" i="36"/>
  <c r="O145" i="36"/>
  <c r="N145" i="36"/>
  <c r="M145" i="36"/>
  <c r="L145" i="36"/>
  <c r="O144" i="36"/>
  <c r="M144" i="36"/>
  <c r="L144" i="36"/>
  <c r="O143" i="36"/>
  <c r="N143" i="36"/>
  <c r="M143" i="36"/>
  <c r="L143" i="36"/>
  <c r="O142" i="36"/>
  <c r="M142" i="36"/>
  <c r="L142" i="36"/>
  <c r="O141" i="36"/>
  <c r="N141" i="36"/>
  <c r="M141" i="36"/>
  <c r="L141" i="36"/>
  <c r="O140" i="36"/>
  <c r="M140" i="36"/>
  <c r="L140" i="36"/>
  <c r="O139" i="36"/>
  <c r="N139" i="36"/>
  <c r="M139" i="36"/>
  <c r="L139" i="36"/>
  <c r="O138" i="36"/>
  <c r="M138" i="36"/>
  <c r="L138" i="36"/>
  <c r="O137" i="36"/>
  <c r="N137" i="36"/>
  <c r="M137" i="36"/>
  <c r="L137" i="36"/>
  <c r="O136" i="36"/>
  <c r="M136" i="36"/>
  <c r="L136" i="36"/>
  <c r="O135" i="36"/>
  <c r="N135" i="36"/>
  <c r="M135" i="36"/>
  <c r="L135" i="36"/>
  <c r="O134" i="36"/>
  <c r="M134" i="36"/>
  <c r="L134" i="36"/>
  <c r="O133" i="36"/>
  <c r="N133" i="36"/>
  <c r="M133" i="36"/>
  <c r="L133" i="36"/>
  <c r="O132" i="36"/>
  <c r="M132" i="36"/>
  <c r="L132" i="36"/>
  <c r="O131" i="36"/>
  <c r="N131" i="36"/>
  <c r="M131" i="36"/>
  <c r="L131" i="36"/>
  <c r="O130" i="36"/>
  <c r="L130" i="36"/>
  <c r="O129" i="36"/>
  <c r="N129" i="36"/>
  <c r="M129" i="36"/>
  <c r="L129" i="36"/>
  <c r="O128" i="36"/>
  <c r="L128" i="36"/>
  <c r="O127" i="36"/>
  <c r="N127" i="36"/>
  <c r="M127" i="36"/>
  <c r="L127" i="36"/>
  <c r="O126" i="36"/>
  <c r="L126" i="36"/>
  <c r="O125" i="36"/>
  <c r="N125" i="36"/>
  <c r="M125" i="36"/>
  <c r="L125" i="36"/>
  <c r="O124" i="36"/>
  <c r="L124" i="36"/>
  <c r="O123" i="36"/>
  <c r="N123" i="36"/>
  <c r="M123" i="36"/>
  <c r="L123" i="36"/>
  <c r="O122" i="36"/>
  <c r="L122" i="36"/>
  <c r="Q121" i="36"/>
  <c r="O121" i="36"/>
  <c r="N121" i="36"/>
  <c r="M121" i="36"/>
  <c r="L121" i="36"/>
  <c r="O120" i="36"/>
  <c r="L120" i="36"/>
  <c r="Q119" i="36"/>
  <c r="O119" i="36"/>
  <c r="N119" i="36"/>
  <c r="M119" i="36"/>
  <c r="L119" i="36"/>
  <c r="O118" i="36"/>
  <c r="L118" i="36"/>
  <c r="Q117" i="36"/>
  <c r="O117" i="36"/>
  <c r="N117" i="36"/>
  <c r="M117" i="36"/>
  <c r="L117" i="36"/>
  <c r="O116" i="36"/>
  <c r="L116" i="36"/>
  <c r="Q115" i="36"/>
  <c r="O115" i="36"/>
  <c r="N115" i="36"/>
  <c r="M115" i="36"/>
  <c r="L115" i="36"/>
  <c r="O114" i="36"/>
  <c r="L114" i="36"/>
  <c r="Q113" i="36"/>
  <c r="O113" i="36"/>
  <c r="N113" i="36"/>
  <c r="M113" i="36"/>
  <c r="L113" i="36"/>
  <c r="O112" i="36"/>
  <c r="L112" i="36"/>
  <c r="Q111" i="36"/>
  <c r="O111" i="36"/>
  <c r="N111" i="36"/>
  <c r="M111" i="36"/>
  <c r="L111" i="36"/>
  <c r="O110" i="36"/>
  <c r="L110" i="36"/>
  <c r="O109" i="36"/>
  <c r="N109" i="36"/>
  <c r="M109" i="36"/>
  <c r="L109" i="36"/>
  <c r="O108" i="36"/>
  <c r="L108" i="36"/>
  <c r="O107" i="36"/>
  <c r="N107" i="36"/>
  <c r="M107" i="36"/>
  <c r="L107" i="36"/>
  <c r="O106" i="36"/>
  <c r="M106" i="36"/>
  <c r="L106" i="36"/>
  <c r="O105" i="36"/>
  <c r="N105" i="36"/>
  <c r="M105" i="36"/>
  <c r="L105" i="36"/>
  <c r="O104" i="36"/>
  <c r="M104" i="36"/>
  <c r="L104" i="36"/>
  <c r="O103" i="36"/>
  <c r="N103" i="36"/>
  <c r="M103" i="36"/>
  <c r="L103" i="36"/>
  <c r="O102" i="36"/>
  <c r="M102" i="36"/>
  <c r="L102" i="36"/>
  <c r="O101" i="36"/>
  <c r="N101" i="36"/>
  <c r="M101" i="36"/>
  <c r="L101" i="36"/>
  <c r="O100" i="36"/>
  <c r="M100" i="36"/>
  <c r="L100" i="36"/>
  <c r="O99" i="36"/>
  <c r="N99" i="36"/>
  <c r="M99" i="36"/>
  <c r="L99" i="36"/>
  <c r="O98" i="36"/>
  <c r="M98" i="36"/>
  <c r="L98" i="36"/>
  <c r="O97" i="36"/>
  <c r="N97" i="36"/>
  <c r="M97" i="36"/>
  <c r="L97" i="36"/>
  <c r="O96" i="36"/>
  <c r="M96" i="36"/>
  <c r="L96" i="36"/>
  <c r="O95" i="36"/>
  <c r="N95" i="36"/>
  <c r="M95" i="36"/>
  <c r="L95" i="36"/>
  <c r="O94" i="36"/>
  <c r="M94" i="36"/>
  <c r="L94" i="36"/>
  <c r="O93" i="36"/>
  <c r="N93" i="36"/>
  <c r="M93" i="36"/>
  <c r="L93" i="36"/>
  <c r="O92" i="36"/>
  <c r="M92" i="36"/>
  <c r="L92" i="36"/>
  <c r="O91" i="36"/>
  <c r="N91" i="36"/>
  <c r="M91" i="36"/>
  <c r="L91" i="36"/>
  <c r="O90" i="36"/>
  <c r="M90" i="36"/>
  <c r="L90" i="36"/>
  <c r="O89" i="36"/>
  <c r="N89" i="36"/>
  <c r="M89" i="36"/>
  <c r="L89" i="36"/>
  <c r="O88" i="36"/>
  <c r="M88" i="36"/>
  <c r="L88" i="36"/>
  <c r="O87" i="36"/>
  <c r="N87" i="36"/>
  <c r="M87" i="36"/>
  <c r="L87" i="36"/>
  <c r="O86" i="36"/>
  <c r="M86" i="36"/>
  <c r="L86" i="36"/>
  <c r="O85" i="36"/>
  <c r="N85" i="36"/>
  <c r="M85" i="36"/>
  <c r="L85" i="36"/>
  <c r="Q84" i="36"/>
  <c r="O84" i="36"/>
  <c r="M84" i="36"/>
  <c r="L84" i="36"/>
  <c r="Q83" i="36"/>
  <c r="O83" i="36"/>
  <c r="N83" i="36"/>
  <c r="M83" i="36"/>
  <c r="L83" i="36"/>
  <c r="O82" i="36"/>
  <c r="M82" i="36"/>
  <c r="L82" i="36"/>
  <c r="O81" i="36"/>
  <c r="N81" i="36"/>
  <c r="M81" i="36"/>
  <c r="L81" i="36"/>
  <c r="Q80" i="36"/>
  <c r="O80" i="36"/>
  <c r="M80" i="36"/>
  <c r="L80" i="36"/>
  <c r="Q79" i="36"/>
  <c r="O79" i="36"/>
  <c r="N79" i="36"/>
  <c r="M79" i="36"/>
  <c r="L79" i="36"/>
  <c r="Q78" i="36"/>
  <c r="O78" i="36"/>
  <c r="M78" i="36"/>
  <c r="L78" i="36"/>
  <c r="Q77" i="36"/>
  <c r="O77" i="36"/>
  <c r="N77" i="36"/>
  <c r="M77" i="36"/>
  <c r="L77" i="36"/>
  <c r="O76" i="36"/>
  <c r="M76" i="36"/>
  <c r="L76" i="36"/>
  <c r="O75" i="36"/>
  <c r="N75" i="36"/>
  <c r="M75" i="36"/>
  <c r="L75" i="36"/>
  <c r="Q74" i="36"/>
  <c r="O74" i="36"/>
  <c r="M74" i="36"/>
  <c r="L74" i="36"/>
  <c r="Q73" i="36"/>
  <c r="O73" i="36"/>
  <c r="N73" i="36"/>
  <c r="M73" i="36"/>
  <c r="L73" i="36"/>
  <c r="Q72" i="36"/>
  <c r="O72" i="36"/>
  <c r="M72" i="36"/>
  <c r="L72" i="36"/>
  <c r="Q71" i="36"/>
  <c r="O71" i="36"/>
  <c r="N71" i="36"/>
  <c r="M71" i="36"/>
  <c r="L71" i="36"/>
  <c r="Q70" i="36"/>
  <c r="O70" i="36"/>
  <c r="M70" i="36"/>
  <c r="L70" i="36"/>
  <c r="Q69" i="36"/>
  <c r="O69" i="36"/>
  <c r="N69" i="36"/>
  <c r="M69" i="36"/>
  <c r="L69" i="36"/>
  <c r="Q68" i="36"/>
  <c r="O68" i="36"/>
  <c r="M68" i="36"/>
  <c r="L68" i="36"/>
  <c r="Q67" i="36"/>
  <c r="O67" i="36"/>
  <c r="N67" i="36"/>
  <c r="M67" i="36"/>
  <c r="L67" i="36"/>
  <c r="Q66" i="36"/>
  <c r="O66" i="36"/>
  <c r="M66" i="36"/>
  <c r="L66" i="36"/>
  <c r="Q65" i="36"/>
  <c r="O65" i="36"/>
  <c r="N65" i="36"/>
  <c r="M65" i="36"/>
  <c r="L65" i="36"/>
  <c r="Q64" i="36"/>
  <c r="O64" i="36"/>
  <c r="M64" i="36"/>
  <c r="L64" i="36"/>
  <c r="Q63" i="36"/>
  <c r="O63" i="36"/>
  <c r="N63" i="36"/>
  <c r="M63" i="36"/>
  <c r="L63" i="36"/>
  <c r="O62" i="36"/>
  <c r="M62" i="36"/>
  <c r="L62" i="36"/>
  <c r="O61" i="36"/>
  <c r="N61" i="36"/>
  <c r="M61" i="36"/>
  <c r="L61" i="36"/>
  <c r="O60" i="36"/>
  <c r="M60" i="36"/>
  <c r="L60" i="36"/>
  <c r="O59" i="36"/>
  <c r="N59" i="36"/>
  <c r="M59" i="36"/>
  <c r="L59" i="36"/>
  <c r="O58" i="36"/>
  <c r="M58" i="36"/>
  <c r="L58" i="36"/>
  <c r="O57" i="36"/>
  <c r="N57" i="36"/>
  <c r="M57" i="36"/>
  <c r="L57" i="36"/>
  <c r="O56" i="36"/>
  <c r="M56" i="36"/>
  <c r="L56" i="36"/>
  <c r="O55" i="36"/>
  <c r="N55" i="36"/>
  <c r="M55" i="36"/>
  <c r="L55" i="36"/>
  <c r="O54" i="36"/>
  <c r="M54" i="36"/>
  <c r="L54" i="36"/>
  <c r="O53" i="36"/>
  <c r="N53" i="36"/>
  <c r="M53" i="36"/>
  <c r="L53" i="36"/>
  <c r="O52" i="36"/>
  <c r="M52" i="36"/>
  <c r="L52" i="36"/>
  <c r="O51" i="36"/>
  <c r="N51" i="36"/>
  <c r="M51" i="36"/>
  <c r="L51" i="36"/>
  <c r="O50" i="36"/>
  <c r="M50" i="36"/>
  <c r="L50" i="36"/>
  <c r="O49" i="36"/>
  <c r="N49" i="36"/>
  <c r="M49" i="36"/>
  <c r="L49" i="36"/>
  <c r="O48" i="36"/>
  <c r="M48" i="36"/>
  <c r="L48" i="36"/>
  <c r="O47" i="36"/>
  <c r="N47" i="36"/>
  <c r="M47" i="36"/>
  <c r="L47" i="36"/>
  <c r="O46" i="36"/>
  <c r="M46" i="36"/>
  <c r="L46" i="36"/>
  <c r="O45" i="36"/>
  <c r="N45" i="36"/>
  <c r="M45" i="36"/>
  <c r="L45" i="36"/>
  <c r="O44" i="36"/>
  <c r="M44" i="36"/>
  <c r="L44" i="36"/>
  <c r="O43" i="36"/>
  <c r="N43" i="36"/>
  <c r="M43" i="36"/>
  <c r="L43" i="36"/>
  <c r="O42" i="36"/>
  <c r="M42" i="36"/>
  <c r="L42" i="36"/>
  <c r="O41" i="36"/>
  <c r="N41" i="36"/>
  <c r="M41" i="36"/>
  <c r="L41" i="36"/>
  <c r="O40" i="36"/>
  <c r="M40" i="36"/>
  <c r="L40" i="36"/>
  <c r="O39" i="36"/>
  <c r="N39" i="36"/>
  <c r="M39" i="36"/>
  <c r="L39" i="36"/>
  <c r="Q38" i="36"/>
  <c r="O38" i="36"/>
  <c r="M38" i="36"/>
  <c r="L38" i="36"/>
  <c r="T38" i="36" s="1"/>
  <c r="Q37" i="36"/>
  <c r="O37" i="36"/>
  <c r="N37" i="36"/>
  <c r="M37" i="36"/>
  <c r="L37" i="36"/>
  <c r="T37" i="36" s="1"/>
  <c r="Q36" i="36"/>
  <c r="O36" i="36"/>
  <c r="M36" i="36"/>
  <c r="L36" i="36"/>
  <c r="T36" i="36" s="1"/>
  <c r="Q35" i="36"/>
  <c r="O35" i="36"/>
  <c r="N35" i="36"/>
  <c r="M35" i="36"/>
  <c r="L35" i="36"/>
  <c r="T35" i="36" s="1"/>
  <c r="Q34" i="36"/>
  <c r="O34" i="36"/>
  <c r="M34" i="36"/>
  <c r="L34" i="36"/>
  <c r="T34" i="36" s="1"/>
  <c r="Q33" i="36"/>
  <c r="O33" i="36"/>
  <c r="N33" i="36"/>
  <c r="M33" i="36"/>
  <c r="L33" i="36"/>
  <c r="T33" i="36" s="1"/>
  <c r="Q32" i="36"/>
  <c r="O32" i="36"/>
  <c r="M32" i="36"/>
  <c r="L32" i="36"/>
  <c r="T32" i="36" s="1"/>
  <c r="Q31" i="36"/>
  <c r="O31" i="36"/>
  <c r="N31" i="36"/>
  <c r="M31" i="36"/>
  <c r="L31" i="36"/>
  <c r="T31" i="36" s="1"/>
  <c r="Q30" i="36"/>
  <c r="O30" i="36"/>
  <c r="M30" i="36"/>
  <c r="L30" i="36"/>
  <c r="T30" i="36" s="1"/>
  <c r="Q29" i="36"/>
  <c r="O29" i="36"/>
  <c r="N29" i="36"/>
  <c r="M29" i="36"/>
  <c r="L29" i="36"/>
  <c r="T29" i="36" s="1"/>
  <c r="Q28" i="36"/>
  <c r="O28" i="36"/>
  <c r="M28" i="36"/>
  <c r="L28" i="36"/>
  <c r="T28" i="36" s="1"/>
  <c r="Q27" i="36"/>
  <c r="O27" i="36"/>
  <c r="N27" i="36"/>
  <c r="M27" i="36"/>
  <c r="L27" i="36"/>
  <c r="T27" i="36" s="1"/>
  <c r="O26" i="36"/>
  <c r="M26" i="36"/>
  <c r="L26" i="36"/>
  <c r="T26" i="36" s="1"/>
  <c r="Q25" i="36"/>
  <c r="O25" i="36"/>
  <c r="N25" i="36"/>
  <c r="M25" i="36"/>
  <c r="L25" i="36"/>
  <c r="T25" i="36" s="1"/>
  <c r="T24" i="36"/>
  <c r="O24" i="36"/>
  <c r="L24" i="36"/>
  <c r="P24" i="36" s="1"/>
  <c r="O23" i="36"/>
  <c r="N23" i="36"/>
  <c r="M23" i="36"/>
  <c r="L23" i="36"/>
  <c r="T23" i="36" s="1"/>
  <c r="T22" i="36"/>
  <c r="O22" i="36"/>
  <c r="L22" i="36"/>
  <c r="P22" i="36" s="1"/>
  <c r="O21" i="36"/>
  <c r="N21" i="36"/>
  <c r="M21" i="36"/>
  <c r="L21" i="36"/>
  <c r="T21" i="36" s="1"/>
  <c r="T20" i="36"/>
  <c r="O20" i="36"/>
  <c r="L20" i="36"/>
  <c r="P20" i="36" s="1"/>
  <c r="O19" i="36"/>
  <c r="N19" i="36"/>
  <c r="M19" i="36"/>
  <c r="L19" i="36"/>
  <c r="T19" i="36" s="1"/>
  <c r="T18" i="36"/>
  <c r="O18" i="36"/>
  <c r="L18" i="36"/>
  <c r="P18" i="36" s="1"/>
  <c r="Q17" i="36"/>
  <c r="O17" i="36"/>
  <c r="N17" i="36"/>
  <c r="M17" i="36"/>
  <c r="L17" i="36"/>
  <c r="T17" i="36" s="1"/>
  <c r="T16" i="36"/>
  <c r="O16" i="36"/>
  <c r="L16" i="36"/>
  <c r="P16" i="36" s="1"/>
  <c r="O15" i="36"/>
  <c r="N15" i="36"/>
  <c r="M15" i="36"/>
  <c r="L15" i="36"/>
  <c r="T15" i="36" s="1"/>
  <c r="T14" i="36"/>
  <c r="O14" i="36"/>
  <c r="L14" i="36"/>
  <c r="P14" i="36" s="1"/>
  <c r="O13" i="36"/>
  <c r="N13" i="36"/>
  <c r="M13" i="36"/>
  <c r="L13" i="36"/>
  <c r="T13" i="36" s="1"/>
  <c r="T12" i="36"/>
  <c r="O12" i="36"/>
  <c r="L12" i="36"/>
  <c r="P12" i="36" s="1"/>
  <c r="O11" i="36"/>
  <c r="N11" i="36"/>
  <c r="M11" i="36"/>
  <c r="L11" i="36"/>
  <c r="T11" i="36" s="1"/>
  <c r="T10" i="36"/>
  <c r="O10" i="36"/>
  <c r="L10" i="36"/>
  <c r="P10" i="36" s="1"/>
  <c r="O9" i="36"/>
  <c r="N9" i="36"/>
  <c r="M9" i="36"/>
  <c r="L9" i="36"/>
  <c r="T9" i="36" s="1"/>
  <c r="T8" i="36"/>
  <c r="O8" i="36"/>
  <c r="L8" i="36"/>
  <c r="P8" i="36" s="1"/>
  <c r="O7" i="36"/>
  <c r="N7" i="36"/>
  <c r="M7" i="36"/>
  <c r="L7" i="36"/>
  <c r="T7" i="36" s="1"/>
  <c r="T6" i="36"/>
  <c r="O6" i="36"/>
  <c r="L6" i="36"/>
  <c r="P6" i="36" s="1"/>
  <c r="O5" i="36"/>
  <c r="N5" i="36"/>
  <c r="M5" i="36"/>
  <c r="L5" i="36"/>
  <c r="T5" i="36" s="1"/>
  <c r="T4" i="36"/>
  <c r="O4" i="36"/>
  <c r="L4" i="36"/>
  <c r="P4" i="36" s="1"/>
  <c r="O3" i="36"/>
  <c r="N3" i="36"/>
  <c r="M3" i="36"/>
  <c r="L3" i="36"/>
  <c r="T3" i="36" s="1"/>
  <c r="C128" i="36"/>
  <c r="C140" i="36" s="1"/>
  <c r="C152" i="36" s="1"/>
  <c r="C164" i="36" s="1"/>
  <c r="C176" i="36" s="1"/>
  <c r="C188" i="36" s="1"/>
  <c r="C200" i="36" s="1"/>
  <c r="C212" i="36" s="1"/>
  <c r="C224" i="36" s="1"/>
  <c r="C236" i="36" s="1"/>
  <c r="C248" i="36" s="1"/>
  <c r="C260" i="36" s="1"/>
  <c r="C127" i="36"/>
  <c r="C126" i="36"/>
  <c r="C125" i="36"/>
  <c r="C124" i="36"/>
  <c r="C136" i="36" s="1"/>
  <c r="C148" i="36" s="1"/>
  <c r="C160" i="36" s="1"/>
  <c r="C172" i="36" s="1"/>
  <c r="C184" i="36" s="1"/>
  <c r="C196" i="36" s="1"/>
  <c r="C208" i="36" s="1"/>
  <c r="C220" i="36" s="1"/>
  <c r="C232" i="36" s="1"/>
  <c r="C244" i="36" s="1"/>
  <c r="C256" i="36" s="1"/>
  <c r="C123" i="36"/>
  <c r="C122" i="36"/>
  <c r="C134" i="36" s="1"/>
  <c r="C120" i="36"/>
  <c r="C132" i="36" s="1"/>
  <c r="C144" i="36" s="1"/>
  <c r="C156" i="36" s="1"/>
  <c r="C168" i="36" s="1"/>
  <c r="C180" i="36" s="1"/>
  <c r="C192" i="36" s="1"/>
  <c r="C204" i="36" s="1"/>
  <c r="C216" i="36" s="1"/>
  <c r="C228" i="36" s="1"/>
  <c r="C240" i="36" s="1"/>
  <c r="C252" i="36" s="1"/>
  <c r="C264" i="36" s="1"/>
  <c r="J135" i="40" l="1"/>
  <c r="AD135" i="40" s="1"/>
  <c r="AE135" i="40" s="1"/>
  <c r="J102" i="40"/>
  <c r="AD102" i="40" s="1"/>
  <c r="AE102" i="40" s="1"/>
  <c r="J57" i="40"/>
  <c r="AD57" i="40" s="1"/>
  <c r="AE57" i="40" s="1"/>
  <c r="J87" i="40"/>
  <c r="AD87" i="40" s="1"/>
  <c r="AE87" i="40" s="1"/>
  <c r="I13" i="7"/>
  <c r="I15" i="7"/>
  <c r="I27" i="7"/>
  <c r="D30" i="7"/>
  <c r="E31" i="7"/>
  <c r="D28" i="7"/>
  <c r="I43" i="7"/>
  <c r="K43" i="7" s="1"/>
  <c r="I47" i="7"/>
  <c r="K47" i="7" s="1"/>
  <c r="I51" i="7"/>
  <c r="K51" i="7" s="1"/>
  <c r="J29" i="7"/>
  <c r="I19" i="7"/>
  <c r="I31" i="7"/>
  <c r="I14" i="7"/>
  <c r="E19" i="7"/>
  <c r="E23" i="7"/>
  <c r="I23" i="7"/>
  <c r="J31" i="7"/>
  <c r="E27" i="7"/>
  <c r="E15" i="7"/>
  <c r="J17" i="3"/>
  <c r="J79" i="3"/>
  <c r="J46" i="3"/>
  <c r="J103" i="3"/>
  <c r="J106" i="3"/>
  <c r="J108" i="3"/>
  <c r="J110" i="3"/>
  <c r="J50" i="3"/>
  <c r="J83" i="3"/>
  <c r="J107" i="3"/>
  <c r="J15" i="3"/>
  <c r="J23" i="3"/>
  <c r="J27" i="3"/>
  <c r="J32" i="3"/>
  <c r="J34" i="3"/>
  <c r="J44" i="3"/>
  <c r="J63" i="3"/>
  <c r="J73" i="3"/>
  <c r="J75" i="3"/>
  <c r="J77" i="3"/>
  <c r="J118" i="3"/>
  <c r="J120" i="3"/>
  <c r="J122" i="3"/>
  <c r="P17" i="27"/>
  <c r="Q17" i="27" s="1"/>
  <c r="C11" i="27"/>
  <c r="Q20" i="27"/>
  <c r="J255" i="42"/>
  <c r="AD255" i="42" s="1"/>
  <c r="AE255" i="42" s="1"/>
  <c r="J144" i="42"/>
  <c r="AD144" i="42" s="1"/>
  <c r="AE144" i="42" s="1"/>
  <c r="J147" i="42"/>
  <c r="AD147" i="42" s="1"/>
  <c r="AE147" i="42" s="1"/>
  <c r="J99" i="42"/>
  <c r="AD99" i="42" s="1"/>
  <c r="AE99" i="42" s="1"/>
  <c r="J256" i="42"/>
  <c r="AD256" i="42" s="1"/>
  <c r="AE256" i="42" s="1"/>
  <c r="J151" i="41"/>
  <c r="AD151" i="41" s="1"/>
  <c r="J153" i="41"/>
  <c r="AD153" i="41" s="1"/>
  <c r="J103" i="40"/>
  <c r="AD103" i="40" s="1"/>
  <c r="AE103" i="40" s="1"/>
  <c r="J106" i="41"/>
  <c r="AD106" i="41" s="1"/>
  <c r="AE106" i="41" s="1"/>
  <c r="J111" i="41"/>
  <c r="AD111" i="41" s="1"/>
  <c r="J108" i="42"/>
  <c r="AD108" i="42" s="1"/>
  <c r="AE108" i="42" s="1"/>
  <c r="J59" i="42"/>
  <c r="AD59" i="42" s="1"/>
  <c r="AE59" i="42" s="1"/>
  <c r="J60" i="42"/>
  <c r="AD60" i="42" s="1"/>
  <c r="AE60" i="42" s="1"/>
  <c r="J195" i="42"/>
  <c r="AD195" i="42" s="1"/>
  <c r="AE195" i="42" s="1"/>
  <c r="J189" i="42"/>
  <c r="AD189" i="42" s="1"/>
  <c r="AE189" i="42" s="1"/>
  <c r="J145" i="42"/>
  <c r="AD145" i="42" s="1"/>
  <c r="AE145" i="42" s="1"/>
  <c r="J90" i="42"/>
  <c r="AD90" i="42" s="1"/>
  <c r="AE90" i="42" s="1"/>
  <c r="J203" i="42"/>
  <c r="AD203" i="42" s="1"/>
  <c r="AE203" i="42" s="1"/>
  <c r="J206" i="42"/>
  <c r="AD206" i="42" s="1"/>
  <c r="AE206" i="42" s="1"/>
  <c r="J244" i="42"/>
  <c r="AD244" i="42" s="1"/>
  <c r="AE244" i="42" s="1"/>
  <c r="J245" i="42"/>
  <c r="AD245" i="42" s="1"/>
  <c r="AE245" i="42" s="1"/>
  <c r="J204" i="42"/>
  <c r="AD204" i="42" s="1"/>
  <c r="AE204" i="42" s="1"/>
  <c r="J202" i="42"/>
  <c r="AD202" i="42" s="1"/>
  <c r="AE202" i="42" s="1"/>
  <c r="J155" i="41"/>
  <c r="AD155" i="41" s="1"/>
  <c r="AE155" i="41" s="1"/>
  <c r="J149" i="41"/>
  <c r="AD149" i="41" s="1"/>
  <c r="J156" i="42"/>
  <c r="AD156" i="42" s="1"/>
  <c r="AE156" i="42" s="1"/>
  <c r="J111" i="42"/>
  <c r="AD111" i="42" s="1"/>
  <c r="AE111" i="42" s="1"/>
  <c r="J54" i="40"/>
  <c r="AD54" i="40" s="1"/>
  <c r="AE54" i="40" s="1"/>
  <c r="J61" i="40"/>
  <c r="AD61" i="40" s="1"/>
  <c r="AE61" i="40" s="1"/>
  <c r="J59" i="41"/>
  <c r="AD59" i="41" s="1"/>
  <c r="J243" i="42"/>
  <c r="AD243" i="42" s="1"/>
  <c r="AE243" i="42" s="1"/>
  <c r="J190" i="42"/>
  <c r="AD190" i="42" s="1"/>
  <c r="AE190" i="42" s="1"/>
  <c r="J141" i="42"/>
  <c r="AD141" i="42" s="1"/>
  <c r="AE141" i="42" s="1"/>
  <c r="J93" i="42"/>
  <c r="AD93" i="42" s="1"/>
  <c r="AE93" i="42" s="1"/>
  <c r="J82" i="41"/>
  <c r="AD82" i="41" s="1"/>
  <c r="J81" i="42"/>
  <c r="AD81" i="42" s="1"/>
  <c r="AE81" i="42" s="1"/>
  <c r="J80" i="42"/>
  <c r="AD80" i="42" s="1"/>
  <c r="AE80" i="42" s="1"/>
  <c r="J137" i="40"/>
  <c r="AD137" i="40" s="1"/>
  <c r="AE137" i="40" s="1"/>
  <c r="J265" i="43"/>
  <c r="AD265" i="43" s="1"/>
  <c r="AE265" i="43" s="1"/>
  <c r="J211" i="43"/>
  <c r="AD211" i="43" s="1"/>
  <c r="AE211" i="43" s="1"/>
  <c r="J172" i="43"/>
  <c r="AD172" i="43" s="1"/>
  <c r="AE172" i="43" s="1"/>
  <c r="J74" i="43"/>
  <c r="AD74" i="43" s="1"/>
  <c r="AE74" i="43" s="1"/>
  <c r="J207" i="43"/>
  <c r="AD207" i="43" s="1"/>
  <c r="AE207" i="43" s="1"/>
  <c r="J153" i="43"/>
  <c r="AD153" i="43" s="1"/>
  <c r="AE153" i="43" s="1"/>
  <c r="J105" i="43"/>
  <c r="AD105" i="43" s="1"/>
  <c r="AE105" i="43" s="1"/>
  <c r="J55" i="43"/>
  <c r="AD55" i="43" s="1"/>
  <c r="AE55" i="43" s="1"/>
  <c r="J127" i="40"/>
  <c r="AD127" i="40" s="1"/>
  <c r="AE127" i="40" s="1"/>
  <c r="J155" i="42"/>
  <c r="AD155" i="42" s="1"/>
  <c r="AE155" i="42" s="1"/>
  <c r="J105" i="40"/>
  <c r="AD105" i="40" s="1"/>
  <c r="AE105" i="40" s="1"/>
  <c r="J111" i="40"/>
  <c r="AD111" i="40" s="1"/>
  <c r="AE111" i="40" s="1"/>
  <c r="J102" i="41"/>
  <c r="AD102" i="41" s="1"/>
  <c r="J110" i="41"/>
  <c r="AD110" i="41" s="1"/>
  <c r="AE110" i="41" s="1"/>
  <c r="J105" i="42"/>
  <c r="AD105" i="42" s="1"/>
  <c r="AE105" i="42" s="1"/>
  <c r="J107" i="42"/>
  <c r="AD107" i="42" s="1"/>
  <c r="AE107" i="42" s="1"/>
  <c r="J62" i="40"/>
  <c r="AD62" i="40" s="1"/>
  <c r="AE62" i="40" s="1"/>
  <c r="J62" i="41"/>
  <c r="AD62" i="41" s="1"/>
  <c r="AE62" i="41" s="1"/>
  <c r="J55" i="41"/>
  <c r="AD55" i="41" s="1"/>
  <c r="J237" i="42"/>
  <c r="AD237" i="42" s="1"/>
  <c r="AE237" i="42" s="1"/>
  <c r="J233" i="42"/>
  <c r="J186" i="42"/>
  <c r="AD186" i="42" s="1"/>
  <c r="AE186" i="42" s="1"/>
  <c r="J139" i="41"/>
  <c r="AD139" i="41" s="1"/>
  <c r="AE139" i="41" s="1"/>
  <c r="J142" i="41"/>
  <c r="AD142" i="41" s="1"/>
  <c r="J139" i="42"/>
  <c r="AD139" i="42" s="1"/>
  <c r="AE139" i="42" s="1"/>
  <c r="J96" i="40"/>
  <c r="AD96" i="40" s="1"/>
  <c r="AE96" i="40" s="1"/>
  <c r="J97" i="41"/>
  <c r="AD97" i="41" s="1"/>
  <c r="AE97" i="41" s="1"/>
  <c r="J163" i="41"/>
  <c r="AD163" i="41" s="1"/>
  <c r="J226" i="42"/>
  <c r="AD226" i="42" s="1"/>
  <c r="AE226" i="42" s="1"/>
  <c r="J176" i="42"/>
  <c r="AD176" i="42" s="1"/>
  <c r="AE176" i="42" s="1"/>
  <c r="J125" i="40"/>
  <c r="AD125" i="40" s="1"/>
  <c r="AE125" i="40" s="1"/>
  <c r="J135" i="41"/>
  <c r="AD135" i="41" s="1"/>
  <c r="J132" i="42"/>
  <c r="AD132" i="42" s="1"/>
  <c r="AE132" i="42" s="1"/>
  <c r="J82" i="40"/>
  <c r="AD82" i="40" s="1"/>
  <c r="AE82" i="40" s="1"/>
  <c r="J268" i="43"/>
  <c r="AD268" i="43" s="1"/>
  <c r="AE268" i="43" s="1"/>
  <c r="J168" i="43"/>
  <c r="AD168" i="43" s="1"/>
  <c r="AE168" i="43" s="1"/>
  <c r="J67" i="43"/>
  <c r="AD67" i="43" s="1"/>
  <c r="AE67" i="43" s="1"/>
  <c r="J252" i="43"/>
  <c r="AD252" i="43" s="1"/>
  <c r="AE252" i="43" s="1"/>
  <c r="J102" i="43"/>
  <c r="AD102" i="43" s="1"/>
  <c r="AE102" i="43" s="1"/>
  <c r="J169" i="43"/>
  <c r="AD169" i="43" s="1"/>
  <c r="AE169" i="43" s="1"/>
  <c r="J70" i="43"/>
  <c r="AD70" i="43" s="1"/>
  <c r="AE70" i="43" s="1"/>
  <c r="J199" i="43"/>
  <c r="AD199" i="43" s="1"/>
  <c r="AE199" i="43" s="1"/>
  <c r="J205" i="43"/>
  <c r="AD205" i="43" s="1"/>
  <c r="AE205" i="43" s="1"/>
  <c r="J150" i="43"/>
  <c r="AD150" i="43" s="1"/>
  <c r="AE150" i="43" s="1"/>
  <c r="J106" i="43"/>
  <c r="AD106" i="43" s="1"/>
  <c r="AE106" i="43" s="1"/>
  <c r="J161" i="41"/>
  <c r="AD161" i="41" s="1"/>
  <c r="J212" i="43"/>
  <c r="AD212" i="43" s="1"/>
  <c r="AE212" i="43" s="1"/>
  <c r="J171" i="43"/>
  <c r="AD171" i="43" s="1"/>
  <c r="AE171" i="43" s="1"/>
  <c r="J75" i="43"/>
  <c r="AD75" i="43" s="1"/>
  <c r="AE75" i="43" s="1"/>
  <c r="J250" i="43"/>
  <c r="AD250" i="43" s="1"/>
  <c r="AE250" i="43" s="1"/>
  <c r="J204" i="43"/>
  <c r="AD204" i="43" s="1"/>
  <c r="AE204" i="43" s="1"/>
  <c r="J152" i="43"/>
  <c r="AD152" i="43" s="1"/>
  <c r="AE152" i="43" s="1"/>
  <c r="J110" i="43"/>
  <c r="AD110" i="43" s="1"/>
  <c r="AE110" i="43" s="1"/>
  <c r="J61" i="43"/>
  <c r="AD61" i="43" s="1"/>
  <c r="AE61" i="43" s="1"/>
  <c r="J128" i="40"/>
  <c r="AD128" i="40" s="1"/>
  <c r="AE128" i="40" s="1"/>
  <c r="J264" i="43"/>
  <c r="AD264" i="43" s="1"/>
  <c r="AE264" i="43" s="1"/>
  <c r="J165" i="43"/>
  <c r="AD165" i="43" s="1"/>
  <c r="AE165" i="43" s="1"/>
  <c r="J69" i="43"/>
  <c r="AD69" i="43" s="1"/>
  <c r="AE69" i="43" s="1"/>
  <c r="J65" i="43"/>
  <c r="J201" i="43"/>
  <c r="AD201" i="43" s="1"/>
  <c r="AE201" i="43" s="1"/>
  <c r="J112" i="43"/>
  <c r="AD112" i="43" s="1"/>
  <c r="AE112" i="43" s="1"/>
  <c r="J101" i="43"/>
  <c r="AD101" i="43" s="1"/>
  <c r="AE101" i="43" s="1"/>
  <c r="AE50" i="41"/>
  <c r="AE135" i="41"/>
  <c r="AE111" i="41"/>
  <c r="AE59" i="41"/>
  <c r="AE45" i="41"/>
  <c r="AE49" i="41"/>
  <c r="AE82" i="41"/>
  <c r="J263" i="43"/>
  <c r="AD263" i="43" s="1"/>
  <c r="AE263" i="43" s="1"/>
  <c r="J209" i="43"/>
  <c r="AD209" i="43" s="1"/>
  <c r="AE209" i="43" s="1"/>
  <c r="J167" i="43"/>
  <c r="AD167" i="43" s="1"/>
  <c r="AE167" i="43" s="1"/>
  <c r="J76" i="43"/>
  <c r="AD76" i="43" s="1"/>
  <c r="AE76" i="43" s="1"/>
  <c r="J223" i="43"/>
  <c r="AD223" i="43" s="1"/>
  <c r="AE223" i="43" s="1"/>
  <c r="J224" i="43"/>
  <c r="AD224" i="43" s="1"/>
  <c r="AE224" i="43" s="1"/>
  <c r="J253" i="43"/>
  <c r="AD253" i="43" s="1"/>
  <c r="AE253" i="43" s="1"/>
  <c r="J200" i="43"/>
  <c r="AD200" i="43" s="1"/>
  <c r="AE200" i="43" s="1"/>
  <c r="J104" i="43"/>
  <c r="AD104" i="43" s="1"/>
  <c r="AE104" i="43" s="1"/>
  <c r="J60" i="43"/>
  <c r="AD60" i="43" s="1"/>
  <c r="AE60" i="43" s="1"/>
  <c r="J180" i="43"/>
  <c r="AD180" i="43" s="1"/>
  <c r="AE180" i="43" s="1"/>
  <c r="J174" i="43"/>
  <c r="AD174" i="43" s="1"/>
  <c r="AE174" i="43" s="1"/>
  <c r="J183" i="43"/>
  <c r="AD183" i="43" s="1"/>
  <c r="AE183" i="43" s="1"/>
  <c r="J133" i="43"/>
  <c r="AD133" i="43" s="1"/>
  <c r="AE133" i="43" s="1"/>
  <c r="J130" i="43"/>
  <c r="AD130" i="43" s="1"/>
  <c r="AE130" i="43" s="1"/>
  <c r="J136" i="43"/>
  <c r="AD136" i="43" s="1"/>
  <c r="AE136" i="43" s="1"/>
  <c r="J85" i="43"/>
  <c r="AD85" i="43" s="1"/>
  <c r="AE85" i="43" s="1"/>
  <c r="J88" i="43"/>
  <c r="AD88" i="43" s="1"/>
  <c r="AE88" i="43" s="1"/>
  <c r="J243" i="43"/>
  <c r="AD243" i="43" s="1"/>
  <c r="AE243" i="43" s="1"/>
  <c r="J237" i="43"/>
  <c r="AD237" i="43" s="1"/>
  <c r="AE237" i="43" s="1"/>
  <c r="J242" i="43"/>
  <c r="AD242" i="43" s="1"/>
  <c r="AE242" i="43" s="1"/>
  <c r="J192" i="43"/>
  <c r="AD192" i="43" s="1"/>
  <c r="AE192" i="43" s="1"/>
  <c r="J196" i="43"/>
  <c r="AD196" i="43" s="1"/>
  <c r="AE196" i="43" s="1"/>
  <c r="J138" i="43"/>
  <c r="AD138" i="43" s="1"/>
  <c r="AE138" i="43" s="1"/>
  <c r="J144" i="43"/>
  <c r="AD144" i="43" s="1"/>
  <c r="AE144" i="43" s="1"/>
  <c r="J143" i="43"/>
  <c r="AD143" i="43" s="1"/>
  <c r="AE143" i="43" s="1"/>
  <c r="AE44" i="41"/>
  <c r="AE132" i="41"/>
  <c r="AE151" i="41"/>
  <c r="AE153" i="41"/>
  <c r="AE51" i="41"/>
  <c r="AE43" i="41"/>
  <c r="AE47" i="41"/>
  <c r="AE83" i="41"/>
  <c r="AE159" i="41"/>
  <c r="AE102" i="41"/>
  <c r="AE55" i="41"/>
  <c r="AE142" i="41"/>
  <c r="AE48" i="41"/>
  <c r="AE85" i="41"/>
  <c r="AE42" i="41"/>
  <c r="AE52" i="41"/>
  <c r="AE46" i="41"/>
  <c r="AE86" i="41"/>
  <c r="J261" i="43"/>
  <c r="AD261" i="43" s="1"/>
  <c r="AE261" i="43" s="1"/>
  <c r="J210" i="43"/>
  <c r="AD210" i="43" s="1"/>
  <c r="AE210" i="43" s="1"/>
  <c r="J166" i="43"/>
  <c r="AD166" i="43" s="1"/>
  <c r="AE166" i="43" s="1"/>
  <c r="J222" i="43"/>
  <c r="AD222" i="43" s="1"/>
  <c r="AE222" i="43" s="1"/>
  <c r="J228" i="43"/>
  <c r="AD228" i="43" s="1"/>
  <c r="AE228" i="43" s="1"/>
  <c r="J254" i="43"/>
  <c r="AD254" i="43" s="1"/>
  <c r="AE254" i="43" s="1"/>
  <c r="J203" i="43"/>
  <c r="AD203" i="43" s="1"/>
  <c r="AE203" i="43" s="1"/>
  <c r="J151" i="43"/>
  <c r="AD151" i="43" s="1"/>
  <c r="AE151" i="43" s="1"/>
  <c r="J107" i="43"/>
  <c r="AD107" i="43" s="1"/>
  <c r="AE107" i="43" s="1"/>
  <c r="J58" i="43"/>
  <c r="AD58" i="43" s="1"/>
  <c r="AE58" i="43" s="1"/>
  <c r="J234" i="43"/>
  <c r="AD234" i="43" s="1"/>
  <c r="AE234" i="43" s="1"/>
  <c r="J267" i="43"/>
  <c r="AD267" i="43" s="1"/>
  <c r="AE267" i="43" s="1"/>
  <c r="J163" i="43"/>
  <c r="AD163" i="43" s="1"/>
  <c r="AE163" i="43" s="1"/>
  <c r="J72" i="43"/>
  <c r="AD72" i="43" s="1"/>
  <c r="AE72" i="43" s="1"/>
  <c r="J256" i="43"/>
  <c r="AD256" i="43" s="1"/>
  <c r="AE256" i="43" s="1"/>
  <c r="J156" i="43"/>
  <c r="AD156" i="43" s="1"/>
  <c r="AE156" i="43" s="1"/>
  <c r="J109" i="43"/>
  <c r="AD109" i="43" s="1"/>
  <c r="AE109" i="43" s="1"/>
  <c r="J59" i="43"/>
  <c r="AD59" i="43" s="1"/>
  <c r="AE59" i="43" s="1"/>
  <c r="J183" i="41"/>
  <c r="AD183" i="41" s="1"/>
  <c r="J187" i="43"/>
  <c r="AD187" i="43" s="1"/>
  <c r="AE187" i="43" s="1"/>
  <c r="J92" i="43"/>
  <c r="AD92" i="43" s="1"/>
  <c r="AE92" i="43" s="1"/>
  <c r="J248" i="42"/>
  <c r="AD248" i="42" s="1"/>
  <c r="AE248" i="42" s="1"/>
  <c r="J205" i="42"/>
  <c r="AD205" i="42" s="1"/>
  <c r="AE205" i="42" s="1"/>
  <c r="J157" i="41"/>
  <c r="AD157" i="41" s="1"/>
  <c r="J153" i="42"/>
  <c r="AD153" i="42" s="1"/>
  <c r="AE153" i="42" s="1"/>
  <c r="J55" i="40"/>
  <c r="AD55" i="40" s="1"/>
  <c r="AE55" i="40" s="1"/>
  <c r="J53" i="41"/>
  <c r="AD53" i="41" s="1"/>
  <c r="J64" i="42"/>
  <c r="AD64" i="42" s="1"/>
  <c r="AE64" i="42" s="1"/>
  <c r="J138" i="40"/>
  <c r="AD138" i="40" s="1"/>
  <c r="AE138" i="40" s="1"/>
  <c r="J141" i="41"/>
  <c r="AD141" i="41" s="1"/>
  <c r="J94" i="41"/>
  <c r="AD94" i="41" s="1"/>
  <c r="J92" i="42"/>
  <c r="AD92" i="42" s="1"/>
  <c r="AE92" i="42" s="1"/>
  <c r="J231" i="42"/>
  <c r="AD231" i="42" s="1"/>
  <c r="AE231" i="42" s="1"/>
  <c r="J85" i="40"/>
  <c r="AD85" i="40" s="1"/>
  <c r="AE85" i="40" s="1"/>
  <c r="J78" i="41"/>
  <c r="AD78" i="41" s="1"/>
  <c r="J88" i="42"/>
  <c r="AD88" i="42" s="1"/>
  <c r="AE88" i="42" s="1"/>
  <c r="J257" i="43"/>
  <c r="J214" i="43"/>
  <c r="AD214" i="43" s="1"/>
  <c r="AE214" i="43" s="1"/>
  <c r="J213" i="43"/>
  <c r="AD213" i="43" s="1"/>
  <c r="AE213" i="43" s="1"/>
  <c r="J162" i="43"/>
  <c r="AD162" i="43" s="1"/>
  <c r="AE162" i="43" s="1"/>
  <c r="J161" i="43"/>
  <c r="J73" i="43"/>
  <c r="AD73" i="43" s="1"/>
  <c r="AE73" i="43" s="1"/>
  <c r="J232" i="43"/>
  <c r="AD232" i="43" s="1"/>
  <c r="AE232" i="43" s="1"/>
  <c r="J221" i="43"/>
  <c r="J229" i="43"/>
  <c r="AD229" i="43" s="1"/>
  <c r="AE229" i="43" s="1"/>
  <c r="J248" i="43"/>
  <c r="AD248" i="43" s="1"/>
  <c r="AE248" i="43" s="1"/>
  <c r="J249" i="43"/>
  <c r="AD249" i="43" s="1"/>
  <c r="AE249" i="43" s="1"/>
  <c r="J198" i="43"/>
  <c r="AD198" i="43" s="1"/>
  <c r="AE198" i="43" s="1"/>
  <c r="AD197" i="43"/>
  <c r="AE197" i="43" s="1"/>
  <c r="J149" i="43"/>
  <c r="J111" i="43"/>
  <c r="AD111" i="43" s="1"/>
  <c r="AE111" i="43" s="1"/>
  <c r="J103" i="43"/>
  <c r="AD103" i="43" s="1"/>
  <c r="AE103" i="43" s="1"/>
  <c r="J63" i="43"/>
  <c r="AD63" i="43" s="1"/>
  <c r="AE63" i="43" s="1"/>
  <c r="J62" i="43"/>
  <c r="AD62" i="43" s="1"/>
  <c r="AE62" i="43" s="1"/>
  <c r="J53" i="43"/>
  <c r="J184" i="43"/>
  <c r="AD184" i="43" s="1"/>
  <c r="AE184" i="43" s="1"/>
  <c r="J181" i="43"/>
  <c r="AD181" i="43" s="1"/>
  <c r="AE181" i="43" s="1"/>
  <c r="J178" i="43"/>
  <c r="AD178" i="43" s="1"/>
  <c r="AE178" i="43" s="1"/>
  <c r="J128" i="43"/>
  <c r="AD128" i="43" s="1"/>
  <c r="AE128" i="43" s="1"/>
  <c r="J127" i="43"/>
  <c r="AD127" i="43" s="1"/>
  <c r="AE127" i="43" s="1"/>
  <c r="J126" i="43"/>
  <c r="AD126" i="43" s="1"/>
  <c r="AE126" i="43" s="1"/>
  <c r="J81" i="43"/>
  <c r="AD81" i="43" s="1"/>
  <c r="AE81" i="43" s="1"/>
  <c r="J82" i="43"/>
  <c r="AD82" i="43" s="1"/>
  <c r="AE82" i="43" s="1"/>
  <c r="J83" i="43"/>
  <c r="AD83" i="43" s="1"/>
  <c r="AE83" i="43" s="1"/>
  <c r="J236" i="43"/>
  <c r="AD236" i="43" s="1"/>
  <c r="AE236" i="43" s="1"/>
  <c r="J240" i="43"/>
  <c r="AD240" i="43" s="1"/>
  <c r="AE240" i="43" s="1"/>
  <c r="J244" i="43"/>
  <c r="AD244" i="43" s="1"/>
  <c r="AE244" i="43" s="1"/>
  <c r="J195" i="43"/>
  <c r="AD195" i="43" s="1"/>
  <c r="AE195" i="43" s="1"/>
  <c r="J194" i="43"/>
  <c r="AD194" i="43" s="1"/>
  <c r="AE194" i="43" s="1"/>
  <c r="J191" i="43"/>
  <c r="AD191" i="43" s="1"/>
  <c r="AE191" i="43" s="1"/>
  <c r="J139" i="43"/>
  <c r="AD139" i="43" s="1"/>
  <c r="AE139" i="43" s="1"/>
  <c r="J142" i="43"/>
  <c r="AD142" i="43" s="1"/>
  <c r="AE142" i="43" s="1"/>
  <c r="J146" i="43"/>
  <c r="AD146" i="43" s="1"/>
  <c r="AE146" i="43" s="1"/>
  <c r="J96" i="43"/>
  <c r="AD96" i="43" s="1"/>
  <c r="AE96" i="43" s="1"/>
  <c r="J91" i="43"/>
  <c r="AD91" i="43" s="1"/>
  <c r="AE91" i="43" s="1"/>
  <c r="J95" i="43"/>
  <c r="AD95" i="43" s="1"/>
  <c r="AE95" i="43" s="1"/>
  <c r="K298" i="43"/>
  <c r="J230" i="43"/>
  <c r="AD230" i="43" s="1"/>
  <c r="AE230" i="43" s="1"/>
  <c r="J98" i="43"/>
  <c r="AD98" i="43" s="1"/>
  <c r="AE98" i="43" s="1"/>
  <c r="J151" i="42"/>
  <c r="AD151" i="42" s="1"/>
  <c r="AE151" i="42" s="1"/>
  <c r="J108" i="40"/>
  <c r="AD108" i="40" s="1"/>
  <c r="AE108" i="40" s="1"/>
  <c r="J103" i="41"/>
  <c r="AD103" i="41" s="1"/>
  <c r="J109" i="42"/>
  <c r="AD109" i="42" s="1"/>
  <c r="AE109" i="42" s="1"/>
  <c r="J236" i="42"/>
  <c r="AD236" i="42" s="1"/>
  <c r="AE236" i="42" s="1"/>
  <c r="J188" i="42"/>
  <c r="AD188" i="42" s="1"/>
  <c r="AE188" i="42" s="1"/>
  <c r="J140" i="41"/>
  <c r="AD140" i="41" s="1"/>
  <c r="J95" i="40"/>
  <c r="AD95" i="40" s="1"/>
  <c r="AE95" i="40" s="1"/>
  <c r="J89" i="40"/>
  <c r="AD89" i="40" s="1"/>
  <c r="AE89" i="40" s="1"/>
  <c r="J100" i="41"/>
  <c r="AD100" i="41" s="1"/>
  <c r="J92" i="41"/>
  <c r="AD92" i="41" s="1"/>
  <c r="J232" i="42"/>
  <c r="AD232" i="42" s="1"/>
  <c r="AE232" i="42" s="1"/>
  <c r="J174" i="42"/>
  <c r="AD174" i="42" s="1"/>
  <c r="AE174" i="42" s="1"/>
  <c r="J175" i="42"/>
  <c r="AD175" i="42" s="1"/>
  <c r="AE175" i="42" s="1"/>
  <c r="J126" i="41"/>
  <c r="AD126" i="41" s="1"/>
  <c r="J128" i="41"/>
  <c r="AD128" i="41" s="1"/>
  <c r="J78" i="40"/>
  <c r="AD78" i="40" s="1"/>
  <c r="AE78" i="40" s="1"/>
  <c r="J170" i="43"/>
  <c r="AD170" i="43" s="1"/>
  <c r="AE170" i="43" s="1"/>
  <c r="J66" i="43"/>
  <c r="AD66" i="43" s="1"/>
  <c r="AE66" i="43" s="1"/>
  <c r="J227" i="43"/>
  <c r="AD227" i="43" s="1"/>
  <c r="AE227" i="43" s="1"/>
  <c r="J206" i="43"/>
  <c r="AD206" i="43" s="1"/>
  <c r="AE206" i="43" s="1"/>
  <c r="J157" i="43"/>
  <c r="AD157" i="43" s="1"/>
  <c r="AE157" i="43" s="1"/>
  <c r="J179" i="43"/>
  <c r="AD179" i="43" s="1"/>
  <c r="AE179" i="43" s="1"/>
  <c r="J173" i="43"/>
  <c r="J176" i="43"/>
  <c r="AD176" i="43" s="1"/>
  <c r="AE176" i="43" s="1"/>
  <c r="J131" i="43"/>
  <c r="AD131" i="43" s="1"/>
  <c r="AE131" i="43" s="1"/>
  <c r="J135" i="43"/>
  <c r="AD135" i="43" s="1"/>
  <c r="AE135" i="43" s="1"/>
  <c r="J134" i="43"/>
  <c r="AD134" i="43" s="1"/>
  <c r="AE134" i="43" s="1"/>
  <c r="J84" i="43"/>
  <c r="AD84" i="43" s="1"/>
  <c r="AE84" i="43" s="1"/>
  <c r="J78" i="43"/>
  <c r="AD78" i="43" s="1"/>
  <c r="AE78" i="43" s="1"/>
  <c r="J77" i="43"/>
  <c r="J238" i="43"/>
  <c r="AD238" i="43" s="1"/>
  <c r="AE238" i="43" s="1"/>
  <c r="J235" i="43"/>
  <c r="AD235" i="43" s="1"/>
  <c r="AE235" i="43" s="1"/>
  <c r="J193" i="43"/>
  <c r="AD193" i="43" s="1"/>
  <c r="AE193" i="43" s="1"/>
  <c r="J189" i="43"/>
  <c r="AD189" i="43" s="1"/>
  <c r="AE189" i="43" s="1"/>
  <c r="J185" i="43"/>
  <c r="J145" i="43"/>
  <c r="AD145" i="43" s="1"/>
  <c r="AE145" i="43" s="1"/>
  <c r="J147" i="43"/>
  <c r="AD147" i="43" s="1"/>
  <c r="AE147" i="43" s="1"/>
  <c r="J148" i="43"/>
  <c r="AD148" i="43" s="1"/>
  <c r="AE148" i="43" s="1"/>
  <c r="J99" i="43"/>
  <c r="AD99" i="43" s="1"/>
  <c r="AE99" i="43" s="1"/>
  <c r="J94" i="43"/>
  <c r="AD94" i="43" s="1"/>
  <c r="AE94" i="43" s="1"/>
  <c r="J90" i="43"/>
  <c r="AD90" i="43" s="1"/>
  <c r="AE90" i="43" s="1"/>
  <c r="AD245" i="43"/>
  <c r="AE245" i="43" s="1"/>
  <c r="J86" i="43"/>
  <c r="AD86" i="43" s="1"/>
  <c r="AE86" i="43" s="1"/>
  <c r="J97" i="43"/>
  <c r="AD97" i="43" s="1"/>
  <c r="AE97" i="43" s="1"/>
  <c r="AD41" i="43"/>
  <c r="J278" i="43"/>
  <c r="J250" i="42"/>
  <c r="AD250" i="42" s="1"/>
  <c r="AE250" i="42" s="1"/>
  <c r="J106" i="40"/>
  <c r="AD106" i="40" s="1"/>
  <c r="AE106" i="40" s="1"/>
  <c r="J112" i="42"/>
  <c r="AD112" i="42" s="1"/>
  <c r="AE112" i="42" s="1"/>
  <c r="J58" i="41"/>
  <c r="AD58" i="41" s="1"/>
  <c r="J61" i="42"/>
  <c r="AD61" i="42" s="1"/>
  <c r="AE61" i="42" s="1"/>
  <c r="J62" i="42"/>
  <c r="AD62" i="42" s="1"/>
  <c r="AE62" i="42" s="1"/>
  <c r="J239" i="42"/>
  <c r="AD239" i="42" s="1"/>
  <c r="AE239" i="42" s="1"/>
  <c r="J144" i="41"/>
  <c r="AD144" i="41" s="1"/>
  <c r="J146" i="42"/>
  <c r="AD146" i="42" s="1"/>
  <c r="AE146" i="42" s="1"/>
  <c r="J99" i="40"/>
  <c r="AD99" i="40" s="1"/>
  <c r="AE99" i="40" s="1"/>
  <c r="J90" i="40"/>
  <c r="AD90" i="40" s="1"/>
  <c r="AE90" i="40" s="1"/>
  <c r="J97" i="42"/>
  <c r="AD97" i="42" s="1"/>
  <c r="AE97" i="42" s="1"/>
  <c r="J177" i="41"/>
  <c r="AD177" i="41" s="1"/>
  <c r="AE177" i="41" s="1"/>
  <c r="J166" i="41"/>
  <c r="AD166" i="41" s="1"/>
  <c r="J227" i="42"/>
  <c r="AD227" i="42" s="1"/>
  <c r="AE227" i="42" s="1"/>
  <c r="J177" i="42"/>
  <c r="AD177" i="42" s="1"/>
  <c r="AE177" i="42" s="1"/>
  <c r="J136" i="42"/>
  <c r="AD136" i="42" s="1"/>
  <c r="AE136" i="42" s="1"/>
  <c r="J83" i="40"/>
  <c r="AD83" i="40" s="1"/>
  <c r="AE83" i="40" s="1"/>
  <c r="J88" i="41"/>
  <c r="AD88" i="41" s="1"/>
  <c r="J258" i="43"/>
  <c r="AD258" i="43" s="1"/>
  <c r="AE258" i="43" s="1"/>
  <c r="J219" i="43"/>
  <c r="AD219" i="43" s="1"/>
  <c r="AE219" i="43" s="1"/>
  <c r="J71" i="43"/>
  <c r="AD71" i="43" s="1"/>
  <c r="AE71" i="43" s="1"/>
  <c r="J225" i="43"/>
  <c r="AD225" i="43" s="1"/>
  <c r="AE225" i="43" s="1"/>
  <c r="J226" i="43"/>
  <c r="AD226" i="43" s="1"/>
  <c r="AE226" i="43" s="1"/>
  <c r="J231" i="43"/>
  <c r="AD231" i="43" s="1"/>
  <c r="AE231" i="43" s="1"/>
  <c r="J208" i="43"/>
  <c r="AD208" i="43" s="1"/>
  <c r="AE208" i="43" s="1"/>
  <c r="J108" i="43"/>
  <c r="AD108" i="43" s="1"/>
  <c r="AE108" i="43" s="1"/>
  <c r="J175" i="43"/>
  <c r="AD175" i="43" s="1"/>
  <c r="AE175" i="43" s="1"/>
  <c r="J177" i="43"/>
  <c r="AD177" i="43" s="1"/>
  <c r="AE177" i="43" s="1"/>
  <c r="J182" i="43"/>
  <c r="AD182" i="43" s="1"/>
  <c r="AE182" i="43" s="1"/>
  <c r="J129" i="43"/>
  <c r="AD129" i="43" s="1"/>
  <c r="AE129" i="43" s="1"/>
  <c r="J125" i="43"/>
  <c r="J132" i="43"/>
  <c r="AD132" i="43" s="1"/>
  <c r="AE132" i="43" s="1"/>
  <c r="J79" i="43"/>
  <c r="AD79" i="43" s="1"/>
  <c r="AE79" i="43" s="1"/>
  <c r="J87" i="43"/>
  <c r="AD87" i="43" s="1"/>
  <c r="AE87" i="43" s="1"/>
  <c r="J80" i="43"/>
  <c r="AD80" i="43" s="1"/>
  <c r="AE80" i="43" s="1"/>
  <c r="J233" i="43"/>
  <c r="J241" i="43"/>
  <c r="AD241" i="43" s="1"/>
  <c r="AE241" i="43" s="1"/>
  <c r="J239" i="43"/>
  <c r="AD239" i="43" s="1"/>
  <c r="AE239" i="43" s="1"/>
  <c r="J188" i="43"/>
  <c r="AD188" i="43" s="1"/>
  <c r="AE188" i="43" s="1"/>
  <c r="J186" i="43"/>
  <c r="AD186" i="43" s="1"/>
  <c r="AE186" i="43" s="1"/>
  <c r="J190" i="43"/>
  <c r="AD190" i="43" s="1"/>
  <c r="AE190" i="43" s="1"/>
  <c r="J140" i="43"/>
  <c r="AD140" i="43" s="1"/>
  <c r="AE140" i="43" s="1"/>
  <c r="J141" i="43"/>
  <c r="AD141" i="43" s="1"/>
  <c r="AE141" i="43" s="1"/>
  <c r="J137" i="43"/>
  <c r="J93" i="43"/>
  <c r="AD93" i="43" s="1"/>
  <c r="AE93" i="43" s="1"/>
  <c r="J89" i="43"/>
  <c r="J100" i="43"/>
  <c r="AD100" i="43" s="1"/>
  <c r="AE100" i="43" s="1"/>
  <c r="J162" i="41"/>
  <c r="AD162" i="41" s="1"/>
  <c r="J164" i="41"/>
  <c r="AD164" i="41" s="1"/>
  <c r="J172" i="41"/>
  <c r="AD172" i="41" s="1"/>
  <c r="J133" i="40"/>
  <c r="AD133" i="40" s="1"/>
  <c r="AE133" i="40" s="1"/>
  <c r="J252" i="42"/>
  <c r="AD252" i="42" s="1"/>
  <c r="AE252" i="42" s="1"/>
  <c r="J152" i="41"/>
  <c r="AD152" i="41" s="1"/>
  <c r="J159" i="42"/>
  <c r="AD159" i="42" s="1"/>
  <c r="AE159" i="42" s="1"/>
  <c r="J109" i="41"/>
  <c r="AD109" i="41" s="1"/>
  <c r="J103" i="42"/>
  <c r="AD103" i="42" s="1"/>
  <c r="AE103" i="42" s="1"/>
  <c r="J58" i="42"/>
  <c r="AD58" i="42" s="1"/>
  <c r="AE58" i="42" s="1"/>
  <c r="J143" i="42"/>
  <c r="AD143" i="42" s="1"/>
  <c r="AE143" i="42" s="1"/>
  <c r="J97" i="40"/>
  <c r="AD97" i="40" s="1"/>
  <c r="AE97" i="40" s="1"/>
  <c r="J94" i="40"/>
  <c r="AD94" i="40" s="1"/>
  <c r="AE94" i="40" s="1"/>
  <c r="J95" i="41"/>
  <c r="AD95" i="41" s="1"/>
  <c r="J100" i="42"/>
  <c r="AD100" i="42" s="1"/>
  <c r="AE100" i="42" s="1"/>
  <c r="J169" i="41"/>
  <c r="AD169" i="41" s="1"/>
  <c r="AE169" i="41" s="1"/>
  <c r="J168" i="41"/>
  <c r="AD168" i="41" s="1"/>
  <c r="J134" i="40"/>
  <c r="AD134" i="40" s="1"/>
  <c r="AE134" i="40" s="1"/>
  <c r="J180" i="42"/>
  <c r="AD180" i="42" s="1"/>
  <c r="AE180" i="42" s="1"/>
  <c r="J181" i="42"/>
  <c r="AD181" i="42" s="1"/>
  <c r="AE181" i="42" s="1"/>
  <c r="J134" i="41"/>
  <c r="AD134" i="41" s="1"/>
  <c r="J135" i="42"/>
  <c r="AD135" i="42" s="1"/>
  <c r="AE135" i="42" s="1"/>
  <c r="J125" i="42"/>
  <c r="AD125" i="42" s="1"/>
  <c r="AE125" i="42" s="1"/>
  <c r="J81" i="40"/>
  <c r="AD81" i="40" s="1"/>
  <c r="AE81" i="40" s="1"/>
  <c r="J80" i="41"/>
  <c r="AD80" i="41" s="1"/>
  <c r="J82" i="42"/>
  <c r="AD82" i="42" s="1"/>
  <c r="AE82" i="42" s="1"/>
  <c r="J170" i="41"/>
  <c r="AD170" i="41" s="1"/>
  <c r="J129" i="40"/>
  <c r="AD129" i="40" s="1"/>
  <c r="AE129" i="40" s="1"/>
  <c r="J264" i="42"/>
  <c r="AD264" i="42" s="1"/>
  <c r="AE264" i="42" s="1"/>
  <c r="J262" i="42"/>
  <c r="AD262" i="42" s="1"/>
  <c r="AE262" i="42" s="1"/>
  <c r="J217" i="42"/>
  <c r="AD217" i="42" s="1"/>
  <c r="AE217" i="42" s="1"/>
  <c r="J172" i="42"/>
  <c r="AD172" i="42" s="1"/>
  <c r="AE172" i="42" s="1"/>
  <c r="J117" i="40"/>
  <c r="AD117" i="40" s="1"/>
  <c r="AE117" i="40" s="1"/>
  <c r="J113" i="40"/>
  <c r="AD113" i="40" s="1"/>
  <c r="AE113" i="40" s="1"/>
  <c r="J65" i="40"/>
  <c r="AD65" i="40" s="1"/>
  <c r="AE65" i="40" s="1"/>
  <c r="J76" i="41"/>
  <c r="AD76" i="41" s="1"/>
  <c r="J74" i="42"/>
  <c r="AD74" i="42" s="1"/>
  <c r="AE74" i="42" s="1"/>
  <c r="J254" i="42"/>
  <c r="AD254" i="42" s="1"/>
  <c r="AE254" i="42" s="1"/>
  <c r="J201" i="42"/>
  <c r="AD201" i="42" s="1"/>
  <c r="AE201" i="42" s="1"/>
  <c r="J160" i="41"/>
  <c r="AD160" i="41" s="1"/>
  <c r="J112" i="41"/>
  <c r="AD112" i="41" s="1"/>
  <c r="J110" i="42"/>
  <c r="AD110" i="42" s="1"/>
  <c r="AE110" i="42" s="1"/>
  <c r="J54" i="41"/>
  <c r="AD54" i="41" s="1"/>
  <c r="J56" i="42"/>
  <c r="AD56" i="42" s="1"/>
  <c r="AE56" i="42" s="1"/>
  <c r="J92" i="40"/>
  <c r="AD92" i="40" s="1"/>
  <c r="AE92" i="40" s="1"/>
  <c r="J96" i="41"/>
  <c r="AD96" i="41" s="1"/>
  <c r="J230" i="42"/>
  <c r="AD230" i="42" s="1"/>
  <c r="AE230" i="42" s="1"/>
  <c r="J136" i="41"/>
  <c r="AD136" i="41" s="1"/>
  <c r="J79" i="40"/>
  <c r="AD79" i="40" s="1"/>
  <c r="AE79" i="40" s="1"/>
  <c r="J79" i="41"/>
  <c r="AD79" i="41" s="1"/>
  <c r="J268" i="42"/>
  <c r="AD268" i="42" s="1"/>
  <c r="AE268" i="42" s="1"/>
  <c r="J211" i="42"/>
  <c r="AD211" i="42" s="1"/>
  <c r="AE211" i="42" s="1"/>
  <c r="J168" i="42"/>
  <c r="AD168" i="42" s="1"/>
  <c r="AE168" i="42" s="1"/>
  <c r="J74" i="40"/>
  <c r="AD74" i="40" s="1"/>
  <c r="AE74" i="40" s="1"/>
  <c r="J72" i="41"/>
  <c r="AD72" i="41" s="1"/>
  <c r="J72" i="42"/>
  <c r="AD72" i="42" s="1"/>
  <c r="AE72" i="42" s="1"/>
  <c r="J200" i="42"/>
  <c r="AD200" i="42" s="1"/>
  <c r="AE200" i="42" s="1"/>
  <c r="J199" i="42"/>
  <c r="AD199" i="42" s="1"/>
  <c r="AE199" i="42" s="1"/>
  <c r="J158" i="41"/>
  <c r="AD158" i="41" s="1"/>
  <c r="J158" i="42"/>
  <c r="AD158" i="42" s="1"/>
  <c r="AE158" i="42" s="1"/>
  <c r="J154" i="42"/>
  <c r="AD154" i="42" s="1"/>
  <c r="AE154" i="42" s="1"/>
  <c r="J110" i="40"/>
  <c r="AD110" i="40" s="1"/>
  <c r="AE110" i="40" s="1"/>
  <c r="J107" i="40"/>
  <c r="AD107" i="40" s="1"/>
  <c r="AE107" i="40" s="1"/>
  <c r="J101" i="41"/>
  <c r="AD101" i="41" s="1"/>
  <c r="J56" i="40"/>
  <c r="AD56" i="40" s="1"/>
  <c r="AE56" i="40" s="1"/>
  <c r="J60" i="41"/>
  <c r="AD60" i="41" s="1"/>
  <c r="J63" i="41"/>
  <c r="AD63" i="41" s="1"/>
  <c r="J54" i="42"/>
  <c r="AD54" i="42" s="1"/>
  <c r="AE54" i="42" s="1"/>
  <c r="J234" i="42"/>
  <c r="AD234" i="42" s="1"/>
  <c r="AE234" i="42" s="1"/>
  <c r="J193" i="42"/>
  <c r="AD193" i="42" s="1"/>
  <c r="AE193" i="42" s="1"/>
  <c r="J191" i="42"/>
  <c r="AD191" i="42" s="1"/>
  <c r="AE191" i="42" s="1"/>
  <c r="J138" i="41"/>
  <c r="AD138" i="41" s="1"/>
  <c r="J148" i="41"/>
  <c r="AD148" i="41" s="1"/>
  <c r="J137" i="42"/>
  <c r="AD137" i="42" s="1"/>
  <c r="AE137" i="42" s="1"/>
  <c r="J90" i="41"/>
  <c r="AD90" i="41" s="1"/>
  <c r="J94" i="42"/>
  <c r="AD94" i="42" s="1"/>
  <c r="AE94" i="42" s="1"/>
  <c r="J167" i="41"/>
  <c r="AD167" i="41" s="1"/>
  <c r="J221" i="42"/>
  <c r="AD221" i="42" s="1"/>
  <c r="AE221" i="42" s="1"/>
  <c r="J228" i="42"/>
  <c r="AD228" i="42" s="1"/>
  <c r="AE228" i="42" s="1"/>
  <c r="J132" i="40"/>
  <c r="AD132" i="40" s="1"/>
  <c r="AE132" i="40" s="1"/>
  <c r="J130" i="40"/>
  <c r="AD130" i="40" s="1"/>
  <c r="AE130" i="40" s="1"/>
  <c r="J249" i="42"/>
  <c r="AD249" i="42" s="1"/>
  <c r="AE249" i="42" s="1"/>
  <c r="J198" i="42"/>
  <c r="AD198" i="42" s="1"/>
  <c r="AE198" i="42" s="1"/>
  <c r="J208" i="42"/>
  <c r="AD208" i="42" s="1"/>
  <c r="AE208" i="42" s="1"/>
  <c r="J207" i="42"/>
  <c r="AD207" i="42" s="1"/>
  <c r="AE207" i="42" s="1"/>
  <c r="J156" i="41"/>
  <c r="AD156" i="41" s="1"/>
  <c r="J160" i="42"/>
  <c r="AD160" i="42" s="1"/>
  <c r="AE160" i="42" s="1"/>
  <c r="J108" i="41"/>
  <c r="AD108" i="41" s="1"/>
  <c r="J64" i="40"/>
  <c r="AD64" i="40" s="1"/>
  <c r="AE64" i="40" s="1"/>
  <c r="J56" i="41"/>
  <c r="AD56" i="41" s="1"/>
  <c r="J63" i="42"/>
  <c r="AD63" i="42" s="1"/>
  <c r="AE63" i="42" s="1"/>
  <c r="J196" i="42"/>
  <c r="AD196" i="42" s="1"/>
  <c r="AE196" i="42" s="1"/>
  <c r="J137" i="41"/>
  <c r="AD137" i="41" s="1"/>
  <c r="J98" i="40"/>
  <c r="AD98" i="40" s="1"/>
  <c r="AE98" i="40" s="1"/>
  <c r="J89" i="41"/>
  <c r="AD89" i="41" s="1"/>
  <c r="J98" i="42"/>
  <c r="AD98" i="42" s="1"/>
  <c r="AE98" i="42" s="1"/>
  <c r="J229" i="42"/>
  <c r="AD229" i="42" s="1"/>
  <c r="AE229" i="42" s="1"/>
  <c r="J179" i="42"/>
  <c r="AD179" i="42" s="1"/>
  <c r="AE179" i="42" s="1"/>
  <c r="J131" i="41"/>
  <c r="AD131" i="41" s="1"/>
  <c r="J125" i="41"/>
  <c r="AD125" i="41" s="1"/>
  <c r="J128" i="42"/>
  <c r="AD128" i="42" s="1"/>
  <c r="AE128" i="42" s="1"/>
  <c r="J77" i="40"/>
  <c r="AD77" i="40" s="1"/>
  <c r="AE77" i="40" s="1"/>
  <c r="J79" i="42"/>
  <c r="AD79" i="42" s="1"/>
  <c r="AE79" i="42" s="1"/>
  <c r="J251" i="42"/>
  <c r="AD251" i="42" s="1"/>
  <c r="AE251" i="42" s="1"/>
  <c r="J150" i="42"/>
  <c r="AD150" i="42" s="1"/>
  <c r="AE150" i="42" s="1"/>
  <c r="J112" i="40"/>
  <c r="AD112" i="40" s="1"/>
  <c r="AE112" i="40" s="1"/>
  <c r="J53" i="40"/>
  <c r="AD53" i="40" s="1"/>
  <c r="AE53" i="40" s="1"/>
  <c r="J187" i="42"/>
  <c r="J147" i="41"/>
  <c r="AD147" i="41" s="1"/>
  <c r="J138" i="42"/>
  <c r="AD138" i="42" s="1"/>
  <c r="AE138" i="42" s="1"/>
  <c r="J99" i="41"/>
  <c r="AD99" i="41" s="1"/>
  <c r="J89" i="42"/>
  <c r="AD89" i="42" s="1"/>
  <c r="AE89" i="42" s="1"/>
  <c r="J223" i="42"/>
  <c r="AD223" i="42" s="1"/>
  <c r="AE223" i="42" s="1"/>
  <c r="J183" i="42"/>
  <c r="AD183" i="42" s="1"/>
  <c r="AE183" i="42" s="1"/>
  <c r="J133" i="41"/>
  <c r="AD133" i="41" s="1"/>
  <c r="J133" i="42"/>
  <c r="AD133" i="42" s="1"/>
  <c r="AE133" i="42" s="1"/>
  <c r="J84" i="41"/>
  <c r="AD84" i="41" s="1"/>
  <c r="K18" i="39"/>
  <c r="V87" i="42"/>
  <c r="V83" i="42"/>
  <c r="V79" i="42"/>
  <c r="V88" i="42"/>
  <c r="V84" i="42"/>
  <c r="V80" i="42"/>
  <c r="V85" i="42"/>
  <c r="V77" i="42"/>
  <c r="V81" i="42"/>
  <c r="V82" i="42"/>
  <c r="V78" i="42"/>
  <c r="V86" i="42"/>
  <c r="V77" i="41"/>
  <c r="V83" i="41"/>
  <c r="V82" i="41"/>
  <c r="V79" i="41"/>
  <c r="V85" i="41"/>
  <c r="V80" i="41"/>
  <c r="V88" i="41"/>
  <c r="V86" i="41"/>
  <c r="V81" i="41"/>
  <c r="V87" i="41"/>
  <c r="V78" i="41"/>
  <c r="V84" i="41"/>
  <c r="V87" i="40"/>
  <c r="V86" i="40"/>
  <c r="V77" i="40"/>
  <c r="V83" i="40"/>
  <c r="V80" i="40"/>
  <c r="V78" i="40"/>
  <c r="V84" i="40"/>
  <c r="V79" i="40"/>
  <c r="V81" i="40"/>
  <c r="V88" i="40"/>
  <c r="V82" i="40"/>
  <c r="V85" i="40"/>
  <c r="V135" i="42"/>
  <c r="V131" i="42"/>
  <c r="V127" i="42"/>
  <c r="V133" i="42"/>
  <c r="V129" i="42"/>
  <c r="V125" i="42"/>
  <c r="V132" i="42"/>
  <c r="V134" i="42"/>
  <c r="V126" i="42"/>
  <c r="V136" i="42"/>
  <c r="V128" i="42"/>
  <c r="V130" i="42"/>
  <c r="V135" i="41"/>
  <c r="V129" i="41"/>
  <c r="V132" i="41"/>
  <c r="V127" i="41"/>
  <c r="V128" i="41"/>
  <c r="V125" i="41"/>
  <c r="V126" i="41"/>
  <c r="V136" i="41"/>
  <c r="V134" i="41"/>
  <c r="V130" i="41"/>
  <c r="V133" i="41"/>
  <c r="V131" i="41"/>
  <c r="V132" i="40"/>
  <c r="V126" i="40"/>
  <c r="V125" i="40"/>
  <c r="V136" i="40"/>
  <c r="V130" i="40"/>
  <c r="V135" i="40"/>
  <c r="V134" i="40"/>
  <c r="V127" i="40"/>
  <c r="V129" i="40"/>
  <c r="V131" i="40"/>
  <c r="V128" i="40"/>
  <c r="V133" i="40"/>
  <c r="X109" i="42"/>
  <c r="X105" i="42"/>
  <c r="X101" i="42"/>
  <c r="X111" i="42"/>
  <c r="X107" i="42"/>
  <c r="X103" i="42"/>
  <c r="X110" i="42"/>
  <c r="X102" i="42"/>
  <c r="X112" i="42"/>
  <c r="X104" i="42"/>
  <c r="X106" i="42"/>
  <c r="X108" i="42"/>
  <c r="X105" i="41"/>
  <c r="X111" i="41"/>
  <c r="X110" i="41"/>
  <c r="X104" i="41"/>
  <c r="X101" i="41"/>
  <c r="X107" i="41"/>
  <c r="X103" i="41"/>
  <c r="X109" i="41"/>
  <c r="X102" i="41"/>
  <c r="X108" i="41"/>
  <c r="X106" i="41"/>
  <c r="X112" i="41"/>
  <c r="X106" i="40"/>
  <c r="X108" i="40"/>
  <c r="X102" i="40"/>
  <c r="X107" i="40"/>
  <c r="X105" i="40"/>
  <c r="X104" i="40"/>
  <c r="X112" i="40"/>
  <c r="X101" i="40"/>
  <c r="X103" i="40"/>
  <c r="X110" i="40"/>
  <c r="X111" i="40"/>
  <c r="X109" i="40"/>
  <c r="X208" i="42"/>
  <c r="X204" i="42"/>
  <c r="X200" i="42"/>
  <c r="X206" i="42"/>
  <c r="X202" i="42"/>
  <c r="X198" i="42"/>
  <c r="X201" i="42"/>
  <c r="X205" i="42"/>
  <c r="X197" i="42"/>
  <c r="X203" i="42"/>
  <c r="X207" i="42"/>
  <c r="X199" i="42"/>
  <c r="X256" i="42"/>
  <c r="X252" i="42"/>
  <c r="X248" i="42"/>
  <c r="X254" i="42"/>
  <c r="X250" i="42"/>
  <c r="X246" i="42"/>
  <c r="X249" i="42"/>
  <c r="X253" i="42"/>
  <c r="X245" i="42"/>
  <c r="X251" i="42"/>
  <c r="X255" i="42"/>
  <c r="X247" i="42"/>
  <c r="B14" i="29"/>
  <c r="E22" i="5"/>
  <c r="E20" i="5"/>
  <c r="E17" i="5"/>
  <c r="K298" i="42"/>
  <c r="J278" i="40"/>
  <c r="AD41" i="40"/>
  <c r="AE41" i="40" s="1"/>
  <c r="J218" i="42"/>
  <c r="AD218" i="42" s="1"/>
  <c r="AE218" i="42" s="1"/>
  <c r="J165" i="42"/>
  <c r="AD165" i="42" s="1"/>
  <c r="AE165" i="42" s="1"/>
  <c r="V63" i="42"/>
  <c r="V59" i="42"/>
  <c r="V55" i="42"/>
  <c r="V64" i="42"/>
  <c r="V60" i="42"/>
  <c r="V56" i="42"/>
  <c r="V61" i="42"/>
  <c r="V53" i="42"/>
  <c r="V57" i="42"/>
  <c r="V58" i="42"/>
  <c r="V54" i="42"/>
  <c r="V62" i="42"/>
  <c r="V57" i="41"/>
  <c r="V53" i="41"/>
  <c r="V54" i="41"/>
  <c r="V55" i="41"/>
  <c r="V61" i="41"/>
  <c r="V63" i="41"/>
  <c r="V60" i="41"/>
  <c r="V59" i="41"/>
  <c r="V64" i="41"/>
  <c r="V58" i="41"/>
  <c r="V56" i="41"/>
  <c r="V62" i="41"/>
  <c r="V62" i="40"/>
  <c r="V58" i="40"/>
  <c r="V57" i="40"/>
  <c r="V55" i="40"/>
  <c r="V56" i="40"/>
  <c r="V59" i="40"/>
  <c r="V63" i="40"/>
  <c r="V54" i="40"/>
  <c r="V60" i="40"/>
  <c r="V61" i="40"/>
  <c r="V64" i="40"/>
  <c r="V53" i="40"/>
  <c r="X85" i="42"/>
  <c r="X81" i="42"/>
  <c r="X77" i="42"/>
  <c r="X86" i="42"/>
  <c r="X82" i="42"/>
  <c r="X78" i="42"/>
  <c r="X87" i="42"/>
  <c r="X79" i="42"/>
  <c r="X83" i="42"/>
  <c r="X84" i="42"/>
  <c r="X88" i="42"/>
  <c r="X80" i="42"/>
  <c r="X77" i="41"/>
  <c r="X80" i="41"/>
  <c r="X88" i="41"/>
  <c r="X84" i="41"/>
  <c r="X87" i="41"/>
  <c r="X78" i="41"/>
  <c r="X83" i="41"/>
  <c r="X85" i="41"/>
  <c r="X81" i="41"/>
  <c r="X82" i="41"/>
  <c r="X86" i="41"/>
  <c r="X79" i="41"/>
  <c r="X83" i="40"/>
  <c r="X88" i="40"/>
  <c r="X78" i="40"/>
  <c r="X84" i="40"/>
  <c r="X79" i="40"/>
  <c r="X81" i="40"/>
  <c r="X87" i="40"/>
  <c r="X82" i="40"/>
  <c r="X85" i="40"/>
  <c r="X77" i="40"/>
  <c r="X80" i="40"/>
  <c r="X86" i="40"/>
  <c r="C63" i="29"/>
  <c r="D13" i="29"/>
  <c r="C13" i="29" s="1"/>
  <c r="I58" i="4"/>
  <c r="I33" i="4"/>
  <c r="V158" i="42"/>
  <c r="V160" i="42"/>
  <c r="V159" i="42"/>
  <c r="V155" i="42"/>
  <c r="V151" i="42"/>
  <c r="V153" i="42"/>
  <c r="V149" i="42"/>
  <c r="V156" i="42"/>
  <c r="V150" i="42"/>
  <c r="V152" i="42"/>
  <c r="V157" i="42"/>
  <c r="V154" i="42"/>
  <c r="V159" i="41"/>
  <c r="V153" i="41"/>
  <c r="V158" i="41"/>
  <c r="V155" i="41"/>
  <c r="V149" i="41"/>
  <c r="V151" i="41"/>
  <c r="V157" i="41"/>
  <c r="V160" i="41"/>
  <c r="V154" i="41"/>
  <c r="V152" i="41"/>
  <c r="V150" i="41"/>
  <c r="V156" i="41"/>
  <c r="V150" i="40"/>
  <c r="V156" i="40"/>
  <c r="V149" i="40"/>
  <c r="V170" i="42"/>
  <c r="V166" i="42"/>
  <c r="V162" i="42"/>
  <c r="V172" i="42"/>
  <c r="V168" i="42"/>
  <c r="V164" i="42"/>
  <c r="V167" i="42"/>
  <c r="V171" i="42"/>
  <c r="V163" i="42"/>
  <c r="V161" i="42"/>
  <c r="V165" i="42"/>
  <c r="V169" i="42"/>
  <c r="V171" i="41"/>
  <c r="V165" i="41"/>
  <c r="V167" i="41"/>
  <c r="V163" i="41"/>
  <c r="V164" i="41"/>
  <c r="V161" i="41"/>
  <c r="V169" i="41"/>
  <c r="V166" i="41"/>
  <c r="V168" i="41"/>
  <c r="V170" i="41"/>
  <c r="V172" i="41"/>
  <c r="V162" i="41"/>
  <c r="V182" i="42"/>
  <c r="V178" i="42"/>
  <c r="V174" i="42"/>
  <c r="V184" i="42"/>
  <c r="V180" i="42"/>
  <c r="V176" i="42"/>
  <c r="V183" i="42"/>
  <c r="V175" i="42"/>
  <c r="V179" i="42"/>
  <c r="V177" i="42"/>
  <c r="V181" i="42"/>
  <c r="V173" i="42"/>
  <c r="V177" i="41"/>
  <c r="V183" i="41"/>
  <c r="V180" i="41"/>
  <c r="V175" i="41"/>
  <c r="V179" i="41"/>
  <c r="V173" i="41"/>
  <c r="V184" i="41"/>
  <c r="V181" i="41"/>
  <c r="V182" i="41"/>
  <c r="V176" i="41"/>
  <c r="V194" i="42"/>
  <c r="V190" i="42"/>
  <c r="V186" i="42"/>
  <c r="V196" i="42"/>
  <c r="V192" i="42"/>
  <c r="V188" i="42"/>
  <c r="V191" i="42"/>
  <c r="V195" i="42"/>
  <c r="V187" i="42"/>
  <c r="V193" i="42"/>
  <c r="V185" i="42"/>
  <c r="V189" i="42"/>
  <c r="V189" i="41"/>
  <c r="V206" i="42"/>
  <c r="V202" i="42"/>
  <c r="V198" i="42"/>
  <c r="V208" i="42"/>
  <c r="V204" i="42"/>
  <c r="V200" i="42"/>
  <c r="V207" i="42"/>
  <c r="V199" i="42"/>
  <c r="V203" i="42"/>
  <c r="V197" i="42"/>
  <c r="V201" i="42"/>
  <c r="V205" i="42"/>
  <c r="V218" i="42"/>
  <c r="V214" i="42"/>
  <c r="V210" i="42"/>
  <c r="V220" i="42"/>
  <c r="V216" i="42"/>
  <c r="V212" i="42"/>
  <c r="V215" i="42"/>
  <c r="V219" i="42"/>
  <c r="V211" i="42"/>
  <c r="V209" i="42"/>
  <c r="V213" i="42"/>
  <c r="V217" i="42"/>
  <c r="V230" i="42"/>
  <c r="V226" i="42"/>
  <c r="V222" i="42"/>
  <c r="V232" i="42"/>
  <c r="V228" i="42"/>
  <c r="V224" i="42"/>
  <c r="V231" i="42"/>
  <c r="V223" i="42"/>
  <c r="V227" i="42"/>
  <c r="V225" i="42"/>
  <c r="V229" i="42"/>
  <c r="V221" i="42"/>
  <c r="V242" i="42"/>
  <c r="V238" i="42"/>
  <c r="V234" i="42"/>
  <c r="V244" i="42"/>
  <c r="V240" i="42"/>
  <c r="V236" i="42"/>
  <c r="V239" i="42"/>
  <c r="V243" i="42"/>
  <c r="V235" i="42"/>
  <c r="V241" i="42"/>
  <c r="V233" i="42"/>
  <c r="V237" i="42"/>
  <c r="V254" i="42"/>
  <c r="V250" i="42"/>
  <c r="V246" i="42"/>
  <c r="V256" i="42"/>
  <c r="V252" i="42"/>
  <c r="V248" i="42"/>
  <c r="V255" i="42"/>
  <c r="V247" i="42"/>
  <c r="V251" i="42"/>
  <c r="V245" i="42"/>
  <c r="V249" i="42"/>
  <c r="V253" i="42"/>
  <c r="V266" i="42"/>
  <c r="V262" i="42"/>
  <c r="V258" i="42"/>
  <c r="V268" i="42"/>
  <c r="V264" i="42"/>
  <c r="V260" i="42"/>
  <c r="V263" i="42"/>
  <c r="V267" i="42"/>
  <c r="V259" i="42"/>
  <c r="V257" i="42"/>
  <c r="V261" i="42"/>
  <c r="V265" i="42"/>
  <c r="W52" i="42"/>
  <c r="AM52" i="42" s="1"/>
  <c r="AO52" i="42" s="1"/>
  <c r="AP52" i="42" s="1"/>
  <c r="W49" i="42"/>
  <c r="W45" i="42"/>
  <c r="AM45" i="42" s="1"/>
  <c r="AO45" i="42" s="1"/>
  <c r="AP45" i="42" s="1"/>
  <c r="W50" i="42"/>
  <c r="AM50" i="42" s="1"/>
  <c r="AO50" i="42" s="1"/>
  <c r="AP50" i="42" s="1"/>
  <c r="W48" i="42"/>
  <c r="AM48" i="42" s="1"/>
  <c r="AO48" i="42" s="1"/>
  <c r="AP48" i="42" s="1"/>
  <c r="W46" i="42"/>
  <c r="AM46" i="42" s="1"/>
  <c r="AO46" i="42" s="1"/>
  <c r="AP46" i="42" s="1"/>
  <c r="W41" i="42"/>
  <c r="W47" i="42"/>
  <c r="AM47" i="42" s="1"/>
  <c r="AO47" i="42" s="1"/>
  <c r="AP47" i="42" s="1"/>
  <c r="W44" i="42"/>
  <c r="AM44" i="42" s="1"/>
  <c r="AO44" i="42" s="1"/>
  <c r="AP44" i="42" s="1"/>
  <c r="W42" i="42"/>
  <c r="AM42" i="42" s="1"/>
  <c r="AO42" i="42" s="1"/>
  <c r="AP42" i="42" s="1"/>
  <c r="W51" i="42"/>
  <c r="AM51" i="42" s="1"/>
  <c r="AO51" i="42" s="1"/>
  <c r="AP51" i="42" s="1"/>
  <c r="W43" i="42"/>
  <c r="AM43" i="42" s="1"/>
  <c r="AO43" i="42" s="1"/>
  <c r="AP43" i="42" s="1"/>
  <c r="W47" i="41"/>
  <c r="AM47" i="41" s="1"/>
  <c r="AO47" i="41" s="1"/>
  <c r="AP47" i="41" s="1"/>
  <c r="W51" i="41"/>
  <c r="AM51" i="41" s="1"/>
  <c r="AO51" i="41" s="1"/>
  <c r="AP51" i="41" s="1"/>
  <c r="W50" i="41"/>
  <c r="AM50" i="41" s="1"/>
  <c r="AO50" i="41" s="1"/>
  <c r="AP50" i="41" s="1"/>
  <c r="W44" i="41"/>
  <c r="AM44" i="41" s="1"/>
  <c r="AO44" i="41" s="1"/>
  <c r="AP44" i="41" s="1"/>
  <c r="W45" i="41"/>
  <c r="AM45" i="41" s="1"/>
  <c r="AO45" i="41" s="1"/>
  <c r="AP45" i="41" s="1"/>
  <c r="W41" i="41"/>
  <c r="AM41" i="41" s="1"/>
  <c r="W43" i="41"/>
  <c r="AM43" i="41" s="1"/>
  <c r="AO43" i="41" s="1"/>
  <c r="AP43" i="41" s="1"/>
  <c r="W52" i="41"/>
  <c r="W49" i="41"/>
  <c r="AM49" i="41" s="1"/>
  <c r="AO49" i="41" s="1"/>
  <c r="AP49" i="41" s="1"/>
  <c r="W46" i="41"/>
  <c r="AM46" i="41" s="1"/>
  <c r="AO46" i="41" s="1"/>
  <c r="AP46" i="41" s="1"/>
  <c r="W48" i="41"/>
  <c r="AM48" i="41" s="1"/>
  <c r="AO48" i="41" s="1"/>
  <c r="AP48" i="41" s="1"/>
  <c r="W42" i="41"/>
  <c r="AM42" i="41" s="1"/>
  <c r="AO42" i="41" s="1"/>
  <c r="AP42" i="41" s="1"/>
  <c r="W52" i="40"/>
  <c r="AM52" i="40" s="1"/>
  <c r="AO52" i="40" s="1"/>
  <c r="AP52" i="40" s="1"/>
  <c r="W51" i="40"/>
  <c r="AM51" i="40" s="1"/>
  <c r="AO51" i="40" s="1"/>
  <c r="AP51" i="40" s="1"/>
  <c r="W44" i="40"/>
  <c r="AM44" i="40" s="1"/>
  <c r="AO44" i="40" s="1"/>
  <c r="AP44" i="40" s="1"/>
  <c r="W43" i="40"/>
  <c r="AM43" i="40" s="1"/>
  <c r="AO43" i="40" s="1"/>
  <c r="AP43" i="40" s="1"/>
  <c r="W46" i="40"/>
  <c r="AM46" i="40" s="1"/>
  <c r="AO46" i="40" s="1"/>
  <c r="AP46" i="40" s="1"/>
  <c r="W45" i="40"/>
  <c r="W42" i="40"/>
  <c r="AM42" i="40" s="1"/>
  <c r="AO42" i="40" s="1"/>
  <c r="AP42" i="40" s="1"/>
  <c r="W41" i="40"/>
  <c r="W48" i="40"/>
  <c r="AM48" i="40" s="1"/>
  <c r="AO48" i="40" s="1"/>
  <c r="AP48" i="40" s="1"/>
  <c r="W49" i="40"/>
  <c r="AM49" i="40" s="1"/>
  <c r="AO49" i="40" s="1"/>
  <c r="AP49" i="40" s="1"/>
  <c r="W47" i="40"/>
  <c r="AM47" i="40" s="1"/>
  <c r="AO47" i="40" s="1"/>
  <c r="AP47" i="40" s="1"/>
  <c r="W50" i="40"/>
  <c r="AM50" i="40" s="1"/>
  <c r="AO50" i="40" s="1"/>
  <c r="AP50" i="40" s="1"/>
  <c r="X49" i="42"/>
  <c r="X50" i="42"/>
  <c r="X46" i="42"/>
  <c r="X42" i="42"/>
  <c r="X44" i="42"/>
  <c r="X51" i="42"/>
  <c r="X45" i="42"/>
  <c r="X43" i="42"/>
  <c r="X52" i="42"/>
  <c r="X47" i="42"/>
  <c r="X48" i="42"/>
  <c r="X41" i="42"/>
  <c r="X52" i="41"/>
  <c r="X41" i="41"/>
  <c r="X48" i="41"/>
  <c r="X43" i="41"/>
  <c r="X49" i="41"/>
  <c r="X42" i="41"/>
  <c r="X47" i="41"/>
  <c r="X46" i="41"/>
  <c r="X50" i="41"/>
  <c r="X51" i="41"/>
  <c r="X44" i="41"/>
  <c r="X45" i="41"/>
  <c r="X41" i="40"/>
  <c r="X49" i="40"/>
  <c r="X46" i="40"/>
  <c r="X48" i="40"/>
  <c r="X45" i="40"/>
  <c r="X47" i="40"/>
  <c r="X42" i="40"/>
  <c r="X51" i="40"/>
  <c r="X44" i="40"/>
  <c r="X43" i="40"/>
  <c r="X50" i="40"/>
  <c r="X52" i="40"/>
  <c r="X97" i="42"/>
  <c r="X99" i="42"/>
  <c r="X93" i="42"/>
  <c r="X89" i="42"/>
  <c r="X94" i="42"/>
  <c r="X90" i="42"/>
  <c r="X98" i="42"/>
  <c r="X95" i="42"/>
  <c r="X91" i="42"/>
  <c r="X92" i="42"/>
  <c r="X100" i="42"/>
  <c r="X96" i="42"/>
  <c r="X97" i="41"/>
  <c r="X94" i="41"/>
  <c r="X98" i="41"/>
  <c r="X100" i="41"/>
  <c r="X95" i="41"/>
  <c r="X99" i="41"/>
  <c r="X93" i="41"/>
  <c r="X92" i="41"/>
  <c r="X90" i="41"/>
  <c r="X96" i="41"/>
  <c r="X89" i="41"/>
  <c r="X91" i="41"/>
  <c r="X97" i="40"/>
  <c r="X99" i="40"/>
  <c r="X96" i="40"/>
  <c r="X89" i="40"/>
  <c r="X92" i="40"/>
  <c r="X95" i="40"/>
  <c r="X94" i="40"/>
  <c r="X91" i="40"/>
  <c r="X98" i="40"/>
  <c r="X100" i="40"/>
  <c r="X90" i="40"/>
  <c r="X93" i="40"/>
  <c r="X145" i="42"/>
  <c r="X141" i="42"/>
  <c r="X137" i="42"/>
  <c r="X147" i="42"/>
  <c r="X143" i="42"/>
  <c r="X139" i="42"/>
  <c r="X142" i="42"/>
  <c r="X144" i="42"/>
  <c r="X146" i="42"/>
  <c r="X138" i="42"/>
  <c r="X140" i="42"/>
  <c r="X148" i="42"/>
  <c r="X147" i="41"/>
  <c r="X141" i="41"/>
  <c r="X140" i="41"/>
  <c r="X138" i="41"/>
  <c r="X146" i="41"/>
  <c r="X145" i="41"/>
  <c r="X142" i="41"/>
  <c r="X139" i="41"/>
  <c r="X143" i="41"/>
  <c r="X144" i="41"/>
  <c r="X137" i="41"/>
  <c r="X148" i="41"/>
  <c r="X144" i="40"/>
  <c r="X137" i="40"/>
  <c r="X138" i="40"/>
  <c r="X147" i="40"/>
  <c r="X141" i="40"/>
  <c r="X146" i="40"/>
  <c r="X145" i="40"/>
  <c r="X139" i="40"/>
  <c r="X140" i="40"/>
  <c r="X148" i="40"/>
  <c r="G13" i="29"/>
  <c r="C29" i="29"/>
  <c r="F40" i="29"/>
  <c r="G42" i="29"/>
  <c r="I17" i="29"/>
  <c r="G17" i="29" s="1"/>
  <c r="F43" i="29"/>
  <c r="C46" i="29"/>
  <c r="G51" i="29"/>
  <c r="C71" i="29"/>
  <c r="K27" i="29"/>
  <c r="B28" i="29"/>
  <c r="C79" i="29"/>
  <c r="C99" i="29"/>
  <c r="D24" i="29"/>
  <c r="C24" i="29" s="1"/>
  <c r="G24" i="6"/>
  <c r="X142" i="40"/>
  <c r="X173" i="41"/>
  <c r="V174" i="41"/>
  <c r="X182" i="41"/>
  <c r="K17" i="39"/>
  <c r="V75" i="42"/>
  <c r="V71" i="42"/>
  <c r="V67" i="42"/>
  <c r="V76" i="42"/>
  <c r="V72" i="42"/>
  <c r="V68" i="42"/>
  <c r="V69" i="42"/>
  <c r="V73" i="42"/>
  <c r="V65" i="42"/>
  <c r="V74" i="42"/>
  <c r="V66" i="42"/>
  <c r="V70" i="42"/>
  <c r="V69" i="41"/>
  <c r="V65" i="41"/>
  <c r="V74" i="41"/>
  <c r="V71" i="41"/>
  <c r="V76" i="41"/>
  <c r="V70" i="41"/>
  <c r="V73" i="41"/>
  <c r="V75" i="41"/>
  <c r="V68" i="41"/>
  <c r="V66" i="41"/>
  <c r="V72" i="41"/>
  <c r="V67" i="41"/>
  <c r="V67" i="40"/>
  <c r="V75" i="40"/>
  <c r="V65" i="40"/>
  <c r="V71" i="40"/>
  <c r="V73" i="40"/>
  <c r="V72" i="40"/>
  <c r="V70" i="40"/>
  <c r="V76" i="40"/>
  <c r="V69" i="40"/>
  <c r="V74" i="40"/>
  <c r="V68" i="40"/>
  <c r="V66" i="40"/>
  <c r="V120" i="40"/>
  <c r="V124" i="40"/>
  <c r="V116" i="40"/>
  <c r="V123" i="40"/>
  <c r="V113" i="40"/>
  <c r="V122" i="40"/>
  <c r="V117" i="40"/>
  <c r="V119" i="40"/>
  <c r="V115" i="40"/>
  <c r="V121" i="40"/>
  <c r="V114" i="40"/>
  <c r="V118" i="40"/>
  <c r="V147" i="42"/>
  <c r="V143" i="42"/>
  <c r="V139" i="42"/>
  <c r="V145" i="42"/>
  <c r="V141" i="42"/>
  <c r="V137" i="42"/>
  <c r="V148" i="42"/>
  <c r="V140" i="42"/>
  <c r="V142" i="42"/>
  <c r="V144" i="42"/>
  <c r="V146" i="42"/>
  <c r="V138" i="42"/>
  <c r="V141" i="41"/>
  <c r="V147" i="41"/>
  <c r="V140" i="41"/>
  <c r="V137" i="41"/>
  <c r="V148" i="41"/>
  <c r="V139" i="41"/>
  <c r="V143" i="41"/>
  <c r="V144" i="41"/>
  <c r="V145" i="41"/>
  <c r="V138" i="41"/>
  <c r="V146" i="41"/>
  <c r="V142" i="41"/>
  <c r="V138" i="40"/>
  <c r="V144" i="40"/>
  <c r="V137" i="40"/>
  <c r="V145" i="40"/>
  <c r="V143" i="40"/>
  <c r="V148" i="40"/>
  <c r="V142" i="40"/>
  <c r="V147" i="40"/>
  <c r="V146" i="40"/>
  <c r="X160" i="42"/>
  <c r="X156" i="42"/>
  <c r="X158" i="42"/>
  <c r="X153" i="42"/>
  <c r="X149" i="42"/>
  <c r="X157" i="42"/>
  <c r="X155" i="42"/>
  <c r="X151" i="42"/>
  <c r="X150" i="42"/>
  <c r="X159" i="42"/>
  <c r="X152" i="42"/>
  <c r="X154" i="42"/>
  <c r="X153" i="41"/>
  <c r="X159" i="41"/>
  <c r="X154" i="41"/>
  <c r="X152" i="41"/>
  <c r="X155" i="41"/>
  <c r="X150" i="41"/>
  <c r="X157" i="41"/>
  <c r="X151" i="41"/>
  <c r="X156" i="41"/>
  <c r="X149" i="41"/>
  <c r="X160" i="41"/>
  <c r="X158" i="41"/>
  <c r="X156" i="40"/>
  <c r="X150" i="40"/>
  <c r="C40" i="29"/>
  <c r="D15" i="29"/>
  <c r="F15" i="29" s="1"/>
  <c r="G64" i="29"/>
  <c r="I14" i="29"/>
  <c r="G14" i="29" s="1"/>
  <c r="K13" i="29"/>
  <c r="P13" i="27"/>
  <c r="Q13" i="27" s="1"/>
  <c r="J20" i="3"/>
  <c r="W64" i="42"/>
  <c r="W60" i="42"/>
  <c r="AM60" i="42" s="1"/>
  <c r="AO60" i="42" s="1"/>
  <c r="AP60" i="42" s="1"/>
  <c r="W56" i="42"/>
  <c r="AM56" i="42" s="1"/>
  <c r="AO56" i="42" s="1"/>
  <c r="AP56" i="42" s="1"/>
  <c r="W61" i="42"/>
  <c r="W57" i="42"/>
  <c r="AM57" i="42" s="1"/>
  <c r="AO57" i="42" s="1"/>
  <c r="AP57" i="42" s="1"/>
  <c r="W53" i="42"/>
  <c r="W58" i="42"/>
  <c r="AM58" i="42" s="1"/>
  <c r="AO58" i="42" s="1"/>
  <c r="AP58" i="42" s="1"/>
  <c r="W62" i="42"/>
  <c r="AM62" i="42" s="1"/>
  <c r="AO62" i="42" s="1"/>
  <c r="AP62" i="42" s="1"/>
  <c r="W54" i="42"/>
  <c r="W63" i="42"/>
  <c r="AM63" i="42" s="1"/>
  <c r="AO63" i="42" s="1"/>
  <c r="AP63" i="42" s="1"/>
  <c r="W55" i="42"/>
  <c r="AM55" i="42" s="1"/>
  <c r="AO55" i="42" s="1"/>
  <c r="AP55" i="42" s="1"/>
  <c r="W59" i="42"/>
  <c r="AM59" i="42" s="1"/>
  <c r="AO59" i="42" s="1"/>
  <c r="AP59" i="42" s="1"/>
  <c r="W53" i="41"/>
  <c r="AM53" i="41" s="1"/>
  <c r="W57" i="41"/>
  <c r="AM57" i="41" s="1"/>
  <c r="AO57" i="41" s="1"/>
  <c r="AP57" i="41" s="1"/>
  <c r="W63" i="41"/>
  <c r="AM63" i="41" s="1"/>
  <c r="AO63" i="41" s="1"/>
  <c r="AP63" i="41" s="1"/>
  <c r="W54" i="41"/>
  <c r="AM54" i="41" s="1"/>
  <c r="AO54" i="41" s="1"/>
  <c r="AP54" i="41" s="1"/>
  <c r="W59" i="41"/>
  <c r="AM59" i="41" s="1"/>
  <c r="AO59" i="41" s="1"/>
  <c r="AP59" i="41" s="1"/>
  <c r="W64" i="41"/>
  <c r="AM64" i="41" s="1"/>
  <c r="AO64" i="41" s="1"/>
  <c r="AP64" i="41" s="1"/>
  <c r="W58" i="41"/>
  <c r="AM58" i="41" s="1"/>
  <c r="AO58" i="41" s="1"/>
  <c r="AP58" i="41" s="1"/>
  <c r="W56" i="41"/>
  <c r="AM56" i="41" s="1"/>
  <c r="AO56" i="41" s="1"/>
  <c r="AP56" i="41" s="1"/>
  <c r="W61" i="41"/>
  <c r="AM61" i="41" s="1"/>
  <c r="AO61" i="41" s="1"/>
  <c r="AP61" i="41" s="1"/>
  <c r="W62" i="41"/>
  <c r="AM62" i="41" s="1"/>
  <c r="AO62" i="41" s="1"/>
  <c r="AP62" i="41" s="1"/>
  <c r="W55" i="41"/>
  <c r="AM55" i="41" s="1"/>
  <c r="AO55" i="41" s="1"/>
  <c r="AP55" i="41" s="1"/>
  <c r="W60" i="41"/>
  <c r="AM60" i="41" s="1"/>
  <c r="AO60" i="41" s="1"/>
  <c r="AP60" i="41" s="1"/>
  <c r="W63" i="40"/>
  <c r="AM63" i="40" s="1"/>
  <c r="AO63" i="40" s="1"/>
  <c r="AP63" i="40" s="1"/>
  <c r="W53" i="40"/>
  <c r="AM53" i="40" s="1"/>
  <c r="W60" i="40"/>
  <c r="AM60" i="40" s="1"/>
  <c r="AO60" i="40" s="1"/>
  <c r="AP60" i="40" s="1"/>
  <c r="W56" i="40"/>
  <c r="W54" i="40"/>
  <c r="AM54" i="40" s="1"/>
  <c r="AO54" i="40" s="1"/>
  <c r="AP54" i="40" s="1"/>
  <c r="W62" i="40"/>
  <c r="W58" i="40"/>
  <c r="AM58" i="40" s="1"/>
  <c r="AO58" i="40" s="1"/>
  <c r="AP58" i="40" s="1"/>
  <c r="W61" i="40"/>
  <c r="AM61" i="40" s="1"/>
  <c r="AO61" i="40" s="1"/>
  <c r="AP61" i="40" s="1"/>
  <c r="W55" i="40"/>
  <c r="W64" i="40"/>
  <c r="W59" i="40"/>
  <c r="AM59" i="40" s="1"/>
  <c r="AO59" i="40" s="1"/>
  <c r="AP59" i="40" s="1"/>
  <c r="W57" i="40"/>
  <c r="X61" i="42"/>
  <c r="X57" i="42"/>
  <c r="X53" i="42"/>
  <c r="X62" i="42"/>
  <c r="X58" i="42"/>
  <c r="X54" i="42"/>
  <c r="X63" i="42"/>
  <c r="X55" i="42"/>
  <c r="X59" i="42"/>
  <c r="X60" i="42"/>
  <c r="X56" i="42"/>
  <c r="X64" i="42"/>
  <c r="X57" i="41"/>
  <c r="X53" i="41"/>
  <c r="X64" i="41"/>
  <c r="X58" i="41"/>
  <c r="X56" i="41"/>
  <c r="X61" i="41"/>
  <c r="X60" i="41"/>
  <c r="X62" i="41"/>
  <c r="X55" i="41"/>
  <c r="X59" i="41"/>
  <c r="X63" i="41"/>
  <c r="X54" i="41"/>
  <c r="X59" i="40"/>
  <c r="X61" i="40"/>
  <c r="X64" i="40"/>
  <c r="X54" i="40"/>
  <c r="X58" i="40"/>
  <c r="X55" i="40"/>
  <c r="X56" i="40"/>
  <c r="X57" i="40"/>
  <c r="X53" i="40"/>
  <c r="X60" i="40"/>
  <c r="X62" i="40"/>
  <c r="X63" i="40"/>
  <c r="X133" i="42"/>
  <c r="X129" i="42"/>
  <c r="X125" i="42"/>
  <c r="X135" i="42"/>
  <c r="X131" i="42"/>
  <c r="X127" i="42"/>
  <c r="X134" i="42"/>
  <c r="X126" i="42"/>
  <c r="X136" i="42"/>
  <c r="X128" i="42"/>
  <c r="X130" i="42"/>
  <c r="X132" i="42"/>
  <c r="X135" i="41"/>
  <c r="X129" i="41"/>
  <c r="X125" i="41"/>
  <c r="X130" i="41"/>
  <c r="X128" i="41"/>
  <c r="X134" i="41"/>
  <c r="X136" i="41"/>
  <c r="X132" i="41"/>
  <c r="X126" i="41"/>
  <c r="X133" i="41"/>
  <c r="X131" i="41"/>
  <c r="X127" i="41"/>
  <c r="X125" i="40"/>
  <c r="X126" i="40"/>
  <c r="X132" i="40"/>
  <c r="X127" i="40"/>
  <c r="X128" i="40"/>
  <c r="X133" i="40"/>
  <c r="X136" i="40"/>
  <c r="X131" i="40"/>
  <c r="X130" i="40"/>
  <c r="X134" i="40"/>
  <c r="X129" i="40"/>
  <c r="X135" i="40"/>
  <c r="X176" i="41"/>
  <c r="C36" i="29"/>
  <c r="D11" i="29"/>
  <c r="C11" i="29" s="1"/>
  <c r="F63" i="29"/>
  <c r="J17" i="29"/>
  <c r="N17" i="29"/>
  <c r="J25" i="29"/>
  <c r="N25" i="29"/>
  <c r="M26" i="29"/>
  <c r="L27" i="29"/>
  <c r="K14" i="29"/>
  <c r="B15" i="29"/>
  <c r="G96" i="29"/>
  <c r="L11" i="1"/>
  <c r="E17" i="7"/>
  <c r="I16" i="7"/>
  <c r="E16" i="7"/>
  <c r="E33" i="7"/>
  <c r="I27" i="4"/>
  <c r="D28" i="4"/>
  <c r="D19" i="4"/>
  <c r="D17" i="4"/>
  <c r="D14" i="4"/>
  <c r="D30" i="4"/>
  <c r="D26" i="4"/>
  <c r="D22" i="4"/>
  <c r="D16" i="4"/>
  <c r="X149" i="40"/>
  <c r="V139" i="40"/>
  <c r="V178" i="41"/>
  <c r="V99" i="42"/>
  <c r="V100" i="42"/>
  <c r="V98" i="42"/>
  <c r="V95" i="42"/>
  <c r="V91" i="42"/>
  <c r="V96" i="42"/>
  <c r="V92" i="42"/>
  <c r="V93" i="42"/>
  <c r="V97" i="42"/>
  <c r="V89" i="42"/>
  <c r="V90" i="42"/>
  <c r="V94" i="42"/>
  <c r="V99" i="41"/>
  <c r="V92" i="41"/>
  <c r="V93" i="41"/>
  <c r="V90" i="41"/>
  <c r="V89" i="41"/>
  <c r="V94" i="41"/>
  <c r="V96" i="41"/>
  <c r="V95" i="41"/>
  <c r="V91" i="41"/>
  <c r="V98" i="41"/>
  <c r="V100" i="41"/>
  <c r="V97" i="41"/>
  <c r="V91" i="40"/>
  <c r="V98" i="40"/>
  <c r="V100" i="40"/>
  <c r="V89" i="40"/>
  <c r="V97" i="40"/>
  <c r="V99" i="40"/>
  <c r="V93" i="40"/>
  <c r="V92" i="40"/>
  <c r="V96" i="40"/>
  <c r="V90" i="40"/>
  <c r="V95" i="40"/>
  <c r="V94" i="40"/>
  <c r="V111" i="42"/>
  <c r="V107" i="42"/>
  <c r="V103" i="42"/>
  <c r="V109" i="42"/>
  <c r="V105" i="42"/>
  <c r="V101" i="42"/>
  <c r="V108" i="42"/>
  <c r="V110" i="42"/>
  <c r="V102" i="42"/>
  <c r="V104" i="42"/>
  <c r="V112" i="42"/>
  <c r="V106" i="42"/>
  <c r="V105" i="41"/>
  <c r="V111" i="41"/>
  <c r="V104" i="41"/>
  <c r="V106" i="41"/>
  <c r="V108" i="41"/>
  <c r="V101" i="41"/>
  <c r="V109" i="41"/>
  <c r="V110" i="41"/>
  <c r="V112" i="41"/>
  <c r="V107" i="41"/>
  <c r="V103" i="41"/>
  <c r="V102" i="41"/>
  <c r="V112" i="40"/>
  <c r="V101" i="40"/>
  <c r="V110" i="40"/>
  <c r="V111" i="40"/>
  <c r="V109" i="40"/>
  <c r="V106" i="40"/>
  <c r="V103" i="40"/>
  <c r="V102" i="40"/>
  <c r="V107" i="40"/>
  <c r="V105" i="40"/>
  <c r="V104" i="40"/>
  <c r="V108" i="40"/>
  <c r="H18" i="6"/>
  <c r="C17" i="6"/>
  <c r="V140" i="40"/>
  <c r="AD233" i="42"/>
  <c r="AE233" i="42" s="1"/>
  <c r="V51" i="42"/>
  <c r="V52" i="42"/>
  <c r="V48" i="42"/>
  <c r="V44" i="42"/>
  <c r="V43" i="42"/>
  <c r="V49" i="42"/>
  <c r="V42" i="42"/>
  <c r="V41" i="42"/>
  <c r="V50" i="42"/>
  <c r="V46" i="42"/>
  <c r="V47" i="42"/>
  <c r="V45" i="42"/>
  <c r="V47" i="41"/>
  <c r="V41" i="41"/>
  <c r="V48" i="41"/>
  <c r="V43" i="41"/>
  <c r="V49" i="41"/>
  <c r="V42" i="41"/>
  <c r="V46" i="41"/>
  <c r="V50" i="41"/>
  <c r="V51" i="41"/>
  <c r="V44" i="41"/>
  <c r="V45" i="41"/>
  <c r="V52" i="41"/>
  <c r="V49" i="40"/>
  <c r="V46" i="40"/>
  <c r="V52" i="40"/>
  <c r="V51" i="40"/>
  <c r="V42" i="40"/>
  <c r="V47" i="40"/>
  <c r="V41" i="40"/>
  <c r="V48" i="40"/>
  <c r="V50" i="40"/>
  <c r="V44" i="40"/>
  <c r="V43" i="40"/>
  <c r="V45" i="40"/>
  <c r="E22" i="39"/>
  <c r="K24" i="39"/>
  <c r="M24" i="39" s="1"/>
  <c r="W76" i="42"/>
  <c r="AM76" i="42" s="1"/>
  <c r="AO76" i="42" s="1"/>
  <c r="AP76" i="42" s="1"/>
  <c r="W72" i="42"/>
  <c r="AM72" i="42" s="1"/>
  <c r="AO72" i="42" s="1"/>
  <c r="AP72" i="42" s="1"/>
  <c r="W68" i="42"/>
  <c r="W73" i="42"/>
  <c r="AM73" i="42" s="1"/>
  <c r="AO73" i="42" s="1"/>
  <c r="AP73" i="42" s="1"/>
  <c r="W69" i="42"/>
  <c r="AM69" i="42" s="1"/>
  <c r="AO69" i="42" s="1"/>
  <c r="AP69" i="42" s="1"/>
  <c r="W65" i="42"/>
  <c r="W74" i="42"/>
  <c r="AM74" i="42" s="1"/>
  <c r="AO74" i="42" s="1"/>
  <c r="AP74" i="42" s="1"/>
  <c r="W66" i="42"/>
  <c r="AM66" i="42" s="1"/>
  <c r="AO66" i="42" s="1"/>
  <c r="AP66" i="42" s="1"/>
  <c r="W70" i="42"/>
  <c r="W71" i="42"/>
  <c r="AM71" i="42" s="1"/>
  <c r="AO71" i="42" s="1"/>
  <c r="AP71" i="42" s="1"/>
  <c r="W67" i="42"/>
  <c r="W75" i="42"/>
  <c r="AM75" i="42" s="1"/>
  <c r="AO75" i="42" s="1"/>
  <c r="AP75" i="42" s="1"/>
  <c r="W69" i="41"/>
  <c r="AM69" i="41" s="1"/>
  <c r="AO69" i="41" s="1"/>
  <c r="AP69" i="41" s="1"/>
  <c r="W71" i="41"/>
  <c r="AM71" i="41" s="1"/>
  <c r="AO71" i="41" s="1"/>
  <c r="AP71" i="41" s="1"/>
  <c r="W70" i="41"/>
  <c r="W73" i="41"/>
  <c r="AM73" i="41" s="1"/>
  <c r="AO73" i="41" s="1"/>
  <c r="AP73" i="41" s="1"/>
  <c r="W72" i="41"/>
  <c r="AM72" i="41" s="1"/>
  <c r="AO72" i="41" s="1"/>
  <c r="AP72" i="41" s="1"/>
  <c r="W74" i="41"/>
  <c r="AM74" i="41" s="1"/>
  <c r="AO74" i="41" s="1"/>
  <c r="AP74" i="41" s="1"/>
  <c r="W66" i="41"/>
  <c r="AM66" i="41" s="1"/>
  <c r="AO66" i="41" s="1"/>
  <c r="AP66" i="41" s="1"/>
  <c r="W76" i="41"/>
  <c r="AM76" i="41" s="1"/>
  <c r="AO76" i="41" s="1"/>
  <c r="AP76" i="41" s="1"/>
  <c r="W68" i="41"/>
  <c r="AM68" i="41" s="1"/>
  <c r="AO68" i="41" s="1"/>
  <c r="AP68" i="41" s="1"/>
  <c r="W67" i="41"/>
  <c r="AM67" i="41" s="1"/>
  <c r="AO67" i="41" s="1"/>
  <c r="AP67" i="41" s="1"/>
  <c r="W65" i="41"/>
  <c r="AM65" i="41" s="1"/>
  <c r="W75" i="41"/>
  <c r="AM75" i="41" s="1"/>
  <c r="AO75" i="41" s="1"/>
  <c r="AP75" i="41" s="1"/>
  <c r="W66" i="40"/>
  <c r="W71" i="40"/>
  <c r="AM71" i="40" s="1"/>
  <c r="AO71" i="40" s="1"/>
  <c r="AP71" i="40" s="1"/>
  <c r="W76" i="40"/>
  <c r="AM76" i="40" s="1"/>
  <c r="AO76" i="40" s="1"/>
  <c r="AP76" i="40" s="1"/>
  <c r="W73" i="40"/>
  <c r="AM73" i="40" s="1"/>
  <c r="AO73" i="40" s="1"/>
  <c r="AP73" i="40" s="1"/>
  <c r="W68" i="40"/>
  <c r="AM68" i="40" s="1"/>
  <c r="AO68" i="40" s="1"/>
  <c r="AP68" i="40" s="1"/>
  <c r="W72" i="40"/>
  <c r="AM72" i="40" s="1"/>
  <c r="AO72" i="40" s="1"/>
  <c r="AP72" i="40" s="1"/>
  <c r="W75" i="40"/>
  <c r="W69" i="40"/>
  <c r="AM69" i="40" s="1"/>
  <c r="AO69" i="40" s="1"/>
  <c r="AP69" i="40" s="1"/>
  <c r="W74" i="40"/>
  <c r="AM74" i="40" s="1"/>
  <c r="AO74" i="40" s="1"/>
  <c r="AP74" i="40" s="1"/>
  <c r="W67" i="40"/>
  <c r="AM67" i="40" s="1"/>
  <c r="AO67" i="40" s="1"/>
  <c r="AP67" i="40" s="1"/>
  <c r="W65" i="40"/>
  <c r="W70" i="40"/>
  <c r="AM70" i="40" s="1"/>
  <c r="AO70" i="40" s="1"/>
  <c r="AP70" i="40" s="1"/>
  <c r="W88" i="42"/>
  <c r="AM88" i="42" s="1"/>
  <c r="AO88" i="42" s="1"/>
  <c r="AP88" i="42" s="1"/>
  <c r="W84" i="42"/>
  <c r="AM84" i="42" s="1"/>
  <c r="AO84" i="42" s="1"/>
  <c r="AP84" i="42" s="1"/>
  <c r="W80" i="42"/>
  <c r="AM80" i="42" s="1"/>
  <c r="AO80" i="42" s="1"/>
  <c r="AP80" i="42" s="1"/>
  <c r="W85" i="42"/>
  <c r="AM85" i="42" s="1"/>
  <c r="AO85" i="42" s="1"/>
  <c r="AP85" i="42" s="1"/>
  <c r="W81" i="42"/>
  <c r="AM81" i="42" s="1"/>
  <c r="AO81" i="42" s="1"/>
  <c r="AP81" i="42" s="1"/>
  <c r="W77" i="42"/>
  <c r="W82" i="42"/>
  <c r="AM82" i="42" s="1"/>
  <c r="AO82" i="42" s="1"/>
  <c r="AP82" i="42" s="1"/>
  <c r="W86" i="42"/>
  <c r="AM86" i="42" s="1"/>
  <c r="AO86" i="42" s="1"/>
  <c r="AP86" i="42" s="1"/>
  <c r="W78" i="42"/>
  <c r="AM78" i="42" s="1"/>
  <c r="AO78" i="42" s="1"/>
  <c r="AP78" i="42" s="1"/>
  <c r="W79" i="42"/>
  <c r="AM79" i="42" s="1"/>
  <c r="AO79" i="42" s="1"/>
  <c r="AP79" i="42" s="1"/>
  <c r="W87" i="42"/>
  <c r="AM87" i="42" s="1"/>
  <c r="AO87" i="42" s="1"/>
  <c r="AP87" i="42" s="1"/>
  <c r="W83" i="42"/>
  <c r="AM83" i="42" s="1"/>
  <c r="AO83" i="42" s="1"/>
  <c r="AP83" i="42" s="1"/>
  <c r="W77" i="41"/>
  <c r="AM77" i="41" s="1"/>
  <c r="W85" i="41"/>
  <c r="AM85" i="41" s="1"/>
  <c r="AO85" i="41" s="1"/>
  <c r="AP85" i="41" s="1"/>
  <c r="W81" i="41"/>
  <c r="AM81" i="41" s="1"/>
  <c r="AO81" i="41" s="1"/>
  <c r="AP81" i="41" s="1"/>
  <c r="W79" i="41"/>
  <c r="W78" i="41"/>
  <c r="AM78" i="41" s="1"/>
  <c r="AO78" i="41" s="1"/>
  <c r="AP78" i="41" s="1"/>
  <c r="W84" i="41"/>
  <c r="AM84" i="41" s="1"/>
  <c r="AO84" i="41" s="1"/>
  <c r="AP84" i="41" s="1"/>
  <c r="W86" i="41"/>
  <c r="W82" i="41"/>
  <c r="AM82" i="41" s="1"/>
  <c r="AO82" i="41" s="1"/>
  <c r="AP82" i="41" s="1"/>
  <c r="W80" i="41"/>
  <c r="AM80" i="41" s="1"/>
  <c r="AO80" i="41" s="1"/>
  <c r="AP80" i="41" s="1"/>
  <c r="W88" i="41"/>
  <c r="AM88" i="41" s="1"/>
  <c r="AO88" i="41" s="1"/>
  <c r="AP88" i="41" s="1"/>
  <c r="W83" i="41"/>
  <c r="AM83" i="41" s="1"/>
  <c r="AO83" i="41" s="1"/>
  <c r="AP83" i="41" s="1"/>
  <c r="W87" i="41"/>
  <c r="AM87" i="41" s="1"/>
  <c r="AO87" i="41" s="1"/>
  <c r="AP87" i="41" s="1"/>
  <c r="W82" i="40"/>
  <c r="AM82" i="40" s="1"/>
  <c r="AO82" i="40" s="1"/>
  <c r="AP82" i="40" s="1"/>
  <c r="W85" i="40"/>
  <c r="AM85" i="40" s="1"/>
  <c r="AO85" i="40" s="1"/>
  <c r="AP85" i="40" s="1"/>
  <c r="W79" i="40"/>
  <c r="AM79" i="40" s="1"/>
  <c r="AO79" i="40" s="1"/>
  <c r="AP79" i="40" s="1"/>
  <c r="W80" i="40"/>
  <c r="AM80" i="40" s="1"/>
  <c r="AO80" i="40" s="1"/>
  <c r="AP80" i="40" s="1"/>
  <c r="W81" i="40"/>
  <c r="AM81" i="40" s="1"/>
  <c r="AO81" i="40" s="1"/>
  <c r="AP81" i="40" s="1"/>
  <c r="W84" i="40"/>
  <c r="AM84" i="40" s="1"/>
  <c r="AO84" i="40" s="1"/>
  <c r="AP84" i="40" s="1"/>
  <c r="W88" i="40"/>
  <c r="W86" i="40"/>
  <c r="AM86" i="40" s="1"/>
  <c r="AO86" i="40" s="1"/>
  <c r="AP86" i="40" s="1"/>
  <c r="W78" i="40"/>
  <c r="AM78" i="40" s="1"/>
  <c r="AO78" i="40" s="1"/>
  <c r="AP78" i="40" s="1"/>
  <c r="W83" i="40"/>
  <c r="AM83" i="40" s="1"/>
  <c r="AO83" i="40" s="1"/>
  <c r="AP83" i="40" s="1"/>
  <c r="W87" i="40"/>
  <c r="AM87" i="40" s="1"/>
  <c r="AO87" i="40" s="1"/>
  <c r="AP87" i="40" s="1"/>
  <c r="W77" i="40"/>
  <c r="W100" i="42"/>
  <c r="AM100" i="42" s="1"/>
  <c r="AO100" i="42" s="1"/>
  <c r="AP100" i="42" s="1"/>
  <c r="W96" i="42"/>
  <c r="AM96" i="42" s="1"/>
  <c r="AO96" i="42" s="1"/>
  <c r="AP96" i="42" s="1"/>
  <c r="W92" i="42"/>
  <c r="AM92" i="42" s="1"/>
  <c r="AO92" i="42" s="1"/>
  <c r="AP92" i="42" s="1"/>
  <c r="W99" i="42"/>
  <c r="W97" i="42"/>
  <c r="AM97" i="42" s="1"/>
  <c r="AO97" i="42" s="1"/>
  <c r="AP97" i="42" s="1"/>
  <c r="W93" i="42"/>
  <c r="AM93" i="42" s="1"/>
  <c r="AO93" i="42" s="1"/>
  <c r="AP93" i="42" s="1"/>
  <c r="W89" i="42"/>
  <c r="W90" i="42"/>
  <c r="AM90" i="42" s="1"/>
  <c r="AO90" i="42" s="1"/>
  <c r="AP90" i="42" s="1"/>
  <c r="W94" i="42"/>
  <c r="AM94" i="42" s="1"/>
  <c r="AO94" i="42" s="1"/>
  <c r="AP94" i="42" s="1"/>
  <c r="W95" i="42"/>
  <c r="AM95" i="42" s="1"/>
  <c r="AO95" i="42" s="1"/>
  <c r="AP95" i="42" s="1"/>
  <c r="W98" i="42"/>
  <c r="AM98" i="42" s="1"/>
  <c r="AO98" i="42" s="1"/>
  <c r="AP98" i="42" s="1"/>
  <c r="W91" i="42"/>
  <c r="AM91" i="42" s="1"/>
  <c r="AO91" i="42" s="1"/>
  <c r="AP91" i="42" s="1"/>
  <c r="W89" i="41"/>
  <c r="AM89" i="41" s="1"/>
  <c r="W96" i="41"/>
  <c r="AM96" i="41" s="1"/>
  <c r="AO96" i="41" s="1"/>
  <c r="AP96" i="41" s="1"/>
  <c r="W95" i="41"/>
  <c r="AM95" i="41" s="1"/>
  <c r="AO95" i="41" s="1"/>
  <c r="AP95" i="41" s="1"/>
  <c r="W93" i="41"/>
  <c r="AM93" i="41" s="1"/>
  <c r="AO93" i="41" s="1"/>
  <c r="AP93" i="41" s="1"/>
  <c r="W90" i="41"/>
  <c r="AM90" i="41" s="1"/>
  <c r="AO90" i="41" s="1"/>
  <c r="AP90" i="41" s="1"/>
  <c r="W98" i="41"/>
  <c r="AM98" i="41" s="1"/>
  <c r="AO98" i="41" s="1"/>
  <c r="AP98" i="41" s="1"/>
  <c r="W100" i="41"/>
  <c r="AM100" i="41" s="1"/>
  <c r="AO100" i="41" s="1"/>
  <c r="AP100" i="41" s="1"/>
  <c r="W99" i="41"/>
  <c r="W97" i="41"/>
  <c r="AM97" i="41" s="1"/>
  <c r="AO97" i="41" s="1"/>
  <c r="AP97" i="41" s="1"/>
  <c r="W94" i="41"/>
  <c r="AM94" i="41" s="1"/>
  <c r="AO94" i="41" s="1"/>
  <c r="AP94" i="41" s="1"/>
  <c r="W91" i="41"/>
  <c r="W92" i="41"/>
  <c r="AM92" i="41" s="1"/>
  <c r="AO92" i="41" s="1"/>
  <c r="AP92" i="41" s="1"/>
  <c r="W100" i="40"/>
  <c r="W93" i="40"/>
  <c r="AM93" i="40" s="1"/>
  <c r="AO93" i="40" s="1"/>
  <c r="AP93" i="40" s="1"/>
  <c r="W94" i="40"/>
  <c r="AM94" i="40" s="1"/>
  <c r="AO94" i="40" s="1"/>
  <c r="AP94" i="40" s="1"/>
  <c r="W92" i="40"/>
  <c r="AM92" i="40" s="1"/>
  <c r="AO92" i="40" s="1"/>
  <c r="AP92" i="40" s="1"/>
  <c r="W97" i="40"/>
  <c r="W95" i="40"/>
  <c r="AM95" i="40" s="1"/>
  <c r="AO95" i="40" s="1"/>
  <c r="AP95" i="40" s="1"/>
  <c r="W96" i="40"/>
  <c r="AM96" i="40" s="1"/>
  <c r="AO96" i="40" s="1"/>
  <c r="AP96" i="40" s="1"/>
  <c r="W98" i="40"/>
  <c r="AM98" i="40" s="1"/>
  <c r="AO98" i="40" s="1"/>
  <c r="AP98" i="40" s="1"/>
  <c r="W89" i="40"/>
  <c r="AM89" i="40" s="1"/>
  <c r="W91" i="40"/>
  <c r="AM91" i="40" s="1"/>
  <c r="AO91" i="40" s="1"/>
  <c r="AP91" i="40" s="1"/>
  <c r="W99" i="40"/>
  <c r="W90" i="40"/>
  <c r="W112" i="42"/>
  <c r="AM112" i="42" s="1"/>
  <c r="AO112" i="42" s="1"/>
  <c r="AP112" i="42" s="1"/>
  <c r="W108" i="42"/>
  <c r="AM108" i="42" s="1"/>
  <c r="AO108" i="42" s="1"/>
  <c r="AP108" i="42" s="1"/>
  <c r="W104" i="42"/>
  <c r="AM104" i="42" s="1"/>
  <c r="AO104" i="42" s="1"/>
  <c r="AP104" i="42" s="1"/>
  <c r="W110" i="42"/>
  <c r="AM110" i="42" s="1"/>
  <c r="AO110" i="42" s="1"/>
  <c r="AP110" i="42" s="1"/>
  <c r="W106" i="42"/>
  <c r="AM106" i="42" s="1"/>
  <c r="AO106" i="42" s="1"/>
  <c r="AP106" i="42" s="1"/>
  <c r="W102" i="42"/>
  <c r="AM102" i="42" s="1"/>
  <c r="AO102" i="42" s="1"/>
  <c r="AP102" i="42" s="1"/>
  <c r="W105" i="42"/>
  <c r="AM105" i="42" s="1"/>
  <c r="AO105" i="42" s="1"/>
  <c r="AP105" i="42" s="1"/>
  <c r="W107" i="42"/>
  <c r="AM107" i="42" s="1"/>
  <c r="AO107" i="42" s="1"/>
  <c r="AP107" i="42" s="1"/>
  <c r="W109" i="42"/>
  <c r="AM109" i="42" s="1"/>
  <c r="AO109" i="42" s="1"/>
  <c r="AP109" i="42" s="1"/>
  <c r="W101" i="42"/>
  <c r="W103" i="42"/>
  <c r="AM103" i="42" s="1"/>
  <c r="AO103" i="42" s="1"/>
  <c r="AP103" i="42" s="1"/>
  <c r="W111" i="42"/>
  <c r="AM111" i="42" s="1"/>
  <c r="AO111" i="42" s="1"/>
  <c r="AP111" i="42" s="1"/>
  <c r="W105" i="41"/>
  <c r="AM105" i="41" s="1"/>
  <c r="AO105" i="41" s="1"/>
  <c r="AP105" i="41" s="1"/>
  <c r="W101" i="41"/>
  <c r="AM101" i="41" s="1"/>
  <c r="W102" i="41"/>
  <c r="AM102" i="41" s="1"/>
  <c r="AO102" i="41" s="1"/>
  <c r="AP102" i="41" s="1"/>
  <c r="W111" i="41"/>
  <c r="W106" i="41"/>
  <c r="AM106" i="41" s="1"/>
  <c r="AO106" i="41" s="1"/>
  <c r="AP106" i="41" s="1"/>
  <c r="W110" i="41"/>
  <c r="AM110" i="41" s="1"/>
  <c r="AO110" i="41" s="1"/>
  <c r="AP110" i="41" s="1"/>
  <c r="W108" i="41"/>
  <c r="W112" i="41"/>
  <c r="AM112" i="41" s="1"/>
  <c r="AO112" i="41" s="1"/>
  <c r="AP112" i="41" s="1"/>
  <c r="W104" i="41"/>
  <c r="AM104" i="41" s="1"/>
  <c r="AO104" i="41" s="1"/>
  <c r="AP104" i="41" s="1"/>
  <c r="W107" i="41"/>
  <c r="AM107" i="41" s="1"/>
  <c r="AO107" i="41" s="1"/>
  <c r="AP107" i="41" s="1"/>
  <c r="W103" i="41"/>
  <c r="AM103" i="41" s="1"/>
  <c r="AO103" i="41" s="1"/>
  <c r="AP103" i="41" s="1"/>
  <c r="W109" i="41"/>
  <c r="AM109" i="41" s="1"/>
  <c r="AO109" i="41" s="1"/>
  <c r="AP109" i="41" s="1"/>
  <c r="W107" i="40"/>
  <c r="W103" i="40"/>
  <c r="AM103" i="40" s="1"/>
  <c r="AO103" i="40" s="1"/>
  <c r="AP103" i="40" s="1"/>
  <c r="W110" i="40"/>
  <c r="AM110" i="40" s="1"/>
  <c r="AO110" i="40" s="1"/>
  <c r="AP110" i="40" s="1"/>
  <c r="W109" i="40"/>
  <c r="AM109" i="40" s="1"/>
  <c r="AO109" i="40" s="1"/>
  <c r="AP109" i="40" s="1"/>
  <c r="W106" i="40"/>
  <c r="AM106" i="40" s="1"/>
  <c r="AO106" i="40" s="1"/>
  <c r="AP106" i="40" s="1"/>
  <c r="W111" i="40"/>
  <c r="AM111" i="40" s="1"/>
  <c r="AO111" i="40" s="1"/>
  <c r="AP111" i="40" s="1"/>
  <c r="W105" i="40"/>
  <c r="AM105" i="40" s="1"/>
  <c r="AO105" i="40" s="1"/>
  <c r="AP105" i="40" s="1"/>
  <c r="W104" i="40"/>
  <c r="AM104" i="40" s="1"/>
  <c r="AO104" i="40" s="1"/>
  <c r="AP104" i="40" s="1"/>
  <c r="W108" i="40"/>
  <c r="AM108" i="40" s="1"/>
  <c r="AO108" i="40" s="1"/>
  <c r="AP108" i="40" s="1"/>
  <c r="W112" i="40"/>
  <c r="AM112" i="40" s="1"/>
  <c r="AO112" i="40" s="1"/>
  <c r="AP112" i="40" s="1"/>
  <c r="W102" i="40"/>
  <c r="AM102" i="40" s="1"/>
  <c r="AO102" i="40" s="1"/>
  <c r="AP102" i="40" s="1"/>
  <c r="W101" i="40"/>
  <c r="AM101" i="40" s="1"/>
  <c r="W120" i="40"/>
  <c r="AM120" i="40" s="1"/>
  <c r="AO120" i="40" s="1"/>
  <c r="AP120" i="40" s="1"/>
  <c r="W116" i="40"/>
  <c r="AM116" i="40" s="1"/>
  <c r="AO116" i="40" s="1"/>
  <c r="AP116" i="40" s="1"/>
  <c r="W123" i="40"/>
  <c r="W122" i="40"/>
  <c r="W118" i="40"/>
  <c r="AM118" i="40" s="1"/>
  <c r="AO118" i="40" s="1"/>
  <c r="AP118" i="40" s="1"/>
  <c r="W119" i="40"/>
  <c r="AM119" i="40" s="1"/>
  <c r="AO119" i="40" s="1"/>
  <c r="AP119" i="40" s="1"/>
  <c r="W115" i="40"/>
  <c r="AM115" i="40" s="1"/>
  <c r="AO115" i="40" s="1"/>
  <c r="AP115" i="40" s="1"/>
  <c r="W121" i="40"/>
  <c r="W114" i="40"/>
  <c r="AM114" i="40" s="1"/>
  <c r="AO114" i="40" s="1"/>
  <c r="AP114" i="40" s="1"/>
  <c r="W113" i="40"/>
  <c r="AM113" i="40" s="1"/>
  <c r="W117" i="40"/>
  <c r="AM117" i="40" s="1"/>
  <c r="AO117" i="40" s="1"/>
  <c r="AP117" i="40" s="1"/>
  <c r="W124" i="40"/>
  <c r="AM124" i="40" s="1"/>
  <c r="AO124" i="40" s="1"/>
  <c r="AP124" i="40" s="1"/>
  <c r="W136" i="42"/>
  <c r="AM136" i="42" s="1"/>
  <c r="AO136" i="42" s="1"/>
  <c r="AP136" i="42" s="1"/>
  <c r="W132" i="42"/>
  <c r="AM132" i="42" s="1"/>
  <c r="AO132" i="42" s="1"/>
  <c r="AP132" i="42" s="1"/>
  <c r="W128" i="42"/>
  <c r="W134" i="42"/>
  <c r="W130" i="42"/>
  <c r="AM130" i="42" s="1"/>
  <c r="AO130" i="42" s="1"/>
  <c r="AP130" i="42" s="1"/>
  <c r="W126" i="42"/>
  <c r="AM126" i="42" s="1"/>
  <c r="AO126" i="42" s="1"/>
  <c r="AP126" i="42" s="1"/>
  <c r="W129" i="42"/>
  <c r="AM129" i="42" s="1"/>
  <c r="AO129" i="42" s="1"/>
  <c r="AP129" i="42" s="1"/>
  <c r="W131" i="42"/>
  <c r="AM131" i="42" s="1"/>
  <c r="AO131" i="42" s="1"/>
  <c r="AP131" i="42" s="1"/>
  <c r="W125" i="42"/>
  <c r="W133" i="42"/>
  <c r="AM133" i="42" s="1"/>
  <c r="AO133" i="42" s="1"/>
  <c r="AP133" i="42" s="1"/>
  <c r="W135" i="42"/>
  <c r="W127" i="42"/>
  <c r="W129" i="41"/>
  <c r="AM129" i="41" s="1"/>
  <c r="AO129" i="41" s="1"/>
  <c r="AP129" i="41" s="1"/>
  <c r="W135" i="41"/>
  <c r="AM135" i="41" s="1"/>
  <c r="AO135" i="41" s="1"/>
  <c r="AP135" i="41" s="1"/>
  <c r="W130" i="41"/>
  <c r="AM130" i="41" s="1"/>
  <c r="AO130" i="41" s="1"/>
  <c r="AP130" i="41" s="1"/>
  <c r="W132" i="41"/>
  <c r="AM132" i="41" s="1"/>
  <c r="AO132" i="41" s="1"/>
  <c r="AP132" i="41" s="1"/>
  <c r="W126" i="41"/>
  <c r="AM126" i="41" s="1"/>
  <c r="AO126" i="41" s="1"/>
  <c r="AP126" i="41" s="1"/>
  <c r="W133" i="41"/>
  <c r="AM133" i="41" s="1"/>
  <c r="AO133" i="41" s="1"/>
  <c r="AP133" i="41" s="1"/>
  <c r="W128" i="41"/>
  <c r="AM128" i="41" s="1"/>
  <c r="AO128" i="41" s="1"/>
  <c r="AP128" i="41" s="1"/>
  <c r="W136" i="41"/>
  <c r="AM136" i="41" s="1"/>
  <c r="AO136" i="41" s="1"/>
  <c r="AP136" i="41" s="1"/>
  <c r="W125" i="41"/>
  <c r="AM125" i="41" s="1"/>
  <c r="W134" i="41"/>
  <c r="AM134" i="41" s="1"/>
  <c r="AO134" i="41" s="1"/>
  <c r="AP134" i="41" s="1"/>
  <c r="W131" i="41"/>
  <c r="AM131" i="41" s="1"/>
  <c r="AO131" i="41" s="1"/>
  <c r="AP131" i="41" s="1"/>
  <c r="W127" i="41"/>
  <c r="W126" i="40"/>
  <c r="AM126" i="40" s="1"/>
  <c r="AO126" i="40" s="1"/>
  <c r="AP126" i="40" s="1"/>
  <c r="W125" i="40"/>
  <c r="AM125" i="40" s="1"/>
  <c r="W132" i="40"/>
  <c r="AM132" i="40" s="1"/>
  <c r="AO132" i="40" s="1"/>
  <c r="AP132" i="40" s="1"/>
  <c r="W129" i="40"/>
  <c r="AM129" i="40" s="1"/>
  <c r="AO129" i="40" s="1"/>
  <c r="AP129" i="40" s="1"/>
  <c r="W135" i="40"/>
  <c r="AM135" i="40" s="1"/>
  <c r="AO135" i="40" s="1"/>
  <c r="AP135" i="40" s="1"/>
  <c r="W128" i="40"/>
  <c r="AM128" i="40" s="1"/>
  <c r="AO128" i="40" s="1"/>
  <c r="AP128" i="40" s="1"/>
  <c r="W136" i="40"/>
  <c r="AM136" i="40" s="1"/>
  <c r="AO136" i="40" s="1"/>
  <c r="AP136" i="40" s="1"/>
  <c r="W127" i="40"/>
  <c r="AM127" i="40" s="1"/>
  <c r="AO127" i="40" s="1"/>
  <c r="AP127" i="40" s="1"/>
  <c r="W131" i="40"/>
  <c r="AM131" i="40" s="1"/>
  <c r="AO131" i="40" s="1"/>
  <c r="AP131" i="40" s="1"/>
  <c r="W133" i="40"/>
  <c r="AM133" i="40" s="1"/>
  <c r="AO133" i="40" s="1"/>
  <c r="AP133" i="40" s="1"/>
  <c r="W130" i="40"/>
  <c r="AM130" i="40" s="1"/>
  <c r="AO130" i="40" s="1"/>
  <c r="AP130" i="40" s="1"/>
  <c r="W134" i="40"/>
  <c r="AM134" i="40" s="1"/>
  <c r="AO134" i="40" s="1"/>
  <c r="AP134" i="40" s="1"/>
  <c r="W148" i="42"/>
  <c r="AM148" i="42" s="1"/>
  <c r="AO148" i="42" s="1"/>
  <c r="AP148" i="42" s="1"/>
  <c r="W144" i="42"/>
  <c r="AM144" i="42" s="1"/>
  <c r="AO144" i="42" s="1"/>
  <c r="AP144" i="42" s="1"/>
  <c r="W140" i="42"/>
  <c r="AM140" i="42" s="1"/>
  <c r="AO140" i="42" s="1"/>
  <c r="AP140" i="42" s="1"/>
  <c r="W146" i="42"/>
  <c r="AM146" i="42" s="1"/>
  <c r="AO146" i="42" s="1"/>
  <c r="AP146" i="42" s="1"/>
  <c r="W142" i="42"/>
  <c r="AM142" i="42" s="1"/>
  <c r="AO142" i="42" s="1"/>
  <c r="AP142" i="42" s="1"/>
  <c r="W138" i="42"/>
  <c r="W145" i="42"/>
  <c r="AM145" i="42" s="1"/>
  <c r="AO145" i="42" s="1"/>
  <c r="AP145" i="42" s="1"/>
  <c r="W137" i="42"/>
  <c r="W147" i="42"/>
  <c r="AM147" i="42" s="1"/>
  <c r="AO147" i="42" s="1"/>
  <c r="AP147" i="42" s="1"/>
  <c r="W139" i="42"/>
  <c r="AM139" i="42" s="1"/>
  <c r="AO139" i="42" s="1"/>
  <c r="AP139" i="42" s="1"/>
  <c r="W141" i="42"/>
  <c r="AM141" i="42" s="1"/>
  <c r="AO141" i="42" s="1"/>
  <c r="AP141" i="42" s="1"/>
  <c r="W143" i="42"/>
  <c r="AM143" i="42" s="1"/>
  <c r="AO143" i="42" s="1"/>
  <c r="AP143" i="42" s="1"/>
  <c r="W141" i="41"/>
  <c r="AM141" i="41" s="1"/>
  <c r="AO141" i="41" s="1"/>
  <c r="AP141" i="41" s="1"/>
  <c r="W147" i="41"/>
  <c r="AM147" i="41" s="1"/>
  <c r="AO147" i="41" s="1"/>
  <c r="AP147" i="41" s="1"/>
  <c r="W137" i="41"/>
  <c r="AM137" i="41" s="1"/>
  <c r="W148" i="41"/>
  <c r="AM148" i="41" s="1"/>
  <c r="AO148" i="41" s="1"/>
  <c r="AP148" i="41" s="1"/>
  <c r="W138" i="41"/>
  <c r="AM138" i="41" s="1"/>
  <c r="AO138" i="41" s="1"/>
  <c r="AP138" i="41" s="1"/>
  <c r="W146" i="41"/>
  <c r="AM146" i="41" s="1"/>
  <c r="AO146" i="41" s="1"/>
  <c r="AP146" i="41" s="1"/>
  <c r="W140" i="41"/>
  <c r="W142" i="41"/>
  <c r="W145" i="41"/>
  <c r="AM145" i="41" s="1"/>
  <c r="AO145" i="41" s="1"/>
  <c r="AP145" i="41" s="1"/>
  <c r="W139" i="41"/>
  <c r="W143" i="41"/>
  <c r="AM143" i="41" s="1"/>
  <c r="AO143" i="41" s="1"/>
  <c r="AP143" i="41" s="1"/>
  <c r="W144" i="41"/>
  <c r="AM144" i="41" s="1"/>
  <c r="AO144" i="41" s="1"/>
  <c r="AP144" i="41" s="1"/>
  <c r="W138" i="40"/>
  <c r="AM138" i="40" s="1"/>
  <c r="AO138" i="40" s="1"/>
  <c r="AP138" i="40" s="1"/>
  <c r="W137" i="40"/>
  <c r="AM137" i="40" s="1"/>
  <c r="AO137" i="40" s="1"/>
  <c r="AP137" i="40" s="1"/>
  <c r="W144" i="40"/>
  <c r="AM144" i="40" s="1"/>
  <c r="AO144" i="40" s="1"/>
  <c r="AP144" i="40" s="1"/>
  <c r="W142" i="40"/>
  <c r="AM142" i="40" s="1"/>
  <c r="AO142" i="40" s="1"/>
  <c r="AP142" i="40" s="1"/>
  <c r="W140" i="40"/>
  <c r="AM140" i="40" s="1"/>
  <c r="AO140" i="40" s="1"/>
  <c r="AP140" i="40" s="1"/>
  <c r="W147" i="40"/>
  <c r="AM147" i="40" s="1"/>
  <c r="AO147" i="40" s="1"/>
  <c r="AP147" i="40" s="1"/>
  <c r="W143" i="40"/>
  <c r="AM143" i="40" s="1"/>
  <c r="AO143" i="40" s="1"/>
  <c r="AP143" i="40" s="1"/>
  <c r="W146" i="40"/>
  <c r="AM146" i="40" s="1"/>
  <c r="AO146" i="40" s="1"/>
  <c r="AP146" i="40" s="1"/>
  <c r="W148" i="40"/>
  <c r="AM148" i="40" s="1"/>
  <c r="AO148" i="40" s="1"/>
  <c r="AP148" i="40" s="1"/>
  <c r="W139" i="40"/>
  <c r="AM139" i="40" s="1"/>
  <c r="AO139" i="40" s="1"/>
  <c r="AP139" i="40" s="1"/>
  <c r="W141" i="40"/>
  <c r="AM141" i="40" s="1"/>
  <c r="AO141" i="40" s="1"/>
  <c r="AP141" i="40" s="1"/>
  <c r="W159" i="42"/>
  <c r="AM159" i="42" s="1"/>
  <c r="AO159" i="42" s="1"/>
  <c r="AP159" i="42" s="1"/>
  <c r="W157" i="42"/>
  <c r="AM157" i="42" s="1"/>
  <c r="AO157" i="42" s="1"/>
  <c r="AP157" i="42" s="1"/>
  <c r="W156" i="42"/>
  <c r="W152" i="42"/>
  <c r="AM152" i="42" s="1"/>
  <c r="AO152" i="42" s="1"/>
  <c r="AP152" i="42" s="1"/>
  <c r="W160" i="42"/>
  <c r="AM160" i="42" s="1"/>
  <c r="AO160" i="42" s="1"/>
  <c r="AP160" i="42" s="1"/>
  <c r="W154" i="42"/>
  <c r="AM154" i="42" s="1"/>
  <c r="AO154" i="42" s="1"/>
  <c r="AP154" i="42" s="1"/>
  <c r="W150" i="42"/>
  <c r="AM150" i="42" s="1"/>
  <c r="AO150" i="42" s="1"/>
  <c r="AP150" i="42" s="1"/>
  <c r="W153" i="42"/>
  <c r="AM153" i="42" s="1"/>
  <c r="AO153" i="42" s="1"/>
  <c r="AP153" i="42" s="1"/>
  <c r="W155" i="42"/>
  <c r="AM155" i="42" s="1"/>
  <c r="AO155" i="42" s="1"/>
  <c r="AP155" i="42" s="1"/>
  <c r="W158" i="42"/>
  <c r="AM158" i="42" s="1"/>
  <c r="AO158" i="42" s="1"/>
  <c r="AP158" i="42" s="1"/>
  <c r="W149" i="42"/>
  <c r="W151" i="42"/>
  <c r="AM151" i="42" s="1"/>
  <c r="AO151" i="42" s="1"/>
  <c r="AP151" i="42" s="1"/>
  <c r="W153" i="41"/>
  <c r="AM153" i="41" s="1"/>
  <c r="AO153" i="41" s="1"/>
  <c r="AP153" i="41" s="1"/>
  <c r="W159" i="41"/>
  <c r="AM159" i="41" s="1"/>
  <c r="AO159" i="41" s="1"/>
  <c r="AP159" i="41" s="1"/>
  <c r="W152" i="41"/>
  <c r="AM152" i="41" s="1"/>
  <c r="AO152" i="41" s="1"/>
  <c r="AP152" i="41" s="1"/>
  <c r="W155" i="41"/>
  <c r="AM155" i="41" s="1"/>
  <c r="AO155" i="41" s="1"/>
  <c r="AP155" i="41" s="1"/>
  <c r="W157" i="41"/>
  <c r="AM157" i="41" s="1"/>
  <c r="AO157" i="41" s="1"/>
  <c r="AP157" i="41" s="1"/>
  <c r="W151" i="41"/>
  <c r="AM151" i="41" s="1"/>
  <c r="AO151" i="41" s="1"/>
  <c r="AP151" i="41" s="1"/>
  <c r="W156" i="41"/>
  <c r="AM156" i="41" s="1"/>
  <c r="AO156" i="41" s="1"/>
  <c r="AP156" i="41" s="1"/>
  <c r="W158" i="41"/>
  <c r="AM158" i="41" s="1"/>
  <c r="AO158" i="41" s="1"/>
  <c r="AP158" i="41" s="1"/>
  <c r="W150" i="41"/>
  <c r="W149" i="41"/>
  <c r="AM149" i="41" s="1"/>
  <c r="W160" i="41"/>
  <c r="AM160" i="41" s="1"/>
  <c r="AO160" i="41" s="1"/>
  <c r="AP160" i="41" s="1"/>
  <c r="W154" i="41"/>
  <c r="AM154" i="41" s="1"/>
  <c r="AO154" i="41" s="1"/>
  <c r="AP154" i="41" s="1"/>
  <c r="W156" i="40"/>
  <c r="AM156" i="40" s="1"/>
  <c r="AO156" i="40" s="1"/>
  <c r="AP156" i="40" s="1"/>
  <c r="W149" i="40"/>
  <c r="W171" i="42"/>
  <c r="W167" i="42"/>
  <c r="AM167" i="42" s="1"/>
  <c r="AO167" i="42" s="1"/>
  <c r="AP167" i="42" s="1"/>
  <c r="W163" i="42"/>
  <c r="AM163" i="42" s="1"/>
  <c r="AO163" i="42" s="1"/>
  <c r="AP163" i="42" s="1"/>
  <c r="W169" i="42"/>
  <c r="AM169" i="42" s="1"/>
  <c r="AO169" i="42" s="1"/>
  <c r="AP169" i="42" s="1"/>
  <c r="W165" i="42"/>
  <c r="AM165" i="42" s="1"/>
  <c r="AO165" i="42" s="1"/>
  <c r="AP165" i="42" s="1"/>
  <c r="W161" i="42"/>
  <c r="W172" i="42"/>
  <c r="AM172" i="42" s="1"/>
  <c r="AO172" i="42" s="1"/>
  <c r="AP172" i="42" s="1"/>
  <c r="W164" i="42"/>
  <c r="AM164" i="42" s="1"/>
  <c r="AO164" i="42" s="1"/>
  <c r="AP164" i="42" s="1"/>
  <c r="W168" i="42"/>
  <c r="AM168" i="42" s="1"/>
  <c r="AO168" i="42" s="1"/>
  <c r="AP168" i="42" s="1"/>
  <c r="W166" i="42"/>
  <c r="AM166" i="42" s="1"/>
  <c r="AO166" i="42" s="1"/>
  <c r="AP166" i="42" s="1"/>
  <c r="W170" i="42"/>
  <c r="AM170" i="42" s="1"/>
  <c r="AO170" i="42" s="1"/>
  <c r="AP170" i="42" s="1"/>
  <c r="W162" i="42"/>
  <c r="AM162" i="42" s="1"/>
  <c r="AO162" i="42" s="1"/>
  <c r="AP162" i="42" s="1"/>
  <c r="W165" i="41"/>
  <c r="AM165" i="41" s="1"/>
  <c r="AO165" i="41" s="1"/>
  <c r="AP165" i="41" s="1"/>
  <c r="W171" i="41"/>
  <c r="AM171" i="41" s="1"/>
  <c r="AO171" i="41" s="1"/>
  <c r="AP171" i="41" s="1"/>
  <c r="W163" i="41"/>
  <c r="AM163" i="41" s="1"/>
  <c r="AO163" i="41" s="1"/>
  <c r="AP163" i="41" s="1"/>
  <c r="W164" i="41"/>
  <c r="AM164" i="41" s="1"/>
  <c r="AO164" i="41" s="1"/>
  <c r="AP164" i="41" s="1"/>
  <c r="W161" i="41"/>
  <c r="AM161" i="41" s="1"/>
  <c r="W170" i="41"/>
  <c r="AM170" i="41" s="1"/>
  <c r="AO170" i="41" s="1"/>
  <c r="AP170" i="41" s="1"/>
  <c r="W168" i="41"/>
  <c r="AM168" i="41" s="1"/>
  <c r="AO168" i="41" s="1"/>
  <c r="AP168" i="41" s="1"/>
  <c r="W172" i="41"/>
  <c r="AM172" i="41" s="1"/>
  <c r="AO172" i="41" s="1"/>
  <c r="AP172" i="41" s="1"/>
  <c r="W169" i="41"/>
  <c r="AM169" i="41" s="1"/>
  <c r="AO169" i="41" s="1"/>
  <c r="AP169" i="41" s="1"/>
  <c r="W162" i="41"/>
  <c r="AM162" i="41" s="1"/>
  <c r="AO162" i="41" s="1"/>
  <c r="AP162" i="41" s="1"/>
  <c r="W166" i="41"/>
  <c r="AM166" i="41" s="1"/>
  <c r="AO166" i="41" s="1"/>
  <c r="AP166" i="41" s="1"/>
  <c r="W167" i="41"/>
  <c r="AM167" i="41" s="1"/>
  <c r="AO167" i="41" s="1"/>
  <c r="AP167" i="41" s="1"/>
  <c r="W183" i="42"/>
  <c r="AM183" i="42" s="1"/>
  <c r="AO183" i="42" s="1"/>
  <c r="AP183" i="42" s="1"/>
  <c r="W179" i="42"/>
  <c r="W175" i="42"/>
  <c r="AM175" i="42" s="1"/>
  <c r="AO175" i="42" s="1"/>
  <c r="AP175" i="42" s="1"/>
  <c r="W181" i="42"/>
  <c r="AM181" i="42" s="1"/>
  <c r="AO181" i="42" s="1"/>
  <c r="AP181" i="42" s="1"/>
  <c r="W177" i="42"/>
  <c r="AM177" i="42" s="1"/>
  <c r="AO177" i="42" s="1"/>
  <c r="AP177" i="42" s="1"/>
  <c r="W173" i="42"/>
  <c r="W180" i="42"/>
  <c r="AM180" i="42" s="1"/>
  <c r="AO180" i="42" s="1"/>
  <c r="AP180" i="42" s="1"/>
  <c r="W184" i="42"/>
  <c r="AM184" i="42" s="1"/>
  <c r="AO184" i="42" s="1"/>
  <c r="AP184" i="42" s="1"/>
  <c r="W176" i="42"/>
  <c r="W182" i="42"/>
  <c r="AM182" i="42" s="1"/>
  <c r="AO182" i="42" s="1"/>
  <c r="AP182" i="42" s="1"/>
  <c r="W174" i="42"/>
  <c r="AM174" i="42" s="1"/>
  <c r="AO174" i="42" s="1"/>
  <c r="AP174" i="42" s="1"/>
  <c r="W178" i="42"/>
  <c r="AM178" i="42" s="1"/>
  <c r="AO178" i="42" s="1"/>
  <c r="AP178" i="42" s="1"/>
  <c r="W177" i="41"/>
  <c r="AM177" i="41" s="1"/>
  <c r="AO177" i="41" s="1"/>
  <c r="AP177" i="41" s="1"/>
  <c r="W183" i="41"/>
  <c r="AM183" i="41" s="1"/>
  <c r="AO183" i="41" s="1"/>
  <c r="AP183" i="41" s="1"/>
  <c r="W180" i="41"/>
  <c r="AM180" i="41" s="1"/>
  <c r="AO180" i="41" s="1"/>
  <c r="AP180" i="41" s="1"/>
  <c r="W182" i="41"/>
  <c r="AM182" i="41" s="1"/>
  <c r="AO182" i="41" s="1"/>
  <c r="AP182" i="41" s="1"/>
  <c r="W178" i="41"/>
  <c r="AM178" i="41" s="1"/>
  <c r="AO178" i="41" s="1"/>
  <c r="AP178" i="41" s="1"/>
  <c r="W173" i="41"/>
  <c r="AM173" i="41" s="1"/>
  <c r="AO173" i="41" s="1"/>
  <c r="AP173" i="41" s="1"/>
  <c r="W176" i="41"/>
  <c r="AM176" i="41" s="1"/>
  <c r="AO176" i="41" s="1"/>
  <c r="AP176" i="41" s="1"/>
  <c r="W175" i="41"/>
  <c r="AM175" i="41" s="1"/>
  <c r="AO175" i="41" s="1"/>
  <c r="AP175" i="41" s="1"/>
  <c r="W179" i="41"/>
  <c r="AM179" i="41" s="1"/>
  <c r="AO179" i="41" s="1"/>
  <c r="AP179" i="41" s="1"/>
  <c r="W174" i="41"/>
  <c r="AM174" i="41" s="1"/>
  <c r="AO174" i="41" s="1"/>
  <c r="AP174" i="41" s="1"/>
  <c r="W195" i="42"/>
  <c r="AM195" i="42" s="1"/>
  <c r="AO195" i="42" s="1"/>
  <c r="AP195" i="42" s="1"/>
  <c r="W191" i="42"/>
  <c r="AM191" i="42" s="1"/>
  <c r="AO191" i="42" s="1"/>
  <c r="AP191" i="42" s="1"/>
  <c r="W187" i="42"/>
  <c r="AM187" i="42" s="1"/>
  <c r="AO187" i="42" s="1"/>
  <c r="AP187" i="42" s="1"/>
  <c r="W193" i="42"/>
  <c r="W189" i="42"/>
  <c r="AM189" i="42" s="1"/>
  <c r="AO189" i="42" s="1"/>
  <c r="AP189" i="42" s="1"/>
  <c r="W185" i="42"/>
  <c r="W196" i="42"/>
  <c r="AM196" i="42" s="1"/>
  <c r="AO196" i="42" s="1"/>
  <c r="AP196" i="42" s="1"/>
  <c r="W188" i="42"/>
  <c r="AM188" i="42" s="1"/>
  <c r="AO188" i="42" s="1"/>
  <c r="AP188" i="42" s="1"/>
  <c r="W192" i="42"/>
  <c r="AM192" i="42" s="1"/>
  <c r="AO192" i="42" s="1"/>
  <c r="AP192" i="42" s="1"/>
  <c r="W186" i="42"/>
  <c r="AM186" i="42" s="1"/>
  <c r="AO186" i="42" s="1"/>
  <c r="AP186" i="42" s="1"/>
  <c r="W190" i="42"/>
  <c r="AM190" i="42" s="1"/>
  <c r="AO190" i="42" s="1"/>
  <c r="AP190" i="42" s="1"/>
  <c r="W194" i="42"/>
  <c r="AM194" i="42" s="1"/>
  <c r="AO194" i="42" s="1"/>
  <c r="AP194" i="42" s="1"/>
  <c r="W195" i="41"/>
  <c r="AM195" i="41" s="1"/>
  <c r="AO195" i="41" s="1"/>
  <c r="AP195" i="41" s="1"/>
  <c r="W207" i="42"/>
  <c r="AM207" i="42" s="1"/>
  <c r="AO207" i="42" s="1"/>
  <c r="AP207" i="42" s="1"/>
  <c r="W203" i="42"/>
  <c r="W199" i="42"/>
  <c r="AM199" i="42" s="1"/>
  <c r="AO199" i="42" s="1"/>
  <c r="AP199" i="42" s="1"/>
  <c r="W205" i="42"/>
  <c r="AM205" i="42" s="1"/>
  <c r="AO205" i="42" s="1"/>
  <c r="AP205" i="42" s="1"/>
  <c r="W201" i="42"/>
  <c r="AM201" i="42" s="1"/>
  <c r="AO201" i="42" s="1"/>
  <c r="AP201" i="42" s="1"/>
  <c r="W197" i="42"/>
  <c r="W204" i="42"/>
  <c r="AM204" i="42" s="1"/>
  <c r="AO204" i="42" s="1"/>
  <c r="AP204" i="42" s="1"/>
  <c r="W208" i="42"/>
  <c r="AM208" i="42" s="1"/>
  <c r="AO208" i="42" s="1"/>
  <c r="AP208" i="42" s="1"/>
  <c r="W200" i="42"/>
  <c r="AM200" i="42" s="1"/>
  <c r="AO200" i="42" s="1"/>
  <c r="AP200" i="42" s="1"/>
  <c r="W198" i="42"/>
  <c r="AM198" i="42" s="1"/>
  <c r="AO198" i="42" s="1"/>
  <c r="AP198" i="42" s="1"/>
  <c r="W202" i="42"/>
  <c r="AM202" i="42" s="1"/>
  <c r="AO202" i="42" s="1"/>
  <c r="AP202" i="42" s="1"/>
  <c r="W206" i="42"/>
  <c r="W219" i="42"/>
  <c r="AM219" i="42" s="1"/>
  <c r="AO219" i="42" s="1"/>
  <c r="AP219" i="42" s="1"/>
  <c r="W215" i="42"/>
  <c r="AM215" i="42" s="1"/>
  <c r="AO215" i="42" s="1"/>
  <c r="AP215" i="42" s="1"/>
  <c r="W211" i="42"/>
  <c r="W217" i="42"/>
  <c r="AM217" i="42" s="1"/>
  <c r="AO217" i="42" s="1"/>
  <c r="AP217" i="42" s="1"/>
  <c r="W213" i="42"/>
  <c r="AM213" i="42" s="1"/>
  <c r="AO213" i="42" s="1"/>
  <c r="AP213" i="42" s="1"/>
  <c r="W209" i="42"/>
  <c r="W220" i="42"/>
  <c r="AM220" i="42" s="1"/>
  <c r="AO220" i="42" s="1"/>
  <c r="AP220" i="42" s="1"/>
  <c r="W212" i="42"/>
  <c r="AM212" i="42" s="1"/>
  <c r="AO212" i="42" s="1"/>
  <c r="AP212" i="42" s="1"/>
  <c r="W216" i="42"/>
  <c r="AM216" i="42" s="1"/>
  <c r="AO216" i="42" s="1"/>
  <c r="AP216" i="42" s="1"/>
  <c r="W214" i="42"/>
  <c r="AM214" i="42" s="1"/>
  <c r="AO214" i="42" s="1"/>
  <c r="AP214" i="42" s="1"/>
  <c r="W218" i="42"/>
  <c r="W210" i="42"/>
  <c r="AM210" i="42" s="1"/>
  <c r="AO210" i="42" s="1"/>
  <c r="AP210" i="42" s="1"/>
  <c r="W231" i="42"/>
  <c r="AM231" i="42" s="1"/>
  <c r="AO231" i="42" s="1"/>
  <c r="AP231" i="42" s="1"/>
  <c r="W227" i="42"/>
  <c r="AM227" i="42" s="1"/>
  <c r="AO227" i="42" s="1"/>
  <c r="AP227" i="42" s="1"/>
  <c r="W223" i="42"/>
  <c r="AM223" i="42" s="1"/>
  <c r="AO223" i="42" s="1"/>
  <c r="AP223" i="42" s="1"/>
  <c r="W229" i="42"/>
  <c r="AM229" i="42" s="1"/>
  <c r="AO229" i="42" s="1"/>
  <c r="AP229" i="42" s="1"/>
  <c r="W225" i="42"/>
  <c r="AM225" i="42" s="1"/>
  <c r="AO225" i="42" s="1"/>
  <c r="AP225" i="42" s="1"/>
  <c r="W221" i="42"/>
  <c r="W228" i="42"/>
  <c r="AM228" i="42" s="1"/>
  <c r="AO228" i="42" s="1"/>
  <c r="AP228" i="42" s="1"/>
  <c r="W232" i="42"/>
  <c r="AM232" i="42" s="1"/>
  <c r="AO232" i="42" s="1"/>
  <c r="AP232" i="42" s="1"/>
  <c r="W224" i="42"/>
  <c r="AM224" i="42" s="1"/>
  <c r="AO224" i="42" s="1"/>
  <c r="AP224" i="42" s="1"/>
  <c r="W230" i="42"/>
  <c r="AM230" i="42" s="1"/>
  <c r="AO230" i="42" s="1"/>
  <c r="AP230" i="42" s="1"/>
  <c r="W222" i="42"/>
  <c r="AM222" i="42" s="1"/>
  <c r="AO222" i="42" s="1"/>
  <c r="AP222" i="42" s="1"/>
  <c r="W226" i="42"/>
  <c r="AM226" i="42" s="1"/>
  <c r="AO226" i="42" s="1"/>
  <c r="AP226" i="42" s="1"/>
  <c r="W243" i="42"/>
  <c r="AM243" i="42" s="1"/>
  <c r="AO243" i="42" s="1"/>
  <c r="AP243" i="42" s="1"/>
  <c r="W239" i="42"/>
  <c r="AM239" i="42" s="1"/>
  <c r="AO239" i="42" s="1"/>
  <c r="AP239" i="42" s="1"/>
  <c r="W235" i="42"/>
  <c r="AM235" i="42" s="1"/>
  <c r="AO235" i="42" s="1"/>
  <c r="AP235" i="42" s="1"/>
  <c r="W241" i="42"/>
  <c r="AM241" i="42" s="1"/>
  <c r="AO241" i="42" s="1"/>
  <c r="AP241" i="42" s="1"/>
  <c r="W237" i="42"/>
  <c r="AM237" i="42" s="1"/>
  <c r="AO237" i="42" s="1"/>
  <c r="AP237" i="42" s="1"/>
  <c r="W233" i="42"/>
  <c r="W244" i="42"/>
  <c r="AM244" i="42" s="1"/>
  <c r="AO244" i="42" s="1"/>
  <c r="AP244" i="42" s="1"/>
  <c r="W236" i="42"/>
  <c r="AM236" i="42" s="1"/>
  <c r="AO236" i="42" s="1"/>
  <c r="AP236" i="42" s="1"/>
  <c r="W240" i="42"/>
  <c r="AM240" i="42" s="1"/>
  <c r="AO240" i="42" s="1"/>
  <c r="AP240" i="42" s="1"/>
  <c r="W234" i="42"/>
  <c r="AM234" i="42" s="1"/>
  <c r="AO234" i="42" s="1"/>
  <c r="AP234" i="42" s="1"/>
  <c r="W238" i="42"/>
  <c r="AM238" i="42" s="1"/>
  <c r="AO238" i="42" s="1"/>
  <c r="AP238" i="42" s="1"/>
  <c r="W242" i="42"/>
  <c r="AM242" i="42" s="1"/>
  <c r="AO242" i="42" s="1"/>
  <c r="AP242" i="42" s="1"/>
  <c r="W255" i="42"/>
  <c r="AM255" i="42" s="1"/>
  <c r="AO255" i="42" s="1"/>
  <c r="AP255" i="42" s="1"/>
  <c r="W251" i="42"/>
  <c r="AM251" i="42" s="1"/>
  <c r="AO251" i="42" s="1"/>
  <c r="AP251" i="42" s="1"/>
  <c r="W247" i="42"/>
  <c r="AM247" i="42" s="1"/>
  <c r="AO247" i="42" s="1"/>
  <c r="AP247" i="42" s="1"/>
  <c r="W253" i="42"/>
  <c r="AM253" i="42" s="1"/>
  <c r="AO253" i="42" s="1"/>
  <c r="AP253" i="42" s="1"/>
  <c r="W249" i="42"/>
  <c r="AM249" i="42" s="1"/>
  <c r="AO249" i="42" s="1"/>
  <c r="AP249" i="42" s="1"/>
  <c r="W245" i="42"/>
  <c r="W252" i="42"/>
  <c r="AM252" i="42" s="1"/>
  <c r="AO252" i="42" s="1"/>
  <c r="AP252" i="42" s="1"/>
  <c r="W256" i="42"/>
  <c r="AM256" i="42" s="1"/>
  <c r="AO256" i="42" s="1"/>
  <c r="AP256" i="42" s="1"/>
  <c r="W248" i="42"/>
  <c r="AM248" i="42" s="1"/>
  <c r="AO248" i="42" s="1"/>
  <c r="AP248" i="42" s="1"/>
  <c r="W246" i="42"/>
  <c r="AM246" i="42" s="1"/>
  <c r="AO246" i="42" s="1"/>
  <c r="AP246" i="42" s="1"/>
  <c r="W250" i="42"/>
  <c r="W254" i="42"/>
  <c r="AM254" i="42" s="1"/>
  <c r="AO254" i="42" s="1"/>
  <c r="AP254" i="42" s="1"/>
  <c r="W267" i="42"/>
  <c r="AM267" i="42" s="1"/>
  <c r="AO267" i="42" s="1"/>
  <c r="AP267" i="42" s="1"/>
  <c r="W263" i="42"/>
  <c r="AM263" i="42" s="1"/>
  <c r="AO263" i="42" s="1"/>
  <c r="AP263" i="42" s="1"/>
  <c r="W259" i="42"/>
  <c r="AM259" i="42" s="1"/>
  <c r="AO259" i="42" s="1"/>
  <c r="AP259" i="42" s="1"/>
  <c r="W265" i="42"/>
  <c r="AM265" i="42" s="1"/>
  <c r="AO265" i="42" s="1"/>
  <c r="AP265" i="42" s="1"/>
  <c r="W261" i="42"/>
  <c r="AM261" i="42" s="1"/>
  <c r="AO261" i="42" s="1"/>
  <c r="AP261" i="42" s="1"/>
  <c r="W257" i="42"/>
  <c r="W268" i="42"/>
  <c r="AM268" i="42" s="1"/>
  <c r="AO268" i="42" s="1"/>
  <c r="AP268" i="42" s="1"/>
  <c r="W260" i="42"/>
  <c r="AM260" i="42" s="1"/>
  <c r="AO260" i="42" s="1"/>
  <c r="AP260" i="42" s="1"/>
  <c r="W264" i="42"/>
  <c r="AM264" i="42" s="1"/>
  <c r="AO264" i="42" s="1"/>
  <c r="AP264" i="42" s="1"/>
  <c r="W262" i="42"/>
  <c r="W266" i="42"/>
  <c r="AM266" i="42" s="1"/>
  <c r="AO266" i="42" s="1"/>
  <c r="AP266" i="42" s="1"/>
  <c r="W258" i="42"/>
  <c r="AM258" i="42" s="1"/>
  <c r="AO258" i="42" s="1"/>
  <c r="AP258" i="42" s="1"/>
  <c r="X73" i="42"/>
  <c r="X69" i="42"/>
  <c r="X65" i="42"/>
  <c r="X74" i="42"/>
  <c r="X70" i="42"/>
  <c r="X66" i="42"/>
  <c r="X71" i="42"/>
  <c r="X75" i="42"/>
  <c r="X67" i="42"/>
  <c r="X68" i="42"/>
  <c r="X76" i="42"/>
  <c r="X72" i="42"/>
  <c r="X69" i="41"/>
  <c r="X76" i="41"/>
  <c r="X67" i="41"/>
  <c r="X72" i="41"/>
  <c r="X65" i="41"/>
  <c r="X71" i="41"/>
  <c r="X70" i="41"/>
  <c r="X73" i="41"/>
  <c r="X66" i="41"/>
  <c r="X75" i="41"/>
  <c r="X74" i="41"/>
  <c r="X68" i="41"/>
  <c r="X73" i="40"/>
  <c r="X76" i="40"/>
  <c r="X72" i="40"/>
  <c r="X69" i="40"/>
  <c r="X66" i="40"/>
  <c r="X75" i="40"/>
  <c r="X71" i="40"/>
  <c r="X74" i="40"/>
  <c r="X70" i="40"/>
  <c r="X67" i="40"/>
  <c r="X68" i="40"/>
  <c r="X65" i="40"/>
  <c r="X120" i="40"/>
  <c r="X113" i="40"/>
  <c r="X117" i="40"/>
  <c r="X121" i="40"/>
  <c r="X114" i="40"/>
  <c r="X124" i="40"/>
  <c r="X116" i="40"/>
  <c r="X123" i="40"/>
  <c r="X118" i="40"/>
  <c r="X119" i="40"/>
  <c r="X122" i="40"/>
  <c r="X115" i="40"/>
  <c r="X172" i="42"/>
  <c r="X168" i="42"/>
  <c r="X164" i="42"/>
  <c r="X170" i="42"/>
  <c r="X166" i="42"/>
  <c r="X162" i="42"/>
  <c r="X169" i="42"/>
  <c r="X161" i="42"/>
  <c r="X165" i="42"/>
  <c r="X171" i="42"/>
  <c r="X163" i="42"/>
  <c r="X167" i="42"/>
  <c r="X171" i="41"/>
  <c r="X165" i="41"/>
  <c r="X161" i="41"/>
  <c r="X169" i="41"/>
  <c r="X166" i="41"/>
  <c r="X167" i="41"/>
  <c r="X163" i="41"/>
  <c r="X164" i="41"/>
  <c r="X170" i="41"/>
  <c r="X168" i="41"/>
  <c r="X172" i="41"/>
  <c r="X162" i="41"/>
  <c r="X220" i="42"/>
  <c r="X216" i="42"/>
  <c r="X212" i="42"/>
  <c r="X218" i="42"/>
  <c r="X214" i="42"/>
  <c r="X210" i="42"/>
  <c r="X217" i="42"/>
  <c r="X209" i="42"/>
  <c r="X213" i="42"/>
  <c r="X219" i="42"/>
  <c r="X211" i="42"/>
  <c r="X215" i="42"/>
  <c r="X268" i="42"/>
  <c r="X264" i="42"/>
  <c r="X260" i="42"/>
  <c r="X266" i="42"/>
  <c r="X262" i="42"/>
  <c r="X258" i="42"/>
  <c r="X265" i="42"/>
  <c r="X257" i="42"/>
  <c r="X261" i="42"/>
  <c r="X267" i="42"/>
  <c r="X259" i="42"/>
  <c r="X263" i="42"/>
  <c r="M12" i="30"/>
  <c r="D18" i="29"/>
  <c r="D21" i="29"/>
  <c r="C21" i="29" s="1"/>
  <c r="C38" i="29"/>
  <c r="I16" i="29"/>
  <c r="M16" i="29"/>
  <c r="G43" i="29"/>
  <c r="F44" i="29"/>
  <c r="K19" i="29"/>
  <c r="F48" i="29"/>
  <c r="G50" i="29"/>
  <c r="F51" i="29"/>
  <c r="C54" i="29"/>
  <c r="G63" i="29"/>
  <c r="C67" i="29"/>
  <c r="G71" i="29"/>
  <c r="M21" i="29"/>
  <c r="G94" i="29"/>
  <c r="P16" i="27"/>
  <c r="Q16" i="27" s="1"/>
  <c r="C11" i="1"/>
  <c r="F26" i="1" s="1"/>
  <c r="D15" i="4"/>
  <c r="I25" i="4"/>
  <c r="G21" i="6"/>
  <c r="V141" i="40"/>
  <c r="W150" i="40"/>
  <c r="AM150" i="40" s="1"/>
  <c r="AO150" i="40" s="1"/>
  <c r="AP150" i="40" s="1"/>
  <c r="W181" i="41"/>
  <c r="AM181" i="41" s="1"/>
  <c r="AO181" i="41" s="1"/>
  <c r="AP181" i="41" s="1"/>
  <c r="J116" i="40"/>
  <c r="AD116" i="40" s="1"/>
  <c r="AE116" i="40" s="1"/>
  <c r="J75" i="40"/>
  <c r="AD75" i="40" s="1"/>
  <c r="AE75" i="40" s="1"/>
  <c r="J71" i="41"/>
  <c r="AD71" i="41" s="1"/>
  <c r="J66" i="42"/>
  <c r="AD66" i="42" s="1"/>
  <c r="AE66" i="42" s="1"/>
  <c r="K22" i="29"/>
  <c r="B23" i="29"/>
  <c r="J45" i="3"/>
  <c r="J61" i="3"/>
  <c r="J78" i="3"/>
  <c r="J111" i="3"/>
  <c r="G28" i="6"/>
  <c r="G29" i="6"/>
  <c r="G30" i="6"/>
  <c r="G31" i="6"/>
  <c r="G32" i="6"/>
  <c r="G33" i="6"/>
  <c r="G34" i="6"/>
  <c r="J253" i="42"/>
  <c r="AD253" i="42" s="1"/>
  <c r="AE253" i="42" s="1"/>
  <c r="J247" i="42"/>
  <c r="AD247" i="42" s="1"/>
  <c r="AE247" i="42" s="1"/>
  <c r="J197" i="42"/>
  <c r="J105" i="41"/>
  <c r="AD105" i="41" s="1"/>
  <c r="J106" i="42"/>
  <c r="AD106" i="42" s="1"/>
  <c r="AE106" i="42" s="1"/>
  <c r="J60" i="40"/>
  <c r="AD60" i="40" s="1"/>
  <c r="AE60" i="40" s="1"/>
  <c r="J63" i="40"/>
  <c r="AD63" i="40" s="1"/>
  <c r="AE63" i="40" s="1"/>
  <c r="J57" i="41"/>
  <c r="AD57" i="41" s="1"/>
  <c r="J148" i="42"/>
  <c r="AD148" i="42" s="1"/>
  <c r="AE148" i="42" s="1"/>
  <c r="J96" i="42"/>
  <c r="AD96" i="42" s="1"/>
  <c r="AE96" i="42" s="1"/>
  <c r="K298" i="40"/>
  <c r="J182" i="42"/>
  <c r="AD182" i="42" s="1"/>
  <c r="AE182" i="42" s="1"/>
  <c r="J129" i="41"/>
  <c r="AD129" i="41" s="1"/>
  <c r="J131" i="42"/>
  <c r="AD131" i="42" s="1"/>
  <c r="AE131" i="42" s="1"/>
  <c r="J134" i="42"/>
  <c r="AD134" i="42" s="1"/>
  <c r="AE134" i="42" s="1"/>
  <c r="J127" i="42"/>
  <c r="AD127" i="42" s="1"/>
  <c r="AE127" i="42" s="1"/>
  <c r="J84" i="40"/>
  <c r="AD84" i="40" s="1"/>
  <c r="AE84" i="40" s="1"/>
  <c r="J87" i="41"/>
  <c r="AD87" i="41" s="1"/>
  <c r="AD77" i="41"/>
  <c r="AD77" i="42"/>
  <c r="AE77" i="42" s="1"/>
  <c r="J78" i="42"/>
  <c r="AD78" i="42" s="1"/>
  <c r="AE78" i="42" s="1"/>
  <c r="J258" i="42"/>
  <c r="AD258" i="42" s="1"/>
  <c r="AE258" i="42" s="1"/>
  <c r="J260" i="42"/>
  <c r="AD260" i="42" s="1"/>
  <c r="AE260" i="42" s="1"/>
  <c r="J261" i="42"/>
  <c r="AD261" i="42" s="1"/>
  <c r="AE261" i="42" s="1"/>
  <c r="J212" i="42"/>
  <c r="AD212" i="42" s="1"/>
  <c r="AE212" i="42" s="1"/>
  <c r="J213" i="42"/>
  <c r="AD213" i="42" s="1"/>
  <c r="AE213" i="42" s="1"/>
  <c r="J220" i="42"/>
  <c r="AD220" i="42" s="1"/>
  <c r="AE220" i="42" s="1"/>
  <c r="J171" i="41"/>
  <c r="AD171" i="41" s="1"/>
  <c r="J162" i="42"/>
  <c r="AD162" i="42" s="1"/>
  <c r="AE162" i="42" s="1"/>
  <c r="J164" i="42"/>
  <c r="AD164" i="42" s="1"/>
  <c r="AE164" i="42" s="1"/>
  <c r="J169" i="42"/>
  <c r="AD169" i="42" s="1"/>
  <c r="AE169" i="42" s="1"/>
  <c r="J115" i="40"/>
  <c r="AD115" i="40" s="1"/>
  <c r="AE115" i="40" s="1"/>
  <c r="J123" i="40"/>
  <c r="AD123" i="40" s="1"/>
  <c r="AE123" i="40" s="1"/>
  <c r="J120" i="40"/>
  <c r="AD120" i="40" s="1"/>
  <c r="AE120" i="40" s="1"/>
  <c r="J72" i="40"/>
  <c r="AD72" i="40" s="1"/>
  <c r="AE72" i="40" s="1"/>
  <c r="J69" i="40"/>
  <c r="AD69" i="40" s="1"/>
  <c r="AE69" i="40" s="1"/>
  <c r="J73" i="40"/>
  <c r="AD73" i="40" s="1"/>
  <c r="AE73" i="40" s="1"/>
  <c r="J66" i="41"/>
  <c r="AD66" i="41" s="1"/>
  <c r="J67" i="41"/>
  <c r="AD67" i="41" s="1"/>
  <c r="J69" i="41"/>
  <c r="AD69" i="41" s="1"/>
  <c r="J67" i="42"/>
  <c r="AD67" i="42" s="1"/>
  <c r="AE67" i="42" s="1"/>
  <c r="J75" i="42"/>
  <c r="AD75" i="42" s="1"/>
  <c r="AE75" i="42" s="1"/>
  <c r="J68" i="42"/>
  <c r="AD68" i="42" s="1"/>
  <c r="AE68" i="42" s="1"/>
  <c r="X196" i="42"/>
  <c r="X192" i="42"/>
  <c r="X188" i="42"/>
  <c r="X194" i="42"/>
  <c r="X190" i="42"/>
  <c r="X186" i="42"/>
  <c r="X193" i="42"/>
  <c r="X185" i="42"/>
  <c r="X189" i="42"/>
  <c r="X187" i="42"/>
  <c r="X191" i="42"/>
  <c r="X195" i="42"/>
  <c r="X244" i="42"/>
  <c r="X240" i="42"/>
  <c r="X236" i="42"/>
  <c r="X242" i="42"/>
  <c r="X238" i="42"/>
  <c r="X234" i="42"/>
  <c r="X241" i="42"/>
  <c r="X233" i="42"/>
  <c r="X237" i="42"/>
  <c r="X235" i="42"/>
  <c r="X239" i="42"/>
  <c r="X243" i="42"/>
  <c r="L12" i="29"/>
  <c r="M19" i="29"/>
  <c r="L20" i="29"/>
  <c r="F53" i="29"/>
  <c r="L28" i="29"/>
  <c r="F88" i="29"/>
  <c r="F92" i="29"/>
  <c r="K21" i="29"/>
  <c r="K26" i="29"/>
  <c r="B27" i="29"/>
  <c r="G102" i="29"/>
  <c r="P12" i="27"/>
  <c r="Q23" i="36" s="1"/>
  <c r="J49" i="3"/>
  <c r="I21" i="7"/>
  <c r="E25" i="7"/>
  <c r="I25" i="7"/>
  <c r="I29" i="7"/>
  <c r="J30" i="7"/>
  <c r="I57" i="7"/>
  <c r="K57" i="7" s="1"/>
  <c r="D17" i="26"/>
  <c r="D20" i="26"/>
  <c r="X184" i="41"/>
  <c r="X195" i="41"/>
  <c r="X179" i="41"/>
  <c r="X175" i="41"/>
  <c r="J154" i="41"/>
  <c r="AD154" i="41" s="1"/>
  <c r="J150" i="41"/>
  <c r="J149" i="42"/>
  <c r="J157" i="42"/>
  <c r="AD157" i="42" s="1"/>
  <c r="AE157" i="42" s="1"/>
  <c r="J109" i="40"/>
  <c r="AD109" i="40" s="1"/>
  <c r="AE109" i="40" s="1"/>
  <c r="AD101" i="40"/>
  <c r="AE101" i="40" s="1"/>
  <c r="J104" i="41"/>
  <c r="AD104" i="41" s="1"/>
  <c r="J107" i="41"/>
  <c r="AD107" i="41" s="1"/>
  <c r="J104" i="42"/>
  <c r="AD104" i="42" s="1"/>
  <c r="AE104" i="42" s="1"/>
  <c r="J61" i="41"/>
  <c r="AD61" i="41" s="1"/>
  <c r="J192" i="42"/>
  <c r="AD192" i="42" s="1"/>
  <c r="AE192" i="42" s="1"/>
  <c r="J145" i="41"/>
  <c r="AD145" i="41" s="1"/>
  <c r="J140" i="42"/>
  <c r="AD140" i="42" s="1"/>
  <c r="AE140" i="42" s="1"/>
  <c r="J98" i="41"/>
  <c r="AD98" i="41" s="1"/>
  <c r="J93" i="41"/>
  <c r="AD93" i="41" s="1"/>
  <c r="J224" i="42"/>
  <c r="AD224" i="42" s="1"/>
  <c r="AE224" i="42" s="1"/>
  <c r="J130" i="41"/>
  <c r="AD130" i="41" s="1"/>
  <c r="J81" i="41"/>
  <c r="AD81" i="41" s="1"/>
  <c r="J259" i="42"/>
  <c r="AD259" i="42" s="1"/>
  <c r="AE259" i="42" s="1"/>
  <c r="J267" i="42"/>
  <c r="AD267" i="42" s="1"/>
  <c r="AE267" i="42" s="1"/>
  <c r="J257" i="42"/>
  <c r="J219" i="42"/>
  <c r="AD219" i="42" s="1"/>
  <c r="AE219" i="42" s="1"/>
  <c r="J214" i="42"/>
  <c r="AD214" i="42" s="1"/>
  <c r="AE214" i="42" s="1"/>
  <c r="J209" i="42"/>
  <c r="J165" i="41"/>
  <c r="AD165" i="41" s="1"/>
  <c r="J171" i="42"/>
  <c r="AD171" i="42" s="1"/>
  <c r="AE171" i="42" s="1"/>
  <c r="J170" i="42"/>
  <c r="AD170" i="42" s="1"/>
  <c r="AE170" i="42" s="1"/>
  <c r="J166" i="42"/>
  <c r="AD166" i="42" s="1"/>
  <c r="AE166" i="42" s="1"/>
  <c r="J122" i="40"/>
  <c r="AD122" i="40" s="1"/>
  <c r="AE122" i="40" s="1"/>
  <c r="J124" i="40"/>
  <c r="AD124" i="40" s="1"/>
  <c r="AE124" i="40" s="1"/>
  <c r="J121" i="40"/>
  <c r="AD121" i="40" s="1"/>
  <c r="AE121" i="40" s="1"/>
  <c r="J76" i="40"/>
  <c r="AD76" i="40" s="1"/>
  <c r="AE76" i="40" s="1"/>
  <c r="J71" i="40"/>
  <c r="AD71" i="40" s="1"/>
  <c r="AE71" i="40" s="1"/>
  <c r="J68" i="40"/>
  <c r="AD68" i="40" s="1"/>
  <c r="AE68" i="40" s="1"/>
  <c r="J75" i="41"/>
  <c r="AD75" i="41" s="1"/>
  <c r="J74" i="41"/>
  <c r="AD74" i="41" s="1"/>
  <c r="J68" i="41"/>
  <c r="AD68" i="41" s="1"/>
  <c r="J65" i="42"/>
  <c r="J73" i="42"/>
  <c r="AD73" i="42" s="1"/>
  <c r="AE73" i="42" s="1"/>
  <c r="J70" i="42"/>
  <c r="AD70" i="42" s="1"/>
  <c r="AE70" i="42" s="1"/>
  <c r="X184" i="42"/>
  <c r="X180" i="42"/>
  <c r="X176" i="42"/>
  <c r="X182" i="42"/>
  <c r="X178" i="42"/>
  <c r="X174" i="42"/>
  <c r="X177" i="42"/>
  <c r="X181" i="42"/>
  <c r="X173" i="42"/>
  <c r="X175" i="42"/>
  <c r="X179" i="42"/>
  <c r="X183" i="42"/>
  <c r="X183" i="41"/>
  <c r="X177" i="41"/>
  <c r="X232" i="42"/>
  <c r="X228" i="42"/>
  <c r="X224" i="42"/>
  <c r="X230" i="42"/>
  <c r="X226" i="42"/>
  <c r="X222" i="42"/>
  <c r="X225" i="42"/>
  <c r="X229" i="42"/>
  <c r="X221" i="42"/>
  <c r="X223" i="42"/>
  <c r="X227" i="42"/>
  <c r="X231" i="42"/>
  <c r="J19" i="29"/>
  <c r="N19" i="29"/>
  <c r="F50" i="29"/>
  <c r="L25" i="29"/>
  <c r="J24" i="29"/>
  <c r="N24" i="29"/>
  <c r="J28" i="29"/>
  <c r="N28" i="29"/>
  <c r="F96" i="29"/>
  <c r="K25" i="29"/>
  <c r="C101" i="29"/>
  <c r="C10" i="27"/>
  <c r="E10" i="27" s="1"/>
  <c r="J14" i="3"/>
  <c r="J19" i="3"/>
  <c r="J21" i="3"/>
  <c r="J26" i="3"/>
  <c r="J30" i="3"/>
  <c r="J48" i="3"/>
  <c r="J55" i="3"/>
  <c r="J57" i="3"/>
  <c r="J64" i="3"/>
  <c r="J72" i="3"/>
  <c r="J74" i="3"/>
  <c r="J81" i="3"/>
  <c r="J88" i="3"/>
  <c r="J90" i="3"/>
  <c r="J105" i="3"/>
  <c r="J114" i="3"/>
  <c r="J121" i="3"/>
  <c r="I17" i="7"/>
  <c r="J27" i="7"/>
  <c r="I33" i="7"/>
  <c r="I44" i="7"/>
  <c r="K44" i="7" s="1"/>
  <c r="I48" i="7"/>
  <c r="K48" i="7" s="1"/>
  <c r="I52" i="7"/>
  <c r="K52" i="7" s="1"/>
  <c r="I56" i="7"/>
  <c r="K56" i="7" s="1"/>
  <c r="I28" i="4"/>
  <c r="I35" i="4"/>
  <c r="H28" i="6"/>
  <c r="E19" i="26"/>
  <c r="X181" i="41"/>
  <c r="X178" i="41"/>
  <c r="X174" i="41"/>
  <c r="X189" i="41"/>
  <c r="J152" i="42"/>
  <c r="AD152" i="42" s="1"/>
  <c r="AE152" i="42" s="1"/>
  <c r="J104" i="40"/>
  <c r="AD104" i="40" s="1"/>
  <c r="AE104" i="40" s="1"/>
  <c r="J101" i="42"/>
  <c r="J64" i="41"/>
  <c r="AD64" i="41" s="1"/>
  <c r="J53" i="42"/>
  <c r="J57" i="42"/>
  <c r="AD57" i="42" s="1"/>
  <c r="AE57" i="42" s="1"/>
  <c r="J235" i="42"/>
  <c r="AD235" i="42" s="1"/>
  <c r="AE235" i="42" s="1"/>
  <c r="J240" i="42"/>
  <c r="AD240" i="42" s="1"/>
  <c r="AE240" i="42" s="1"/>
  <c r="AD185" i="42"/>
  <c r="AE185" i="42" s="1"/>
  <c r="J143" i="41"/>
  <c r="AD143" i="41" s="1"/>
  <c r="J146" i="41"/>
  <c r="AD146" i="41" s="1"/>
  <c r="J93" i="40"/>
  <c r="AD93" i="40" s="1"/>
  <c r="AE93" i="40" s="1"/>
  <c r="J100" i="40"/>
  <c r="AD100" i="40" s="1"/>
  <c r="AE100" i="40" s="1"/>
  <c r="J91" i="41"/>
  <c r="AD91" i="41" s="1"/>
  <c r="J95" i="42"/>
  <c r="AD95" i="42" s="1"/>
  <c r="AE95" i="42" s="1"/>
  <c r="K298" i="41"/>
  <c r="J278" i="41"/>
  <c r="AD41" i="41"/>
  <c r="AD41" i="42"/>
  <c r="AE41" i="42" s="1"/>
  <c r="J278" i="42"/>
  <c r="J222" i="42"/>
  <c r="AD222" i="42" s="1"/>
  <c r="AE222" i="42" s="1"/>
  <c r="J184" i="42"/>
  <c r="AD184" i="42" s="1"/>
  <c r="AE184" i="42" s="1"/>
  <c r="J173" i="42"/>
  <c r="J126" i="40"/>
  <c r="AD126" i="40" s="1"/>
  <c r="AE126" i="40" s="1"/>
  <c r="J127" i="41"/>
  <c r="AD127" i="41" s="1"/>
  <c r="J86" i="40"/>
  <c r="AD86" i="40" s="1"/>
  <c r="AE86" i="40" s="1"/>
  <c r="J80" i="40"/>
  <c r="AD80" i="40" s="1"/>
  <c r="AE80" i="40" s="1"/>
  <c r="J86" i="42"/>
  <c r="AD86" i="42" s="1"/>
  <c r="AE86" i="42" s="1"/>
  <c r="J266" i="42"/>
  <c r="AD266" i="42" s="1"/>
  <c r="AE266" i="42" s="1"/>
  <c r="J263" i="42"/>
  <c r="AD263" i="42" s="1"/>
  <c r="AE263" i="42" s="1"/>
  <c r="J265" i="42"/>
  <c r="AD265" i="42" s="1"/>
  <c r="AE265" i="42" s="1"/>
  <c r="J210" i="42"/>
  <c r="AD210" i="42" s="1"/>
  <c r="AE210" i="42" s="1"/>
  <c r="J216" i="42"/>
  <c r="AD216" i="42" s="1"/>
  <c r="AE216" i="42" s="1"/>
  <c r="J215" i="42"/>
  <c r="AD215" i="42" s="1"/>
  <c r="AE215" i="42" s="1"/>
  <c r="J167" i="42"/>
  <c r="AD167" i="42" s="1"/>
  <c r="AE167" i="42" s="1"/>
  <c r="J161" i="42"/>
  <c r="J163" i="42"/>
  <c r="AD163" i="42" s="1"/>
  <c r="AE163" i="42" s="1"/>
  <c r="J118" i="40"/>
  <c r="AD118" i="40" s="1"/>
  <c r="AE118" i="40" s="1"/>
  <c r="J114" i="40"/>
  <c r="AD114" i="40" s="1"/>
  <c r="AE114" i="40" s="1"/>
  <c r="J119" i="40"/>
  <c r="AD119" i="40" s="1"/>
  <c r="AE119" i="40" s="1"/>
  <c r="J70" i="40"/>
  <c r="AD70" i="40" s="1"/>
  <c r="AE70" i="40" s="1"/>
  <c r="J66" i="40"/>
  <c r="AD66" i="40" s="1"/>
  <c r="AE66" i="40" s="1"/>
  <c r="J67" i="40"/>
  <c r="AD67" i="40" s="1"/>
  <c r="AE67" i="40" s="1"/>
  <c r="J73" i="41"/>
  <c r="AD73" i="41" s="1"/>
  <c r="J65" i="41"/>
  <c r="J70" i="41"/>
  <c r="AD70" i="41" s="1"/>
  <c r="J76" i="42"/>
  <c r="AD76" i="42" s="1"/>
  <c r="AE76" i="42" s="1"/>
  <c r="J69" i="42"/>
  <c r="AD69" i="42" s="1"/>
  <c r="AE69" i="42" s="1"/>
  <c r="J71" i="42"/>
  <c r="AD71" i="42" s="1"/>
  <c r="AE71" i="42" s="1"/>
  <c r="AE149" i="41"/>
  <c r="AE163" i="41"/>
  <c r="J180" i="41"/>
  <c r="AD180" i="41" s="1"/>
  <c r="J175" i="41"/>
  <c r="AD175" i="41" s="1"/>
  <c r="J184" i="41"/>
  <c r="AD184" i="41" s="1"/>
  <c r="H193" i="41"/>
  <c r="D205" i="41"/>
  <c r="V193" i="41"/>
  <c r="F193" i="41"/>
  <c r="E193" i="41"/>
  <c r="G193" i="41"/>
  <c r="I193" i="41"/>
  <c r="X193" i="41"/>
  <c r="W193" i="41"/>
  <c r="AM193" i="41" s="1"/>
  <c r="AO193" i="41" s="1"/>
  <c r="AP193" i="41" s="1"/>
  <c r="J195" i="41"/>
  <c r="AD195" i="41" s="1"/>
  <c r="J173" i="41"/>
  <c r="J174" i="41"/>
  <c r="AD174" i="41" s="1"/>
  <c r="X186" i="41"/>
  <c r="H186" i="41"/>
  <c r="D198" i="41"/>
  <c r="G186" i="41"/>
  <c r="I186" i="41"/>
  <c r="E186" i="41"/>
  <c r="F186" i="41"/>
  <c r="V186" i="41"/>
  <c r="W186" i="41"/>
  <c r="AM186" i="41" s="1"/>
  <c r="AO186" i="41" s="1"/>
  <c r="AP186" i="41" s="1"/>
  <c r="J182" i="41"/>
  <c r="AD182" i="41" s="1"/>
  <c r="D213" i="41"/>
  <c r="F201" i="41"/>
  <c r="H201" i="41"/>
  <c r="G201" i="41"/>
  <c r="I201" i="41"/>
  <c r="E201" i="41"/>
  <c r="W201" i="41"/>
  <c r="AM201" i="41" s="1"/>
  <c r="AO201" i="41" s="1"/>
  <c r="AP201" i="41" s="1"/>
  <c r="V201" i="41"/>
  <c r="X201" i="41"/>
  <c r="X185" i="41"/>
  <c r="H185" i="41"/>
  <c r="G185" i="41"/>
  <c r="D197" i="41"/>
  <c r="I185" i="41"/>
  <c r="E185" i="41"/>
  <c r="V185" i="41"/>
  <c r="F185" i="41"/>
  <c r="W185" i="41"/>
  <c r="AM185" i="41" s="1"/>
  <c r="J178" i="41"/>
  <c r="AD178" i="41" s="1"/>
  <c r="J179" i="41"/>
  <c r="AD179" i="41" s="1"/>
  <c r="X187" i="41"/>
  <c r="H187" i="41"/>
  <c r="G187" i="41"/>
  <c r="D199" i="41"/>
  <c r="I187" i="41"/>
  <c r="E187" i="41"/>
  <c r="V187" i="41"/>
  <c r="F187" i="41"/>
  <c r="W187" i="41"/>
  <c r="AM187" i="41" s="1"/>
  <c r="AO187" i="41" s="1"/>
  <c r="AP187" i="41" s="1"/>
  <c r="J176" i="41"/>
  <c r="AD176" i="41" s="1"/>
  <c r="H192" i="41"/>
  <c r="D204" i="41"/>
  <c r="I192" i="41"/>
  <c r="G192" i="41"/>
  <c r="E192" i="41"/>
  <c r="F192" i="41"/>
  <c r="V192" i="41"/>
  <c r="X192" i="41"/>
  <c r="W192" i="41"/>
  <c r="AM192" i="41" s="1"/>
  <c r="AO192" i="41" s="1"/>
  <c r="AP192" i="41" s="1"/>
  <c r="H190" i="41"/>
  <c r="D202" i="41"/>
  <c r="I190" i="41"/>
  <c r="G190" i="41"/>
  <c r="E190" i="41"/>
  <c r="V190" i="41"/>
  <c r="F190" i="41"/>
  <c r="X190" i="41"/>
  <c r="W190" i="41"/>
  <c r="AM190" i="41" s="1"/>
  <c r="AO190" i="41" s="1"/>
  <c r="AP190" i="41" s="1"/>
  <c r="H191" i="41"/>
  <c r="D203" i="41"/>
  <c r="V191" i="41"/>
  <c r="F191" i="41"/>
  <c r="E191" i="41"/>
  <c r="G191" i="41"/>
  <c r="I191" i="41"/>
  <c r="X191" i="41"/>
  <c r="W191" i="41"/>
  <c r="AM191" i="41" s="1"/>
  <c r="AO191" i="41" s="1"/>
  <c r="AP191" i="41" s="1"/>
  <c r="X188" i="41"/>
  <c r="H188" i="41"/>
  <c r="D200" i="41"/>
  <c r="G188" i="41"/>
  <c r="I188" i="41"/>
  <c r="E188" i="41"/>
  <c r="F188" i="41"/>
  <c r="V188" i="41"/>
  <c r="W188" i="41"/>
  <c r="AM188" i="41" s="1"/>
  <c r="AO188" i="41" s="1"/>
  <c r="AP188" i="41" s="1"/>
  <c r="H196" i="41"/>
  <c r="D208" i="41"/>
  <c r="I196" i="41"/>
  <c r="G196" i="41"/>
  <c r="E196" i="41"/>
  <c r="V196" i="41"/>
  <c r="F196" i="41"/>
  <c r="X196" i="41"/>
  <c r="W196" i="41"/>
  <c r="AM196" i="41" s="1"/>
  <c r="AO196" i="41" s="1"/>
  <c r="AP196" i="41" s="1"/>
  <c r="J181" i="41"/>
  <c r="AD181" i="41" s="1"/>
  <c r="D219" i="41"/>
  <c r="F207" i="41"/>
  <c r="H207" i="41"/>
  <c r="G207" i="41"/>
  <c r="E207" i="41"/>
  <c r="I207" i="41"/>
  <c r="V207" i="41"/>
  <c r="W207" i="41"/>
  <c r="AM207" i="41" s="1"/>
  <c r="AO207" i="41" s="1"/>
  <c r="AP207" i="41" s="1"/>
  <c r="X207" i="41"/>
  <c r="J189" i="41"/>
  <c r="AD189" i="41" s="1"/>
  <c r="H194" i="41"/>
  <c r="D206" i="41"/>
  <c r="I194" i="41"/>
  <c r="G194" i="41"/>
  <c r="E194" i="41"/>
  <c r="V194" i="41"/>
  <c r="F194" i="41"/>
  <c r="X194" i="41"/>
  <c r="W194" i="41"/>
  <c r="AM194" i="41" s="1"/>
  <c r="AO194" i="41" s="1"/>
  <c r="AP194" i="41" s="1"/>
  <c r="X155" i="40"/>
  <c r="W155" i="40"/>
  <c r="AM155" i="40" s="1"/>
  <c r="AO155" i="40" s="1"/>
  <c r="AP155" i="40" s="1"/>
  <c r="V155" i="40"/>
  <c r="V152" i="40"/>
  <c r="X152" i="40"/>
  <c r="W152" i="40"/>
  <c r="AM152" i="40" s="1"/>
  <c r="AO152" i="40" s="1"/>
  <c r="AP152" i="40" s="1"/>
  <c r="V162" i="40"/>
  <c r="W162" i="40"/>
  <c r="X162" i="40"/>
  <c r="X154" i="40"/>
  <c r="W154" i="40"/>
  <c r="AM154" i="40" s="1"/>
  <c r="AO154" i="40" s="1"/>
  <c r="AP154" i="40" s="1"/>
  <c r="V154" i="40"/>
  <c r="W159" i="40"/>
  <c r="X159" i="40"/>
  <c r="V159" i="40"/>
  <c r="V161" i="40"/>
  <c r="X161" i="40"/>
  <c r="W161" i="40"/>
  <c r="W153" i="40"/>
  <c r="AM153" i="40" s="1"/>
  <c r="AO153" i="40" s="1"/>
  <c r="AP153" i="40" s="1"/>
  <c r="V153" i="40"/>
  <c r="X153" i="40"/>
  <c r="V157" i="40"/>
  <c r="W157" i="40"/>
  <c r="AM157" i="40" s="1"/>
  <c r="AO157" i="40" s="1"/>
  <c r="AP157" i="40" s="1"/>
  <c r="X157" i="40"/>
  <c r="X168" i="40"/>
  <c r="V168" i="40"/>
  <c r="W168" i="40"/>
  <c r="X160" i="40"/>
  <c r="W160" i="40"/>
  <c r="AM160" i="40" s="1"/>
  <c r="AO160" i="40" s="1"/>
  <c r="AP160" i="40" s="1"/>
  <c r="V160" i="40"/>
  <c r="X151" i="40"/>
  <c r="V151" i="40"/>
  <c r="W151" i="40"/>
  <c r="AM151" i="40" s="1"/>
  <c r="AO151" i="40" s="1"/>
  <c r="AP151" i="40" s="1"/>
  <c r="V158" i="40"/>
  <c r="W158" i="40"/>
  <c r="AM158" i="40" s="1"/>
  <c r="AO158" i="40" s="1"/>
  <c r="AP158" i="40" s="1"/>
  <c r="X158" i="40"/>
  <c r="L18" i="39"/>
  <c r="G14" i="4"/>
  <c r="D18" i="4"/>
  <c r="D24" i="4"/>
  <c r="I26" i="4"/>
  <c r="I55" i="4" s="1"/>
  <c r="D34" i="4"/>
  <c r="F23" i="4"/>
  <c r="F31" i="4"/>
  <c r="D32" i="4"/>
  <c r="F17" i="4"/>
  <c r="I32" i="4"/>
  <c r="F19" i="4"/>
  <c r="F21" i="4"/>
  <c r="F29" i="4"/>
  <c r="J142" i="40"/>
  <c r="AD142" i="40" s="1"/>
  <c r="AE142" i="40" s="1"/>
  <c r="J150" i="40"/>
  <c r="AD150" i="40" s="1"/>
  <c r="AE150" i="40" s="1"/>
  <c r="J146" i="40"/>
  <c r="AD146" i="40" s="1"/>
  <c r="AE146" i="40" s="1"/>
  <c r="R211" i="40"/>
  <c r="P211" i="40"/>
  <c r="S211" i="40"/>
  <c r="Q211" i="40"/>
  <c r="Q197" i="40"/>
  <c r="P197" i="40"/>
  <c r="S197" i="40"/>
  <c r="R197" i="40"/>
  <c r="P215" i="40"/>
  <c r="R215" i="40"/>
  <c r="S215" i="40"/>
  <c r="Q215" i="40"/>
  <c r="S204" i="40"/>
  <c r="R204" i="40"/>
  <c r="P204" i="40"/>
  <c r="Q204" i="40"/>
  <c r="R183" i="40"/>
  <c r="S183" i="40"/>
  <c r="Q183" i="40"/>
  <c r="P183" i="40"/>
  <c r="Q202" i="40"/>
  <c r="S202" i="40"/>
  <c r="P202" i="40"/>
  <c r="R202" i="40"/>
  <c r="S176" i="40"/>
  <c r="P176" i="40"/>
  <c r="Q176" i="40"/>
  <c r="R176" i="40"/>
  <c r="P174" i="40"/>
  <c r="S174" i="40"/>
  <c r="R174" i="40"/>
  <c r="Q174" i="40"/>
  <c r="P177" i="40"/>
  <c r="S177" i="40"/>
  <c r="Q177" i="40"/>
  <c r="R177" i="40"/>
  <c r="D172" i="40"/>
  <c r="F160" i="40"/>
  <c r="I160" i="40"/>
  <c r="E160" i="40"/>
  <c r="G160" i="40"/>
  <c r="H160" i="40"/>
  <c r="L164" i="40"/>
  <c r="G158" i="40"/>
  <c r="D170" i="40"/>
  <c r="E158" i="40"/>
  <c r="H158" i="40"/>
  <c r="I158" i="40"/>
  <c r="F158" i="40"/>
  <c r="J143" i="40"/>
  <c r="AD143" i="40" s="1"/>
  <c r="AE143" i="40" s="1"/>
  <c r="H155" i="40"/>
  <c r="F155" i="40"/>
  <c r="I155" i="40"/>
  <c r="G155" i="40"/>
  <c r="E155" i="40"/>
  <c r="D167" i="40"/>
  <c r="J145" i="40"/>
  <c r="AD145" i="40" s="1"/>
  <c r="AE145" i="40" s="1"/>
  <c r="D169" i="40"/>
  <c r="F157" i="40"/>
  <c r="G157" i="40"/>
  <c r="I157" i="40"/>
  <c r="E157" i="40"/>
  <c r="H157" i="40"/>
  <c r="L167" i="40"/>
  <c r="J141" i="40"/>
  <c r="AD141" i="40" s="1"/>
  <c r="AE141" i="40" s="1"/>
  <c r="H168" i="40"/>
  <c r="G168" i="40"/>
  <c r="D180" i="40"/>
  <c r="F168" i="40"/>
  <c r="I168" i="40"/>
  <c r="E168" i="40"/>
  <c r="L168" i="40"/>
  <c r="L165" i="40"/>
  <c r="L171" i="40"/>
  <c r="D174" i="40"/>
  <c r="F162" i="40"/>
  <c r="I162" i="40"/>
  <c r="E162" i="40"/>
  <c r="H162" i="40"/>
  <c r="G162" i="40"/>
  <c r="J147" i="40"/>
  <c r="AD147" i="40" s="1"/>
  <c r="AE147" i="40" s="1"/>
  <c r="L182" i="40"/>
  <c r="J148" i="40"/>
  <c r="AD148" i="40" s="1"/>
  <c r="AE148" i="40" s="1"/>
  <c r="J139" i="40"/>
  <c r="I161" i="40"/>
  <c r="E161" i="40"/>
  <c r="H161" i="40"/>
  <c r="F161" i="40"/>
  <c r="G161" i="40"/>
  <c r="D173" i="40"/>
  <c r="L172" i="40"/>
  <c r="L163" i="40"/>
  <c r="D165" i="40"/>
  <c r="F153" i="40"/>
  <c r="E153" i="40"/>
  <c r="H153" i="40"/>
  <c r="I153" i="40"/>
  <c r="G153" i="40"/>
  <c r="D164" i="40"/>
  <c r="I152" i="40"/>
  <c r="E152" i="40"/>
  <c r="H152" i="40"/>
  <c r="F152" i="40"/>
  <c r="G152" i="40"/>
  <c r="F151" i="40"/>
  <c r="H151" i="40"/>
  <c r="I151" i="40"/>
  <c r="D163" i="40"/>
  <c r="G151" i="40"/>
  <c r="E151" i="40"/>
  <c r="G154" i="40"/>
  <c r="D166" i="40"/>
  <c r="I154" i="40"/>
  <c r="F154" i="40"/>
  <c r="H154" i="40"/>
  <c r="E154" i="40"/>
  <c r="H159" i="40"/>
  <c r="D171" i="40"/>
  <c r="G159" i="40"/>
  <c r="E159" i="40"/>
  <c r="I159" i="40"/>
  <c r="F159" i="40"/>
  <c r="L162" i="40"/>
  <c r="J156" i="40"/>
  <c r="AD156" i="40" s="1"/>
  <c r="AE156" i="40" s="1"/>
  <c r="J140" i="40"/>
  <c r="AD140" i="40" s="1"/>
  <c r="AE140" i="40" s="1"/>
  <c r="L161" i="40"/>
  <c r="L178" i="40"/>
  <c r="J149" i="40"/>
  <c r="L169" i="40"/>
  <c r="T13" i="17"/>
  <c r="T13" i="2"/>
  <c r="T27" i="2"/>
  <c r="T27" i="17"/>
  <c r="T31" i="2"/>
  <c r="T31" i="17"/>
  <c r="T14" i="17"/>
  <c r="T14" i="2"/>
  <c r="T28" i="2"/>
  <c r="T28" i="17"/>
  <c r="T32" i="2"/>
  <c r="T32" i="17"/>
  <c r="T11" i="2"/>
  <c r="T11" i="17"/>
  <c r="T15" i="2"/>
  <c r="T15" i="17"/>
  <c r="T29" i="17"/>
  <c r="T29" i="2"/>
  <c r="T12" i="2"/>
  <c r="T12" i="17"/>
  <c r="T26" i="17"/>
  <c r="T26" i="2"/>
  <c r="T30" i="17"/>
  <c r="T30" i="2"/>
  <c r="E16" i="39"/>
  <c r="L16" i="39"/>
  <c r="E17" i="39"/>
  <c r="L19" i="39"/>
  <c r="L20" i="39"/>
  <c r="L27" i="31"/>
  <c r="K31" i="31"/>
  <c r="K32" i="31"/>
  <c r="E28" i="39"/>
  <c r="L28" i="39"/>
  <c r="L31" i="39"/>
  <c r="E32" i="39"/>
  <c r="L15" i="31"/>
  <c r="K298" i="38"/>
  <c r="D19" i="36"/>
  <c r="H19" i="36" s="1"/>
  <c r="D36" i="36"/>
  <c r="G36" i="36" s="1"/>
  <c r="D39" i="36"/>
  <c r="D43" i="36"/>
  <c r="D51" i="36"/>
  <c r="E51" i="36" s="1"/>
  <c r="D63" i="36"/>
  <c r="I63" i="36" s="1"/>
  <c r="D75" i="36"/>
  <c r="I75" i="36" s="1"/>
  <c r="D87" i="36"/>
  <c r="I87" i="36" s="1"/>
  <c r="D99" i="36"/>
  <c r="E99" i="36" s="1"/>
  <c r="D16" i="36"/>
  <c r="D31" i="36"/>
  <c r="I31" i="36" s="1"/>
  <c r="D6" i="36"/>
  <c r="G6" i="36" s="1"/>
  <c r="D10" i="36"/>
  <c r="D14" i="36"/>
  <c r="I14" i="36" s="1"/>
  <c r="D17" i="36"/>
  <c r="H17" i="36" s="1"/>
  <c r="D21" i="36"/>
  <c r="I21" i="36" s="1"/>
  <c r="D25" i="36"/>
  <c r="H25" i="36" s="1"/>
  <c r="D29" i="36"/>
  <c r="G29" i="36" s="1"/>
  <c r="D33" i="36"/>
  <c r="G33" i="36" s="1"/>
  <c r="D37" i="36"/>
  <c r="D41" i="36"/>
  <c r="I41" i="36" s="1"/>
  <c r="D45" i="36"/>
  <c r="I45" i="36" s="1"/>
  <c r="D49" i="36"/>
  <c r="E49" i="36" s="1"/>
  <c r="D53" i="36"/>
  <c r="G53" i="36" s="1"/>
  <c r="D57" i="36"/>
  <c r="I57" i="36" s="1"/>
  <c r="D89" i="36"/>
  <c r="E89" i="36" s="1"/>
  <c r="D4" i="36"/>
  <c r="D7" i="36"/>
  <c r="D11" i="36"/>
  <c r="G11" i="36" s="1"/>
  <c r="D24" i="36"/>
  <c r="G24" i="36" s="1"/>
  <c r="D18" i="36"/>
  <c r="E18" i="36" s="1"/>
  <c r="D22" i="36"/>
  <c r="H22" i="36" s="1"/>
  <c r="D26" i="36"/>
  <c r="H26" i="36" s="1"/>
  <c r="D30" i="36"/>
  <c r="H30" i="36" s="1"/>
  <c r="D34" i="36"/>
  <c r="E34" i="36" s="1"/>
  <c r="D38" i="36"/>
  <c r="E38" i="36" s="1"/>
  <c r="D42" i="36"/>
  <c r="D46" i="36"/>
  <c r="D50" i="36"/>
  <c r="D54" i="36"/>
  <c r="E54" i="36" s="1"/>
  <c r="D23" i="36"/>
  <c r="I23" i="36" s="1"/>
  <c r="D35" i="36"/>
  <c r="I35" i="36" s="1"/>
  <c r="D47" i="36"/>
  <c r="I47" i="36" s="1"/>
  <c r="D5" i="36"/>
  <c r="I5" i="36" s="1"/>
  <c r="D9" i="36"/>
  <c r="D13" i="36"/>
  <c r="D56" i="36"/>
  <c r="G56" i="36" s="1"/>
  <c r="D5" i="38"/>
  <c r="F5" i="38" s="1"/>
  <c r="T110" i="36"/>
  <c r="T108" i="36"/>
  <c r="T126" i="36"/>
  <c r="T124" i="36"/>
  <c r="T103" i="36"/>
  <c r="T131" i="36"/>
  <c r="T102" i="36"/>
  <c r="T109" i="36"/>
  <c r="T125" i="36"/>
  <c r="T177" i="36"/>
  <c r="L15" i="39"/>
  <c r="L27" i="39"/>
  <c r="M28" i="39"/>
  <c r="M30" i="39"/>
  <c r="M31" i="39"/>
  <c r="L32" i="39"/>
  <c r="T45" i="36"/>
  <c r="T99" i="36"/>
  <c r="T107" i="36"/>
  <c r="T123" i="36"/>
  <c r="T176" i="36"/>
  <c r="K19" i="39"/>
  <c r="E20" i="39"/>
  <c r="E30" i="39"/>
  <c r="K32" i="39"/>
  <c r="M32" i="39" s="1"/>
  <c r="K23" i="31"/>
  <c r="M23" i="31" s="1"/>
  <c r="T42" i="36"/>
  <c r="T50" i="36"/>
  <c r="T43" i="36"/>
  <c r="T44" i="36"/>
  <c r="T106" i="36"/>
  <c r="T134" i="36"/>
  <c r="T173" i="36"/>
  <c r="T181" i="36"/>
  <c r="K15" i="39"/>
  <c r="K20" i="39"/>
  <c r="M20" i="39" s="1"/>
  <c r="K22" i="39"/>
  <c r="M22" i="39" s="1"/>
  <c r="K23" i="39"/>
  <c r="E24" i="39"/>
  <c r="L24" i="39"/>
  <c r="E31" i="31"/>
  <c r="E32" i="31"/>
  <c r="L32" i="31"/>
  <c r="E33" i="31"/>
  <c r="L16" i="31"/>
  <c r="M19" i="39"/>
  <c r="M27" i="39"/>
  <c r="K15" i="31"/>
  <c r="K18" i="31"/>
  <c r="E24" i="31"/>
  <c r="L24" i="31"/>
  <c r="L31" i="31"/>
  <c r="E16" i="31"/>
  <c r="T51" i="36"/>
  <c r="T54" i="36"/>
  <c r="T56" i="36"/>
  <c r="T57" i="36"/>
  <c r="T59" i="36"/>
  <c r="T62" i="36"/>
  <c r="E15" i="39"/>
  <c r="E18" i="39"/>
  <c r="E21" i="39"/>
  <c r="L21" i="39"/>
  <c r="E25" i="39"/>
  <c r="L25" i="39"/>
  <c r="E29" i="39"/>
  <c r="L29" i="39"/>
  <c r="E33" i="39"/>
  <c r="L33" i="39"/>
  <c r="L19" i="31"/>
  <c r="E21" i="31"/>
  <c r="K26" i="31"/>
  <c r="K16" i="39"/>
  <c r="L17" i="39"/>
  <c r="E19" i="39"/>
  <c r="K21" i="39"/>
  <c r="M21" i="39" s="1"/>
  <c r="L22" i="39"/>
  <c r="E23" i="39"/>
  <c r="K25" i="39"/>
  <c r="M25" i="39" s="1"/>
  <c r="L26" i="39"/>
  <c r="E27" i="39"/>
  <c r="K29" i="39"/>
  <c r="M29" i="39" s="1"/>
  <c r="L30" i="39"/>
  <c r="E31" i="39"/>
  <c r="M33" i="39"/>
  <c r="E17" i="31"/>
  <c r="L26" i="31"/>
  <c r="E30" i="31"/>
  <c r="L33" i="31"/>
  <c r="T87" i="36"/>
  <c r="T122" i="36"/>
  <c r="T142" i="36"/>
  <c r="T209" i="36"/>
  <c r="E23" i="26"/>
  <c r="E14" i="26"/>
  <c r="E18" i="26"/>
  <c r="E24" i="26"/>
  <c r="E27" i="26"/>
  <c r="E26" i="26"/>
  <c r="E30" i="26"/>
  <c r="D24" i="26"/>
  <c r="D13" i="26"/>
  <c r="D14" i="26"/>
  <c r="D26" i="26" s="1"/>
  <c r="E16" i="26"/>
  <c r="D28" i="26" s="1"/>
  <c r="E17" i="26"/>
  <c r="D29" i="26" s="1"/>
  <c r="D18" i="26"/>
  <c r="D30" i="26" s="1"/>
  <c r="E20" i="26"/>
  <c r="E21" i="26"/>
  <c r="H21" i="26" s="1"/>
  <c r="H22" i="26" s="1"/>
  <c r="D22" i="26"/>
  <c r="D23" i="26"/>
  <c r="E25" i="26"/>
  <c r="D15" i="26"/>
  <c r="D27" i="26" s="1"/>
  <c r="D19" i="26"/>
  <c r="E28" i="26"/>
  <c r="I18" i="6"/>
  <c r="C19" i="6"/>
  <c r="H19" i="6" s="1"/>
  <c r="C29" i="6"/>
  <c r="G13" i="5"/>
  <c r="F21" i="5"/>
  <c r="F24" i="5"/>
  <c r="G11" i="5"/>
  <c r="F19" i="5"/>
  <c r="F17" i="5"/>
  <c r="F26" i="5"/>
  <c r="F32" i="5"/>
  <c r="G15" i="5"/>
  <c r="F29" i="5"/>
  <c r="E19" i="5"/>
  <c r="E25" i="5"/>
  <c r="F27" i="5"/>
  <c r="F31" i="5"/>
  <c r="F23" i="5"/>
  <c r="F30" i="5"/>
  <c r="G12" i="5"/>
  <c r="E24" i="5"/>
  <c r="E16" i="5"/>
  <c r="F18" i="5"/>
  <c r="F20" i="5"/>
  <c r="F22" i="5"/>
  <c r="E32" i="5" s="1"/>
  <c r="F25" i="5"/>
  <c r="E18" i="5"/>
  <c r="E21" i="5"/>
  <c r="E23" i="5"/>
  <c r="F28" i="5"/>
  <c r="I110" i="4"/>
  <c r="I81" i="4"/>
  <c r="I52" i="4"/>
  <c r="H43" i="4"/>
  <c r="I86" i="4"/>
  <c r="I57" i="4"/>
  <c r="I90" i="4"/>
  <c r="I119" i="4"/>
  <c r="E73" i="4"/>
  <c r="E15" i="4"/>
  <c r="F15" i="4"/>
  <c r="I112" i="4"/>
  <c r="I83" i="4"/>
  <c r="I120" i="4"/>
  <c r="I91" i="4"/>
  <c r="I62" i="4"/>
  <c r="I115" i="4"/>
  <c r="K14" i="4"/>
  <c r="I82" i="4"/>
  <c r="I111" i="4"/>
  <c r="I53" i="4"/>
  <c r="I31" i="4"/>
  <c r="I54" i="4"/>
  <c r="I61" i="4"/>
  <c r="I114" i="4"/>
  <c r="I85" i="4"/>
  <c r="I122" i="4"/>
  <c r="I64" i="4"/>
  <c r="I93" i="4"/>
  <c r="D93" i="4"/>
  <c r="D89" i="4"/>
  <c r="D85" i="4"/>
  <c r="D91" i="4"/>
  <c r="D87" i="4"/>
  <c r="D83" i="4"/>
  <c r="D92" i="4"/>
  <c r="D79" i="4"/>
  <c r="D75" i="4"/>
  <c r="D90" i="4"/>
  <c r="D78" i="4"/>
  <c r="D74" i="4"/>
  <c r="D88" i="4"/>
  <c r="D81" i="4"/>
  <c r="D77" i="4"/>
  <c r="D72" i="4"/>
  <c r="D84" i="4"/>
  <c r="D73" i="4"/>
  <c r="H14" i="4"/>
  <c r="I84" i="4"/>
  <c r="D80" i="4"/>
  <c r="I109" i="4"/>
  <c r="I80" i="4"/>
  <c r="I51" i="4"/>
  <c r="F25" i="4"/>
  <c r="I116" i="4"/>
  <c r="I87" i="4"/>
  <c r="I30" i="4"/>
  <c r="E33" i="4"/>
  <c r="I92" i="4"/>
  <c r="I121" i="4"/>
  <c r="I63" i="4"/>
  <c r="F32" i="4"/>
  <c r="I56" i="4"/>
  <c r="D86" i="4"/>
  <c r="D20" i="4"/>
  <c r="D23" i="4"/>
  <c r="D25" i="4"/>
  <c r="D27" i="4"/>
  <c r="D29" i="4"/>
  <c r="D31" i="4"/>
  <c r="D33" i="4"/>
  <c r="D35" i="4"/>
  <c r="E23" i="4"/>
  <c r="J23" i="4" s="1"/>
  <c r="D23" i="7"/>
  <c r="D19" i="7"/>
  <c r="D25" i="7"/>
  <c r="D21" i="7"/>
  <c r="D17" i="7"/>
  <c r="D16" i="7"/>
  <c r="D15" i="7"/>
  <c r="D14" i="7"/>
  <c r="D13" i="7"/>
  <c r="I20" i="7"/>
  <c r="E20" i="7"/>
  <c r="I28" i="7"/>
  <c r="E28" i="7"/>
  <c r="D12" i="7"/>
  <c r="I12" i="7"/>
  <c r="E13" i="7"/>
  <c r="D18" i="7"/>
  <c r="D24" i="7"/>
  <c r="E29" i="7"/>
  <c r="I42" i="7"/>
  <c r="K42" i="7" s="1"/>
  <c r="I46" i="7"/>
  <c r="K46" i="7" s="1"/>
  <c r="I50" i="7"/>
  <c r="K50" i="7" s="1"/>
  <c r="I54" i="7"/>
  <c r="K54" i="7" s="1"/>
  <c r="I58" i="7"/>
  <c r="K58" i="7" s="1"/>
  <c r="I24" i="7"/>
  <c r="E24" i="7"/>
  <c r="I32" i="7"/>
  <c r="E32" i="7"/>
  <c r="E21" i="7"/>
  <c r="D22" i="7"/>
  <c r="J28" i="7"/>
  <c r="J32" i="7"/>
  <c r="I18" i="7"/>
  <c r="E18" i="7"/>
  <c r="I22" i="7"/>
  <c r="E22" i="7"/>
  <c r="D31" i="7"/>
  <c r="D27" i="7"/>
  <c r="D33" i="7"/>
  <c r="D29" i="7"/>
  <c r="I26" i="7"/>
  <c r="E26" i="7"/>
  <c r="I30" i="7"/>
  <c r="E30" i="7"/>
  <c r="I41" i="7"/>
  <c r="K41" i="7" s="1"/>
  <c r="I45" i="7"/>
  <c r="K45" i="7" s="1"/>
  <c r="I49" i="7"/>
  <c r="K49" i="7" s="1"/>
  <c r="I53" i="7"/>
  <c r="K53" i="7" s="1"/>
  <c r="I55" i="7"/>
  <c r="K55" i="7" s="1"/>
  <c r="F20" i="1"/>
  <c r="F11" i="1"/>
  <c r="D11" i="1"/>
  <c r="F14" i="1"/>
  <c r="F23" i="1"/>
  <c r="C14" i="27"/>
  <c r="F15" i="27" s="1"/>
  <c r="D11" i="27"/>
  <c r="Q21" i="36"/>
  <c r="Q26" i="36"/>
  <c r="Q19" i="36"/>
  <c r="P15" i="27"/>
  <c r="Q15" i="27" s="1"/>
  <c r="Q15" i="36"/>
  <c r="P11" i="27"/>
  <c r="Q11" i="27" s="1"/>
  <c r="C22" i="27"/>
  <c r="C30" i="27"/>
  <c r="Q75" i="36"/>
  <c r="Q76" i="36"/>
  <c r="Q81" i="36"/>
  <c r="Q82" i="36"/>
  <c r="Q85" i="36"/>
  <c r="Q86" i="36"/>
  <c r="P19" i="27"/>
  <c r="Q19" i="27" s="1"/>
  <c r="C18" i="27"/>
  <c r="C26" i="27"/>
  <c r="C12" i="27"/>
  <c r="C16" i="27"/>
  <c r="C20" i="27"/>
  <c r="C24" i="27"/>
  <c r="C28" i="27"/>
  <c r="C32" i="27"/>
  <c r="P14" i="27"/>
  <c r="Q14" i="27" s="1"/>
  <c r="P18" i="27"/>
  <c r="Q18" i="27" s="1"/>
  <c r="C13" i="27"/>
  <c r="C17" i="27"/>
  <c r="C19" i="27"/>
  <c r="C21" i="27"/>
  <c r="C23" i="27"/>
  <c r="C25" i="27"/>
  <c r="C27" i="27"/>
  <c r="C29" i="27"/>
  <c r="C31" i="27"/>
  <c r="F10" i="28"/>
  <c r="H10" i="28"/>
  <c r="C11" i="28"/>
  <c r="F18" i="29"/>
  <c r="I22" i="29"/>
  <c r="G22" i="29" s="1"/>
  <c r="I23" i="29"/>
  <c r="G76" i="29"/>
  <c r="I26" i="29"/>
  <c r="D27" i="29"/>
  <c r="C27" i="29" s="1"/>
  <c r="G77" i="29"/>
  <c r="C94" i="29"/>
  <c r="B19" i="29"/>
  <c r="F14" i="29"/>
  <c r="I18" i="29"/>
  <c r="G18" i="29" s="1"/>
  <c r="D23" i="29"/>
  <c r="C23" i="29" s="1"/>
  <c r="H25" i="29"/>
  <c r="F25" i="29" s="1"/>
  <c r="C35" i="29"/>
  <c r="D10" i="29"/>
  <c r="C10" i="29" s="1"/>
  <c r="C65" i="29"/>
  <c r="C73" i="29"/>
  <c r="F85" i="29"/>
  <c r="E85" i="29" s="1"/>
  <c r="E86" i="29" s="1"/>
  <c r="E87" i="29" s="1"/>
  <c r="E88" i="29" s="1"/>
  <c r="E89" i="29" s="1"/>
  <c r="E90" i="29" s="1"/>
  <c r="E91" i="29" s="1"/>
  <c r="E92" i="29" s="1"/>
  <c r="E93" i="29" s="1"/>
  <c r="E94" i="29" s="1"/>
  <c r="E95" i="29" s="1"/>
  <c r="E96" i="29" s="1"/>
  <c r="E97" i="29" s="1"/>
  <c r="E98" i="29" s="1"/>
  <c r="E99" i="29" s="1"/>
  <c r="E100" i="29" s="1"/>
  <c r="E101" i="29" s="1"/>
  <c r="E102" i="29" s="1"/>
  <c r="E103" i="29" s="1"/>
  <c r="E104" i="29" s="1"/>
  <c r="H10" i="29"/>
  <c r="F10" i="29" s="1"/>
  <c r="E10" i="29" s="1"/>
  <c r="E11" i="29" s="1"/>
  <c r="E12" i="29" s="1"/>
  <c r="E13" i="29" s="1"/>
  <c r="E14" i="29" s="1"/>
  <c r="E15" i="29" s="1"/>
  <c r="E16" i="29" s="1"/>
  <c r="E17" i="29" s="1"/>
  <c r="E18" i="29" s="1"/>
  <c r="E19" i="29" s="1"/>
  <c r="E20" i="29" s="1"/>
  <c r="E21" i="29" s="1"/>
  <c r="E22" i="29" s="1"/>
  <c r="E23" i="29" s="1"/>
  <c r="E24" i="29" s="1"/>
  <c r="E25" i="29" s="1"/>
  <c r="E26" i="29" s="1"/>
  <c r="E27" i="29" s="1"/>
  <c r="E28" i="29" s="1"/>
  <c r="E29" i="29" s="1"/>
  <c r="C87" i="29"/>
  <c r="D12" i="29"/>
  <c r="C89" i="29"/>
  <c r="C90" i="29"/>
  <c r="C93" i="29"/>
  <c r="B18" i="29"/>
  <c r="C18" i="29" s="1"/>
  <c r="C103" i="29"/>
  <c r="D28" i="29"/>
  <c r="C28" i="29" s="1"/>
  <c r="F36" i="29"/>
  <c r="H11" i="29"/>
  <c r="F11" i="29" s="1"/>
  <c r="F38" i="29"/>
  <c r="H13" i="29"/>
  <c r="F13" i="29" s="1"/>
  <c r="G40" i="29"/>
  <c r="I15" i="29"/>
  <c r="G15" i="29" s="1"/>
  <c r="F42" i="29"/>
  <c r="H17" i="29"/>
  <c r="F17" i="29" s="1"/>
  <c r="G44" i="29"/>
  <c r="I19" i="29"/>
  <c r="F46" i="29"/>
  <c r="H21" i="29"/>
  <c r="F21" i="29" s="1"/>
  <c r="G52" i="29"/>
  <c r="I27" i="29"/>
  <c r="G27" i="29" s="1"/>
  <c r="F54" i="29"/>
  <c r="H29" i="29"/>
  <c r="F29" i="29" s="1"/>
  <c r="B22" i="29"/>
  <c r="C22" i="29" s="1"/>
  <c r="C97" i="29"/>
  <c r="C14" i="29"/>
  <c r="C17" i="29"/>
  <c r="D19" i="29"/>
  <c r="C19" i="29" s="1"/>
  <c r="G35" i="29"/>
  <c r="I10" i="29"/>
  <c r="G10" i="29" s="1"/>
  <c r="G36" i="29"/>
  <c r="I11" i="29"/>
  <c r="G11" i="29" s="1"/>
  <c r="F37" i="29"/>
  <c r="H12" i="29"/>
  <c r="F12" i="29" s="1"/>
  <c r="F41" i="29"/>
  <c r="H16" i="29"/>
  <c r="F45" i="29"/>
  <c r="H20" i="29"/>
  <c r="F20" i="29" s="1"/>
  <c r="F49" i="29"/>
  <c r="H24" i="29"/>
  <c r="F24" i="29" s="1"/>
  <c r="C69" i="29"/>
  <c r="F76" i="29"/>
  <c r="H26" i="29"/>
  <c r="C77" i="29"/>
  <c r="C91" i="29"/>
  <c r="D16" i="29"/>
  <c r="C95" i="29"/>
  <c r="D20" i="29"/>
  <c r="C102" i="29"/>
  <c r="G37" i="29"/>
  <c r="G41" i="29"/>
  <c r="G45" i="29"/>
  <c r="G49" i="29"/>
  <c r="G53" i="29"/>
  <c r="B25" i="29"/>
  <c r="C25" i="29" s="1"/>
  <c r="C75" i="29"/>
  <c r="C76" i="29"/>
  <c r="D26" i="29"/>
  <c r="C26" i="29" s="1"/>
  <c r="G86" i="29"/>
  <c r="F87" i="29"/>
  <c r="F91" i="29"/>
  <c r="F95" i="29"/>
  <c r="F99" i="29"/>
  <c r="F103" i="29"/>
  <c r="C98" i="29"/>
  <c r="G24" i="29"/>
  <c r="F35" i="29"/>
  <c r="E35" i="29" s="1"/>
  <c r="E36" i="29" s="1"/>
  <c r="E37" i="29" s="1"/>
  <c r="E38" i="29" s="1"/>
  <c r="E39" i="29" s="1"/>
  <c r="E40" i="29" s="1"/>
  <c r="E41" i="29" s="1"/>
  <c r="E42" i="29" s="1"/>
  <c r="E43" i="29" s="1"/>
  <c r="E44" i="29" s="1"/>
  <c r="E45" i="29" s="1"/>
  <c r="E46" i="29" s="1"/>
  <c r="E47" i="29" s="1"/>
  <c r="E48" i="29" s="1"/>
  <c r="E49" i="29" s="1"/>
  <c r="E50" i="29" s="1"/>
  <c r="E51" i="29" s="1"/>
  <c r="E52" i="29" s="1"/>
  <c r="E53" i="29" s="1"/>
  <c r="E54" i="29" s="1"/>
  <c r="F65" i="29"/>
  <c r="F69" i="29"/>
  <c r="F73" i="29"/>
  <c r="G75" i="29"/>
  <c r="I25" i="29"/>
  <c r="G25" i="29" s="1"/>
  <c r="F77" i="29"/>
  <c r="H27" i="29"/>
  <c r="F27" i="29" s="1"/>
  <c r="G79" i="29"/>
  <c r="I29" i="29"/>
  <c r="G29" i="29" s="1"/>
  <c r="G87" i="29"/>
  <c r="G91" i="29"/>
  <c r="G95" i="29"/>
  <c r="G99" i="29"/>
  <c r="G103" i="29"/>
  <c r="L12" i="30"/>
  <c r="N12" i="30" s="1"/>
  <c r="C13" i="30"/>
  <c r="D20" i="32"/>
  <c r="D21" i="32" s="1"/>
  <c r="D22" i="32" s="1"/>
  <c r="D23" i="32" s="1"/>
  <c r="D24" i="32" s="1"/>
  <c r="D25" i="32" s="1"/>
  <c r="D26" i="32" s="1"/>
  <c r="D27" i="32" s="1"/>
  <c r="D28" i="32" s="1"/>
  <c r="D29" i="32" s="1"/>
  <c r="D30" i="32" s="1"/>
  <c r="D31" i="32" s="1"/>
  <c r="D32" i="32" s="1"/>
  <c r="D33" i="32" s="1"/>
  <c r="T64" i="36"/>
  <c r="T68" i="36"/>
  <c r="T72" i="36"/>
  <c r="T81" i="36"/>
  <c r="T39" i="36"/>
  <c r="T46" i="36"/>
  <c r="T47" i="36"/>
  <c r="T52" i="36"/>
  <c r="T55" i="36"/>
  <c r="T60" i="36"/>
  <c r="T63" i="36"/>
  <c r="T66" i="36"/>
  <c r="T67" i="36"/>
  <c r="T70" i="36"/>
  <c r="T71" i="36"/>
  <c r="T74" i="36"/>
  <c r="T75" i="36"/>
  <c r="T84" i="36"/>
  <c r="T130" i="36"/>
  <c r="T128" i="36"/>
  <c r="T65" i="36"/>
  <c r="T69" i="36"/>
  <c r="T77" i="36"/>
  <c r="T80" i="36"/>
  <c r="T86" i="36"/>
  <c r="T114" i="36"/>
  <c r="T120" i="36"/>
  <c r="T112" i="36"/>
  <c r="T40" i="36"/>
  <c r="T41" i="36"/>
  <c r="T48" i="36"/>
  <c r="T49" i="36"/>
  <c r="T53" i="36"/>
  <c r="T58" i="36"/>
  <c r="T61" i="36"/>
  <c r="T115" i="36"/>
  <c r="T116" i="36"/>
  <c r="T135" i="36"/>
  <c r="T138" i="36"/>
  <c r="T139" i="36"/>
  <c r="T148" i="36"/>
  <c r="T149" i="36"/>
  <c r="T152" i="36"/>
  <c r="T153" i="36"/>
  <c r="T156" i="36"/>
  <c r="T157" i="36"/>
  <c r="T160" i="36"/>
  <c r="T161" i="36"/>
  <c r="T164" i="36"/>
  <c r="T165" i="36"/>
  <c r="T168" i="36"/>
  <c r="T169" i="36"/>
  <c r="T184" i="36"/>
  <c r="T185" i="36"/>
  <c r="T188" i="36"/>
  <c r="T189" i="36"/>
  <c r="T192" i="36"/>
  <c r="T193" i="36"/>
  <c r="T196" i="36"/>
  <c r="T197" i="36"/>
  <c r="T200" i="36"/>
  <c r="T201" i="36"/>
  <c r="T204" i="36"/>
  <c r="T205" i="36"/>
  <c r="T78" i="36"/>
  <c r="T79" i="36"/>
  <c r="T82" i="36"/>
  <c r="T85" i="36"/>
  <c r="T100" i="36"/>
  <c r="T101" i="36"/>
  <c r="T104" i="36"/>
  <c r="T105" i="36"/>
  <c r="T111" i="36"/>
  <c r="T119" i="36"/>
  <c r="T127" i="36"/>
  <c r="T132" i="36"/>
  <c r="T133" i="36"/>
  <c r="T136" i="36"/>
  <c r="T137" i="36"/>
  <c r="T146" i="36"/>
  <c r="T147" i="36"/>
  <c r="T150" i="36"/>
  <c r="T151" i="36"/>
  <c r="T154" i="36"/>
  <c r="T155" i="36"/>
  <c r="T158" i="36"/>
  <c r="T159" i="36"/>
  <c r="T162" i="36"/>
  <c r="T163" i="36"/>
  <c r="T166" i="36"/>
  <c r="T167" i="36"/>
  <c r="T170" i="36"/>
  <c r="T171" i="36"/>
  <c r="T174" i="36"/>
  <c r="T175" i="36"/>
  <c r="T178" i="36"/>
  <c r="T179" i="36"/>
  <c r="T182" i="36"/>
  <c r="T183" i="36"/>
  <c r="T186" i="36"/>
  <c r="T187" i="36"/>
  <c r="T190" i="36"/>
  <c r="T191" i="36"/>
  <c r="T194" i="36"/>
  <c r="T195" i="36"/>
  <c r="T198" i="36"/>
  <c r="T199" i="36"/>
  <c r="T202" i="36"/>
  <c r="T203" i="36"/>
  <c r="T206" i="36"/>
  <c r="T73" i="36"/>
  <c r="T76" i="36"/>
  <c r="T83" i="36"/>
  <c r="T113" i="36"/>
  <c r="T121" i="36"/>
  <c r="T129" i="36"/>
  <c r="T140" i="36"/>
  <c r="T141" i="36"/>
  <c r="T144" i="36"/>
  <c r="T145" i="36"/>
  <c r="T215" i="36"/>
  <c r="L17" i="31"/>
  <c r="E19" i="31"/>
  <c r="K20" i="31"/>
  <c r="K25" i="31"/>
  <c r="K28" i="31"/>
  <c r="E15" i="31"/>
  <c r="L21" i="31"/>
  <c r="K22" i="31"/>
  <c r="E29" i="31"/>
  <c r="L29" i="31"/>
  <c r="L25" i="31"/>
  <c r="K30" i="31"/>
  <c r="K17" i="31"/>
  <c r="E22" i="31"/>
  <c r="E27" i="31"/>
  <c r="K16" i="31"/>
  <c r="E18" i="31"/>
  <c r="K19" i="31"/>
  <c r="E20" i="31"/>
  <c r="L20" i="31"/>
  <c r="K21" i="31"/>
  <c r="L22" i="31"/>
  <c r="E23" i="31"/>
  <c r="K24" i="31"/>
  <c r="E26" i="31"/>
  <c r="K27" i="31"/>
  <c r="E28" i="31"/>
  <c r="L28" i="31"/>
  <c r="K29" i="31"/>
  <c r="L30" i="31"/>
  <c r="K33" i="31"/>
  <c r="D6" i="38"/>
  <c r="F6" i="38" s="1"/>
  <c r="D7" i="38"/>
  <c r="F7" i="38" s="1"/>
  <c r="D8" i="38"/>
  <c r="F8" i="38" s="1"/>
  <c r="D9" i="38"/>
  <c r="F9" i="38" s="1"/>
  <c r="D10" i="38"/>
  <c r="F10" i="38" s="1"/>
  <c r="D11" i="38"/>
  <c r="F11" i="38" s="1"/>
  <c r="D12" i="38"/>
  <c r="F12" i="38" s="1"/>
  <c r="D13" i="38"/>
  <c r="F13" i="38" s="1"/>
  <c r="D14" i="38"/>
  <c r="F14" i="38" s="1"/>
  <c r="D15" i="38"/>
  <c r="F15" i="38" s="1"/>
  <c r="D16" i="38"/>
  <c r="F16" i="38" s="1"/>
  <c r="AB287" i="38"/>
  <c r="AB282" i="38"/>
  <c r="AB284" i="38"/>
  <c r="AB280" i="38"/>
  <c r="AB281" i="38"/>
  <c r="AB283" i="38"/>
  <c r="AB285" i="38"/>
  <c r="AB286" i="38"/>
  <c r="AB288" i="38"/>
  <c r="AB289" i="38"/>
  <c r="H24" i="36"/>
  <c r="C135" i="36"/>
  <c r="C147" i="36" s="1"/>
  <c r="C159" i="36" s="1"/>
  <c r="C171" i="36" s="1"/>
  <c r="C183" i="36" s="1"/>
  <c r="C195" i="36" s="1"/>
  <c r="C207" i="36" s="1"/>
  <c r="C219" i="36" s="1"/>
  <c r="C231" i="36" s="1"/>
  <c r="C243" i="36" s="1"/>
  <c r="C255" i="36" s="1"/>
  <c r="C139" i="36"/>
  <c r="C151" i="36" s="1"/>
  <c r="C163" i="36" s="1"/>
  <c r="C175" i="36" s="1"/>
  <c r="C187" i="36" s="1"/>
  <c r="C199" i="36" s="1"/>
  <c r="C211" i="36" s="1"/>
  <c r="C223" i="36" s="1"/>
  <c r="C235" i="36" s="1"/>
  <c r="C247" i="36" s="1"/>
  <c r="C259" i="36" s="1"/>
  <c r="D8" i="36"/>
  <c r="D20" i="36"/>
  <c r="D32" i="36"/>
  <c r="D40" i="36"/>
  <c r="D44" i="36"/>
  <c r="D52" i="36"/>
  <c r="D58" i="36"/>
  <c r="D61" i="36"/>
  <c r="D67" i="36"/>
  <c r="D73" i="36"/>
  <c r="D77" i="36"/>
  <c r="D83" i="36"/>
  <c r="D85" i="36"/>
  <c r="D91" i="36"/>
  <c r="D95" i="36"/>
  <c r="D103" i="36"/>
  <c r="D105" i="36"/>
  <c r="D107" i="36"/>
  <c r="D109" i="36"/>
  <c r="C121" i="36"/>
  <c r="C133" i="36" s="1"/>
  <c r="C138" i="36"/>
  <c r="C150" i="36" s="1"/>
  <c r="C162" i="36" s="1"/>
  <c r="C174" i="36" s="1"/>
  <c r="C186" i="36" s="1"/>
  <c r="C198" i="36" s="1"/>
  <c r="C210" i="36" s="1"/>
  <c r="C222" i="36" s="1"/>
  <c r="C234" i="36" s="1"/>
  <c r="C246" i="36" s="1"/>
  <c r="C258" i="36" s="1"/>
  <c r="D55" i="36"/>
  <c r="D12" i="36"/>
  <c r="D48" i="36"/>
  <c r="D69" i="36"/>
  <c r="D81" i="36"/>
  <c r="D93" i="36"/>
  <c r="D97" i="36"/>
  <c r="D101" i="36"/>
  <c r="D3" i="36"/>
  <c r="D15" i="36"/>
  <c r="D27" i="36"/>
  <c r="D60" i="36"/>
  <c r="D62" i="36"/>
  <c r="D66" i="36"/>
  <c r="D68" i="36"/>
  <c r="D70" i="36"/>
  <c r="D72" i="36"/>
  <c r="D74" i="36"/>
  <c r="D76" i="36"/>
  <c r="D78" i="36"/>
  <c r="D80" i="36"/>
  <c r="D82" i="36"/>
  <c r="D84" i="36"/>
  <c r="D86" i="36"/>
  <c r="D88" i="36"/>
  <c r="D90" i="36"/>
  <c r="D92" i="36"/>
  <c r="D94" i="36"/>
  <c r="D96" i="36"/>
  <c r="D98" i="36"/>
  <c r="D100" i="36"/>
  <c r="D102" i="36"/>
  <c r="D104" i="36"/>
  <c r="D106" i="36"/>
  <c r="D108" i="36"/>
  <c r="D110" i="36"/>
  <c r="C137" i="36"/>
  <c r="C149" i="36" s="1"/>
  <c r="C161" i="36" s="1"/>
  <c r="C173" i="36" s="1"/>
  <c r="C185" i="36" s="1"/>
  <c r="C197" i="36" s="1"/>
  <c r="C209" i="36" s="1"/>
  <c r="C221" i="36" s="1"/>
  <c r="C233" i="36" s="1"/>
  <c r="C245" i="36" s="1"/>
  <c r="C257" i="36" s="1"/>
  <c r="D28" i="36"/>
  <c r="D59" i="36"/>
  <c r="D65" i="36"/>
  <c r="D71" i="36"/>
  <c r="D79" i="36"/>
  <c r="C146" i="36"/>
  <c r="C158" i="36" s="1"/>
  <c r="C170" i="36" s="1"/>
  <c r="C182" i="36" s="1"/>
  <c r="C194" i="36" s="1"/>
  <c r="C206" i="36" s="1"/>
  <c r="C218" i="36" s="1"/>
  <c r="C230" i="36" s="1"/>
  <c r="C242" i="36" s="1"/>
  <c r="C254" i="36" s="1"/>
  <c r="C266" i="36" s="1"/>
  <c r="C119" i="36"/>
  <c r="C131" i="36" s="1"/>
  <c r="D64" i="36"/>
  <c r="N4" i="36"/>
  <c r="N6" i="36"/>
  <c r="N8" i="36"/>
  <c r="N10" i="36"/>
  <c r="N12" i="36"/>
  <c r="N14" i="36"/>
  <c r="N16" i="36"/>
  <c r="Q16" i="36"/>
  <c r="N18" i="36"/>
  <c r="Q18" i="36"/>
  <c r="N20" i="36"/>
  <c r="Q20" i="36"/>
  <c r="N22" i="36"/>
  <c r="Q22" i="36"/>
  <c r="N24" i="36"/>
  <c r="Q24" i="36"/>
  <c r="M4" i="36"/>
  <c r="M6" i="36"/>
  <c r="M8" i="36"/>
  <c r="M10" i="36"/>
  <c r="M12" i="36"/>
  <c r="M14" i="36"/>
  <c r="M16" i="36"/>
  <c r="M18" i="36"/>
  <c r="M20" i="36"/>
  <c r="M22" i="36"/>
  <c r="M24" i="36"/>
  <c r="P3" i="36"/>
  <c r="P5" i="36"/>
  <c r="P7" i="36"/>
  <c r="P9" i="36"/>
  <c r="P11" i="36"/>
  <c r="P13" i="36"/>
  <c r="P15" i="36"/>
  <c r="P17" i="36"/>
  <c r="P19" i="36"/>
  <c r="P21" i="36"/>
  <c r="P23" i="36"/>
  <c r="P25" i="36"/>
  <c r="N26" i="36"/>
  <c r="P27" i="36"/>
  <c r="N28" i="36"/>
  <c r="P29" i="36"/>
  <c r="N30" i="36"/>
  <c r="P31" i="36"/>
  <c r="N32" i="36"/>
  <c r="P33" i="36"/>
  <c r="N34" i="36"/>
  <c r="P35" i="36"/>
  <c r="N36" i="36"/>
  <c r="P37" i="36"/>
  <c r="N38" i="36"/>
  <c r="P39" i="36"/>
  <c r="N40" i="36"/>
  <c r="P41" i="36"/>
  <c r="N42" i="36"/>
  <c r="P43" i="36"/>
  <c r="N44" i="36"/>
  <c r="P45" i="36"/>
  <c r="N46" i="36"/>
  <c r="P47" i="36"/>
  <c r="N48" i="36"/>
  <c r="P49" i="36"/>
  <c r="N50" i="36"/>
  <c r="N52" i="36"/>
  <c r="N54" i="36"/>
  <c r="N56" i="36"/>
  <c r="N58" i="36"/>
  <c r="N60" i="36"/>
  <c r="N62" i="36"/>
  <c r="N64" i="36"/>
  <c r="N66" i="36"/>
  <c r="N68" i="36"/>
  <c r="N70" i="36"/>
  <c r="N72" i="36"/>
  <c r="N74" i="36"/>
  <c r="N76" i="36"/>
  <c r="N78" i="36"/>
  <c r="N80" i="36"/>
  <c r="N82" i="36"/>
  <c r="N84" i="36"/>
  <c r="N86" i="36"/>
  <c r="N88" i="36"/>
  <c r="N90" i="36"/>
  <c r="N92" i="36"/>
  <c r="N94" i="36"/>
  <c r="N96" i="36"/>
  <c r="N98" i="36"/>
  <c r="N100" i="36"/>
  <c r="N102" i="36"/>
  <c r="N104" i="36"/>
  <c r="N106" i="36"/>
  <c r="N108" i="36"/>
  <c r="Q108" i="36"/>
  <c r="N110" i="36"/>
  <c r="Q110" i="36"/>
  <c r="N112" i="36"/>
  <c r="Q112" i="36"/>
  <c r="N114" i="36"/>
  <c r="Q114" i="36"/>
  <c r="N116" i="36"/>
  <c r="Q116" i="36"/>
  <c r="N118" i="36"/>
  <c r="Q118" i="36"/>
  <c r="N120" i="36"/>
  <c r="Q120" i="36"/>
  <c r="N122" i="36"/>
  <c r="Q122" i="36"/>
  <c r="N124" i="36"/>
  <c r="N126" i="36"/>
  <c r="N128" i="36"/>
  <c r="N130" i="36"/>
  <c r="P26" i="36"/>
  <c r="P28" i="36"/>
  <c r="P30" i="36"/>
  <c r="P32" i="36"/>
  <c r="P34" i="36"/>
  <c r="P36" i="36"/>
  <c r="P38" i="36"/>
  <c r="P40" i="36"/>
  <c r="P42" i="36"/>
  <c r="P44" i="36"/>
  <c r="P46" i="36"/>
  <c r="P48" i="36"/>
  <c r="P50" i="36"/>
  <c r="M108" i="36"/>
  <c r="M110" i="36"/>
  <c r="M112" i="36"/>
  <c r="M114" i="36"/>
  <c r="M116" i="36"/>
  <c r="M118" i="36"/>
  <c r="M120" i="36"/>
  <c r="M122" i="36"/>
  <c r="M124" i="36"/>
  <c r="M126" i="36"/>
  <c r="M128" i="36"/>
  <c r="M130" i="36"/>
  <c r="N132" i="36"/>
  <c r="N134" i="36"/>
  <c r="N136" i="36"/>
  <c r="N138" i="36"/>
  <c r="N140" i="36"/>
  <c r="N142" i="36"/>
  <c r="N144" i="36"/>
  <c r="N146" i="36"/>
  <c r="N148" i="36"/>
  <c r="N150" i="36"/>
  <c r="N152" i="36"/>
  <c r="N154" i="36"/>
  <c r="N156" i="36"/>
  <c r="N158" i="36"/>
  <c r="N160" i="36"/>
  <c r="N162" i="36"/>
  <c r="N164" i="36"/>
  <c r="N166" i="36"/>
  <c r="N168" i="36"/>
  <c r="N170" i="36"/>
  <c r="N172" i="36"/>
  <c r="N174" i="36"/>
  <c r="N176" i="36"/>
  <c r="N178" i="36"/>
  <c r="N180" i="36"/>
  <c r="N182" i="36"/>
  <c r="N184" i="36"/>
  <c r="N186" i="36"/>
  <c r="N188" i="36"/>
  <c r="N190" i="36"/>
  <c r="N192" i="36"/>
  <c r="N194" i="36"/>
  <c r="N196" i="36"/>
  <c r="N198" i="36"/>
  <c r="N200" i="36"/>
  <c r="N202" i="36"/>
  <c r="N204" i="36"/>
  <c r="N206" i="36"/>
  <c r="N208" i="36"/>
  <c r="N210" i="36"/>
  <c r="N212" i="36"/>
  <c r="N214" i="36"/>
  <c r="N216" i="36"/>
  <c r="K29" i="7" l="1"/>
  <c r="K27" i="7"/>
  <c r="K33" i="7"/>
  <c r="J16" i="7"/>
  <c r="K16" i="7" s="1"/>
  <c r="K31" i="7"/>
  <c r="F21" i="1"/>
  <c r="C12" i="1"/>
  <c r="G12" i="1" s="1"/>
  <c r="F17" i="1"/>
  <c r="F12" i="1"/>
  <c r="F22" i="1"/>
  <c r="F19" i="1"/>
  <c r="F15" i="1"/>
  <c r="F16" i="1"/>
  <c r="F24" i="1"/>
  <c r="F25" i="1"/>
  <c r="F13" i="1"/>
  <c r="F18" i="1"/>
  <c r="E16" i="27"/>
  <c r="E17" i="27"/>
  <c r="E15" i="27"/>
  <c r="Q12" i="27"/>
  <c r="E21" i="27"/>
  <c r="E20" i="27"/>
  <c r="E19" i="27"/>
  <c r="E11" i="27"/>
  <c r="E23" i="27"/>
  <c r="E22" i="27"/>
  <c r="E13" i="27"/>
  <c r="E12" i="27"/>
  <c r="AM173" i="42"/>
  <c r="AM161" i="42"/>
  <c r="AO161" i="42" s="1"/>
  <c r="AP161" i="42" s="1"/>
  <c r="AM41" i="42"/>
  <c r="AM257" i="42"/>
  <c r="AO257" i="42" s="1"/>
  <c r="AP257" i="42" s="1"/>
  <c r="AM233" i="42"/>
  <c r="AM209" i="42"/>
  <c r="AO209" i="42" s="1"/>
  <c r="AP209" i="42" s="1"/>
  <c r="AM197" i="42"/>
  <c r="AM101" i="42"/>
  <c r="AM77" i="42"/>
  <c r="AM221" i="42"/>
  <c r="AN232" i="42" s="1"/>
  <c r="AM65" i="42"/>
  <c r="AM185" i="42"/>
  <c r="AM125" i="42"/>
  <c r="AO125" i="42" s="1"/>
  <c r="AP125" i="42" s="1"/>
  <c r="AM137" i="42"/>
  <c r="AM53" i="42"/>
  <c r="E63" i="36"/>
  <c r="AD65" i="43"/>
  <c r="AE65" i="43" s="1"/>
  <c r="AE107" i="41"/>
  <c r="AE66" i="41"/>
  <c r="AE56" i="41"/>
  <c r="AE60" i="41"/>
  <c r="AE79" i="41"/>
  <c r="AE54" i="41"/>
  <c r="AE170" i="41"/>
  <c r="AE152" i="41"/>
  <c r="AE166" i="41"/>
  <c r="AE146" i="41"/>
  <c r="AE93" i="41"/>
  <c r="AE61" i="41"/>
  <c r="AE77" i="41"/>
  <c r="AE71" i="41"/>
  <c r="AE84" i="41"/>
  <c r="AE147" i="41"/>
  <c r="AE80" i="41"/>
  <c r="AE168" i="41"/>
  <c r="AE128" i="41"/>
  <c r="AE157" i="41"/>
  <c r="AE183" i="41"/>
  <c r="AE73" i="41"/>
  <c r="AE127" i="41"/>
  <c r="AE91" i="41"/>
  <c r="AE143" i="41"/>
  <c r="AE68" i="41"/>
  <c r="AE165" i="41"/>
  <c r="AE81" i="41"/>
  <c r="AE98" i="41"/>
  <c r="AE69" i="41"/>
  <c r="AE171" i="41"/>
  <c r="AE87" i="41"/>
  <c r="AE125" i="41"/>
  <c r="AE108" i="41"/>
  <c r="AE138" i="41"/>
  <c r="AE101" i="41"/>
  <c r="AE72" i="41"/>
  <c r="AE136" i="41"/>
  <c r="AE112" i="41"/>
  <c r="AE109" i="41"/>
  <c r="AE144" i="41"/>
  <c r="AE58" i="41"/>
  <c r="AE126" i="41"/>
  <c r="AE92" i="41"/>
  <c r="AE140" i="41"/>
  <c r="AE53" i="41"/>
  <c r="AE70" i="41"/>
  <c r="AE75" i="41"/>
  <c r="AE145" i="41"/>
  <c r="AE156" i="41"/>
  <c r="AE96" i="41"/>
  <c r="AE162" i="41"/>
  <c r="AE141" i="41"/>
  <c r="AE41" i="41"/>
  <c r="AE64" i="41"/>
  <c r="AE104" i="41"/>
  <c r="AE137" i="41"/>
  <c r="AE167" i="41"/>
  <c r="AE148" i="41"/>
  <c r="AE134" i="41"/>
  <c r="AE95" i="41"/>
  <c r="AE103" i="41"/>
  <c r="AE74" i="41"/>
  <c r="AE130" i="41"/>
  <c r="AE154" i="41"/>
  <c r="AE67" i="41"/>
  <c r="AE129" i="41"/>
  <c r="AE57" i="41"/>
  <c r="AE105" i="41"/>
  <c r="AE133" i="41"/>
  <c r="AE99" i="41"/>
  <c r="AE131" i="41"/>
  <c r="AE89" i="41"/>
  <c r="AE90" i="41"/>
  <c r="AE63" i="41"/>
  <c r="AE158" i="41"/>
  <c r="AE160" i="41"/>
  <c r="AE76" i="41"/>
  <c r="AE172" i="41"/>
  <c r="AE164" i="41"/>
  <c r="AE88" i="41"/>
  <c r="AE100" i="41"/>
  <c r="AE78" i="41"/>
  <c r="AE94" i="41"/>
  <c r="AM88" i="40"/>
  <c r="AO88" i="40" s="1"/>
  <c r="AP88" i="40" s="1"/>
  <c r="AM171" i="42"/>
  <c r="AO171" i="42" s="1"/>
  <c r="AP171" i="42" s="1"/>
  <c r="J283" i="43"/>
  <c r="J280" i="43"/>
  <c r="J295" i="43"/>
  <c r="J296" i="43"/>
  <c r="AD257" i="43"/>
  <c r="AE257" i="43" s="1"/>
  <c r="AD77" i="43"/>
  <c r="AE77" i="43" s="1"/>
  <c r="J281" i="43"/>
  <c r="AD53" i="43"/>
  <c r="AE53" i="43" s="1"/>
  <c r="J279" i="43"/>
  <c r="J287" i="43"/>
  <c r="AD149" i="43"/>
  <c r="AE149" i="43" s="1"/>
  <c r="J288" i="43"/>
  <c r="AD161" i="43"/>
  <c r="AE161" i="43" s="1"/>
  <c r="AE41" i="43"/>
  <c r="J288" i="41"/>
  <c r="AD89" i="43"/>
  <c r="AE89" i="43" s="1"/>
  <c r="J282" i="43"/>
  <c r="J292" i="43"/>
  <c r="AD125" i="43"/>
  <c r="AE125" i="43" s="1"/>
  <c r="J285" i="43"/>
  <c r="AD185" i="43"/>
  <c r="AE185" i="43" s="1"/>
  <c r="J290" i="43"/>
  <c r="AD173" i="43"/>
  <c r="AE173" i="43" s="1"/>
  <c r="J289" i="43"/>
  <c r="I36" i="36"/>
  <c r="J286" i="43"/>
  <c r="AD137" i="43"/>
  <c r="AE137" i="43" s="1"/>
  <c r="AD233" i="43"/>
  <c r="AE233" i="43" s="1"/>
  <c r="J294" i="43"/>
  <c r="J291" i="43"/>
  <c r="AD221" i="43"/>
  <c r="AE221" i="43" s="1"/>
  <c r="J293" i="43"/>
  <c r="AM149" i="40"/>
  <c r="AO149" i="40" s="1"/>
  <c r="AP149" i="40" s="1"/>
  <c r="AM150" i="41"/>
  <c r="AO150" i="41" s="1"/>
  <c r="AP150" i="41" s="1"/>
  <c r="AM66" i="40"/>
  <c r="AO66" i="40" s="1"/>
  <c r="AP66" i="40" s="1"/>
  <c r="AM70" i="42"/>
  <c r="AO70" i="42" s="1"/>
  <c r="AP70" i="42" s="1"/>
  <c r="AM176" i="42"/>
  <c r="AM138" i="42"/>
  <c r="AO138" i="42" s="1"/>
  <c r="AP138" i="42" s="1"/>
  <c r="AM135" i="42"/>
  <c r="AO135" i="42" s="1"/>
  <c r="AP135" i="42" s="1"/>
  <c r="AM123" i="40"/>
  <c r="AO123" i="40" s="1"/>
  <c r="AP123" i="40" s="1"/>
  <c r="AM75" i="40"/>
  <c r="AO75" i="40" s="1"/>
  <c r="AP75" i="40" s="1"/>
  <c r="AM68" i="42"/>
  <c r="AO68" i="42" s="1"/>
  <c r="AP68" i="42" s="1"/>
  <c r="AM62" i="40"/>
  <c r="AO62" i="40" s="1"/>
  <c r="AP62" i="40" s="1"/>
  <c r="AM206" i="42"/>
  <c r="AO206" i="42" s="1"/>
  <c r="AP206" i="42" s="1"/>
  <c r="AM142" i="41"/>
  <c r="AO142" i="41" s="1"/>
  <c r="AP142" i="41" s="1"/>
  <c r="AM107" i="40"/>
  <c r="AM97" i="40"/>
  <c r="AO97" i="40" s="1"/>
  <c r="AP97" i="40" s="1"/>
  <c r="AM100" i="40"/>
  <c r="AO100" i="40" s="1"/>
  <c r="AP100" i="40" s="1"/>
  <c r="AN148" i="40"/>
  <c r="AN184" i="41"/>
  <c r="AM57" i="40"/>
  <c r="AO57" i="40" s="1"/>
  <c r="AP57" i="40" s="1"/>
  <c r="AM56" i="40"/>
  <c r="AO56" i="40" s="1"/>
  <c r="AP56" i="40" s="1"/>
  <c r="AM61" i="42"/>
  <c r="AO61" i="42" s="1"/>
  <c r="AP61" i="42" s="1"/>
  <c r="AM45" i="40"/>
  <c r="AO45" i="40" s="1"/>
  <c r="AP45" i="40" s="1"/>
  <c r="AM49" i="42"/>
  <c r="AO49" i="42" s="1"/>
  <c r="AP49" i="42" s="1"/>
  <c r="AM52" i="41"/>
  <c r="AO52" i="41" s="1"/>
  <c r="AP52" i="41" s="1"/>
  <c r="AD187" i="42"/>
  <c r="AE187" i="42" s="1"/>
  <c r="J290" i="42"/>
  <c r="J295" i="42"/>
  <c r="AM250" i="42"/>
  <c r="AO250" i="42" s="1"/>
  <c r="AP250" i="42" s="1"/>
  <c r="AM218" i="42"/>
  <c r="AO218" i="42" s="1"/>
  <c r="AP218" i="42" s="1"/>
  <c r="AM211" i="42"/>
  <c r="AO211" i="42" s="1"/>
  <c r="AP211" i="42" s="1"/>
  <c r="AM193" i="42"/>
  <c r="AO193" i="42" s="1"/>
  <c r="AP193" i="42" s="1"/>
  <c r="AM179" i="42"/>
  <c r="AO179" i="42" s="1"/>
  <c r="AP179" i="42" s="1"/>
  <c r="AM140" i="41"/>
  <c r="AO140" i="41" s="1"/>
  <c r="AP140" i="41" s="1"/>
  <c r="AM127" i="41"/>
  <c r="AO127" i="41" s="1"/>
  <c r="AP127" i="41" s="1"/>
  <c r="AM127" i="42"/>
  <c r="AO127" i="42" s="1"/>
  <c r="AP127" i="42" s="1"/>
  <c r="AM134" i="42"/>
  <c r="AO134" i="42" s="1"/>
  <c r="AP134" i="42" s="1"/>
  <c r="AM121" i="40"/>
  <c r="AO121" i="40" s="1"/>
  <c r="AP121" i="40" s="1"/>
  <c r="AM122" i="40"/>
  <c r="AO122" i="40" s="1"/>
  <c r="AP122" i="40" s="1"/>
  <c r="AM111" i="41"/>
  <c r="AO111" i="41" s="1"/>
  <c r="AP111" i="41" s="1"/>
  <c r="AM90" i="40"/>
  <c r="AO90" i="40" s="1"/>
  <c r="AP90" i="40" s="1"/>
  <c r="AM99" i="41"/>
  <c r="AO99" i="41" s="1"/>
  <c r="AP99" i="41" s="1"/>
  <c r="AM99" i="42"/>
  <c r="AO99" i="42" s="1"/>
  <c r="AP99" i="42" s="1"/>
  <c r="AM77" i="40"/>
  <c r="AM79" i="41"/>
  <c r="AO79" i="41" s="1"/>
  <c r="AP79" i="41" s="1"/>
  <c r="AM55" i="40"/>
  <c r="AO55" i="40" s="1"/>
  <c r="AP55" i="40" s="1"/>
  <c r="AM54" i="42"/>
  <c r="AO54" i="42" s="1"/>
  <c r="AP54" i="42" s="1"/>
  <c r="AM64" i="42"/>
  <c r="AO64" i="42" s="1"/>
  <c r="AP64" i="42" s="1"/>
  <c r="J279" i="40"/>
  <c r="J285" i="40"/>
  <c r="AM64" i="40"/>
  <c r="AO64" i="40" s="1"/>
  <c r="AP64" i="40" s="1"/>
  <c r="AM41" i="40"/>
  <c r="AM262" i="42"/>
  <c r="AO262" i="42" s="1"/>
  <c r="AP262" i="42" s="1"/>
  <c r="AM245" i="42"/>
  <c r="AM203" i="42"/>
  <c r="AO203" i="42" s="1"/>
  <c r="AP203" i="42" s="1"/>
  <c r="AM149" i="42"/>
  <c r="AM156" i="42"/>
  <c r="AO156" i="42" s="1"/>
  <c r="AP156" i="42" s="1"/>
  <c r="AM139" i="41"/>
  <c r="AO139" i="41" s="1"/>
  <c r="AP139" i="41" s="1"/>
  <c r="AM128" i="42"/>
  <c r="AO128" i="42" s="1"/>
  <c r="AP128" i="42" s="1"/>
  <c r="AM108" i="41"/>
  <c r="AO108" i="41" s="1"/>
  <c r="AP108" i="41" s="1"/>
  <c r="AM99" i="40"/>
  <c r="AO99" i="40" s="1"/>
  <c r="AP99" i="40" s="1"/>
  <c r="AM91" i="41"/>
  <c r="AO91" i="41" s="1"/>
  <c r="AP91" i="41" s="1"/>
  <c r="AM89" i="42"/>
  <c r="AM86" i="41"/>
  <c r="AO86" i="41" s="1"/>
  <c r="AP86" i="41" s="1"/>
  <c r="AM65" i="40"/>
  <c r="AM70" i="41"/>
  <c r="AO70" i="41" s="1"/>
  <c r="AP70" i="41" s="1"/>
  <c r="AM67" i="42"/>
  <c r="AO67" i="42" s="1"/>
  <c r="AP67" i="42" s="1"/>
  <c r="G26" i="29"/>
  <c r="H101" i="4"/>
  <c r="J280" i="41"/>
  <c r="AD65" i="41"/>
  <c r="J280" i="42"/>
  <c r="AD65" i="42"/>
  <c r="AE65" i="42" s="1"/>
  <c r="AD209" i="42"/>
  <c r="AE209" i="42" s="1"/>
  <c r="J292" i="42"/>
  <c r="J281" i="40"/>
  <c r="J286" i="41"/>
  <c r="J283" i="40"/>
  <c r="J287" i="42"/>
  <c r="AD149" i="42"/>
  <c r="AE149" i="42" s="1"/>
  <c r="J286" i="42"/>
  <c r="I28" i="6"/>
  <c r="AO137" i="42"/>
  <c r="AP137" i="42" s="1"/>
  <c r="AO125" i="41"/>
  <c r="AP125" i="41" s="1"/>
  <c r="AO89" i="40"/>
  <c r="AP89" i="40" s="1"/>
  <c r="AO89" i="41"/>
  <c r="AP89" i="41" s="1"/>
  <c r="AO77" i="41"/>
  <c r="AP77" i="41" s="1"/>
  <c r="J294" i="42"/>
  <c r="H17" i="6"/>
  <c r="I17" i="6" s="1"/>
  <c r="C16" i="6"/>
  <c r="AO53" i="40"/>
  <c r="AP53" i="40" s="1"/>
  <c r="AO53" i="42"/>
  <c r="AP53" i="42" s="1"/>
  <c r="F26" i="29"/>
  <c r="F23" i="26"/>
  <c r="J282" i="42"/>
  <c r="AD101" i="42"/>
  <c r="AE101" i="42" s="1"/>
  <c r="J283" i="42"/>
  <c r="AD150" i="41"/>
  <c r="J287" i="41"/>
  <c r="J281" i="42"/>
  <c r="AD197" i="42"/>
  <c r="AE197" i="42" s="1"/>
  <c r="J291" i="42"/>
  <c r="J280" i="40"/>
  <c r="AO173" i="42"/>
  <c r="AP173" i="42" s="1"/>
  <c r="AO137" i="41"/>
  <c r="AP137" i="41" s="1"/>
  <c r="AO101" i="40"/>
  <c r="AP101" i="40" s="1"/>
  <c r="AO53" i="41"/>
  <c r="AP53" i="41" s="1"/>
  <c r="AN64" i="41"/>
  <c r="AO41" i="42"/>
  <c r="AP41" i="42" s="1"/>
  <c r="G21" i="29"/>
  <c r="G28" i="29"/>
  <c r="AD161" i="42"/>
  <c r="AE161" i="42" s="1"/>
  <c r="J288" i="42"/>
  <c r="AD53" i="42"/>
  <c r="AE53" i="42" s="1"/>
  <c r="J279" i="42"/>
  <c r="J296" i="42"/>
  <c r="AD257" i="42"/>
  <c r="J293" i="42"/>
  <c r="J282" i="40"/>
  <c r="J283" i="41"/>
  <c r="AN244" i="42"/>
  <c r="AO233" i="42"/>
  <c r="AP233" i="42" s="1"/>
  <c r="AO197" i="42"/>
  <c r="AP197" i="42" s="1"/>
  <c r="AN172" i="41"/>
  <c r="AO161" i="41"/>
  <c r="AP161" i="41" s="1"/>
  <c r="AO65" i="41"/>
  <c r="AP65" i="41" s="1"/>
  <c r="AO41" i="41"/>
  <c r="AP41" i="41" s="1"/>
  <c r="C13" i="1"/>
  <c r="G13" i="1" s="1"/>
  <c r="E91" i="4"/>
  <c r="C20" i="6"/>
  <c r="H20" i="6" s="1"/>
  <c r="J289" i="42"/>
  <c r="AD173" i="42"/>
  <c r="AE173" i="42" s="1"/>
  <c r="J285" i="41"/>
  <c r="J282" i="41"/>
  <c r="J284" i="40"/>
  <c r="J281" i="41"/>
  <c r="AO185" i="42"/>
  <c r="AP185" i="42" s="1"/>
  <c r="AO149" i="41"/>
  <c r="AP149" i="41" s="1"/>
  <c r="AN136" i="40"/>
  <c r="AO125" i="40"/>
  <c r="AP125" i="40" s="1"/>
  <c r="AO113" i="40"/>
  <c r="AP113" i="40" s="1"/>
  <c r="AO101" i="41"/>
  <c r="AP101" i="41" s="1"/>
  <c r="AO101" i="42"/>
  <c r="AP101" i="42" s="1"/>
  <c r="AN112" i="42"/>
  <c r="AN88" i="42"/>
  <c r="AO77" i="42"/>
  <c r="AP77" i="42" s="1"/>
  <c r="AO65" i="42"/>
  <c r="AP65" i="42" s="1"/>
  <c r="J279" i="41"/>
  <c r="C15" i="29"/>
  <c r="J285" i="42"/>
  <c r="AE179" i="41"/>
  <c r="AE180" i="41"/>
  <c r="AE161" i="41"/>
  <c r="AE181" i="41"/>
  <c r="AE178" i="41"/>
  <c r="AE182" i="41"/>
  <c r="AE174" i="41"/>
  <c r="AE175" i="41"/>
  <c r="AE189" i="41"/>
  <c r="AE176" i="41"/>
  <c r="AE195" i="41"/>
  <c r="AE184" i="41"/>
  <c r="J190" i="41"/>
  <c r="AD190" i="41" s="1"/>
  <c r="J188" i="41"/>
  <c r="AD188" i="41" s="1"/>
  <c r="J192" i="41"/>
  <c r="AD192" i="41" s="1"/>
  <c r="J193" i="41"/>
  <c r="AD193" i="41" s="1"/>
  <c r="J207" i="41"/>
  <c r="AD207" i="41" s="1"/>
  <c r="J196" i="41"/>
  <c r="AD196" i="41" s="1"/>
  <c r="D215" i="41"/>
  <c r="F203" i="41"/>
  <c r="H203" i="41"/>
  <c r="G203" i="41"/>
  <c r="E203" i="41"/>
  <c r="I203" i="41"/>
  <c r="V203" i="41"/>
  <c r="X203" i="41"/>
  <c r="W203" i="41"/>
  <c r="AM203" i="41" s="1"/>
  <c r="AO203" i="41" s="1"/>
  <c r="AP203" i="41" s="1"/>
  <c r="D211" i="41"/>
  <c r="F199" i="41"/>
  <c r="H199" i="41"/>
  <c r="G199" i="41"/>
  <c r="I199" i="41"/>
  <c r="E199" i="41"/>
  <c r="W199" i="41"/>
  <c r="AM199" i="41" s="1"/>
  <c r="AO199" i="41" s="1"/>
  <c r="AP199" i="41" s="1"/>
  <c r="V199" i="41"/>
  <c r="X199" i="41"/>
  <c r="J185" i="41"/>
  <c r="D210" i="41"/>
  <c r="F198" i="41"/>
  <c r="E198" i="41"/>
  <c r="I198" i="41"/>
  <c r="G198" i="41"/>
  <c r="H198" i="41"/>
  <c r="X198" i="41"/>
  <c r="W198" i="41"/>
  <c r="AM198" i="41" s="1"/>
  <c r="AO198" i="41" s="1"/>
  <c r="AP198" i="41" s="1"/>
  <c r="V198" i="41"/>
  <c r="J289" i="41"/>
  <c r="AD173" i="41"/>
  <c r="D218" i="41"/>
  <c r="F206" i="41"/>
  <c r="H206" i="41"/>
  <c r="G206" i="41"/>
  <c r="E206" i="41"/>
  <c r="I206" i="41"/>
  <c r="W206" i="41"/>
  <c r="AM206" i="41" s="1"/>
  <c r="AO206" i="41" s="1"/>
  <c r="AP206" i="41" s="1"/>
  <c r="X206" i="41"/>
  <c r="V206" i="41"/>
  <c r="J191" i="41"/>
  <c r="AD191" i="41" s="1"/>
  <c r="AN196" i="41"/>
  <c r="AO185" i="41"/>
  <c r="AP185" i="41" s="1"/>
  <c r="J201" i="41"/>
  <c r="AD201" i="41" s="1"/>
  <c r="J186" i="41"/>
  <c r="AD186" i="41" s="1"/>
  <c r="I219" i="41"/>
  <c r="E219" i="41"/>
  <c r="H219" i="41"/>
  <c r="D231" i="41"/>
  <c r="V219" i="41"/>
  <c r="F219" i="41"/>
  <c r="W219" i="41"/>
  <c r="AM219" i="41" s="1"/>
  <c r="AO219" i="41" s="1"/>
  <c r="AP219" i="41" s="1"/>
  <c r="G219" i="41"/>
  <c r="X219" i="41"/>
  <c r="J194" i="41"/>
  <c r="AD194" i="41" s="1"/>
  <c r="D220" i="41"/>
  <c r="F208" i="41"/>
  <c r="H208" i="41"/>
  <c r="G208" i="41"/>
  <c r="I208" i="41"/>
  <c r="E208" i="41"/>
  <c r="V208" i="41"/>
  <c r="X208" i="41"/>
  <c r="W208" i="41"/>
  <c r="AM208" i="41" s="1"/>
  <c r="AO208" i="41" s="1"/>
  <c r="AP208" i="41" s="1"/>
  <c r="D212" i="41"/>
  <c r="F200" i="41"/>
  <c r="E200" i="41"/>
  <c r="I200" i="41"/>
  <c r="G200" i="41"/>
  <c r="H200" i="41"/>
  <c r="V200" i="41"/>
  <c r="W200" i="41"/>
  <c r="AM200" i="41" s="1"/>
  <c r="AO200" i="41" s="1"/>
  <c r="AP200" i="41" s="1"/>
  <c r="X200" i="41"/>
  <c r="D214" i="41"/>
  <c r="F202" i="41"/>
  <c r="H202" i="41"/>
  <c r="G202" i="41"/>
  <c r="E202" i="41"/>
  <c r="I202" i="41"/>
  <c r="X202" i="41"/>
  <c r="V202" i="41"/>
  <c r="W202" i="41"/>
  <c r="AM202" i="41" s="1"/>
  <c r="AO202" i="41" s="1"/>
  <c r="AP202" i="41" s="1"/>
  <c r="D216" i="41"/>
  <c r="F204" i="41"/>
  <c r="H204" i="41"/>
  <c r="G204" i="41"/>
  <c r="I204" i="41"/>
  <c r="E204" i="41"/>
  <c r="V204" i="41"/>
  <c r="W204" i="41"/>
  <c r="AM204" i="41" s="1"/>
  <c r="AO204" i="41" s="1"/>
  <c r="AP204" i="41" s="1"/>
  <c r="X204" i="41"/>
  <c r="J187" i="41"/>
  <c r="AD187" i="41" s="1"/>
  <c r="D209" i="41"/>
  <c r="F197" i="41"/>
  <c r="H197" i="41"/>
  <c r="G197" i="41"/>
  <c r="I197" i="41"/>
  <c r="E197" i="41"/>
  <c r="W197" i="41"/>
  <c r="AM197" i="41" s="1"/>
  <c r="V197" i="41"/>
  <c r="X197" i="41"/>
  <c r="D225" i="41"/>
  <c r="H213" i="41"/>
  <c r="E213" i="41"/>
  <c r="G213" i="41"/>
  <c r="F213" i="41"/>
  <c r="I213" i="41"/>
  <c r="V213" i="41"/>
  <c r="X213" i="41"/>
  <c r="W213" i="41"/>
  <c r="AM213" i="41" s="1"/>
  <c r="AO213" i="41" s="1"/>
  <c r="AP213" i="41" s="1"/>
  <c r="D217" i="41"/>
  <c r="F205" i="41"/>
  <c r="H205" i="41"/>
  <c r="G205" i="41"/>
  <c r="I205" i="41"/>
  <c r="E205" i="41"/>
  <c r="V205" i="41"/>
  <c r="X205" i="41"/>
  <c r="W205" i="41"/>
  <c r="AM205" i="41" s="1"/>
  <c r="AO205" i="41" s="1"/>
  <c r="AP205" i="41" s="1"/>
  <c r="V165" i="40"/>
  <c r="X165" i="40"/>
  <c r="W165" i="40"/>
  <c r="AM165" i="40" s="1"/>
  <c r="AO165" i="40" s="1"/>
  <c r="AP165" i="40" s="1"/>
  <c r="X164" i="40"/>
  <c r="W164" i="40"/>
  <c r="AM164" i="40" s="1"/>
  <c r="AO164" i="40" s="1"/>
  <c r="AP164" i="40" s="1"/>
  <c r="V164" i="40"/>
  <c r="V173" i="40"/>
  <c r="W173" i="40"/>
  <c r="X173" i="40"/>
  <c r="AM159" i="40"/>
  <c r="AO159" i="40" s="1"/>
  <c r="AP159" i="40" s="1"/>
  <c r="X180" i="40"/>
  <c r="W180" i="40"/>
  <c r="V180" i="40"/>
  <c r="W167" i="40"/>
  <c r="AM167" i="40" s="1"/>
  <c r="AO167" i="40" s="1"/>
  <c r="AP167" i="40" s="1"/>
  <c r="X167" i="40"/>
  <c r="V167" i="40"/>
  <c r="X172" i="40"/>
  <c r="W172" i="40"/>
  <c r="AM172" i="40" s="1"/>
  <c r="AO172" i="40" s="1"/>
  <c r="AP172" i="40" s="1"/>
  <c r="V172" i="40"/>
  <c r="V166" i="40"/>
  <c r="W166" i="40"/>
  <c r="AM166" i="40" s="1"/>
  <c r="AO166" i="40" s="1"/>
  <c r="AP166" i="40" s="1"/>
  <c r="X166" i="40"/>
  <c r="W163" i="40"/>
  <c r="AM163" i="40" s="1"/>
  <c r="AO163" i="40" s="1"/>
  <c r="AP163" i="40" s="1"/>
  <c r="X163" i="40"/>
  <c r="V163" i="40"/>
  <c r="V174" i="40"/>
  <c r="W174" i="40"/>
  <c r="X174" i="40"/>
  <c r="V170" i="40"/>
  <c r="W170" i="40"/>
  <c r="AM170" i="40" s="1"/>
  <c r="AO170" i="40" s="1"/>
  <c r="AP170" i="40" s="1"/>
  <c r="X170" i="40"/>
  <c r="W171" i="40"/>
  <c r="AM171" i="40" s="1"/>
  <c r="AO171" i="40" s="1"/>
  <c r="AP171" i="40" s="1"/>
  <c r="X171" i="40"/>
  <c r="V171" i="40"/>
  <c r="V169" i="40"/>
  <c r="X169" i="40"/>
  <c r="W169" i="40"/>
  <c r="AM169" i="40" s="1"/>
  <c r="AO169" i="40" s="1"/>
  <c r="AP169" i="40" s="1"/>
  <c r="F33" i="4"/>
  <c r="I113" i="4"/>
  <c r="F27" i="4"/>
  <c r="J33" i="4"/>
  <c r="E61" i="4"/>
  <c r="F35" i="4"/>
  <c r="E32" i="4"/>
  <c r="J32" i="4" s="1"/>
  <c r="E44" i="4"/>
  <c r="D82" i="4"/>
  <c r="D76" i="4"/>
  <c r="E7" i="36"/>
  <c r="J160" i="40"/>
  <c r="AD160" i="40" s="1"/>
  <c r="AE160" i="40" s="1"/>
  <c r="J153" i="40"/>
  <c r="AD153" i="40" s="1"/>
  <c r="AE153" i="40" s="1"/>
  <c r="G41" i="36"/>
  <c r="J152" i="40"/>
  <c r="AD152" i="40" s="1"/>
  <c r="AE152" i="40" s="1"/>
  <c r="I19" i="36"/>
  <c r="G21" i="36"/>
  <c r="J159" i="40"/>
  <c r="AD159" i="40" s="1"/>
  <c r="AE159" i="40" s="1"/>
  <c r="J154" i="40"/>
  <c r="AD154" i="40" s="1"/>
  <c r="AE154" i="40" s="1"/>
  <c r="J158" i="40"/>
  <c r="AD158" i="40" s="1"/>
  <c r="AE158" i="40" s="1"/>
  <c r="J161" i="40"/>
  <c r="AD161" i="40" s="1"/>
  <c r="AE161" i="40" s="1"/>
  <c r="R216" i="40"/>
  <c r="P216" i="40"/>
  <c r="S216" i="40"/>
  <c r="Q216" i="40"/>
  <c r="Q209" i="40"/>
  <c r="P209" i="40"/>
  <c r="R209" i="40"/>
  <c r="S209" i="40"/>
  <c r="R195" i="40"/>
  <c r="P195" i="40"/>
  <c r="S195" i="40"/>
  <c r="Q195" i="40"/>
  <c r="P214" i="40"/>
  <c r="R214" i="40"/>
  <c r="S214" i="40"/>
  <c r="Q214" i="40"/>
  <c r="P188" i="40"/>
  <c r="R188" i="40"/>
  <c r="S188" i="40"/>
  <c r="Q188" i="40"/>
  <c r="P186" i="40"/>
  <c r="S186" i="40"/>
  <c r="R186" i="40"/>
  <c r="Q186" i="40"/>
  <c r="R189" i="40"/>
  <c r="Q189" i="40"/>
  <c r="P189" i="40"/>
  <c r="S189" i="40"/>
  <c r="D178" i="40"/>
  <c r="F166" i="40"/>
  <c r="I166" i="40"/>
  <c r="E166" i="40"/>
  <c r="H166" i="40"/>
  <c r="G166" i="40"/>
  <c r="D185" i="40"/>
  <c r="G173" i="40"/>
  <c r="F173" i="40"/>
  <c r="I173" i="40"/>
  <c r="E173" i="40"/>
  <c r="H173" i="40"/>
  <c r="L194" i="40"/>
  <c r="L181" i="40"/>
  <c r="L174" i="40"/>
  <c r="AM162" i="40"/>
  <c r="AO162" i="40" s="1"/>
  <c r="AP162" i="40" s="1"/>
  <c r="L184" i="40"/>
  <c r="H174" i="40"/>
  <c r="G174" i="40"/>
  <c r="F174" i="40"/>
  <c r="I174" i="40"/>
  <c r="E174" i="40"/>
  <c r="D186" i="40"/>
  <c r="L177" i="40"/>
  <c r="J168" i="40"/>
  <c r="AD168" i="40" s="1"/>
  <c r="AE168" i="40" s="1"/>
  <c r="D182" i="40"/>
  <c r="F170" i="40"/>
  <c r="I170" i="40"/>
  <c r="E170" i="40"/>
  <c r="H170" i="40"/>
  <c r="G170" i="40"/>
  <c r="L176" i="40"/>
  <c r="L175" i="40"/>
  <c r="L190" i="40"/>
  <c r="G171" i="40"/>
  <c r="D183" i="40"/>
  <c r="F171" i="40"/>
  <c r="I171" i="40"/>
  <c r="E171" i="40"/>
  <c r="H171" i="40"/>
  <c r="J151" i="40"/>
  <c r="AD151" i="40" s="1"/>
  <c r="AE151" i="40" s="1"/>
  <c r="H164" i="40"/>
  <c r="G164" i="40"/>
  <c r="D176" i="40"/>
  <c r="I164" i="40"/>
  <c r="E164" i="40"/>
  <c r="F164" i="40"/>
  <c r="I165" i="40"/>
  <c r="E165" i="40"/>
  <c r="H165" i="40"/>
  <c r="D177" i="40"/>
  <c r="G165" i="40"/>
  <c r="F165" i="40"/>
  <c r="J162" i="40"/>
  <c r="AD162" i="40" s="1"/>
  <c r="AE162" i="40" s="1"/>
  <c r="AM168" i="40"/>
  <c r="AO168" i="40" s="1"/>
  <c r="AP168" i="40" s="1"/>
  <c r="L180" i="40"/>
  <c r="L179" i="40"/>
  <c r="J157" i="40"/>
  <c r="AD157" i="40" s="1"/>
  <c r="AE157" i="40" s="1"/>
  <c r="I169" i="40"/>
  <c r="E169" i="40"/>
  <c r="H169" i="40"/>
  <c r="G169" i="40"/>
  <c r="F169" i="40"/>
  <c r="D181" i="40"/>
  <c r="G167" i="40"/>
  <c r="D179" i="40"/>
  <c r="F167" i="40"/>
  <c r="I167" i="40"/>
  <c r="E167" i="40"/>
  <c r="H167" i="40"/>
  <c r="AD149" i="40"/>
  <c r="AE149" i="40" s="1"/>
  <c r="G163" i="40"/>
  <c r="D175" i="40"/>
  <c r="F163" i="40"/>
  <c r="I163" i="40"/>
  <c r="E163" i="40"/>
  <c r="H163" i="40"/>
  <c r="D192" i="40"/>
  <c r="F180" i="40"/>
  <c r="I180" i="40"/>
  <c r="E180" i="40"/>
  <c r="H180" i="40"/>
  <c r="G180" i="40"/>
  <c r="AM161" i="40"/>
  <c r="L173" i="40"/>
  <c r="AD139" i="40"/>
  <c r="AE139" i="40" s="1"/>
  <c r="J286" i="40"/>
  <c r="L183" i="40"/>
  <c r="J155" i="40"/>
  <c r="AD155" i="40" s="1"/>
  <c r="AE155" i="40" s="1"/>
  <c r="H172" i="40"/>
  <c r="G172" i="40"/>
  <c r="D184" i="40"/>
  <c r="F172" i="40"/>
  <c r="E172" i="40"/>
  <c r="I172" i="40"/>
  <c r="E5" i="36"/>
  <c r="G87" i="36"/>
  <c r="H37" i="36"/>
  <c r="H38" i="36"/>
  <c r="I6" i="36"/>
  <c r="I22" i="36"/>
  <c r="E19" i="36"/>
  <c r="E43" i="36"/>
  <c r="E57" i="36"/>
  <c r="E9" i="36"/>
  <c r="I51" i="36"/>
  <c r="E21" i="36"/>
  <c r="G38" i="36"/>
  <c r="I7" i="36"/>
  <c r="E87" i="36"/>
  <c r="G43" i="36"/>
  <c r="G54" i="36"/>
  <c r="I38" i="36"/>
  <c r="E22" i="36"/>
  <c r="G7" i="36"/>
  <c r="I53" i="36"/>
  <c r="G37" i="36"/>
  <c r="E6" i="36"/>
  <c r="I43" i="36"/>
  <c r="I54" i="36"/>
  <c r="G22" i="36"/>
  <c r="G5" i="36"/>
  <c r="E53" i="36"/>
  <c r="I37" i="36"/>
  <c r="H21" i="36"/>
  <c r="E37" i="36"/>
  <c r="T21" i="17"/>
  <c r="T21" i="2"/>
  <c r="T19" i="2"/>
  <c r="T19" i="17"/>
  <c r="T24" i="2"/>
  <c r="T24" i="17"/>
  <c r="T17" i="17"/>
  <c r="T17" i="2"/>
  <c r="T23" i="2"/>
  <c r="T23" i="17"/>
  <c r="T20" i="2"/>
  <c r="T20" i="17"/>
  <c r="T25" i="17"/>
  <c r="T25" i="2"/>
  <c r="T18" i="17"/>
  <c r="T18" i="2"/>
  <c r="T22" i="17"/>
  <c r="T22" i="2"/>
  <c r="T16" i="2"/>
  <c r="T16" i="17"/>
  <c r="E36" i="36"/>
  <c r="G63" i="36"/>
  <c r="H36" i="36"/>
  <c r="E30" i="36"/>
  <c r="E16" i="36"/>
  <c r="I16" i="36"/>
  <c r="G16" i="36"/>
  <c r="H16" i="36"/>
  <c r="E4" i="36"/>
  <c r="E35" i="36"/>
  <c r="E46" i="36"/>
  <c r="H29" i="36"/>
  <c r="G13" i="36"/>
  <c r="G99" i="36"/>
  <c r="I99" i="36"/>
  <c r="G57" i="36"/>
  <c r="G9" i="36"/>
  <c r="G51" i="36"/>
  <c r="G19" i="36"/>
  <c r="G42" i="36"/>
  <c r="G26" i="36"/>
  <c r="G10" i="36"/>
  <c r="H23" i="36"/>
  <c r="E42" i="36"/>
  <c r="E26" i="36"/>
  <c r="I11" i="36"/>
  <c r="E10" i="36"/>
  <c r="I25" i="36"/>
  <c r="G31" i="36"/>
  <c r="E33" i="36"/>
  <c r="G18" i="36"/>
  <c r="E56" i="36"/>
  <c r="I33" i="36"/>
  <c r="G47" i="36"/>
  <c r="E50" i="36"/>
  <c r="I39" i="36"/>
  <c r="G34" i="36"/>
  <c r="I49" i="36"/>
  <c r="G39" i="36"/>
  <c r="G50" i="36"/>
  <c r="I34" i="36"/>
  <c r="I18" i="36"/>
  <c r="G4" i="36"/>
  <c r="G49" i="36"/>
  <c r="H33" i="36"/>
  <c r="E17" i="36"/>
  <c r="E75" i="36"/>
  <c r="G75" i="36"/>
  <c r="E47" i="36"/>
  <c r="E39" i="36"/>
  <c r="H31" i="36"/>
  <c r="I50" i="36"/>
  <c r="H34" i="36"/>
  <c r="H18" i="36"/>
  <c r="I4" i="36"/>
  <c r="I56" i="36"/>
  <c r="I17" i="36"/>
  <c r="G17" i="36"/>
  <c r="E31" i="36"/>
  <c r="I24" i="36"/>
  <c r="E45" i="36"/>
  <c r="E29" i="36"/>
  <c r="G14" i="36"/>
  <c r="I13" i="36"/>
  <c r="H35" i="36"/>
  <c r="G23" i="36"/>
  <c r="E23" i="36"/>
  <c r="G46" i="36"/>
  <c r="I42" i="36"/>
  <c r="G30" i="36"/>
  <c r="I26" i="36"/>
  <c r="E24" i="36"/>
  <c r="E11" i="36"/>
  <c r="I10" i="36"/>
  <c r="G45" i="36"/>
  <c r="E41" i="36"/>
  <c r="E25" i="36"/>
  <c r="G25" i="36"/>
  <c r="E14" i="36"/>
  <c r="E13" i="36"/>
  <c r="I9" i="36"/>
  <c r="X5" i="38"/>
  <c r="W5" i="38"/>
  <c r="AM5" i="38" s="1"/>
  <c r="V5" i="38"/>
  <c r="O5" i="38"/>
  <c r="I46" i="36"/>
  <c r="I30" i="36"/>
  <c r="I29" i="36"/>
  <c r="G89" i="36"/>
  <c r="I89" i="36"/>
  <c r="G35" i="36"/>
  <c r="G5" i="38"/>
  <c r="E5" i="38"/>
  <c r="I5" i="38"/>
  <c r="T92" i="36"/>
  <c r="M23" i="39"/>
  <c r="T98" i="36"/>
  <c r="M27" i="31"/>
  <c r="T213" i="36"/>
  <c r="T217" i="36"/>
  <c r="M24" i="31"/>
  <c r="M21" i="31"/>
  <c r="M19" i="31"/>
  <c r="M17" i="31"/>
  <c r="T210" i="36"/>
  <c r="T93" i="36"/>
  <c r="T118" i="36"/>
  <c r="T212" i="36"/>
  <c r="T216" i="36"/>
  <c r="T117" i="36"/>
  <c r="M22" i="31"/>
  <c r="M28" i="31"/>
  <c r="M29" i="31"/>
  <c r="M16" i="31"/>
  <c r="M20" i="31"/>
  <c r="T214" i="36"/>
  <c r="T97" i="36"/>
  <c r="T89" i="36"/>
  <c r="T95" i="36"/>
  <c r="T94" i="36"/>
  <c r="T143" i="36"/>
  <c r="M18" i="31"/>
  <c r="M25" i="31"/>
  <c r="T211" i="36"/>
  <c r="T207" i="36"/>
  <c r="T96" i="36"/>
  <c r="T88" i="36"/>
  <c r="T208" i="36"/>
  <c r="T90" i="36"/>
  <c r="T91" i="36"/>
  <c r="M26" i="31"/>
  <c r="M15" i="31"/>
  <c r="F22" i="26"/>
  <c r="F19" i="26"/>
  <c r="J12" i="26"/>
  <c r="F21" i="26"/>
  <c r="F15" i="26"/>
  <c r="F18" i="26"/>
  <c r="F14" i="26"/>
  <c r="G19" i="26"/>
  <c r="G17" i="26"/>
  <c r="G15" i="26"/>
  <c r="G13" i="26"/>
  <c r="G20" i="26"/>
  <c r="G16" i="26"/>
  <c r="F20" i="26"/>
  <c r="F16" i="26"/>
  <c r="F13" i="26"/>
  <c r="G18" i="26"/>
  <c r="D25" i="26"/>
  <c r="G14" i="26"/>
  <c r="H23" i="26"/>
  <c r="H24" i="26" s="1"/>
  <c r="H25" i="26" s="1"/>
  <c r="H26" i="26" s="1"/>
  <c r="H27" i="26" s="1"/>
  <c r="H28" i="26" s="1"/>
  <c r="H29" i="26" s="1"/>
  <c r="H30" i="26" s="1"/>
  <c r="F17" i="26"/>
  <c r="F24" i="26"/>
  <c r="C21" i="6"/>
  <c r="I19" i="6"/>
  <c r="H29" i="6"/>
  <c r="C30" i="6"/>
  <c r="I20" i="6"/>
  <c r="I24" i="5"/>
  <c r="I25" i="5"/>
  <c r="I23" i="5"/>
  <c r="E26" i="5"/>
  <c r="H22" i="5"/>
  <c r="H21" i="5"/>
  <c r="H20" i="5"/>
  <c r="H16" i="5"/>
  <c r="H18" i="5"/>
  <c r="H19" i="5"/>
  <c r="H17" i="5"/>
  <c r="G18" i="5"/>
  <c r="G24" i="5"/>
  <c r="E31" i="5"/>
  <c r="E30" i="5"/>
  <c r="E28" i="5"/>
  <c r="E27" i="5"/>
  <c r="G16" i="5"/>
  <c r="G20" i="5"/>
  <c r="G22" i="5"/>
  <c r="G19" i="5"/>
  <c r="G21" i="5"/>
  <c r="L13" i="5"/>
  <c r="L14" i="5"/>
  <c r="G17" i="5"/>
  <c r="G23" i="5"/>
  <c r="E29" i="5"/>
  <c r="G25" i="5"/>
  <c r="L15" i="5"/>
  <c r="E105" i="4"/>
  <c r="E47" i="4"/>
  <c r="E76" i="4"/>
  <c r="F18" i="4"/>
  <c r="E18" i="4"/>
  <c r="E117" i="4"/>
  <c r="E59" i="4"/>
  <c r="F30" i="4"/>
  <c r="E88" i="4"/>
  <c r="E30" i="4"/>
  <c r="J30" i="4" s="1"/>
  <c r="D61" i="4"/>
  <c r="D64" i="4"/>
  <c r="D60" i="4"/>
  <c r="D63" i="4"/>
  <c r="D59" i="4"/>
  <c r="D54" i="4"/>
  <c r="D50" i="4"/>
  <c r="D46" i="4"/>
  <c r="D57" i="4"/>
  <c r="D56" i="4"/>
  <c r="D52" i="4"/>
  <c r="D48" i="4"/>
  <c r="D44" i="4"/>
  <c r="D43" i="4"/>
  <c r="D62" i="4"/>
  <c r="D53" i="4"/>
  <c r="D45" i="4"/>
  <c r="D49" i="4"/>
  <c r="D58" i="4"/>
  <c r="D51" i="4"/>
  <c r="D55" i="4"/>
  <c r="D47" i="4"/>
  <c r="E31" i="4"/>
  <c r="G15" i="4"/>
  <c r="E113" i="4"/>
  <c r="F26" i="4"/>
  <c r="E26" i="4"/>
  <c r="J26" i="4" s="1"/>
  <c r="E27" i="4"/>
  <c r="J27" i="4" s="1"/>
  <c r="D119" i="4"/>
  <c r="D115" i="4"/>
  <c r="D111" i="4"/>
  <c r="D107" i="4"/>
  <c r="D103" i="4"/>
  <c r="D121" i="4"/>
  <c r="D117" i="4"/>
  <c r="D113" i="4"/>
  <c r="D109" i="4"/>
  <c r="D105" i="4"/>
  <c r="D118" i="4"/>
  <c r="D110" i="4"/>
  <c r="D106" i="4"/>
  <c r="D101" i="4"/>
  <c r="D116" i="4"/>
  <c r="D104" i="4"/>
  <c r="D114" i="4"/>
  <c r="D102" i="4"/>
  <c r="D122" i="4"/>
  <c r="D112" i="4"/>
  <c r="D120" i="4"/>
  <c r="D108" i="4"/>
  <c r="E103" i="4"/>
  <c r="E74" i="4"/>
  <c r="E45" i="4"/>
  <c r="E17" i="4"/>
  <c r="F16" i="4"/>
  <c r="E16" i="4"/>
  <c r="E48" i="4"/>
  <c r="E90" i="4"/>
  <c r="I88" i="4"/>
  <c r="I59" i="4"/>
  <c r="I117" i="4"/>
  <c r="E62" i="4"/>
  <c r="E46" i="4"/>
  <c r="E106" i="4"/>
  <c r="E77" i="4"/>
  <c r="E63" i="4"/>
  <c r="E92" i="4"/>
  <c r="F34" i="4"/>
  <c r="E34" i="4"/>
  <c r="J34" i="4" s="1"/>
  <c r="E35" i="4"/>
  <c r="J35" i="4" s="1"/>
  <c r="E111" i="4"/>
  <c r="E82" i="4"/>
  <c r="E53" i="4"/>
  <c r="F24" i="4"/>
  <c r="E24" i="4"/>
  <c r="J24" i="4" s="1"/>
  <c r="E107" i="4"/>
  <c r="E78" i="4"/>
  <c r="E49" i="4"/>
  <c r="F20" i="4"/>
  <c r="E21" i="4"/>
  <c r="E20" i="4"/>
  <c r="E64" i="4"/>
  <c r="E19" i="4"/>
  <c r="E25" i="4"/>
  <c r="J25" i="4" s="1"/>
  <c r="E109" i="4"/>
  <c r="E51" i="4"/>
  <c r="F22" i="4"/>
  <c r="E80" i="4"/>
  <c r="E22" i="4"/>
  <c r="J22" i="4" s="1"/>
  <c r="E115" i="4"/>
  <c r="E86" i="4"/>
  <c r="E57" i="4"/>
  <c r="F28" i="4"/>
  <c r="E28" i="4"/>
  <c r="J28" i="4" s="1"/>
  <c r="E29" i="4"/>
  <c r="J29" i="4" s="1"/>
  <c r="H72" i="4"/>
  <c r="E87" i="4"/>
  <c r="E119" i="4"/>
  <c r="E120" i="4"/>
  <c r="E104" i="4"/>
  <c r="E60" i="4"/>
  <c r="I118" i="4"/>
  <c r="I60" i="4"/>
  <c r="J31" i="4"/>
  <c r="I89" i="4"/>
  <c r="L72" i="4"/>
  <c r="E102" i="4"/>
  <c r="L14" i="4"/>
  <c r="J20" i="7"/>
  <c r="K20" i="7" s="1"/>
  <c r="J12" i="7"/>
  <c r="K12" i="7" s="1"/>
  <c r="J23" i="7"/>
  <c r="J19" i="7"/>
  <c r="K32" i="7"/>
  <c r="J14" i="7"/>
  <c r="J21" i="7"/>
  <c r="J15" i="7"/>
  <c r="J25" i="7"/>
  <c r="K28" i="7"/>
  <c r="J18" i="7"/>
  <c r="K30" i="7"/>
  <c r="J17" i="7"/>
  <c r="J22" i="7"/>
  <c r="K22" i="7" s="1"/>
  <c r="J13" i="7"/>
  <c r="J26" i="7"/>
  <c r="J24" i="7"/>
  <c r="H25" i="1"/>
  <c r="H23" i="1"/>
  <c r="H21" i="1"/>
  <c r="H19" i="1"/>
  <c r="H17" i="1"/>
  <c r="H14" i="1"/>
  <c r="H15" i="1"/>
  <c r="H11" i="1"/>
  <c r="I11" i="1" s="1"/>
  <c r="H12" i="1"/>
  <c r="H18" i="1"/>
  <c r="H13" i="1"/>
  <c r="H26" i="1"/>
  <c r="H24" i="1"/>
  <c r="H22" i="1"/>
  <c r="H20" i="1"/>
  <c r="H16" i="1"/>
  <c r="D12" i="1"/>
  <c r="Q13" i="36"/>
  <c r="Q5" i="36"/>
  <c r="Q11" i="36"/>
  <c r="Q3" i="36"/>
  <c r="Q7" i="36"/>
  <c r="Q9" i="36"/>
  <c r="Q6" i="36"/>
  <c r="Q10" i="36"/>
  <c r="Q14" i="36"/>
  <c r="Q4" i="36"/>
  <c r="Q8" i="36"/>
  <c r="Q12" i="36"/>
  <c r="Q62" i="36"/>
  <c r="Q61" i="36"/>
  <c r="Q58" i="36"/>
  <c r="Q57" i="36"/>
  <c r="Q54" i="36"/>
  <c r="Q53" i="36"/>
  <c r="Q55" i="36"/>
  <c r="Q60" i="36"/>
  <c r="Q59" i="36"/>
  <c r="Q52" i="36"/>
  <c r="Q51" i="36"/>
  <c r="Q56" i="36"/>
  <c r="F27" i="27"/>
  <c r="F21" i="27"/>
  <c r="Q96" i="36"/>
  <c r="Q95" i="36"/>
  <c r="Q88" i="36"/>
  <c r="Q87" i="36"/>
  <c r="Q94" i="36"/>
  <c r="Q93" i="36"/>
  <c r="Q92" i="36"/>
  <c r="Q91" i="36"/>
  <c r="Q97" i="36"/>
  <c r="Q90" i="36"/>
  <c r="Q98" i="36"/>
  <c r="Q89" i="36"/>
  <c r="F28" i="27"/>
  <c r="F12" i="27"/>
  <c r="F26" i="27"/>
  <c r="L11" i="27"/>
  <c r="M11" i="27" s="1"/>
  <c r="F30" i="27"/>
  <c r="F31" i="27"/>
  <c r="F25" i="27"/>
  <c r="L15" i="27"/>
  <c r="M15" i="27" s="1"/>
  <c r="F24" i="27"/>
  <c r="H11" i="27"/>
  <c r="I11" i="27" s="1"/>
  <c r="F29" i="27"/>
  <c r="F19" i="27"/>
  <c r="H15" i="27"/>
  <c r="I15" i="27" s="1"/>
  <c r="Q50" i="36"/>
  <c r="Q49" i="36"/>
  <c r="Q42" i="36"/>
  <c r="Q41" i="36"/>
  <c r="Q48" i="36"/>
  <c r="Q47" i="36"/>
  <c r="Q40" i="36"/>
  <c r="Q39" i="36"/>
  <c r="Q46" i="36"/>
  <c r="Q45" i="36"/>
  <c r="Q44" i="36"/>
  <c r="Q43" i="36"/>
  <c r="F20" i="27"/>
  <c r="F18" i="27"/>
  <c r="Q104" i="36"/>
  <c r="Q103" i="36"/>
  <c r="Q102" i="36"/>
  <c r="Q101" i="36"/>
  <c r="Q109" i="36"/>
  <c r="Q107" i="36"/>
  <c r="Q100" i="36"/>
  <c r="Q99" i="36"/>
  <c r="Q106" i="36"/>
  <c r="Q105" i="36"/>
  <c r="F22" i="27"/>
  <c r="F23" i="27"/>
  <c r="F17" i="27"/>
  <c r="F13" i="27"/>
  <c r="F32" i="27"/>
  <c r="F16" i="27"/>
  <c r="D12" i="27"/>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E14" i="27"/>
  <c r="E18" i="27"/>
  <c r="F14" i="27"/>
  <c r="F22" i="28"/>
  <c r="F18" i="28"/>
  <c r="F14" i="28"/>
  <c r="F20" i="28"/>
  <c r="F16" i="28"/>
  <c r="F12" i="28"/>
  <c r="C12" i="28"/>
  <c r="F19" i="28"/>
  <c r="F15" i="28"/>
  <c r="F21" i="28"/>
  <c r="F17" i="28"/>
  <c r="F13" i="28"/>
  <c r="F11" i="28"/>
  <c r="F23" i="28" s="1"/>
  <c r="C16" i="29"/>
  <c r="G16" i="29"/>
  <c r="F23" i="29"/>
  <c r="G23" i="29"/>
  <c r="G19" i="29"/>
  <c r="F19" i="29"/>
  <c r="G20" i="29"/>
  <c r="C20" i="29"/>
  <c r="F16" i="29"/>
  <c r="F28" i="29"/>
  <c r="C12" i="29"/>
  <c r="G12" i="29"/>
  <c r="E25" i="30"/>
  <c r="E21" i="30"/>
  <c r="E17" i="30"/>
  <c r="E28" i="30"/>
  <c r="E24" i="30"/>
  <c r="E20" i="30"/>
  <c r="E16" i="30"/>
  <c r="C14" i="30"/>
  <c r="J13" i="30"/>
  <c r="M13" i="30" s="1"/>
  <c r="L13" i="30"/>
  <c r="E27" i="30"/>
  <c r="E26" i="30"/>
  <c r="E23" i="30"/>
  <c r="E22" i="30"/>
  <c r="E19" i="30"/>
  <c r="E18" i="30"/>
  <c r="E15" i="30"/>
  <c r="E14" i="30"/>
  <c r="D25" i="38"/>
  <c r="F25" i="38" s="1"/>
  <c r="D21" i="38"/>
  <c r="F21" i="38" s="1"/>
  <c r="D17" i="38"/>
  <c r="F17" i="38" s="1"/>
  <c r="I13" i="38"/>
  <c r="G13" i="38"/>
  <c r="E13" i="38"/>
  <c r="I9" i="38"/>
  <c r="G9" i="38"/>
  <c r="E9" i="38"/>
  <c r="D28" i="38"/>
  <c r="F28" i="38" s="1"/>
  <c r="D24" i="38"/>
  <c r="F24" i="38" s="1"/>
  <c r="D20" i="38"/>
  <c r="F20" i="38" s="1"/>
  <c r="I16" i="38"/>
  <c r="G16" i="38"/>
  <c r="E16" i="38"/>
  <c r="I12" i="38"/>
  <c r="G12" i="38"/>
  <c r="E12" i="38"/>
  <c r="I8" i="38"/>
  <c r="G8" i="38"/>
  <c r="E8" i="38"/>
  <c r="D27" i="38"/>
  <c r="F27" i="38" s="1"/>
  <c r="D23" i="38"/>
  <c r="F23" i="38" s="1"/>
  <c r="D19" i="38"/>
  <c r="F19" i="38" s="1"/>
  <c r="I15" i="38"/>
  <c r="G15" i="38"/>
  <c r="E15" i="38"/>
  <c r="I11" i="38"/>
  <c r="G11" i="38"/>
  <c r="E11" i="38"/>
  <c r="G7" i="38"/>
  <c r="E7" i="38"/>
  <c r="I7" i="38"/>
  <c r="N5" i="38"/>
  <c r="D26" i="38"/>
  <c r="F26" i="38" s="1"/>
  <c r="D22" i="38"/>
  <c r="F22" i="38" s="1"/>
  <c r="D18" i="38"/>
  <c r="F18" i="38" s="1"/>
  <c r="I14" i="38"/>
  <c r="G14" i="38"/>
  <c r="E14" i="38"/>
  <c r="I10" i="38"/>
  <c r="G10" i="38"/>
  <c r="E10" i="38"/>
  <c r="I6" i="38"/>
  <c r="G6" i="38"/>
  <c r="E6" i="38"/>
  <c r="G108" i="36"/>
  <c r="I108" i="36"/>
  <c r="E108" i="36"/>
  <c r="I94" i="36"/>
  <c r="E94" i="36"/>
  <c r="G94" i="36"/>
  <c r="I74" i="36"/>
  <c r="E74" i="36"/>
  <c r="G74" i="36"/>
  <c r="H27" i="36"/>
  <c r="I27" i="36"/>
  <c r="E27" i="36"/>
  <c r="G27" i="36"/>
  <c r="G101" i="36"/>
  <c r="E101" i="36"/>
  <c r="I101" i="36"/>
  <c r="E12" i="36"/>
  <c r="G12" i="36"/>
  <c r="I12" i="36"/>
  <c r="G109" i="36"/>
  <c r="E109" i="36"/>
  <c r="I109" i="36"/>
  <c r="E85" i="36"/>
  <c r="I85" i="36"/>
  <c r="G85" i="36"/>
  <c r="I44" i="36"/>
  <c r="G44" i="36"/>
  <c r="E44" i="36"/>
  <c r="C143" i="36"/>
  <c r="C155" i="36" s="1"/>
  <c r="C167" i="36" s="1"/>
  <c r="C179" i="36" s="1"/>
  <c r="C191" i="36" s="1"/>
  <c r="C203" i="36" s="1"/>
  <c r="C215" i="36" s="1"/>
  <c r="C227" i="36" s="1"/>
  <c r="C239" i="36" s="1"/>
  <c r="C251" i="36" s="1"/>
  <c r="C263" i="36" s="1"/>
  <c r="E59" i="36"/>
  <c r="I59" i="36"/>
  <c r="G59" i="36"/>
  <c r="I106" i="36"/>
  <c r="E106" i="36"/>
  <c r="G106" i="36"/>
  <c r="G92" i="36"/>
  <c r="I92" i="36"/>
  <c r="E92" i="36"/>
  <c r="I86" i="36"/>
  <c r="E86" i="36"/>
  <c r="G86" i="36"/>
  <c r="I78" i="36"/>
  <c r="E78" i="36"/>
  <c r="G78" i="36"/>
  <c r="G72" i="36"/>
  <c r="I72" i="36"/>
  <c r="E72" i="36"/>
  <c r="E15" i="36"/>
  <c r="G15" i="36"/>
  <c r="I15" i="36"/>
  <c r="H15" i="36"/>
  <c r="G97" i="36"/>
  <c r="E97" i="36"/>
  <c r="I97" i="36"/>
  <c r="E81" i="36"/>
  <c r="I81" i="36"/>
  <c r="G81" i="36"/>
  <c r="G107" i="36"/>
  <c r="E107" i="36"/>
  <c r="I107" i="36"/>
  <c r="G83" i="36"/>
  <c r="E83" i="36"/>
  <c r="I83" i="36"/>
  <c r="G61" i="36"/>
  <c r="E61" i="36"/>
  <c r="I61" i="36"/>
  <c r="I40" i="36"/>
  <c r="G40" i="36"/>
  <c r="E40" i="36"/>
  <c r="E8" i="36"/>
  <c r="G8" i="36"/>
  <c r="I8" i="36"/>
  <c r="G100" i="36"/>
  <c r="I100" i="36"/>
  <c r="E100" i="36"/>
  <c r="G80" i="36"/>
  <c r="I80" i="36"/>
  <c r="E80" i="36"/>
  <c r="G64" i="36"/>
  <c r="I64" i="36"/>
  <c r="E64" i="36"/>
  <c r="E79" i="36"/>
  <c r="I79" i="36"/>
  <c r="G79" i="36"/>
  <c r="I28" i="36"/>
  <c r="H28" i="36"/>
  <c r="G28" i="36"/>
  <c r="E28" i="36"/>
  <c r="G104" i="36"/>
  <c r="I104" i="36"/>
  <c r="E104" i="36"/>
  <c r="I98" i="36"/>
  <c r="E98" i="36"/>
  <c r="G98" i="36"/>
  <c r="I90" i="36"/>
  <c r="E90" i="36"/>
  <c r="G90" i="36"/>
  <c r="G84" i="36"/>
  <c r="I84" i="36"/>
  <c r="E84" i="36"/>
  <c r="G76" i="36"/>
  <c r="I76" i="36"/>
  <c r="E76" i="36"/>
  <c r="I70" i="36"/>
  <c r="E70" i="36"/>
  <c r="G70" i="36"/>
  <c r="I62" i="36"/>
  <c r="E62" i="36"/>
  <c r="G62" i="36"/>
  <c r="I3" i="36"/>
  <c r="E3" i="36"/>
  <c r="G3" i="36"/>
  <c r="G93" i="36"/>
  <c r="E93" i="36"/>
  <c r="I93" i="36"/>
  <c r="E105" i="36"/>
  <c r="I105" i="36"/>
  <c r="G105" i="36"/>
  <c r="G95" i="36"/>
  <c r="E95" i="36"/>
  <c r="I95" i="36"/>
  <c r="G77" i="36"/>
  <c r="E77" i="36"/>
  <c r="I77" i="36"/>
  <c r="I58" i="36"/>
  <c r="G58" i="36"/>
  <c r="E58" i="36"/>
  <c r="I32" i="36"/>
  <c r="H32" i="36"/>
  <c r="G32" i="36"/>
  <c r="E32" i="36"/>
  <c r="I65" i="36"/>
  <c r="G65" i="36"/>
  <c r="E65" i="36"/>
  <c r="I66" i="36"/>
  <c r="E66" i="36"/>
  <c r="G66" i="36"/>
  <c r="G69" i="36"/>
  <c r="E69" i="36"/>
  <c r="I69" i="36"/>
  <c r="G67" i="36"/>
  <c r="E67" i="36"/>
  <c r="I67" i="36"/>
  <c r="E71" i="36"/>
  <c r="I71" i="36"/>
  <c r="G71" i="36"/>
  <c r="I110" i="36"/>
  <c r="E110" i="36"/>
  <c r="G110" i="36"/>
  <c r="I102" i="36"/>
  <c r="E102" i="36"/>
  <c r="G102" i="36"/>
  <c r="G96" i="36"/>
  <c r="I96" i="36"/>
  <c r="E96" i="36"/>
  <c r="G88" i="36"/>
  <c r="I88" i="36"/>
  <c r="E88" i="36"/>
  <c r="I82" i="36"/>
  <c r="E82" i="36"/>
  <c r="G82" i="36"/>
  <c r="G68" i="36"/>
  <c r="I68" i="36"/>
  <c r="E68" i="36"/>
  <c r="G60" i="36"/>
  <c r="I60" i="36"/>
  <c r="E60" i="36"/>
  <c r="I48" i="36"/>
  <c r="G48" i="36"/>
  <c r="E48" i="36"/>
  <c r="E55" i="36"/>
  <c r="I55" i="36"/>
  <c r="G55" i="36"/>
  <c r="C145" i="36"/>
  <c r="C157" i="36" s="1"/>
  <c r="C169" i="36" s="1"/>
  <c r="C181" i="36" s="1"/>
  <c r="C193" i="36" s="1"/>
  <c r="C205" i="36" s="1"/>
  <c r="C217" i="36" s="1"/>
  <c r="C229" i="36" s="1"/>
  <c r="C241" i="36" s="1"/>
  <c r="C253" i="36" s="1"/>
  <c r="C265" i="36" s="1"/>
  <c r="G103" i="36"/>
  <c r="E103" i="36"/>
  <c r="I103" i="36"/>
  <c r="G91" i="36"/>
  <c r="E91" i="36"/>
  <c r="I91" i="36"/>
  <c r="E73" i="36"/>
  <c r="I73" i="36"/>
  <c r="G73" i="36"/>
  <c r="E52" i="36"/>
  <c r="G52" i="36"/>
  <c r="I52" i="36"/>
  <c r="H20" i="36"/>
  <c r="I20" i="36"/>
  <c r="G20" i="36"/>
  <c r="E20" i="36"/>
  <c r="I12" i="1" l="1"/>
  <c r="C14" i="1"/>
  <c r="I13" i="1"/>
  <c r="AO221" i="42"/>
  <c r="AP221" i="42" s="1"/>
  <c r="AN100" i="42"/>
  <c r="AN256" i="42"/>
  <c r="AN160" i="41"/>
  <c r="AE150" i="41"/>
  <c r="AE65" i="41"/>
  <c r="AN172" i="42"/>
  <c r="AO41" i="40"/>
  <c r="AP41" i="40" s="1"/>
  <c r="AN52" i="40"/>
  <c r="AO149" i="42"/>
  <c r="AP149" i="42" s="1"/>
  <c r="AN160" i="42"/>
  <c r="AO176" i="42"/>
  <c r="AP176" i="42" s="1"/>
  <c r="AN184" i="42"/>
  <c r="AO107" i="40"/>
  <c r="AP107" i="40" s="1"/>
  <c r="AN112" i="40"/>
  <c r="AN88" i="40"/>
  <c r="AN52" i="41"/>
  <c r="AN76" i="41"/>
  <c r="AO245" i="42"/>
  <c r="AP245" i="42" s="1"/>
  <c r="AN52" i="42"/>
  <c r="AN76" i="40"/>
  <c r="AN196" i="42"/>
  <c r="AO77" i="40"/>
  <c r="AP77" i="40" s="1"/>
  <c r="AN148" i="42"/>
  <c r="AN112" i="41"/>
  <c r="AO89" i="42"/>
  <c r="AP89" i="42" s="1"/>
  <c r="AN148" i="41"/>
  <c r="AN100" i="41"/>
  <c r="AN136" i="42"/>
  <c r="AO65" i="40"/>
  <c r="AP65" i="40" s="1"/>
  <c r="AN220" i="42"/>
  <c r="AN100" i="40"/>
  <c r="AN136" i="41"/>
  <c r="AN76" i="42"/>
  <c r="AN208" i="42"/>
  <c r="AN64" i="40"/>
  <c r="AN124" i="40"/>
  <c r="AN268" i="42"/>
  <c r="AN64" i="42"/>
  <c r="AN88" i="41"/>
  <c r="I30" i="5"/>
  <c r="N13" i="30"/>
  <c r="H16" i="6"/>
  <c r="I16" i="6" s="1"/>
  <c r="C15" i="6"/>
  <c r="AE257" i="42"/>
  <c r="L43" i="5"/>
  <c r="AE191" i="41"/>
  <c r="AE186" i="41"/>
  <c r="AE196" i="41"/>
  <c r="AE188" i="41"/>
  <c r="AE194" i="41"/>
  <c r="AE201" i="41"/>
  <c r="AE207" i="41"/>
  <c r="AE193" i="41"/>
  <c r="AE187" i="41"/>
  <c r="AE173" i="41"/>
  <c r="AE192" i="41"/>
  <c r="AE190" i="41"/>
  <c r="J197" i="41"/>
  <c r="AD197" i="41" s="1"/>
  <c r="J204" i="41"/>
  <c r="AD204" i="41" s="1"/>
  <c r="AN160" i="40"/>
  <c r="I225" i="41"/>
  <c r="E225" i="41"/>
  <c r="H225" i="41"/>
  <c r="F225" i="41"/>
  <c r="G225" i="41"/>
  <c r="D237" i="41"/>
  <c r="W225" i="41"/>
  <c r="AM225" i="41" s="1"/>
  <c r="AO225" i="41" s="1"/>
  <c r="AP225" i="41" s="1"/>
  <c r="V225" i="41"/>
  <c r="X225" i="41"/>
  <c r="D221" i="41"/>
  <c r="H209" i="41"/>
  <c r="E209" i="41"/>
  <c r="G209" i="41"/>
  <c r="F209" i="41"/>
  <c r="I209" i="41"/>
  <c r="X209" i="41"/>
  <c r="W209" i="41"/>
  <c r="AM209" i="41" s="1"/>
  <c r="V209" i="41"/>
  <c r="H216" i="41"/>
  <c r="D228" i="41"/>
  <c r="G216" i="41"/>
  <c r="E216" i="41"/>
  <c r="I216" i="41"/>
  <c r="F216" i="41"/>
  <c r="V216" i="41"/>
  <c r="W216" i="41"/>
  <c r="AM216" i="41" s="1"/>
  <c r="AO216" i="41" s="1"/>
  <c r="AP216" i="41" s="1"/>
  <c r="X216" i="41"/>
  <c r="H212" i="41"/>
  <c r="G212" i="41"/>
  <c r="E212" i="41"/>
  <c r="D224" i="41"/>
  <c r="I212" i="41"/>
  <c r="V212" i="41"/>
  <c r="F212" i="41"/>
  <c r="X212" i="41"/>
  <c r="W212" i="41"/>
  <c r="AM212" i="41" s="1"/>
  <c r="AO212" i="41" s="1"/>
  <c r="AP212" i="41" s="1"/>
  <c r="D243" i="41"/>
  <c r="I231" i="41"/>
  <c r="E231" i="41"/>
  <c r="W231" i="41"/>
  <c r="AM231" i="41" s="1"/>
  <c r="AO231" i="41" s="1"/>
  <c r="AP231" i="41" s="1"/>
  <c r="H231" i="41"/>
  <c r="V231" i="41"/>
  <c r="G231" i="41"/>
  <c r="X231" i="41"/>
  <c r="F231" i="41"/>
  <c r="J199" i="41"/>
  <c r="AD199" i="41" s="1"/>
  <c r="I217" i="41"/>
  <c r="E217" i="41"/>
  <c r="D229" i="41"/>
  <c r="H217" i="41"/>
  <c r="F217" i="41"/>
  <c r="W217" i="41"/>
  <c r="AM217" i="41" s="1"/>
  <c r="AO217" i="41" s="1"/>
  <c r="AP217" i="41" s="1"/>
  <c r="V217" i="41"/>
  <c r="G217" i="41"/>
  <c r="X217" i="41"/>
  <c r="J206" i="41"/>
  <c r="AD206" i="41" s="1"/>
  <c r="I218" i="41"/>
  <c r="E218" i="41"/>
  <c r="H218" i="41"/>
  <c r="D230" i="41"/>
  <c r="V218" i="41"/>
  <c r="G218" i="41"/>
  <c r="W218" i="41"/>
  <c r="AM218" i="41" s="1"/>
  <c r="AO218" i="41" s="1"/>
  <c r="AP218" i="41" s="1"/>
  <c r="F218" i="41"/>
  <c r="X218" i="41"/>
  <c r="J198" i="41"/>
  <c r="AD198" i="41" s="1"/>
  <c r="H211" i="41"/>
  <c r="D223" i="41"/>
  <c r="E211" i="41"/>
  <c r="G211" i="41"/>
  <c r="F211" i="41"/>
  <c r="I211" i="41"/>
  <c r="V211" i="41"/>
  <c r="X211" i="41"/>
  <c r="W211" i="41"/>
  <c r="AM211" i="41" s="1"/>
  <c r="AO211" i="41" s="1"/>
  <c r="AP211" i="41" s="1"/>
  <c r="D232" i="41"/>
  <c r="I220" i="41"/>
  <c r="E220" i="41"/>
  <c r="H220" i="41"/>
  <c r="V220" i="41"/>
  <c r="F220" i="41"/>
  <c r="G220" i="41"/>
  <c r="W220" i="41"/>
  <c r="AM220" i="41" s="1"/>
  <c r="AO220" i="41" s="1"/>
  <c r="AP220" i="41" s="1"/>
  <c r="X220" i="41"/>
  <c r="D222" i="41"/>
  <c r="H210" i="41"/>
  <c r="G210" i="41"/>
  <c r="E210" i="41"/>
  <c r="I210" i="41"/>
  <c r="V210" i="41"/>
  <c r="F210" i="41"/>
  <c r="X210" i="41"/>
  <c r="W210" i="41"/>
  <c r="AM210" i="41" s="1"/>
  <c r="AO210" i="41" s="1"/>
  <c r="AP210" i="41" s="1"/>
  <c r="J290" i="41"/>
  <c r="AD185" i="41"/>
  <c r="J205" i="41"/>
  <c r="AD205" i="41" s="1"/>
  <c r="J213" i="41"/>
  <c r="AD213" i="41" s="1"/>
  <c r="AN208" i="41"/>
  <c r="AO197" i="41"/>
  <c r="AP197" i="41" s="1"/>
  <c r="J202" i="41"/>
  <c r="AD202" i="41" s="1"/>
  <c r="D226" i="41"/>
  <c r="H214" i="41"/>
  <c r="G214" i="41"/>
  <c r="E214" i="41"/>
  <c r="I214" i="41"/>
  <c r="V214" i="41"/>
  <c r="F214" i="41"/>
  <c r="X214" i="41"/>
  <c r="W214" i="41"/>
  <c r="AM214" i="41" s="1"/>
  <c r="AO214" i="41" s="1"/>
  <c r="AP214" i="41" s="1"/>
  <c r="J200" i="41"/>
  <c r="AD200" i="41" s="1"/>
  <c r="J208" i="41"/>
  <c r="AD208" i="41" s="1"/>
  <c r="J219" i="41"/>
  <c r="AD219" i="41" s="1"/>
  <c r="J203" i="41"/>
  <c r="AD203" i="41" s="1"/>
  <c r="H215" i="41"/>
  <c r="D227" i="41"/>
  <c r="E215" i="41"/>
  <c r="G215" i="41"/>
  <c r="F215" i="41"/>
  <c r="I215" i="41"/>
  <c r="X215" i="41"/>
  <c r="V215" i="41"/>
  <c r="W215" i="41"/>
  <c r="AM215" i="41" s="1"/>
  <c r="AO215" i="41" s="1"/>
  <c r="AP215" i="41" s="1"/>
  <c r="X192" i="40"/>
  <c r="W192" i="40"/>
  <c r="V192" i="40"/>
  <c r="W179" i="40"/>
  <c r="AM179" i="40" s="1"/>
  <c r="AO179" i="40" s="1"/>
  <c r="AP179" i="40" s="1"/>
  <c r="X179" i="40"/>
  <c r="V179" i="40"/>
  <c r="W183" i="40"/>
  <c r="AM183" i="40" s="1"/>
  <c r="AO183" i="40" s="1"/>
  <c r="AP183" i="40" s="1"/>
  <c r="X183" i="40"/>
  <c r="V183" i="40"/>
  <c r="V182" i="40"/>
  <c r="W182" i="40"/>
  <c r="AM182" i="40" s="1"/>
  <c r="AO182" i="40" s="1"/>
  <c r="AP182" i="40" s="1"/>
  <c r="X182" i="40"/>
  <c r="V186" i="40"/>
  <c r="W186" i="40"/>
  <c r="X186" i="40"/>
  <c r="W175" i="40"/>
  <c r="AM175" i="40" s="1"/>
  <c r="AO175" i="40" s="1"/>
  <c r="AP175" i="40" s="1"/>
  <c r="X175" i="40"/>
  <c r="V175" i="40"/>
  <c r="V177" i="40"/>
  <c r="X177" i="40"/>
  <c r="W177" i="40"/>
  <c r="AM177" i="40" s="1"/>
  <c r="AO177" i="40" s="1"/>
  <c r="AP177" i="40" s="1"/>
  <c r="X184" i="40"/>
  <c r="V184" i="40"/>
  <c r="W184" i="40"/>
  <c r="AM184" i="40" s="1"/>
  <c r="AO184" i="40" s="1"/>
  <c r="AP184" i="40" s="1"/>
  <c r="V185" i="40"/>
  <c r="X185" i="40"/>
  <c r="W185" i="40"/>
  <c r="V181" i="40"/>
  <c r="X181" i="40"/>
  <c r="W181" i="40"/>
  <c r="X176" i="40"/>
  <c r="W176" i="40"/>
  <c r="AM176" i="40" s="1"/>
  <c r="AO176" i="40" s="1"/>
  <c r="AP176" i="40" s="1"/>
  <c r="V176" i="40"/>
  <c r="V178" i="40"/>
  <c r="W178" i="40"/>
  <c r="AM178" i="40" s="1"/>
  <c r="AO178" i="40" s="1"/>
  <c r="AP178" i="40" s="1"/>
  <c r="X178" i="40"/>
  <c r="E110" i="4"/>
  <c r="E52" i="4"/>
  <c r="E58" i="4"/>
  <c r="E114" i="4"/>
  <c r="J169" i="40"/>
  <c r="AD169" i="40" s="1"/>
  <c r="AE169" i="40" s="1"/>
  <c r="J173" i="40"/>
  <c r="AD173" i="40" s="1"/>
  <c r="AE173" i="40" s="1"/>
  <c r="R207" i="40"/>
  <c r="S207" i="40"/>
  <c r="P207" i="40"/>
  <c r="Q207" i="40"/>
  <c r="R200" i="40"/>
  <c r="S200" i="40"/>
  <c r="P200" i="40"/>
  <c r="Q200" i="40"/>
  <c r="Q198" i="40"/>
  <c r="P198" i="40"/>
  <c r="S198" i="40"/>
  <c r="R198" i="40"/>
  <c r="S201" i="40"/>
  <c r="P201" i="40"/>
  <c r="R201" i="40"/>
  <c r="Q201" i="40"/>
  <c r="H185" i="40"/>
  <c r="D197" i="40"/>
  <c r="E185" i="40"/>
  <c r="I185" i="40"/>
  <c r="G185" i="40"/>
  <c r="F185" i="40"/>
  <c r="D190" i="40"/>
  <c r="H178" i="40"/>
  <c r="G178" i="40"/>
  <c r="F178" i="40"/>
  <c r="E178" i="40"/>
  <c r="I178" i="40"/>
  <c r="AN172" i="40"/>
  <c r="AO161" i="40"/>
  <c r="AP161" i="40" s="1"/>
  <c r="J180" i="40"/>
  <c r="AD180" i="40" s="1"/>
  <c r="AE180" i="40" s="1"/>
  <c r="D189" i="40"/>
  <c r="G177" i="40"/>
  <c r="F177" i="40"/>
  <c r="I177" i="40"/>
  <c r="E177" i="40"/>
  <c r="H177" i="40"/>
  <c r="L188" i="40"/>
  <c r="L189" i="40"/>
  <c r="L186" i="40"/>
  <c r="AM174" i="40"/>
  <c r="AO174" i="40" s="1"/>
  <c r="AP174" i="40" s="1"/>
  <c r="J166" i="40"/>
  <c r="D196" i="40"/>
  <c r="F184" i="40"/>
  <c r="I184" i="40"/>
  <c r="E184" i="40"/>
  <c r="H184" i="40"/>
  <c r="G184" i="40"/>
  <c r="D193" i="40"/>
  <c r="G181" i="40"/>
  <c r="F181" i="40"/>
  <c r="I181" i="40"/>
  <c r="E181" i="40"/>
  <c r="H181" i="40"/>
  <c r="L206" i="40"/>
  <c r="J172" i="40"/>
  <c r="AD172" i="40" s="1"/>
  <c r="AE172" i="40" s="1"/>
  <c r="L195" i="40"/>
  <c r="L185" i="40"/>
  <c r="AM173" i="40"/>
  <c r="I175" i="40"/>
  <c r="E175" i="40"/>
  <c r="D187" i="40"/>
  <c r="H175" i="40"/>
  <c r="G175" i="40"/>
  <c r="F175" i="40"/>
  <c r="D191" i="40"/>
  <c r="I179" i="40"/>
  <c r="E179" i="40"/>
  <c r="H179" i="40"/>
  <c r="G179" i="40"/>
  <c r="F179" i="40"/>
  <c r="L191" i="40"/>
  <c r="L192" i="40"/>
  <c r="AM180" i="40"/>
  <c r="AO180" i="40" s="1"/>
  <c r="AP180" i="40" s="1"/>
  <c r="J164" i="40"/>
  <c r="AD164" i="40" s="1"/>
  <c r="AE164" i="40" s="1"/>
  <c r="D195" i="40"/>
  <c r="I183" i="40"/>
  <c r="E183" i="40"/>
  <c r="H183" i="40"/>
  <c r="G183" i="40"/>
  <c r="F183" i="40"/>
  <c r="L202" i="40"/>
  <c r="D194" i="40"/>
  <c r="H182" i="40"/>
  <c r="G182" i="40"/>
  <c r="F182" i="40"/>
  <c r="I182" i="40"/>
  <c r="E182" i="40"/>
  <c r="D198" i="40"/>
  <c r="I186" i="40"/>
  <c r="E186" i="40"/>
  <c r="H186" i="40"/>
  <c r="G186" i="40"/>
  <c r="F186" i="40"/>
  <c r="L196" i="40"/>
  <c r="L193" i="40"/>
  <c r="G192" i="40"/>
  <c r="D204" i="40"/>
  <c r="F192" i="40"/>
  <c r="I192" i="40"/>
  <c r="H192" i="40"/>
  <c r="E192" i="40"/>
  <c r="D188" i="40"/>
  <c r="F176" i="40"/>
  <c r="I176" i="40"/>
  <c r="E176" i="40"/>
  <c r="H176" i="40"/>
  <c r="G176" i="40"/>
  <c r="J163" i="40"/>
  <c r="AD163" i="40" s="1"/>
  <c r="AE163" i="40" s="1"/>
  <c r="J287" i="40"/>
  <c r="J167" i="40"/>
  <c r="AD167" i="40" s="1"/>
  <c r="AE167" i="40" s="1"/>
  <c r="J165" i="40"/>
  <c r="AD165" i="40" s="1"/>
  <c r="AE165" i="40" s="1"/>
  <c r="J171" i="40"/>
  <c r="AD171" i="40" s="1"/>
  <c r="AE171" i="40" s="1"/>
  <c r="L187" i="40"/>
  <c r="J170" i="40"/>
  <c r="AD170" i="40" s="1"/>
  <c r="AE170" i="40" s="1"/>
  <c r="J174" i="40"/>
  <c r="AD174" i="40" s="1"/>
  <c r="AE174" i="40" s="1"/>
  <c r="X12" i="38"/>
  <c r="W12" i="38"/>
  <c r="AM12" i="38" s="1"/>
  <c r="V12" i="38"/>
  <c r="O12" i="38"/>
  <c r="X6" i="38"/>
  <c r="W6" i="38"/>
  <c r="AM6" i="38" s="1"/>
  <c r="V6" i="38"/>
  <c r="O6" i="38"/>
  <c r="X10" i="38"/>
  <c r="W10" i="38"/>
  <c r="AM10" i="38" s="1"/>
  <c r="O10" i="38"/>
  <c r="V10" i="38"/>
  <c r="X14" i="38"/>
  <c r="W14" i="38"/>
  <c r="AM14" i="38" s="1"/>
  <c r="V14" i="38"/>
  <c r="O14" i="38"/>
  <c r="X7" i="38"/>
  <c r="W7" i="38"/>
  <c r="AM7" i="38" s="1"/>
  <c r="V7" i="38"/>
  <c r="O7" i="38"/>
  <c r="X11" i="38"/>
  <c r="V11" i="38"/>
  <c r="W11" i="38"/>
  <c r="AM11" i="38" s="1"/>
  <c r="O11" i="38"/>
  <c r="X15" i="38"/>
  <c r="W15" i="38"/>
  <c r="AM15" i="38" s="1"/>
  <c r="V15" i="38"/>
  <c r="O15" i="38"/>
  <c r="X9" i="38"/>
  <c r="W9" i="38"/>
  <c r="AM9" i="38" s="1"/>
  <c r="V9" i="38"/>
  <c r="O9" i="38"/>
  <c r="W13" i="38"/>
  <c r="AM13" i="38" s="1"/>
  <c r="X13" i="38"/>
  <c r="V13" i="38"/>
  <c r="O13" i="38"/>
  <c r="X8" i="38"/>
  <c r="V8" i="38"/>
  <c r="W8" i="38"/>
  <c r="AM8" i="38" s="1"/>
  <c r="O8" i="38"/>
  <c r="X16" i="38"/>
  <c r="V16" i="38"/>
  <c r="W16" i="38"/>
  <c r="AM16" i="38" s="1"/>
  <c r="O16" i="38"/>
  <c r="J16" i="26"/>
  <c r="G21" i="26"/>
  <c r="J18" i="26"/>
  <c r="J13" i="26"/>
  <c r="J17" i="26"/>
  <c r="J19" i="26"/>
  <c r="J15" i="26"/>
  <c r="J14" i="26"/>
  <c r="H21" i="6"/>
  <c r="C22" i="6"/>
  <c r="H30" i="6"/>
  <c r="C31" i="6"/>
  <c r="I29" i="6"/>
  <c r="L98" i="5"/>
  <c r="L40" i="5"/>
  <c r="L71" i="5"/>
  <c r="L11" i="5"/>
  <c r="I29" i="5"/>
  <c r="I28" i="5"/>
  <c r="L101" i="5"/>
  <c r="H23" i="5"/>
  <c r="I31" i="5"/>
  <c r="L42" i="5"/>
  <c r="L99" i="5"/>
  <c r="L70" i="5"/>
  <c r="L41" i="5"/>
  <c r="L12" i="5"/>
  <c r="L102" i="5"/>
  <c r="L73" i="5"/>
  <c r="L44" i="5"/>
  <c r="L69" i="5"/>
  <c r="L72" i="5"/>
  <c r="L100" i="5"/>
  <c r="I27" i="5"/>
  <c r="I26" i="5"/>
  <c r="I32" i="5"/>
  <c r="L24" i="4"/>
  <c r="H102" i="4"/>
  <c r="K15" i="4"/>
  <c r="L15" i="4" s="1"/>
  <c r="E79" i="4"/>
  <c r="H111" i="4"/>
  <c r="H24" i="4"/>
  <c r="H53" i="4"/>
  <c r="E55" i="4"/>
  <c r="E56" i="4"/>
  <c r="H15" i="4"/>
  <c r="E54" i="4"/>
  <c r="H30" i="4"/>
  <c r="E118" i="4"/>
  <c r="E121" i="4"/>
  <c r="E122" i="4"/>
  <c r="E116" i="4"/>
  <c r="H115" i="4"/>
  <c r="H28" i="4"/>
  <c r="H34" i="4"/>
  <c r="E84" i="4"/>
  <c r="E85" i="4"/>
  <c r="E75" i="4"/>
  <c r="M14" i="4"/>
  <c r="E83" i="4"/>
  <c r="H22" i="4"/>
  <c r="E89" i="4"/>
  <c r="E112" i="4"/>
  <c r="E81" i="4"/>
  <c r="E50" i="4"/>
  <c r="H44" i="4"/>
  <c r="E108" i="4"/>
  <c r="E93" i="4"/>
  <c r="H18" i="4"/>
  <c r="K19" i="7"/>
  <c r="K25" i="7"/>
  <c r="K14" i="7"/>
  <c r="K13" i="7"/>
  <c r="K15" i="7"/>
  <c r="K17" i="7"/>
  <c r="K18" i="7"/>
  <c r="K26" i="7"/>
  <c r="K21" i="7"/>
  <c r="K24" i="7"/>
  <c r="K23" i="7"/>
  <c r="G14" i="1"/>
  <c r="I14" i="1" s="1"/>
  <c r="C15" i="1"/>
  <c r="D13" i="1"/>
  <c r="H13" i="27"/>
  <c r="I13" i="27" s="1"/>
  <c r="E25" i="27"/>
  <c r="E28" i="27"/>
  <c r="E31" i="27"/>
  <c r="M22" i="27"/>
  <c r="H18" i="27"/>
  <c r="I18" i="27" s="1"/>
  <c r="H20" i="27"/>
  <c r="I20" i="27" s="1"/>
  <c r="L12" i="27"/>
  <c r="M12" i="27" s="1"/>
  <c r="I21" i="27"/>
  <c r="L14" i="27"/>
  <c r="M14" i="27" s="1"/>
  <c r="L16" i="27"/>
  <c r="M16" i="27" s="1"/>
  <c r="E26" i="27"/>
  <c r="E29" i="27"/>
  <c r="E32" i="27"/>
  <c r="H12" i="27"/>
  <c r="I12" i="27" s="1"/>
  <c r="Q23" i="27"/>
  <c r="Q21" i="27"/>
  <c r="Q22" i="27"/>
  <c r="H16" i="27"/>
  <c r="I16" i="27" s="1"/>
  <c r="L17" i="27"/>
  <c r="M17" i="27" s="1"/>
  <c r="E30" i="27"/>
  <c r="M23" i="27"/>
  <c r="I23" i="27"/>
  <c r="I22" i="27"/>
  <c r="L18" i="27"/>
  <c r="M18" i="27" s="1"/>
  <c r="L19" i="27"/>
  <c r="M19" i="27" s="1"/>
  <c r="H14" i="27"/>
  <c r="I14" i="27" s="1"/>
  <c r="L13" i="27"/>
  <c r="M13" i="27" s="1"/>
  <c r="H17" i="27"/>
  <c r="I17" i="27" s="1"/>
  <c r="E24" i="27"/>
  <c r="E27" i="27"/>
  <c r="L20" i="27"/>
  <c r="M20" i="27" s="1"/>
  <c r="H19" i="27"/>
  <c r="I19" i="27" s="1"/>
  <c r="M21" i="27"/>
  <c r="J12" i="28"/>
  <c r="G12" i="28"/>
  <c r="C13" i="28"/>
  <c r="H20" i="28"/>
  <c r="H16" i="28"/>
  <c r="H12" i="28"/>
  <c r="H22" i="28"/>
  <c r="H18" i="28"/>
  <c r="H14" i="28"/>
  <c r="H23" i="28"/>
  <c r="H21" i="28"/>
  <c r="H19" i="28"/>
  <c r="H17" i="28"/>
  <c r="H15" i="28"/>
  <c r="H13" i="28"/>
  <c r="J11" i="28"/>
  <c r="H11" i="28"/>
  <c r="F24" i="28"/>
  <c r="C15" i="30"/>
  <c r="L14" i="30"/>
  <c r="F14" i="30"/>
  <c r="D30" i="38"/>
  <c r="F30" i="38" s="1"/>
  <c r="D38" i="38"/>
  <c r="F38" i="38" s="1"/>
  <c r="N7" i="38"/>
  <c r="N15" i="38"/>
  <c r="H23" i="38"/>
  <c r="I23" i="38"/>
  <c r="G23" i="38"/>
  <c r="E23" i="38"/>
  <c r="N8" i="38"/>
  <c r="N16" i="38"/>
  <c r="H24" i="38"/>
  <c r="I24" i="38"/>
  <c r="G24" i="38"/>
  <c r="E24" i="38"/>
  <c r="N9" i="38"/>
  <c r="H17" i="38"/>
  <c r="I17" i="38"/>
  <c r="G17" i="38"/>
  <c r="E17" i="38"/>
  <c r="H25" i="38"/>
  <c r="I25" i="38"/>
  <c r="G25" i="38"/>
  <c r="E25" i="38"/>
  <c r="N10" i="38"/>
  <c r="H18" i="38"/>
  <c r="I18" i="38"/>
  <c r="G18" i="38"/>
  <c r="E18" i="38"/>
  <c r="H26" i="38"/>
  <c r="I26" i="38"/>
  <c r="G26" i="38"/>
  <c r="E26" i="38"/>
  <c r="D31" i="38"/>
  <c r="F31" i="38" s="1"/>
  <c r="D39" i="38"/>
  <c r="F39" i="38" s="1"/>
  <c r="D32" i="38"/>
  <c r="F32" i="38" s="1"/>
  <c r="D40" i="38"/>
  <c r="F40" i="38" s="1"/>
  <c r="D33" i="38"/>
  <c r="F33" i="38" s="1"/>
  <c r="D34" i="38"/>
  <c r="F34" i="38" s="1"/>
  <c r="N11" i="38"/>
  <c r="H19" i="38"/>
  <c r="I19" i="38"/>
  <c r="G19" i="38"/>
  <c r="E19" i="38"/>
  <c r="H27" i="38"/>
  <c r="I27" i="38"/>
  <c r="G27" i="38"/>
  <c r="E27" i="38"/>
  <c r="N12" i="38"/>
  <c r="H20" i="38"/>
  <c r="I20" i="38"/>
  <c r="G20" i="38"/>
  <c r="E20" i="38"/>
  <c r="H28" i="38"/>
  <c r="I28" i="38"/>
  <c r="G28" i="38"/>
  <c r="E28" i="38"/>
  <c r="N13" i="38"/>
  <c r="H21" i="38"/>
  <c r="I21" i="38"/>
  <c r="G21" i="38"/>
  <c r="E21" i="38"/>
  <c r="N6" i="38"/>
  <c r="N14" i="38"/>
  <c r="H22" i="38"/>
  <c r="I22" i="38"/>
  <c r="G22" i="38"/>
  <c r="E22" i="38"/>
  <c r="D35" i="38"/>
  <c r="F35" i="38" s="1"/>
  <c r="D36" i="38"/>
  <c r="F36" i="38" s="1"/>
  <c r="D29" i="38"/>
  <c r="F29" i="38" s="1"/>
  <c r="D37" i="38"/>
  <c r="F37" i="38" s="1"/>
  <c r="M27" i="27" l="1"/>
  <c r="H15" i="6"/>
  <c r="I15" i="6" s="1"/>
  <c r="C14" i="6"/>
  <c r="AE200" i="41"/>
  <c r="AE213" i="41"/>
  <c r="AE205" i="41"/>
  <c r="AE219" i="41"/>
  <c r="AE204" i="41"/>
  <c r="AE199" i="41"/>
  <c r="AE197" i="41"/>
  <c r="AE203" i="41"/>
  <c r="AE208" i="41"/>
  <c r="AE202" i="41"/>
  <c r="AE185" i="41"/>
  <c r="AE198" i="41"/>
  <c r="AE206" i="41"/>
  <c r="J225" i="41"/>
  <c r="AD225" i="41" s="1"/>
  <c r="AM181" i="40"/>
  <c r="AO181" i="40" s="1"/>
  <c r="AP181" i="40" s="1"/>
  <c r="J216" i="41"/>
  <c r="AD216" i="41" s="1"/>
  <c r="J231" i="41"/>
  <c r="AD231" i="41" s="1"/>
  <c r="J212" i="41"/>
  <c r="AD212" i="41" s="1"/>
  <c r="D234" i="41"/>
  <c r="H222" i="41"/>
  <c r="G222" i="41"/>
  <c r="I222" i="41"/>
  <c r="E222" i="41"/>
  <c r="V222" i="41"/>
  <c r="F222" i="41"/>
  <c r="X222" i="41"/>
  <c r="W222" i="41"/>
  <c r="AM222" i="41" s="1"/>
  <c r="AO222" i="41" s="1"/>
  <c r="AP222" i="41" s="1"/>
  <c r="J218" i="41"/>
  <c r="AD218" i="41" s="1"/>
  <c r="J291" i="41"/>
  <c r="J217" i="41"/>
  <c r="AD217" i="41" s="1"/>
  <c r="AN220" i="41"/>
  <c r="AO209" i="41"/>
  <c r="AP209" i="41" s="1"/>
  <c r="H232" i="41"/>
  <c r="D244" i="41"/>
  <c r="I232" i="41"/>
  <c r="G232" i="41"/>
  <c r="E232" i="41"/>
  <c r="V232" i="41"/>
  <c r="F232" i="41"/>
  <c r="X232" i="41"/>
  <c r="W232" i="41"/>
  <c r="AM232" i="41" s="1"/>
  <c r="AO232" i="41" s="1"/>
  <c r="AP232" i="41" s="1"/>
  <c r="D235" i="41"/>
  <c r="G223" i="41"/>
  <c r="F223" i="41"/>
  <c r="H223" i="41"/>
  <c r="E223" i="41"/>
  <c r="I223" i="41"/>
  <c r="X223" i="41"/>
  <c r="V223" i="41"/>
  <c r="W223" i="41"/>
  <c r="AM223" i="41" s="1"/>
  <c r="AO223" i="41" s="1"/>
  <c r="AP223" i="41" s="1"/>
  <c r="I229" i="41"/>
  <c r="E229" i="41"/>
  <c r="H229" i="41"/>
  <c r="F229" i="41"/>
  <c r="W229" i="41"/>
  <c r="AM229" i="41" s="1"/>
  <c r="AO229" i="41" s="1"/>
  <c r="AP229" i="41" s="1"/>
  <c r="D241" i="41"/>
  <c r="G229" i="41"/>
  <c r="V229" i="41"/>
  <c r="X229" i="41"/>
  <c r="I221" i="41"/>
  <c r="E221" i="41"/>
  <c r="H221" i="41"/>
  <c r="D233" i="41"/>
  <c r="V221" i="41"/>
  <c r="F221" i="41"/>
  <c r="W221" i="41"/>
  <c r="AM221" i="41" s="1"/>
  <c r="G221" i="41"/>
  <c r="X221" i="41"/>
  <c r="D249" i="41"/>
  <c r="V237" i="41"/>
  <c r="F237" i="41"/>
  <c r="I237" i="41"/>
  <c r="E237" i="41"/>
  <c r="W237" i="41"/>
  <c r="AM237" i="41" s="1"/>
  <c r="AO237" i="41" s="1"/>
  <c r="AP237" i="41" s="1"/>
  <c r="G237" i="41"/>
  <c r="X237" i="41"/>
  <c r="H237" i="41"/>
  <c r="D238" i="41"/>
  <c r="H226" i="41"/>
  <c r="G226" i="41"/>
  <c r="I226" i="41"/>
  <c r="E226" i="41"/>
  <c r="F226" i="41"/>
  <c r="V226" i="41"/>
  <c r="X226" i="41"/>
  <c r="W226" i="41"/>
  <c r="AM226" i="41" s="1"/>
  <c r="AO226" i="41" s="1"/>
  <c r="AP226" i="41" s="1"/>
  <c r="J210" i="41"/>
  <c r="AD210" i="41" s="1"/>
  <c r="J220" i="41"/>
  <c r="AD220" i="41" s="1"/>
  <c r="D255" i="41"/>
  <c r="H243" i="41"/>
  <c r="G243" i="41"/>
  <c r="I243" i="41"/>
  <c r="E243" i="41"/>
  <c r="F243" i="41"/>
  <c r="V243" i="41"/>
  <c r="X243" i="41"/>
  <c r="W243" i="41"/>
  <c r="AM243" i="41" s="1"/>
  <c r="AO243" i="41" s="1"/>
  <c r="AP243" i="41" s="1"/>
  <c r="D240" i="41"/>
  <c r="V228" i="41"/>
  <c r="F228" i="41"/>
  <c r="I228" i="41"/>
  <c r="E228" i="41"/>
  <c r="W228" i="41"/>
  <c r="AM228" i="41" s="1"/>
  <c r="AO228" i="41" s="1"/>
  <c r="AP228" i="41" s="1"/>
  <c r="G228" i="41"/>
  <c r="X228" i="41"/>
  <c r="H228" i="41"/>
  <c r="J209" i="41"/>
  <c r="D239" i="41"/>
  <c r="G227" i="41"/>
  <c r="F227" i="41"/>
  <c r="H227" i="41"/>
  <c r="I227" i="41"/>
  <c r="E227" i="41"/>
  <c r="X227" i="41"/>
  <c r="V227" i="41"/>
  <c r="W227" i="41"/>
  <c r="AM227" i="41" s="1"/>
  <c r="AO227" i="41" s="1"/>
  <c r="AP227" i="41" s="1"/>
  <c r="J215" i="41"/>
  <c r="AD215" i="41" s="1"/>
  <c r="J214" i="41"/>
  <c r="AD214" i="41" s="1"/>
  <c r="J211" i="41"/>
  <c r="AD211" i="41" s="1"/>
  <c r="D242" i="41"/>
  <c r="F230" i="41"/>
  <c r="H230" i="41"/>
  <c r="G230" i="41"/>
  <c r="I230" i="41"/>
  <c r="E230" i="41"/>
  <c r="W230" i="41"/>
  <c r="AM230" i="41" s="1"/>
  <c r="AO230" i="41" s="1"/>
  <c r="AP230" i="41" s="1"/>
  <c r="V230" i="41"/>
  <c r="X230" i="41"/>
  <c r="D236" i="41"/>
  <c r="V224" i="41"/>
  <c r="F224" i="41"/>
  <c r="I224" i="41"/>
  <c r="E224" i="41"/>
  <c r="W224" i="41"/>
  <c r="AM224" i="41" s="1"/>
  <c r="AO224" i="41" s="1"/>
  <c r="AP224" i="41" s="1"/>
  <c r="G224" i="41"/>
  <c r="H224" i="41"/>
  <c r="X224" i="41"/>
  <c r="W191" i="40"/>
  <c r="AM191" i="40" s="1"/>
  <c r="AO191" i="40" s="1"/>
  <c r="AP191" i="40" s="1"/>
  <c r="X191" i="40"/>
  <c r="V191" i="40"/>
  <c r="X204" i="40"/>
  <c r="W204" i="40"/>
  <c r="V204" i="40"/>
  <c r="V194" i="40"/>
  <c r="W194" i="40"/>
  <c r="AM194" i="40" s="1"/>
  <c r="AO194" i="40" s="1"/>
  <c r="AP194" i="40" s="1"/>
  <c r="X194" i="40"/>
  <c r="W195" i="40"/>
  <c r="AM195" i="40" s="1"/>
  <c r="AO195" i="40" s="1"/>
  <c r="AP195" i="40" s="1"/>
  <c r="X195" i="40"/>
  <c r="V195" i="40"/>
  <c r="W187" i="40"/>
  <c r="AM187" i="40" s="1"/>
  <c r="AO187" i="40" s="1"/>
  <c r="AP187" i="40" s="1"/>
  <c r="X187" i="40"/>
  <c r="V187" i="40"/>
  <c r="V189" i="40"/>
  <c r="W189" i="40"/>
  <c r="AM189" i="40" s="1"/>
  <c r="AO189" i="40" s="1"/>
  <c r="AP189" i="40" s="1"/>
  <c r="X189" i="40"/>
  <c r="V190" i="40"/>
  <c r="W190" i="40"/>
  <c r="AM190" i="40" s="1"/>
  <c r="AO190" i="40" s="1"/>
  <c r="AP190" i="40" s="1"/>
  <c r="X190" i="40"/>
  <c r="X188" i="40"/>
  <c r="W188" i="40"/>
  <c r="AM188" i="40" s="1"/>
  <c r="AO188" i="40" s="1"/>
  <c r="AP188" i="40" s="1"/>
  <c r="V188" i="40"/>
  <c r="V198" i="40"/>
  <c r="W198" i="40"/>
  <c r="X198" i="40"/>
  <c r="V193" i="40"/>
  <c r="X193" i="40"/>
  <c r="W193" i="40"/>
  <c r="AM193" i="40" s="1"/>
  <c r="AO193" i="40" s="1"/>
  <c r="AP193" i="40" s="1"/>
  <c r="X196" i="40"/>
  <c r="W196" i="40"/>
  <c r="AM196" i="40" s="1"/>
  <c r="AO196" i="40" s="1"/>
  <c r="AP196" i="40" s="1"/>
  <c r="V196" i="40"/>
  <c r="V197" i="40"/>
  <c r="X197" i="40"/>
  <c r="W197" i="40"/>
  <c r="H57" i="4"/>
  <c r="J176" i="40"/>
  <c r="AD176" i="40" s="1"/>
  <c r="AE176" i="40" s="1"/>
  <c r="J177" i="40"/>
  <c r="AD177" i="40" s="1"/>
  <c r="AE177" i="40" s="1"/>
  <c r="Q219" i="40"/>
  <c r="P219" i="40"/>
  <c r="S219" i="40"/>
  <c r="R219" i="40"/>
  <c r="S212" i="40"/>
  <c r="Q212" i="40"/>
  <c r="P212" i="40"/>
  <c r="R212" i="40"/>
  <c r="P210" i="40"/>
  <c r="R210" i="40"/>
  <c r="S210" i="40"/>
  <c r="Q210" i="40"/>
  <c r="Q213" i="40"/>
  <c r="S213" i="40"/>
  <c r="R213" i="40"/>
  <c r="P213" i="40"/>
  <c r="J288" i="40"/>
  <c r="AM192" i="40"/>
  <c r="AO192" i="40" s="1"/>
  <c r="AP192" i="40" s="1"/>
  <c r="L204" i="40"/>
  <c r="J183" i="40"/>
  <c r="AD183" i="40" s="1"/>
  <c r="AE183" i="40" s="1"/>
  <c r="L203" i="40"/>
  <c r="D199" i="40"/>
  <c r="F187" i="40"/>
  <c r="E187" i="40"/>
  <c r="I187" i="40"/>
  <c r="H187" i="40"/>
  <c r="G187" i="40"/>
  <c r="L197" i="40"/>
  <c r="AM185" i="40"/>
  <c r="L207" i="40"/>
  <c r="J178" i="40"/>
  <c r="AD178" i="40" s="1"/>
  <c r="AE178" i="40" s="1"/>
  <c r="D202" i="40"/>
  <c r="I190" i="40"/>
  <c r="E190" i="40"/>
  <c r="H190" i="40"/>
  <c r="G190" i="40"/>
  <c r="F190" i="40"/>
  <c r="J185" i="40"/>
  <c r="L218" i="40"/>
  <c r="L208" i="40"/>
  <c r="J186" i="40"/>
  <c r="AD186" i="40" s="1"/>
  <c r="AE186" i="40" s="1"/>
  <c r="J182" i="40"/>
  <c r="AD182" i="40" s="1"/>
  <c r="AE182" i="40" s="1"/>
  <c r="L214" i="40"/>
  <c r="J179" i="40"/>
  <c r="AD179" i="40" s="1"/>
  <c r="AE179" i="40" s="1"/>
  <c r="J175" i="40"/>
  <c r="AD175" i="40" s="1"/>
  <c r="AE175" i="40" s="1"/>
  <c r="J181" i="40"/>
  <c r="AD181" i="40" s="1"/>
  <c r="AE181" i="40" s="1"/>
  <c r="H193" i="40"/>
  <c r="G193" i="40"/>
  <c r="D205" i="40"/>
  <c r="I193" i="40"/>
  <c r="F193" i="40"/>
  <c r="E193" i="40"/>
  <c r="H196" i="40"/>
  <c r="G196" i="40"/>
  <c r="D208" i="40"/>
  <c r="F196" i="40"/>
  <c r="I196" i="40"/>
  <c r="E196" i="40"/>
  <c r="D209" i="40"/>
  <c r="G197" i="40"/>
  <c r="F197" i="40"/>
  <c r="I197" i="40"/>
  <c r="E197" i="40"/>
  <c r="H197" i="40"/>
  <c r="L205" i="40"/>
  <c r="H198" i="40"/>
  <c r="D210" i="40"/>
  <c r="G198" i="40"/>
  <c r="F198" i="40"/>
  <c r="I198" i="40"/>
  <c r="E198" i="40"/>
  <c r="D203" i="40"/>
  <c r="F191" i="40"/>
  <c r="I191" i="40"/>
  <c r="E191" i="40"/>
  <c r="H191" i="40"/>
  <c r="G191" i="40"/>
  <c r="AO173" i="40"/>
  <c r="AP173" i="40" s="1"/>
  <c r="L198" i="40"/>
  <c r="AM186" i="40"/>
  <c r="AO186" i="40" s="1"/>
  <c r="AP186" i="40" s="1"/>
  <c r="L200" i="40"/>
  <c r="H189" i="40"/>
  <c r="F189" i="40"/>
  <c r="E189" i="40"/>
  <c r="I189" i="40"/>
  <c r="D201" i="40"/>
  <c r="G189" i="40"/>
  <c r="L199" i="40"/>
  <c r="G188" i="40"/>
  <c r="D200" i="40"/>
  <c r="I188" i="40"/>
  <c r="H188" i="40"/>
  <c r="F188" i="40"/>
  <c r="E188" i="40"/>
  <c r="J192" i="40"/>
  <c r="AD192" i="40" s="1"/>
  <c r="AE192" i="40" s="1"/>
  <c r="F204" i="40"/>
  <c r="I204" i="40"/>
  <c r="E204" i="40"/>
  <c r="H204" i="40"/>
  <c r="D216" i="40"/>
  <c r="G204" i="40"/>
  <c r="D206" i="40"/>
  <c r="I194" i="40"/>
  <c r="E194" i="40"/>
  <c r="H194" i="40"/>
  <c r="G194" i="40"/>
  <c r="F194" i="40"/>
  <c r="D207" i="40"/>
  <c r="F195" i="40"/>
  <c r="I195" i="40"/>
  <c r="E195" i="40"/>
  <c r="H195" i="40"/>
  <c r="G195" i="40"/>
  <c r="J184" i="40"/>
  <c r="AD184" i="40" s="1"/>
  <c r="AE184" i="40" s="1"/>
  <c r="AD166" i="40"/>
  <c r="AE166" i="40" s="1"/>
  <c r="L201" i="40"/>
  <c r="X28" i="38"/>
  <c r="W28" i="38"/>
  <c r="AM28" i="38" s="1"/>
  <c r="V28" i="38"/>
  <c r="O28" i="38"/>
  <c r="X22" i="38"/>
  <c r="W22" i="38"/>
  <c r="V22" i="38"/>
  <c r="O22" i="38"/>
  <c r="X20" i="38"/>
  <c r="W20" i="38"/>
  <c r="AM20" i="38" s="1"/>
  <c r="V20" i="38"/>
  <c r="O20" i="38"/>
  <c r="X27" i="38"/>
  <c r="V27" i="38"/>
  <c r="W27" i="38"/>
  <c r="AM27" i="38" s="1"/>
  <c r="O27" i="38"/>
  <c r="X26" i="38"/>
  <c r="W26" i="38"/>
  <c r="AM26" i="38" s="1"/>
  <c r="V26" i="38"/>
  <c r="O26" i="38"/>
  <c r="X25" i="38"/>
  <c r="W25" i="38"/>
  <c r="AM25" i="38" s="1"/>
  <c r="V25" i="38"/>
  <c r="O25" i="38"/>
  <c r="X24" i="38"/>
  <c r="V24" i="38"/>
  <c r="W24" i="38"/>
  <c r="AM24" i="38" s="1"/>
  <c r="O24" i="38"/>
  <c r="X21" i="38"/>
  <c r="O21" i="38"/>
  <c r="W21" i="38"/>
  <c r="AM21" i="38" s="1"/>
  <c r="V21" i="38"/>
  <c r="X19" i="38"/>
  <c r="W19" i="38"/>
  <c r="AM19" i="38" s="1"/>
  <c r="V19" i="38"/>
  <c r="O19" i="38"/>
  <c r="X18" i="38"/>
  <c r="W18" i="38"/>
  <c r="AM18" i="38" s="1"/>
  <c r="V18" i="38"/>
  <c r="O18" i="38"/>
  <c r="X17" i="38"/>
  <c r="W17" i="38"/>
  <c r="AM17" i="38" s="1"/>
  <c r="V17" i="38"/>
  <c r="O17" i="38"/>
  <c r="X23" i="38"/>
  <c r="W23" i="38"/>
  <c r="AM23" i="38" s="1"/>
  <c r="V23" i="38"/>
  <c r="O23" i="38"/>
  <c r="J20" i="38"/>
  <c r="AD20" i="38" s="1"/>
  <c r="AE20" i="38" s="1"/>
  <c r="J18" i="38"/>
  <c r="AD18" i="38" s="1"/>
  <c r="AE18" i="38" s="1"/>
  <c r="J23" i="38"/>
  <c r="AD23" i="38" s="1"/>
  <c r="AE23" i="38" s="1"/>
  <c r="J24" i="38"/>
  <c r="AD24" i="38" s="1"/>
  <c r="AE24" i="38" s="1"/>
  <c r="P58" i="36"/>
  <c r="P54" i="36"/>
  <c r="P51" i="36"/>
  <c r="P59" i="36"/>
  <c r="P53" i="36"/>
  <c r="P57" i="36"/>
  <c r="P61" i="36"/>
  <c r="P52" i="36"/>
  <c r="P60" i="36"/>
  <c r="P62" i="36"/>
  <c r="P55" i="36"/>
  <c r="P56" i="36"/>
  <c r="P90" i="36"/>
  <c r="P98" i="36"/>
  <c r="P89" i="36"/>
  <c r="P93" i="36"/>
  <c r="P97" i="36"/>
  <c r="P92" i="36"/>
  <c r="P94" i="36"/>
  <c r="P88" i="36"/>
  <c r="P87" i="36"/>
  <c r="P95" i="36"/>
  <c r="P96" i="36"/>
  <c r="P91" i="36"/>
  <c r="P66" i="36"/>
  <c r="P74" i="36"/>
  <c r="P70" i="36"/>
  <c r="P67" i="36"/>
  <c r="P65" i="36"/>
  <c r="P69" i="36"/>
  <c r="P73" i="36"/>
  <c r="P68" i="36"/>
  <c r="P63" i="36"/>
  <c r="P71" i="36"/>
  <c r="P64" i="36"/>
  <c r="P72" i="36"/>
  <c r="J20" i="26"/>
  <c r="P114" i="36"/>
  <c r="P115" i="36"/>
  <c r="P111" i="36"/>
  <c r="P122" i="36"/>
  <c r="P116" i="36"/>
  <c r="P118" i="36"/>
  <c r="P117" i="36"/>
  <c r="P112" i="36"/>
  <c r="P119" i="36"/>
  <c r="P120" i="36"/>
  <c r="P121" i="36"/>
  <c r="P113" i="36"/>
  <c r="P82" i="36"/>
  <c r="P86" i="36"/>
  <c r="P75" i="36"/>
  <c r="P77" i="36"/>
  <c r="P81" i="36"/>
  <c r="P85" i="36"/>
  <c r="P76" i="36"/>
  <c r="P84" i="36"/>
  <c r="P78" i="36"/>
  <c r="P79" i="36"/>
  <c r="P83" i="36"/>
  <c r="P80" i="36"/>
  <c r="P108" i="36"/>
  <c r="P106" i="36"/>
  <c r="P102" i="36"/>
  <c r="P101" i="36"/>
  <c r="P105" i="36"/>
  <c r="P100" i="36"/>
  <c r="P109" i="36"/>
  <c r="P110" i="36"/>
  <c r="P99" i="36"/>
  <c r="P107" i="36"/>
  <c r="P104" i="36"/>
  <c r="P103" i="36"/>
  <c r="G22" i="26"/>
  <c r="P124" i="36"/>
  <c r="P123" i="36"/>
  <c r="P131" i="36"/>
  <c r="P133" i="36"/>
  <c r="P134" i="36"/>
  <c r="P126" i="36"/>
  <c r="P128" i="36"/>
  <c r="P125" i="36"/>
  <c r="P132" i="36"/>
  <c r="P130" i="36"/>
  <c r="P127" i="36"/>
  <c r="P129" i="36"/>
  <c r="H31" i="6"/>
  <c r="C32" i="6"/>
  <c r="I30" i="6"/>
  <c r="I21" i="6"/>
  <c r="H22" i="6"/>
  <c r="C23" i="6"/>
  <c r="L110" i="5"/>
  <c r="L81" i="5"/>
  <c r="L52" i="5"/>
  <c r="L23" i="5"/>
  <c r="L103" i="5"/>
  <c r="L74" i="5"/>
  <c r="L45" i="5"/>
  <c r="L16" i="5"/>
  <c r="L108" i="5"/>
  <c r="L79" i="5"/>
  <c r="L50" i="5"/>
  <c r="L21" i="5"/>
  <c r="L104" i="5"/>
  <c r="L46" i="5"/>
  <c r="L75" i="5"/>
  <c r="L17" i="5"/>
  <c r="H24" i="5"/>
  <c r="L105" i="5"/>
  <c r="L47" i="5"/>
  <c r="L76" i="5"/>
  <c r="L18" i="5"/>
  <c r="L107" i="5"/>
  <c r="L78" i="5"/>
  <c r="L49" i="5"/>
  <c r="L20" i="5"/>
  <c r="L106" i="5"/>
  <c r="L77" i="5"/>
  <c r="L48" i="5"/>
  <c r="L19" i="5"/>
  <c r="L109" i="5"/>
  <c r="L80" i="5"/>
  <c r="L51" i="5"/>
  <c r="L22" i="5"/>
  <c r="M15" i="4"/>
  <c r="H107" i="4"/>
  <c r="K20" i="4"/>
  <c r="L20" i="4" s="1"/>
  <c r="H118" i="4"/>
  <c r="H60" i="4"/>
  <c r="H31" i="4"/>
  <c r="H114" i="4"/>
  <c r="L27" i="4"/>
  <c r="H56" i="4"/>
  <c r="H27" i="4"/>
  <c r="M24" i="4"/>
  <c r="H74" i="4"/>
  <c r="K16" i="4"/>
  <c r="L16" i="4" s="1"/>
  <c r="L28" i="4"/>
  <c r="H82" i="4"/>
  <c r="H61" i="4"/>
  <c r="H119" i="4"/>
  <c r="L32" i="4"/>
  <c r="H32" i="4"/>
  <c r="K18" i="4"/>
  <c r="H78" i="4"/>
  <c r="H73" i="4"/>
  <c r="H45" i="4"/>
  <c r="H76" i="4"/>
  <c r="H117" i="4"/>
  <c r="L30" i="4"/>
  <c r="H92" i="4"/>
  <c r="H121" i="4"/>
  <c r="L34" i="4"/>
  <c r="H104" i="4"/>
  <c r="K17" i="4"/>
  <c r="L17" i="4" s="1"/>
  <c r="H46" i="4"/>
  <c r="H17" i="4"/>
  <c r="H116" i="4"/>
  <c r="H58" i="4"/>
  <c r="L29" i="4"/>
  <c r="H29" i="4"/>
  <c r="H122" i="4"/>
  <c r="H64" i="4"/>
  <c r="L35" i="4"/>
  <c r="H35" i="4"/>
  <c r="H84" i="4"/>
  <c r="H113" i="4"/>
  <c r="H55" i="4"/>
  <c r="L26" i="4"/>
  <c r="H103" i="4"/>
  <c r="H47" i="4"/>
  <c r="L86" i="4"/>
  <c r="L73" i="4"/>
  <c r="H26" i="4"/>
  <c r="H112" i="4"/>
  <c r="H54" i="4"/>
  <c r="H25" i="4"/>
  <c r="H59" i="4"/>
  <c r="H49" i="4"/>
  <c r="H108" i="4"/>
  <c r="K21" i="4"/>
  <c r="L21" i="4" s="1"/>
  <c r="H50" i="4"/>
  <c r="H21" i="4"/>
  <c r="H106" i="4"/>
  <c r="H48" i="4"/>
  <c r="K19" i="4"/>
  <c r="L19" i="4" s="1"/>
  <c r="H19" i="4"/>
  <c r="L82" i="4"/>
  <c r="H88" i="4"/>
  <c r="H20" i="4"/>
  <c r="H51" i="4"/>
  <c r="H109" i="4"/>
  <c r="L22" i="4"/>
  <c r="H16" i="4"/>
  <c r="H63" i="4"/>
  <c r="H86" i="4"/>
  <c r="H105" i="4"/>
  <c r="H110" i="4"/>
  <c r="H52" i="4"/>
  <c r="H23" i="4"/>
  <c r="H120" i="4"/>
  <c r="H62" i="4"/>
  <c r="L33" i="4"/>
  <c r="H33" i="4"/>
  <c r="D14" i="1"/>
  <c r="L12" i="1"/>
  <c r="C16" i="1"/>
  <c r="G15" i="1"/>
  <c r="I15" i="1" s="1"/>
  <c r="Q32" i="27"/>
  <c r="Q28" i="27"/>
  <c r="I25" i="27"/>
  <c r="Q146" i="36"/>
  <c r="Q140" i="36"/>
  <c r="Q145" i="36"/>
  <c r="Q139" i="36"/>
  <c r="Q142" i="36"/>
  <c r="Q141" i="36"/>
  <c r="Q138" i="36"/>
  <c r="Q136" i="36"/>
  <c r="Q135" i="36"/>
  <c r="Q144" i="36"/>
  <c r="Q143" i="36"/>
  <c r="Q137" i="36"/>
  <c r="Q26" i="27"/>
  <c r="M29" i="27"/>
  <c r="M28" i="27"/>
  <c r="I30" i="27"/>
  <c r="Q29" i="27"/>
  <c r="Q134" i="36"/>
  <c r="Q133" i="36"/>
  <c r="Q129" i="36"/>
  <c r="Q132" i="36"/>
  <c r="Q131" i="36"/>
  <c r="Q127" i="36"/>
  <c r="Q125" i="36"/>
  <c r="Q123" i="36"/>
  <c r="Q128" i="36"/>
  <c r="Q126" i="36"/>
  <c r="Q130" i="36"/>
  <c r="Q124" i="36"/>
  <c r="I26" i="27"/>
  <c r="I32" i="27"/>
  <c r="M32" i="27"/>
  <c r="Q27" i="27"/>
  <c r="Q31" i="27"/>
  <c r="Q154" i="36"/>
  <c r="Q153" i="36"/>
  <c r="Q152" i="36"/>
  <c r="Q151" i="36"/>
  <c r="Q158" i="36"/>
  <c r="Q157" i="36"/>
  <c r="Q150" i="36"/>
  <c r="Q149" i="36"/>
  <c r="Q156" i="36"/>
  <c r="Q155" i="36"/>
  <c r="Q148" i="36"/>
  <c r="Q147" i="36"/>
  <c r="M31" i="27"/>
  <c r="I24" i="27"/>
  <c r="M24" i="27"/>
  <c r="M26" i="27"/>
  <c r="I31" i="27"/>
  <c r="Q30" i="27"/>
  <c r="Q25" i="27"/>
  <c r="M30" i="27"/>
  <c r="M25" i="27"/>
  <c r="I29" i="27"/>
  <c r="I27" i="27"/>
  <c r="I28" i="27"/>
  <c r="Q24" i="27"/>
  <c r="K11" i="28"/>
  <c r="L11" i="28" s="1"/>
  <c r="K12" i="28"/>
  <c r="L12" i="28" s="1"/>
  <c r="I12" i="28"/>
  <c r="H25" i="28" s="1"/>
  <c r="G13" i="28"/>
  <c r="F25" i="28" s="1"/>
  <c r="C14" i="28"/>
  <c r="J13" i="28"/>
  <c r="I11" i="28"/>
  <c r="H24" i="28" s="1"/>
  <c r="K14" i="30"/>
  <c r="E29" i="30"/>
  <c r="H53" i="36"/>
  <c r="H57" i="36"/>
  <c r="H56" i="36"/>
  <c r="H54" i="36"/>
  <c r="H51" i="36"/>
  <c r="H62" i="36"/>
  <c r="H58" i="36"/>
  <c r="H60" i="36"/>
  <c r="H55" i="36"/>
  <c r="H59" i="36"/>
  <c r="H61" i="36"/>
  <c r="H52" i="36"/>
  <c r="H41" i="36"/>
  <c r="H42" i="36"/>
  <c r="H43" i="36"/>
  <c r="H47" i="36"/>
  <c r="H45" i="36"/>
  <c r="H46" i="36"/>
  <c r="H39" i="36"/>
  <c r="H50" i="36"/>
  <c r="H49" i="36"/>
  <c r="H40" i="36"/>
  <c r="H48" i="36"/>
  <c r="H44" i="36"/>
  <c r="J14" i="30"/>
  <c r="M14" i="30" s="1"/>
  <c r="H9" i="36"/>
  <c r="H10" i="36"/>
  <c r="H7" i="36"/>
  <c r="H5" i="36"/>
  <c r="H14" i="36"/>
  <c r="H13" i="36"/>
  <c r="H11" i="36"/>
  <c r="H5" i="38"/>
  <c r="H6" i="36"/>
  <c r="H4" i="36"/>
  <c r="H10" i="38"/>
  <c r="J10" i="38" s="1"/>
  <c r="AD10" i="38" s="1"/>
  <c r="AE10" i="38" s="1"/>
  <c r="H14" i="38"/>
  <c r="J14" i="38" s="1"/>
  <c r="AD14" i="38" s="1"/>
  <c r="AE14" i="38" s="1"/>
  <c r="H8" i="36"/>
  <c r="H3" i="36"/>
  <c r="H13" i="38"/>
  <c r="J13" i="38" s="1"/>
  <c r="AD13" i="38" s="1"/>
  <c r="AE13" i="38" s="1"/>
  <c r="H11" i="38"/>
  <c r="J11" i="38" s="1"/>
  <c r="AD11" i="38" s="1"/>
  <c r="AE11" i="38" s="1"/>
  <c r="H9" i="38"/>
  <c r="J9" i="38" s="1"/>
  <c r="AD9" i="38" s="1"/>
  <c r="AE9" i="38" s="1"/>
  <c r="H16" i="38"/>
  <c r="J16" i="38" s="1"/>
  <c r="AD16" i="38" s="1"/>
  <c r="AE16" i="38" s="1"/>
  <c r="H8" i="38"/>
  <c r="J8" i="38" s="1"/>
  <c r="AD8" i="38" s="1"/>
  <c r="AE8" i="38" s="1"/>
  <c r="H15" i="38"/>
  <c r="J15" i="38" s="1"/>
  <c r="AD15" i="38" s="1"/>
  <c r="AE15" i="38" s="1"/>
  <c r="H7" i="38"/>
  <c r="J7" i="38" s="1"/>
  <c r="AD7" i="38" s="1"/>
  <c r="AE7" i="38" s="1"/>
  <c r="H12" i="36"/>
  <c r="H6" i="38"/>
  <c r="J6" i="38" s="1"/>
  <c r="AD6" i="38" s="1"/>
  <c r="H12" i="38"/>
  <c r="J12" i="38" s="1"/>
  <c r="AD12" i="38" s="1"/>
  <c r="AE12" i="38" s="1"/>
  <c r="F15" i="30"/>
  <c r="E30" i="30" s="1"/>
  <c r="C16" i="30"/>
  <c r="L15" i="30"/>
  <c r="H29" i="38"/>
  <c r="I29" i="38"/>
  <c r="G29" i="38"/>
  <c r="E29" i="38"/>
  <c r="J28" i="38"/>
  <c r="AD28" i="38" s="1"/>
  <c r="AE28" i="38" s="1"/>
  <c r="N19" i="38"/>
  <c r="H34" i="38"/>
  <c r="I34" i="38"/>
  <c r="G34" i="38"/>
  <c r="E34" i="38"/>
  <c r="D52" i="38"/>
  <c r="F52" i="38" s="1"/>
  <c r="H31" i="38"/>
  <c r="I31" i="38"/>
  <c r="G31" i="38"/>
  <c r="E31" i="38"/>
  <c r="J26" i="38"/>
  <c r="AD26" i="38" s="1"/>
  <c r="AE26" i="38" s="1"/>
  <c r="N26" i="38"/>
  <c r="H38" i="38"/>
  <c r="I38" i="38"/>
  <c r="G38" i="38"/>
  <c r="E38" i="38"/>
  <c r="D49" i="38"/>
  <c r="F49" i="38" s="1"/>
  <c r="J22" i="38"/>
  <c r="AD22" i="38" s="1"/>
  <c r="AE22" i="38" s="1"/>
  <c r="AM22" i="38"/>
  <c r="N22" i="38"/>
  <c r="J21" i="38"/>
  <c r="AD21" i="38" s="1"/>
  <c r="AE21" i="38" s="1"/>
  <c r="N21" i="38"/>
  <c r="N20" i="38"/>
  <c r="J27" i="38"/>
  <c r="AD27" i="38" s="1"/>
  <c r="AE27" i="38" s="1"/>
  <c r="D45" i="38"/>
  <c r="F45" i="38" s="1"/>
  <c r="H40" i="38"/>
  <c r="I40" i="38"/>
  <c r="G40" i="38"/>
  <c r="E40" i="38"/>
  <c r="D51" i="38"/>
  <c r="F51" i="38" s="1"/>
  <c r="J25" i="38"/>
  <c r="AD25" i="38" s="1"/>
  <c r="AE25" i="38" s="1"/>
  <c r="N25" i="38"/>
  <c r="N24" i="38"/>
  <c r="D42" i="38"/>
  <c r="F42" i="38" s="1"/>
  <c r="H37" i="38"/>
  <c r="I37" i="38"/>
  <c r="G37" i="38"/>
  <c r="E37" i="38"/>
  <c r="D48" i="38"/>
  <c r="F48" i="38" s="1"/>
  <c r="D47" i="38"/>
  <c r="F47" i="38" s="1"/>
  <c r="N27" i="38"/>
  <c r="H33" i="38"/>
  <c r="I33" i="38"/>
  <c r="G33" i="38"/>
  <c r="E33" i="38"/>
  <c r="D44" i="38"/>
  <c r="F44" i="38" s="1"/>
  <c r="H39" i="38"/>
  <c r="I39" i="38"/>
  <c r="G39" i="38"/>
  <c r="E39" i="38"/>
  <c r="AN16" i="38"/>
  <c r="N18" i="38"/>
  <c r="H30" i="38"/>
  <c r="I30" i="38"/>
  <c r="G30" i="38"/>
  <c r="E30" i="38"/>
  <c r="D41" i="38"/>
  <c r="F41" i="38" s="1"/>
  <c r="H36" i="38"/>
  <c r="I36" i="38"/>
  <c r="G36" i="38"/>
  <c r="E36" i="38"/>
  <c r="H35" i="38"/>
  <c r="I35" i="38"/>
  <c r="G35" i="38"/>
  <c r="E35" i="38"/>
  <c r="N28" i="38"/>
  <c r="J19" i="38"/>
  <c r="AD19" i="38" s="1"/>
  <c r="AE19" i="38" s="1"/>
  <c r="D46" i="38"/>
  <c r="F46" i="38" s="1"/>
  <c r="H32" i="38"/>
  <c r="I32" i="38"/>
  <c r="G32" i="38"/>
  <c r="E32" i="38"/>
  <c r="D43" i="38"/>
  <c r="F43" i="38" s="1"/>
  <c r="J17" i="38"/>
  <c r="N17" i="38"/>
  <c r="N23" i="38"/>
  <c r="D50" i="38"/>
  <c r="F50" i="38" s="1"/>
  <c r="I13" i="28" l="1"/>
  <c r="H26" i="28" s="1"/>
  <c r="H14" i="6"/>
  <c r="I14" i="6" s="1"/>
  <c r="C13" i="6"/>
  <c r="H13" i="6" s="1"/>
  <c r="I13" i="6" s="1"/>
  <c r="AE211" i="41"/>
  <c r="AE215" i="41"/>
  <c r="AE210" i="41"/>
  <c r="AE214" i="41"/>
  <c r="AE217" i="41"/>
  <c r="AE216" i="41"/>
  <c r="AE225" i="41"/>
  <c r="AE218" i="41"/>
  <c r="AE231" i="41"/>
  <c r="AE220" i="41"/>
  <c r="AE212" i="41"/>
  <c r="J224" i="41"/>
  <c r="AD224" i="41" s="1"/>
  <c r="J222" i="41"/>
  <c r="AD222" i="41" s="1"/>
  <c r="AN184" i="40"/>
  <c r="J230" i="41"/>
  <c r="AD230" i="41" s="1"/>
  <c r="J243" i="41"/>
  <c r="AD243" i="41" s="1"/>
  <c r="J226" i="41"/>
  <c r="AD226" i="41" s="1"/>
  <c r="D251" i="41"/>
  <c r="H239" i="41"/>
  <c r="G239" i="41"/>
  <c r="I239" i="41"/>
  <c r="E239" i="41"/>
  <c r="V239" i="41"/>
  <c r="F239" i="41"/>
  <c r="X239" i="41"/>
  <c r="W239" i="41"/>
  <c r="AM239" i="41" s="1"/>
  <c r="AO239" i="41" s="1"/>
  <c r="AP239" i="41" s="1"/>
  <c r="D267" i="41"/>
  <c r="H255" i="41"/>
  <c r="F255" i="41"/>
  <c r="I255" i="41"/>
  <c r="E255" i="41"/>
  <c r="G255" i="41"/>
  <c r="W255" i="41"/>
  <c r="AM255" i="41" s="1"/>
  <c r="AO255" i="41" s="1"/>
  <c r="AP255" i="41" s="1"/>
  <c r="V255" i="41"/>
  <c r="X255" i="41"/>
  <c r="D250" i="41"/>
  <c r="I238" i="41"/>
  <c r="E238" i="41"/>
  <c r="H238" i="41"/>
  <c r="F238" i="41"/>
  <c r="G238" i="41"/>
  <c r="W238" i="41"/>
  <c r="AM238" i="41" s="1"/>
  <c r="AO238" i="41" s="1"/>
  <c r="AP238" i="41" s="1"/>
  <c r="X238" i="41"/>
  <c r="V238" i="41"/>
  <c r="D246" i="41"/>
  <c r="I234" i="41"/>
  <c r="E234" i="41"/>
  <c r="H234" i="41"/>
  <c r="F234" i="41"/>
  <c r="G234" i="41"/>
  <c r="W234" i="41"/>
  <c r="AM234" i="41" s="1"/>
  <c r="AO234" i="41" s="1"/>
  <c r="AP234" i="41" s="1"/>
  <c r="X234" i="41"/>
  <c r="V234" i="41"/>
  <c r="D254" i="41"/>
  <c r="I242" i="41"/>
  <c r="E242" i="41"/>
  <c r="H242" i="41"/>
  <c r="F242" i="41"/>
  <c r="W242" i="41"/>
  <c r="AM242" i="41" s="1"/>
  <c r="AO242" i="41" s="1"/>
  <c r="AP242" i="41" s="1"/>
  <c r="G242" i="41"/>
  <c r="V242" i="41"/>
  <c r="X242" i="41"/>
  <c r="V233" i="41"/>
  <c r="F233" i="41"/>
  <c r="I233" i="41"/>
  <c r="E233" i="41"/>
  <c r="D245" i="41"/>
  <c r="W233" i="41"/>
  <c r="AM233" i="41" s="1"/>
  <c r="H233" i="41"/>
  <c r="X233" i="41"/>
  <c r="G233" i="41"/>
  <c r="D248" i="41"/>
  <c r="G236" i="41"/>
  <c r="F236" i="41"/>
  <c r="H236" i="41"/>
  <c r="I236" i="41"/>
  <c r="E236" i="41"/>
  <c r="V236" i="41"/>
  <c r="W236" i="41"/>
  <c r="AM236" i="41" s="1"/>
  <c r="AO236" i="41" s="1"/>
  <c r="AP236" i="41" s="1"/>
  <c r="X236" i="41"/>
  <c r="J292" i="41"/>
  <c r="AD209" i="41"/>
  <c r="AN232" i="41"/>
  <c r="AO221" i="41"/>
  <c r="AP221" i="41" s="1"/>
  <c r="D253" i="41"/>
  <c r="F241" i="41"/>
  <c r="I241" i="41"/>
  <c r="E241" i="41"/>
  <c r="W241" i="41"/>
  <c r="AM241" i="41" s="1"/>
  <c r="AO241" i="41" s="1"/>
  <c r="AP241" i="41" s="1"/>
  <c r="G241" i="41"/>
  <c r="X241" i="41"/>
  <c r="H241" i="41"/>
  <c r="V241" i="41"/>
  <c r="J229" i="41"/>
  <c r="AD229" i="41" s="1"/>
  <c r="J223" i="41"/>
  <c r="AD223" i="41" s="1"/>
  <c r="D247" i="41"/>
  <c r="H235" i="41"/>
  <c r="G235" i="41"/>
  <c r="I235" i="41"/>
  <c r="E235" i="41"/>
  <c r="V235" i="41"/>
  <c r="F235" i="41"/>
  <c r="X235" i="41"/>
  <c r="W235" i="41"/>
  <c r="AM235" i="41" s="1"/>
  <c r="AO235" i="41" s="1"/>
  <c r="AP235" i="41" s="1"/>
  <c r="D256" i="41"/>
  <c r="G244" i="41"/>
  <c r="F244" i="41"/>
  <c r="H244" i="41"/>
  <c r="E244" i="41"/>
  <c r="I244" i="41"/>
  <c r="V244" i="41"/>
  <c r="X244" i="41"/>
  <c r="W244" i="41"/>
  <c r="AM244" i="41" s="1"/>
  <c r="AO244" i="41" s="1"/>
  <c r="AP244" i="41" s="1"/>
  <c r="J227" i="41"/>
  <c r="AD227" i="41" s="1"/>
  <c r="J228" i="41"/>
  <c r="AD228" i="41" s="1"/>
  <c r="D252" i="41"/>
  <c r="G240" i="41"/>
  <c r="F240" i="41"/>
  <c r="H240" i="41"/>
  <c r="I240" i="41"/>
  <c r="E240" i="41"/>
  <c r="X240" i="41"/>
  <c r="W240" i="41"/>
  <c r="AM240" i="41" s="1"/>
  <c r="AO240" i="41" s="1"/>
  <c r="AP240" i="41" s="1"/>
  <c r="V240" i="41"/>
  <c r="J237" i="41"/>
  <c r="AD237" i="41" s="1"/>
  <c r="D261" i="41"/>
  <c r="F249" i="41"/>
  <c r="I249" i="41"/>
  <c r="H249" i="41"/>
  <c r="E249" i="41"/>
  <c r="W249" i="41"/>
  <c r="AM249" i="41" s="1"/>
  <c r="AO249" i="41" s="1"/>
  <c r="AP249" i="41" s="1"/>
  <c r="G249" i="41"/>
  <c r="V249" i="41"/>
  <c r="X249" i="41"/>
  <c r="J221" i="41"/>
  <c r="J232" i="41"/>
  <c r="AD232" i="41" s="1"/>
  <c r="V206" i="40"/>
  <c r="W206" i="40"/>
  <c r="AM206" i="40" s="1"/>
  <c r="AO206" i="40" s="1"/>
  <c r="AP206" i="40" s="1"/>
  <c r="X206" i="40"/>
  <c r="X216" i="40"/>
  <c r="V216" i="40"/>
  <c r="W216" i="40"/>
  <c r="V210" i="40"/>
  <c r="W210" i="40"/>
  <c r="X210" i="40"/>
  <c r="X208" i="40"/>
  <c r="W208" i="40"/>
  <c r="AM208" i="40" s="1"/>
  <c r="AO208" i="40" s="1"/>
  <c r="AP208" i="40" s="1"/>
  <c r="V208" i="40"/>
  <c r="V202" i="40"/>
  <c r="W202" i="40"/>
  <c r="AM202" i="40" s="1"/>
  <c r="AO202" i="40" s="1"/>
  <c r="AP202" i="40" s="1"/>
  <c r="X202" i="40"/>
  <c r="W207" i="40"/>
  <c r="AM207" i="40" s="1"/>
  <c r="AO207" i="40" s="1"/>
  <c r="AP207" i="40" s="1"/>
  <c r="X207" i="40"/>
  <c r="V207" i="40"/>
  <c r="X200" i="40"/>
  <c r="V200" i="40"/>
  <c r="W200" i="40"/>
  <c r="AM200" i="40" s="1"/>
  <c r="AO200" i="40" s="1"/>
  <c r="AP200" i="40" s="1"/>
  <c r="V201" i="40"/>
  <c r="X201" i="40"/>
  <c r="W201" i="40"/>
  <c r="AM201" i="40" s="1"/>
  <c r="AO201" i="40" s="1"/>
  <c r="AP201" i="40" s="1"/>
  <c r="V209" i="40"/>
  <c r="X209" i="40"/>
  <c r="W209" i="40"/>
  <c r="V205" i="40"/>
  <c r="W205" i="40"/>
  <c r="AM205" i="40" s="1"/>
  <c r="AO205" i="40" s="1"/>
  <c r="AP205" i="40" s="1"/>
  <c r="X205" i="40"/>
  <c r="W203" i="40"/>
  <c r="AM203" i="40" s="1"/>
  <c r="AO203" i="40" s="1"/>
  <c r="AP203" i="40" s="1"/>
  <c r="X203" i="40"/>
  <c r="V203" i="40"/>
  <c r="W199" i="40"/>
  <c r="AM199" i="40" s="1"/>
  <c r="AO199" i="40" s="1"/>
  <c r="AP199" i="40" s="1"/>
  <c r="X199" i="40"/>
  <c r="V199" i="40"/>
  <c r="J189" i="40"/>
  <c r="AD189" i="40" s="1"/>
  <c r="AE189" i="40" s="1"/>
  <c r="J198" i="40"/>
  <c r="AD198" i="40" s="1"/>
  <c r="AE198" i="40" s="1"/>
  <c r="J191" i="40"/>
  <c r="AD191" i="40" s="1"/>
  <c r="AE191" i="40" s="1"/>
  <c r="L217" i="40"/>
  <c r="H206" i="40"/>
  <c r="G206" i="40"/>
  <c r="F206" i="40"/>
  <c r="D218" i="40"/>
  <c r="I206" i="40"/>
  <c r="E206" i="40"/>
  <c r="D228" i="40"/>
  <c r="G216" i="40"/>
  <c r="H216" i="40"/>
  <c r="F216" i="40"/>
  <c r="E216" i="40"/>
  <c r="I216" i="40"/>
  <c r="L211" i="40"/>
  <c r="AM198" i="40"/>
  <c r="AO198" i="40" s="1"/>
  <c r="AP198" i="40" s="1"/>
  <c r="L210" i="40"/>
  <c r="J193" i="40"/>
  <c r="AD193" i="40" s="1"/>
  <c r="AE193" i="40" s="1"/>
  <c r="L226" i="40"/>
  <c r="L220" i="40"/>
  <c r="H202" i="40"/>
  <c r="G202" i="40"/>
  <c r="D214" i="40"/>
  <c r="F202" i="40"/>
  <c r="I202" i="40"/>
  <c r="E202" i="40"/>
  <c r="L209" i="40"/>
  <c r="AM197" i="40"/>
  <c r="I199" i="40"/>
  <c r="E199" i="40"/>
  <c r="H199" i="40"/>
  <c r="G199" i="40"/>
  <c r="D211" i="40"/>
  <c r="F199" i="40"/>
  <c r="L212" i="40"/>
  <c r="D217" i="40"/>
  <c r="G205" i="40"/>
  <c r="F205" i="40"/>
  <c r="I205" i="40"/>
  <c r="E205" i="40"/>
  <c r="H205" i="40"/>
  <c r="I207" i="40"/>
  <c r="E207" i="40"/>
  <c r="H207" i="40"/>
  <c r="D219" i="40"/>
  <c r="G207" i="40"/>
  <c r="F207" i="40"/>
  <c r="D213" i="40"/>
  <c r="G201" i="40"/>
  <c r="F201" i="40"/>
  <c r="I201" i="40"/>
  <c r="E201" i="40"/>
  <c r="H201" i="40"/>
  <c r="D220" i="40"/>
  <c r="I208" i="40"/>
  <c r="E208" i="40"/>
  <c r="G208" i="40"/>
  <c r="F208" i="40"/>
  <c r="H208" i="40"/>
  <c r="J289" i="40"/>
  <c r="L219" i="40"/>
  <c r="L213" i="40"/>
  <c r="D222" i="40"/>
  <c r="I210" i="40"/>
  <c r="E210" i="40"/>
  <c r="F210" i="40"/>
  <c r="H210" i="40"/>
  <c r="G210" i="40"/>
  <c r="AN196" i="40"/>
  <c r="AO185" i="40"/>
  <c r="AP185" i="40" s="1"/>
  <c r="L215" i="40"/>
  <c r="J195" i="40"/>
  <c r="AD195" i="40" s="1"/>
  <c r="AE195" i="40" s="1"/>
  <c r="J194" i="40"/>
  <c r="AD194" i="40" s="1"/>
  <c r="AE194" i="40" s="1"/>
  <c r="J204" i="40"/>
  <c r="AD204" i="40" s="1"/>
  <c r="AE204" i="40" s="1"/>
  <c r="J188" i="40"/>
  <c r="AD188" i="40" s="1"/>
  <c r="AE188" i="40" s="1"/>
  <c r="F200" i="40"/>
  <c r="I200" i="40"/>
  <c r="E200" i="40"/>
  <c r="D212" i="40"/>
  <c r="H200" i="40"/>
  <c r="G200" i="40"/>
  <c r="D215" i="40"/>
  <c r="I203" i="40"/>
  <c r="E203" i="40"/>
  <c r="H203" i="40"/>
  <c r="G203" i="40"/>
  <c r="F203" i="40"/>
  <c r="J197" i="40"/>
  <c r="D221" i="40"/>
  <c r="H209" i="40"/>
  <c r="G209" i="40"/>
  <c r="F209" i="40"/>
  <c r="E209" i="40"/>
  <c r="I209" i="40"/>
  <c r="J196" i="40"/>
  <c r="AD196" i="40" s="1"/>
  <c r="AE196" i="40" s="1"/>
  <c r="L230" i="40"/>
  <c r="AD185" i="40"/>
  <c r="AE185" i="40" s="1"/>
  <c r="J190" i="40"/>
  <c r="AD190" i="40" s="1"/>
  <c r="AE190" i="40" s="1"/>
  <c r="J187" i="40"/>
  <c r="AD187" i="40" s="1"/>
  <c r="AE187" i="40" s="1"/>
  <c r="L216" i="40"/>
  <c r="AM204" i="40"/>
  <c r="AO204" i="40" s="1"/>
  <c r="AP204" i="40" s="1"/>
  <c r="X39" i="38"/>
  <c r="V39" i="38"/>
  <c r="W39" i="38"/>
  <c r="AM39" i="38" s="1"/>
  <c r="O39" i="38"/>
  <c r="X40" i="38"/>
  <c r="W40" i="38"/>
  <c r="AM40" i="38" s="1"/>
  <c r="V40" i="38"/>
  <c r="O40" i="38"/>
  <c r="X36" i="38"/>
  <c r="W36" i="38"/>
  <c r="AM36" i="38" s="1"/>
  <c r="V36" i="38"/>
  <c r="O36" i="38"/>
  <c r="X34" i="38"/>
  <c r="W34" i="38"/>
  <c r="AM34" i="38" s="1"/>
  <c r="V34" i="38"/>
  <c r="O34" i="38"/>
  <c r="W29" i="38"/>
  <c r="AM29" i="38" s="1"/>
  <c r="V29" i="38"/>
  <c r="X29" i="38"/>
  <c r="O29" i="38"/>
  <c r="X33" i="38"/>
  <c r="W33" i="38"/>
  <c r="AM33" i="38" s="1"/>
  <c r="V33" i="38"/>
  <c r="O33" i="38"/>
  <c r="X35" i="38"/>
  <c r="V35" i="38"/>
  <c r="W35" i="38"/>
  <c r="AM35" i="38" s="1"/>
  <c r="O35" i="38"/>
  <c r="X30" i="38"/>
  <c r="W30" i="38"/>
  <c r="AM30" i="38" s="1"/>
  <c r="V30" i="38"/>
  <c r="O30" i="38"/>
  <c r="X32" i="38"/>
  <c r="V32" i="38"/>
  <c r="O32" i="38"/>
  <c r="W32" i="38"/>
  <c r="AM32" i="38" s="1"/>
  <c r="V37" i="38"/>
  <c r="X37" i="38"/>
  <c r="W37" i="38"/>
  <c r="AM37" i="38" s="1"/>
  <c r="O37" i="38"/>
  <c r="X38" i="38"/>
  <c r="W38" i="38"/>
  <c r="AM38" i="38" s="1"/>
  <c r="V38" i="38"/>
  <c r="O38" i="38"/>
  <c r="X31" i="38"/>
  <c r="W31" i="38"/>
  <c r="AM31" i="38" s="1"/>
  <c r="V31" i="38"/>
  <c r="O31" i="38"/>
  <c r="J5" i="38"/>
  <c r="J32" i="38"/>
  <c r="AD32" i="38" s="1"/>
  <c r="AE32" i="38" s="1"/>
  <c r="J31" i="38"/>
  <c r="AD31" i="38" s="1"/>
  <c r="AE31" i="38" s="1"/>
  <c r="P135" i="36"/>
  <c r="P139" i="36"/>
  <c r="P143" i="36"/>
  <c r="P138" i="36"/>
  <c r="P146" i="36"/>
  <c r="P141" i="36"/>
  <c r="P140" i="36"/>
  <c r="P137" i="36"/>
  <c r="P145" i="36"/>
  <c r="P142" i="36"/>
  <c r="P144" i="36"/>
  <c r="P136" i="36"/>
  <c r="J21" i="26"/>
  <c r="G23" i="26"/>
  <c r="I22" i="6"/>
  <c r="H32" i="6"/>
  <c r="C33" i="6"/>
  <c r="I31" i="6"/>
  <c r="H23" i="6"/>
  <c r="C24" i="6"/>
  <c r="H25" i="5"/>
  <c r="M22" i="4"/>
  <c r="M16" i="4"/>
  <c r="M21" i="4"/>
  <c r="M35" i="4"/>
  <c r="H81" i="4"/>
  <c r="M19" i="4"/>
  <c r="H79" i="4"/>
  <c r="M30" i="4"/>
  <c r="M32" i="4"/>
  <c r="M27" i="4"/>
  <c r="M20" i="4"/>
  <c r="L81" i="4"/>
  <c r="H87" i="4"/>
  <c r="H85" i="4"/>
  <c r="L25" i="4"/>
  <c r="L84" i="4"/>
  <c r="L87" i="4"/>
  <c r="L92" i="4"/>
  <c r="L18" i="4"/>
  <c r="L85" i="4"/>
  <c r="H91" i="4"/>
  <c r="L80" i="4"/>
  <c r="L93" i="4"/>
  <c r="M29" i="4"/>
  <c r="M17" i="4"/>
  <c r="M34" i="4"/>
  <c r="H80" i="4"/>
  <c r="M33" i="4"/>
  <c r="H77" i="4"/>
  <c r="L76" i="4"/>
  <c r="L74" i="4"/>
  <c r="L31" i="4"/>
  <c r="L78" i="4"/>
  <c r="L91" i="4"/>
  <c r="L23" i="4"/>
  <c r="L77" i="4"/>
  <c r="L79" i="4"/>
  <c r="L83" i="4"/>
  <c r="H83" i="4"/>
  <c r="M26" i="4"/>
  <c r="H93" i="4"/>
  <c r="L75" i="4"/>
  <c r="H75" i="4"/>
  <c r="L88" i="4"/>
  <c r="L90" i="4"/>
  <c r="H90" i="4"/>
  <c r="M28" i="4"/>
  <c r="L89" i="4"/>
  <c r="H89" i="4"/>
  <c r="G16" i="1"/>
  <c r="I16" i="1" s="1"/>
  <c r="C17" i="1"/>
  <c r="L13" i="1"/>
  <c r="D15" i="1"/>
  <c r="Q170" i="36"/>
  <c r="Q169" i="36"/>
  <c r="Q162" i="36"/>
  <c r="Q161" i="36"/>
  <c r="Q168" i="36"/>
  <c r="Q167" i="36"/>
  <c r="Q160" i="36"/>
  <c r="Q159" i="36"/>
  <c r="Q166" i="36"/>
  <c r="Q165" i="36"/>
  <c r="Q164" i="36"/>
  <c r="Q163" i="36"/>
  <c r="Q206" i="36"/>
  <c r="Q205" i="36"/>
  <c r="Q202" i="36"/>
  <c r="Q204" i="36"/>
  <c r="Q203" i="36"/>
  <c r="Q201" i="36"/>
  <c r="Q200" i="36"/>
  <c r="Q199" i="36"/>
  <c r="Q198" i="36"/>
  <c r="Q197" i="36"/>
  <c r="Q196" i="36"/>
  <c r="Q195" i="36"/>
  <c r="Q178" i="36"/>
  <c r="Q177" i="36"/>
  <c r="Q176" i="36"/>
  <c r="Q175" i="36"/>
  <c r="Q182" i="36"/>
  <c r="Q181" i="36"/>
  <c r="Q174" i="36"/>
  <c r="Q173" i="36"/>
  <c r="Q180" i="36"/>
  <c r="Q179" i="36"/>
  <c r="Q172" i="36"/>
  <c r="Q171" i="36"/>
  <c r="Q194" i="36"/>
  <c r="Q193" i="36"/>
  <c r="Q186" i="36"/>
  <c r="Q185" i="36"/>
  <c r="Q192" i="36"/>
  <c r="Q191" i="36"/>
  <c r="Q184" i="36"/>
  <c r="Q183" i="36"/>
  <c r="Q190" i="36"/>
  <c r="Q189" i="36"/>
  <c r="Q188" i="36"/>
  <c r="Q187" i="36"/>
  <c r="Q212" i="36"/>
  <c r="Q211" i="36"/>
  <c r="Q216" i="36"/>
  <c r="Q215" i="36"/>
  <c r="Q209" i="36"/>
  <c r="Q208" i="36"/>
  <c r="Q207" i="36"/>
  <c r="Q217" i="36"/>
  <c r="Q214" i="36"/>
  <c r="Q213" i="36"/>
  <c r="Q210" i="36"/>
  <c r="J14" i="28"/>
  <c r="G14" i="28"/>
  <c r="C15" i="28"/>
  <c r="K13" i="28"/>
  <c r="L13" i="28" s="1"/>
  <c r="K15" i="30"/>
  <c r="J15" i="30"/>
  <c r="N14" i="30"/>
  <c r="F16" i="30"/>
  <c r="L16" i="30"/>
  <c r="C17" i="30"/>
  <c r="D62" i="38"/>
  <c r="F62" i="38" s="1"/>
  <c r="AN28" i="38"/>
  <c r="D58" i="38"/>
  <c r="F58" i="38" s="1"/>
  <c r="N36" i="38"/>
  <c r="N30" i="38"/>
  <c r="N39" i="38"/>
  <c r="N33" i="38"/>
  <c r="H48" i="38"/>
  <c r="I48" i="38"/>
  <c r="G48" i="38"/>
  <c r="E48" i="38"/>
  <c r="H42" i="38"/>
  <c r="I42" i="38"/>
  <c r="G42" i="38"/>
  <c r="E42" i="38"/>
  <c r="D63" i="38"/>
  <c r="F63" i="38" s="1"/>
  <c r="D57" i="38"/>
  <c r="F57" i="38" s="1"/>
  <c r="N38" i="38"/>
  <c r="H52" i="38"/>
  <c r="I52" i="38"/>
  <c r="G52" i="38"/>
  <c r="E52" i="38"/>
  <c r="H50" i="38"/>
  <c r="I50" i="38"/>
  <c r="G50" i="38"/>
  <c r="E50" i="38"/>
  <c r="J276" i="38"/>
  <c r="AD17" i="38"/>
  <c r="AE17" i="38" s="1"/>
  <c r="N32" i="38"/>
  <c r="H46" i="38"/>
  <c r="I46" i="38"/>
  <c r="G46" i="38"/>
  <c r="E46" i="38"/>
  <c r="J35" i="38"/>
  <c r="AD35" i="38" s="1"/>
  <c r="AE35" i="38" s="1"/>
  <c r="D53" i="38"/>
  <c r="F53" i="38" s="1"/>
  <c r="D56" i="38"/>
  <c r="F56" i="38" s="1"/>
  <c r="D59" i="38"/>
  <c r="F59" i="38" s="1"/>
  <c r="J37" i="38"/>
  <c r="AD37" i="38" s="1"/>
  <c r="AE37" i="38" s="1"/>
  <c r="H51" i="38"/>
  <c r="I51" i="38"/>
  <c r="G51" i="38"/>
  <c r="E51" i="38"/>
  <c r="H45" i="38"/>
  <c r="I45" i="38"/>
  <c r="G45" i="38"/>
  <c r="E45" i="38"/>
  <c r="D61" i="38"/>
  <c r="F61" i="38" s="1"/>
  <c r="N31" i="38"/>
  <c r="J34" i="38"/>
  <c r="AD34" i="38" s="1"/>
  <c r="AE34" i="38" s="1"/>
  <c r="J29" i="38"/>
  <c r="D55" i="38"/>
  <c r="F55" i="38" s="1"/>
  <c r="N35" i="38"/>
  <c r="H41" i="38"/>
  <c r="I41" i="38"/>
  <c r="G41" i="38"/>
  <c r="E41" i="38"/>
  <c r="H44" i="38"/>
  <c r="I44" i="38"/>
  <c r="G44" i="38"/>
  <c r="E44" i="38"/>
  <c r="H47" i="38"/>
  <c r="I47" i="38"/>
  <c r="G47" i="38"/>
  <c r="E47" i="38"/>
  <c r="N37" i="38"/>
  <c r="J40" i="38"/>
  <c r="AD40" i="38" s="1"/>
  <c r="AE40" i="38" s="1"/>
  <c r="H49" i="38"/>
  <c r="I49" i="38"/>
  <c r="G49" i="38"/>
  <c r="E49" i="38"/>
  <c r="N34" i="38"/>
  <c r="N29" i="38"/>
  <c r="H43" i="38"/>
  <c r="I43" i="38"/>
  <c r="G43" i="38"/>
  <c r="E43" i="38"/>
  <c r="J36" i="38"/>
  <c r="AD36" i="38" s="1"/>
  <c r="AE36" i="38" s="1"/>
  <c r="J30" i="38"/>
  <c r="AD30" i="38" s="1"/>
  <c r="AE30" i="38" s="1"/>
  <c r="J39" i="38"/>
  <c r="AD39" i="38" s="1"/>
  <c r="AE39" i="38" s="1"/>
  <c r="J33" i="38"/>
  <c r="AD33" i="38" s="1"/>
  <c r="AE33" i="38" s="1"/>
  <c r="AE6" i="38"/>
  <c r="D60" i="38"/>
  <c r="F60" i="38" s="1"/>
  <c r="D54" i="38"/>
  <c r="F54" i="38" s="1"/>
  <c r="N40" i="38"/>
  <c r="J38" i="38"/>
  <c r="AD38" i="38" s="1"/>
  <c r="AE38" i="38" s="1"/>
  <c r="D64" i="38"/>
  <c r="F64" i="38" s="1"/>
  <c r="AE232" i="41" l="1"/>
  <c r="AE237" i="41"/>
  <c r="AE229" i="41"/>
  <c r="AE209" i="41"/>
  <c r="AE243" i="41"/>
  <c r="AE222" i="41"/>
  <c r="AE224" i="41"/>
  <c r="AE228" i="41"/>
  <c r="AE230" i="41"/>
  <c r="AE227" i="41"/>
  <c r="AE223" i="41"/>
  <c r="AE226" i="41"/>
  <c r="J236" i="41"/>
  <c r="AD236" i="41" s="1"/>
  <c r="J239" i="41"/>
  <c r="AD239" i="41" s="1"/>
  <c r="J244" i="41"/>
  <c r="AD244" i="41" s="1"/>
  <c r="D268" i="41"/>
  <c r="G256" i="41"/>
  <c r="I256" i="41"/>
  <c r="E256" i="41"/>
  <c r="H256" i="41"/>
  <c r="F256" i="41"/>
  <c r="V256" i="41"/>
  <c r="W256" i="41"/>
  <c r="AM256" i="41" s="1"/>
  <c r="AO256" i="41" s="1"/>
  <c r="AP256" i="41" s="1"/>
  <c r="X256" i="41"/>
  <c r="D266" i="41"/>
  <c r="I254" i="41"/>
  <c r="E254" i="41"/>
  <c r="W254" i="41"/>
  <c r="AM254" i="41" s="1"/>
  <c r="AO254" i="41" s="1"/>
  <c r="AP254" i="41" s="1"/>
  <c r="G254" i="41"/>
  <c r="V254" i="41"/>
  <c r="F254" i="41"/>
  <c r="H254" i="41"/>
  <c r="X254" i="41"/>
  <c r="D258" i="41"/>
  <c r="I246" i="41"/>
  <c r="E246" i="41"/>
  <c r="X246" i="41"/>
  <c r="W246" i="41"/>
  <c r="AM246" i="41" s="1"/>
  <c r="AO246" i="41" s="1"/>
  <c r="AP246" i="41" s="1"/>
  <c r="H246" i="41"/>
  <c r="F246" i="41"/>
  <c r="G246" i="41"/>
  <c r="V246" i="41"/>
  <c r="D263" i="41"/>
  <c r="H251" i="41"/>
  <c r="F251" i="41"/>
  <c r="E251" i="41"/>
  <c r="G251" i="41"/>
  <c r="I251" i="41"/>
  <c r="X251" i="41"/>
  <c r="V251" i="41"/>
  <c r="W251" i="41"/>
  <c r="AM251" i="41" s="1"/>
  <c r="AO251" i="41" s="1"/>
  <c r="AP251" i="41" s="1"/>
  <c r="J240" i="41"/>
  <c r="AD240" i="41" s="1"/>
  <c r="D265" i="41"/>
  <c r="F253" i="41"/>
  <c r="H253" i="41"/>
  <c r="G253" i="41"/>
  <c r="E253" i="41"/>
  <c r="I253" i="41"/>
  <c r="X253" i="41"/>
  <c r="V253" i="41"/>
  <c r="W253" i="41"/>
  <c r="AM253" i="41" s="1"/>
  <c r="AO253" i="41" s="1"/>
  <c r="AP253" i="41" s="1"/>
  <c r="D260" i="41"/>
  <c r="H248" i="41"/>
  <c r="G248" i="41"/>
  <c r="I248" i="41"/>
  <c r="E248" i="41"/>
  <c r="F248" i="41"/>
  <c r="V248" i="41"/>
  <c r="W248" i="41"/>
  <c r="AM248" i="41" s="1"/>
  <c r="AO248" i="41" s="1"/>
  <c r="AP248" i="41" s="1"/>
  <c r="X248" i="41"/>
  <c r="AN244" i="41"/>
  <c r="AO233" i="41"/>
  <c r="AP233" i="41" s="1"/>
  <c r="I250" i="41"/>
  <c r="E250" i="41"/>
  <c r="D262" i="41"/>
  <c r="F250" i="41"/>
  <c r="X250" i="41"/>
  <c r="V250" i="41"/>
  <c r="G250" i="41"/>
  <c r="W250" i="41"/>
  <c r="AM250" i="41" s="1"/>
  <c r="AO250" i="41" s="1"/>
  <c r="AP250" i="41" s="1"/>
  <c r="H250" i="41"/>
  <c r="J293" i="41"/>
  <c r="AD221" i="41"/>
  <c r="D264" i="41"/>
  <c r="G252" i="41"/>
  <c r="I252" i="41"/>
  <c r="E252" i="41"/>
  <c r="H252" i="41"/>
  <c r="F252" i="41"/>
  <c r="V252" i="41"/>
  <c r="W252" i="41"/>
  <c r="AM252" i="41" s="1"/>
  <c r="AO252" i="41" s="1"/>
  <c r="AP252" i="41" s="1"/>
  <c r="X252" i="41"/>
  <c r="J235" i="41"/>
  <c r="AD235" i="41" s="1"/>
  <c r="D259" i="41"/>
  <c r="I247" i="41"/>
  <c r="H247" i="41"/>
  <c r="F247" i="41"/>
  <c r="E247" i="41"/>
  <c r="G247" i="41"/>
  <c r="W247" i="41"/>
  <c r="AM247" i="41" s="1"/>
  <c r="AO247" i="41" s="1"/>
  <c r="AP247" i="41" s="1"/>
  <c r="X247" i="41"/>
  <c r="V247" i="41"/>
  <c r="J241" i="41"/>
  <c r="AD241" i="41" s="1"/>
  <c r="D257" i="41"/>
  <c r="F245" i="41"/>
  <c r="H245" i="41"/>
  <c r="W245" i="41"/>
  <c r="AM245" i="41" s="1"/>
  <c r="G245" i="41"/>
  <c r="I245" i="41"/>
  <c r="E245" i="41"/>
  <c r="V245" i="41"/>
  <c r="X245" i="41"/>
  <c r="J242" i="41"/>
  <c r="AD242" i="41" s="1"/>
  <c r="J234" i="41"/>
  <c r="AD234" i="41" s="1"/>
  <c r="J255" i="41"/>
  <c r="AD255" i="41" s="1"/>
  <c r="I267" i="41"/>
  <c r="E267" i="41"/>
  <c r="H267" i="41"/>
  <c r="G267" i="41"/>
  <c r="F267" i="41"/>
  <c r="V267" i="41"/>
  <c r="X267" i="41"/>
  <c r="W267" i="41"/>
  <c r="AM267" i="41" s="1"/>
  <c r="AO267" i="41" s="1"/>
  <c r="AP267" i="41" s="1"/>
  <c r="J249" i="41"/>
  <c r="AD249" i="41" s="1"/>
  <c r="F261" i="41"/>
  <c r="H261" i="41"/>
  <c r="G261" i="41"/>
  <c r="E261" i="41"/>
  <c r="I261" i="41"/>
  <c r="W261" i="41"/>
  <c r="AM261" i="41" s="1"/>
  <c r="AO261" i="41" s="1"/>
  <c r="AP261" i="41" s="1"/>
  <c r="X261" i="41"/>
  <c r="V261" i="41"/>
  <c r="J233" i="41"/>
  <c r="J238" i="41"/>
  <c r="AD238" i="41" s="1"/>
  <c r="V214" i="40"/>
  <c r="W214" i="40"/>
  <c r="AM214" i="40" s="1"/>
  <c r="AO214" i="40" s="1"/>
  <c r="AP214" i="40" s="1"/>
  <c r="X214" i="40"/>
  <c r="V218" i="40"/>
  <c r="W218" i="40"/>
  <c r="AM218" i="40" s="1"/>
  <c r="AO218" i="40" s="1"/>
  <c r="AP218" i="40" s="1"/>
  <c r="X218" i="40"/>
  <c r="W215" i="40"/>
  <c r="AM215" i="40" s="1"/>
  <c r="AO215" i="40" s="1"/>
  <c r="AP215" i="40" s="1"/>
  <c r="X215" i="40"/>
  <c r="V215" i="40"/>
  <c r="W219" i="40"/>
  <c r="AM219" i="40" s="1"/>
  <c r="AO219" i="40" s="1"/>
  <c r="AP219" i="40" s="1"/>
  <c r="X219" i="40"/>
  <c r="V219" i="40"/>
  <c r="V217" i="40"/>
  <c r="X217" i="40"/>
  <c r="W217" i="40"/>
  <c r="AM217" i="40" s="1"/>
  <c r="AO217" i="40" s="1"/>
  <c r="AP217" i="40" s="1"/>
  <c r="X228" i="40"/>
  <c r="W228" i="40"/>
  <c r="V228" i="40"/>
  <c r="V221" i="40"/>
  <c r="W221" i="40"/>
  <c r="X221" i="40"/>
  <c r="V213" i="40"/>
  <c r="X213" i="40"/>
  <c r="W213" i="40"/>
  <c r="AM213" i="40" s="1"/>
  <c r="AO213" i="40" s="1"/>
  <c r="AP213" i="40" s="1"/>
  <c r="W211" i="40"/>
  <c r="AM211" i="40" s="1"/>
  <c r="AO211" i="40" s="1"/>
  <c r="AP211" i="40" s="1"/>
  <c r="X211" i="40"/>
  <c r="V211" i="40"/>
  <c r="X212" i="40"/>
  <c r="W212" i="40"/>
  <c r="AM212" i="40" s="1"/>
  <c r="AO212" i="40" s="1"/>
  <c r="AP212" i="40" s="1"/>
  <c r="V212" i="40"/>
  <c r="V222" i="40"/>
  <c r="W222" i="40"/>
  <c r="X222" i="40"/>
  <c r="X220" i="40"/>
  <c r="W220" i="40"/>
  <c r="AM220" i="40" s="1"/>
  <c r="AO220" i="40" s="1"/>
  <c r="AP220" i="40" s="1"/>
  <c r="V220" i="40"/>
  <c r="J201" i="40"/>
  <c r="AD201" i="40" s="1"/>
  <c r="AE201" i="40" s="1"/>
  <c r="J199" i="40"/>
  <c r="AD199" i="40" s="1"/>
  <c r="AE199" i="40" s="1"/>
  <c r="J202" i="40"/>
  <c r="AD202" i="40" s="1"/>
  <c r="AE202" i="40" s="1"/>
  <c r="J209" i="40"/>
  <c r="AD209" i="40" s="1"/>
  <c r="AE209" i="40" s="1"/>
  <c r="J210" i="40"/>
  <c r="AD210" i="40" s="1"/>
  <c r="AE210" i="40" s="1"/>
  <c r="L225" i="40"/>
  <c r="H220" i="40"/>
  <c r="G220" i="40"/>
  <c r="D232" i="40"/>
  <c r="F220" i="40"/>
  <c r="I220" i="40"/>
  <c r="E220" i="40"/>
  <c r="D223" i="40"/>
  <c r="F211" i="40"/>
  <c r="H211" i="40"/>
  <c r="G211" i="40"/>
  <c r="E211" i="40"/>
  <c r="I211" i="40"/>
  <c r="AO197" i="40"/>
  <c r="AP197" i="40" s="1"/>
  <c r="AN208" i="40"/>
  <c r="L238" i="40"/>
  <c r="F218" i="40"/>
  <c r="D230" i="40"/>
  <c r="I218" i="40"/>
  <c r="E218" i="40"/>
  <c r="H218" i="40"/>
  <c r="G218" i="40"/>
  <c r="I221" i="40"/>
  <c r="E221" i="40"/>
  <c r="H221" i="40"/>
  <c r="D233" i="40"/>
  <c r="G221" i="40"/>
  <c r="F221" i="40"/>
  <c r="D225" i="40"/>
  <c r="H213" i="40"/>
  <c r="I213" i="40"/>
  <c r="G213" i="40"/>
  <c r="F213" i="40"/>
  <c r="E213" i="40"/>
  <c r="L222" i="40"/>
  <c r="AM210" i="40"/>
  <c r="AO210" i="40" s="1"/>
  <c r="AP210" i="40" s="1"/>
  <c r="AD197" i="40"/>
  <c r="AE197" i="40" s="1"/>
  <c r="J203" i="40"/>
  <c r="AD203" i="40" s="1"/>
  <c r="AE203" i="40" s="1"/>
  <c r="J290" i="40"/>
  <c r="L242" i="40"/>
  <c r="D224" i="40"/>
  <c r="G212" i="40"/>
  <c r="F212" i="40"/>
  <c r="E212" i="40"/>
  <c r="I212" i="40"/>
  <c r="H212" i="40"/>
  <c r="L227" i="40"/>
  <c r="L231" i="40"/>
  <c r="J207" i="40"/>
  <c r="AD207" i="40" s="1"/>
  <c r="AE207" i="40" s="1"/>
  <c r="J205" i="40"/>
  <c r="AD205" i="40" s="1"/>
  <c r="AE205" i="40" s="1"/>
  <c r="I217" i="40"/>
  <c r="E217" i="40"/>
  <c r="D229" i="40"/>
  <c r="H217" i="40"/>
  <c r="G217" i="40"/>
  <c r="F217" i="40"/>
  <c r="L221" i="40"/>
  <c r="AM209" i="40"/>
  <c r="J216" i="40"/>
  <c r="AD216" i="40" s="1"/>
  <c r="AE216" i="40" s="1"/>
  <c r="D240" i="40"/>
  <c r="I228" i="40"/>
  <c r="E228" i="40"/>
  <c r="H228" i="40"/>
  <c r="G228" i="40"/>
  <c r="F228" i="40"/>
  <c r="G219" i="40"/>
  <c r="F219" i="40"/>
  <c r="D231" i="40"/>
  <c r="H219" i="40"/>
  <c r="E219" i="40"/>
  <c r="I219" i="40"/>
  <c r="L223" i="40"/>
  <c r="L228" i="40"/>
  <c r="AM216" i="40"/>
  <c r="AO216" i="40" s="1"/>
  <c r="AP216" i="40" s="1"/>
  <c r="D227" i="40"/>
  <c r="F215" i="40"/>
  <c r="I215" i="40"/>
  <c r="H215" i="40"/>
  <c r="G215" i="40"/>
  <c r="E215" i="40"/>
  <c r="J200" i="40"/>
  <c r="AD200" i="40" s="1"/>
  <c r="AE200" i="40" s="1"/>
  <c r="I222" i="40"/>
  <c r="E222" i="40"/>
  <c r="H222" i="40"/>
  <c r="G222" i="40"/>
  <c r="D234" i="40"/>
  <c r="F222" i="40"/>
  <c r="J208" i="40"/>
  <c r="AD208" i="40" s="1"/>
  <c r="AE208" i="40" s="1"/>
  <c r="L224" i="40"/>
  <c r="D226" i="40"/>
  <c r="I214" i="40"/>
  <c r="E214" i="40"/>
  <c r="G214" i="40"/>
  <c r="F214" i="40"/>
  <c r="H214" i="40"/>
  <c r="L232" i="40"/>
  <c r="J206" i="40"/>
  <c r="L229" i="40"/>
  <c r="X49" i="38"/>
  <c r="W49" i="38"/>
  <c r="AM49" i="38" s="1"/>
  <c r="AO49" i="38" s="1"/>
  <c r="AP49" i="38" s="1"/>
  <c r="V49" i="38"/>
  <c r="O49" i="38"/>
  <c r="X47" i="38"/>
  <c r="V47" i="38"/>
  <c r="W47" i="38"/>
  <c r="AM47" i="38" s="1"/>
  <c r="AO47" i="38" s="1"/>
  <c r="AP47" i="38" s="1"/>
  <c r="O47" i="38"/>
  <c r="X50" i="38"/>
  <c r="W50" i="38"/>
  <c r="AM50" i="38" s="1"/>
  <c r="AO50" i="38" s="1"/>
  <c r="AP50" i="38" s="1"/>
  <c r="V50" i="38"/>
  <c r="O50" i="38"/>
  <c r="X44" i="38"/>
  <c r="W44" i="38"/>
  <c r="AM44" i="38" s="1"/>
  <c r="AO44" i="38" s="1"/>
  <c r="AP44" i="38" s="1"/>
  <c r="V44" i="38"/>
  <c r="O44" i="38"/>
  <c r="W45" i="38"/>
  <c r="AM45" i="38" s="1"/>
  <c r="AO45" i="38" s="1"/>
  <c r="AP45" i="38" s="1"/>
  <c r="X45" i="38"/>
  <c r="O45" i="38"/>
  <c r="V45" i="38"/>
  <c r="X48" i="38"/>
  <c r="V48" i="38"/>
  <c r="W48" i="38"/>
  <c r="AM48" i="38" s="1"/>
  <c r="AO48" i="38" s="1"/>
  <c r="AP48" i="38" s="1"/>
  <c r="O48" i="38"/>
  <c r="X41" i="38"/>
  <c r="W41" i="38"/>
  <c r="AM41" i="38" s="1"/>
  <c r="V41" i="38"/>
  <c r="O41" i="38"/>
  <c r="X51" i="38"/>
  <c r="V51" i="38"/>
  <c r="W51" i="38"/>
  <c r="AM51" i="38" s="1"/>
  <c r="AO51" i="38" s="1"/>
  <c r="AP51" i="38" s="1"/>
  <c r="O51" i="38"/>
  <c r="AD5" i="38"/>
  <c r="X42" i="38"/>
  <c r="W42" i="38"/>
  <c r="AM42" i="38" s="1"/>
  <c r="AO42" i="38" s="1"/>
  <c r="AP42" i="38" s="1"/>
  <c r="V42" i="38"/>
  <c r="O42" i="38"/>
  <c r="X52" i="38"/>
  <c r="W52" i="38"/>
  <c r="AM52" i="38" s="1"/>
  <c r="AO52" i="38" s="1"/>
  <c r="AP52" i="38" s="1"/>
  <c r="V52" i="38"/>
  <c r="O52" i="38"/>
  <c r="X43" i="38"/>
  <c r="V43" i="38"/>
  <c r="W43" i="38"/>
  <c r="AM43" i="38" s="1"/>
  <c r="AO43" i="38" s="1"/>
  <c r="AP43" i="38" s="1"/>
  <c r="O43" i="38"/>
  <c r="X46" i="38"/>
  <c r="W46" i="38"/>
  <c r="AM46" i="38" s="1"/>
  <c r="AO46" i="38" s="1"/>
  <c r="AP46" i="38" s="1"/>
  <c r="V46" i="38"/>
  <c r="O46" i="38"/>
  <c r="J275" i="38"/>
  <c r="AN40" i="38"/>
  <c r="J47" i="38"/>
  <c r="AD47" i="38" s="1"/>
  <c r="AE47" i="38" s="1"/>
  <c r="J42" i="38"/>
  <c r="AD42" i="38" s="1"/>
  <c r="AE42" i="38" s="1"/>
  <c r="J22" i="26"/>
  <c r="G24" i="26"/>
  <c r="P147" i="36"/>
  <c r="P151" i="36"/>
  <c r="P155" i="36"/>
  <c r="P154" i="36"/>
  <c r="P149" i="36"/>
  <c r="P157" i="36"/>
  <c r="P158" i="36"/>
  <c r="P148" i="36"/>
  <c r="P156" i="36"/>
  <c r="P153" i="36"/>
  <c r="P150" i="36"/>
  <c r="P152" i="36"/>
  <c r="I32" i="6"/>
  <c r="H24" i="6"/>
  <c r="C25" i="6"/>
  <c r="I23" i="6"/>
  <c r="H33" i="6"/>
  <c r="C34" i="6"/>
  <c r="H34" i="6" s="1"/>
  <c r="L111" i="5"/>
  <c r="L82" i="5"/>
  <c r="L53" i="5"/>
  <c r="L24" i="5"/>
  <c r="H26" i="5"/>
  <c r="M23" i="4"/>
  <c r="M18" i="4"/>
  <c r="M31" i="4"/>
  <c r="M25" i="4"/>
  <c r="D16" i="1"/>
  <c r="L14" i="1"/>
  <c r="G17" i="1"/>
  <c r="I17" i="1" s="1"/>
  <c r="C18" i="1"/>
  <c r="K14" i="28"/>
  <c r="L14" i="28" s="1"/>
  <c r="G15" i="28"/>
  <c r="C16" i="28"/>
  <c r="J15" i="28"/>
  <c r="F26" i="28"/>
  <c r="I14" i="28"/>
  <c r="H27" i="28" s="1"/>
  <c r="J16" i="30"/>
  <c r="M15" i="30"/>
  <c r="C18" i="30"/>
  <c r="L17" i="30"/>
  <c r="F17" i="30"/>
  <c r="K16" i="30"/>
  <c r="J44" i="38"/>
  <c r="AD44" i="38" s="1"/>
  <c r="AE44" i="38" s="1"/>
  <c r="J41" i="38"/>
  <c r="AD41" i="38" s="1"/>
  <c r="AE41" i="38" s="1"/>
  <c r="J50" i="38"/>
  <c r="AD50" i="38" s="1"/>
  <c r="AE50" i="38" s="1"/>
  <c r="J52" i="38"/>
  <c r="AD52" i="38" s="1"/>
  <c r="AE52" i="38" s="1"/>
  <c r="D76" i="38"/>
  <c r="F76" i="38" s="1"/>
  <c r="D72" i="38"/>
  <c r="F72" i="38" s="1"/>
  <c r="D73" i="38"/>
  <c r="F73" i="38" s="1"/>
  <c r="N45" i="38"/>
  <c r="H59" i="38"/>
  <c r="I59" i="38"/>
  <c r="G59" i="38"/>
  <c r="E59" i="38"/>
  <c r="H56" i="38"/>
  <c r="I56" i="38"/>
  <c r="G56" i="38"/>
  <c r="E56" i="38"/>
  <c r="D75" i="38"/>
  <c r="F75" i="38" s="1"/>
  <c r="J48" i="38"/>
  <c r="AD48" i="38" s="1"/>
  <c r="AE48" i="38" s="1"/>
  <c r="H60" i="38"/>
  <c r="I60" i="38"/>
  <c r="G60" i="38"/>
  <c r="E60" i="38"/>
  <c r="J43" i="38"/>
  <c r="AD43" i="38" s="1"/>
  <c r="AE43" i="38" s="1"/>
  <c r="J49" i="38"/>
  <c r="AD49" i="38" s="1"/>
  <c r="AE49" i="38" s="1"/>
  <c r="H61" i="38"/>
  <c r="I61" i="38"/>
  <c r="G61" i="38"/>
  <c r="E61" i="38"/>
  <c r="J51" i="38"/>
  <c r="AD51" i="38" s="1"/>
  <c r="AE51" i="38" s="1"/>
  <c r="J46" i="38"/>
  <c r="AD46" i="38" s="1"/>
  <c r="AE46" i="38" s="1"/>
  <c r="H63" i="38"/>
  <c r="I63" i="38"/>
  <c r="G63" i="38"/>
  <c r="E63" i="38"/>
  <c r="N48" i="38"/>
  <c r="D66" i="38"/>
  <c r="F66" i="38" s="1"/>
  <c r="N43" i="38"/>
  <c r="N49" i="38"/>
  <c r="D67" i="38"/>
  <c r="F67" i="38" s="1"/>
  <c r="J277" i="38"/>
  <c r="AD29" i="38"/>
  <c r="AE29" i="38" s="1"/>
  <c r="N51" i="38"/>
  <c r="D65" i="38"/>
  <c r="F65" i="38" s="1"/>
  <c r="N46" i="38"/>
  <c r="D69" i="38"/>
  <c r="F69" i="38" s="1"/>
  <c r="D70" i="38"/>
  <c r="F70" i="38" s="1"/>
  <c r="D74" i="38"/>
  <c r="F74" i="38" s="1"/>
  <c r="H64" i="38"/>
  <c r="I64" i="38"/>
  <c r="G64" i="38"/>
  <c r="E64" i="38"/>
  <c r="H54" i="38"/>
  <c r="I54" i="38"/>
  <c r="G54" i="38"/>
  <c r="E54" i="38"/>
  <c r="N47" i="38"/>
  <c r="N44" i="38"/>
  <c r="N41" i="38"/>
  <c r="H55" i="38"/>
  <c r="I55" i="38"/>
  <c r="G55" i="38"/>
  <c r="E55" i="38"/>
  <c r="J45" i="38"/>
  <c r="AD45" i="38" s="1"/>
  <c r="AE45" i="38" s="1"/>
  <c r="D71" i="38"/>
  <c r="F71" i="38" s="1"/>
  <c r="D68" i="38"/>
  <c r="F68" i="38" s="1"/>
  <c r="H53" i="38"/>
  <c r="I53" i="38"/>
  <c r="G53" i="38"/>
  <c r="E53" i="38"/>
  <c r="N50" i="38"/>
  <c r="N52" i="38"/>
  <c r="H57" i="38"/>
  <c r="I57" i="38"/>
  <c r="G57" i="38"/>
  <c r="E57" i="38"/>
  <c r="N42" i="38"/>
  <c r="H58" i="38"/>
  <c r="I58" i="38"/>
  <c r="G58" i="38"/>
  <c r="E58" i="38"/>
  <c r="H62" i="38"/>
  <c r="I62" i="38"/>
  <c r="G62" i="38"/>
  <c r="E62" i="38"/>
  <c r="AE236" i="41" l="1"/>
  <c r="AE241" i="41"/>
  <c r="AE221" i="41"/>
  <c r="AE240" i="41"/>
  <c r="AE238" i="41"/>
  <c r="AE255" i="41"/>
  <c r="AE242" i="41"/>
  <c r="AE244" i="41"/>
  <c r="AE249" i="41"/>
  <c r="AE234" i="41"/>
  <c r="AE235" i="41"/>
  <c r="AE239" i="41"/>
  <c r="J247" i="41"/>
  <c r="AD247" i="41" s="1"/>
  <c r="J248" i="41"/>
  <c r="AD248" i="41" s="1"/>
  <c r="J294" i="41"/>
  <c r="AD233" i="41"/>
  <c r="H257" i="41"/>
  <c r="F257" i="41"/>
  <c r="I257" i="41"/>
  <c r="E257" i="41"/>
  <c r="W257" i="41"/>
  <c r="AM257" i="41" s="1"/>
  <c r="G257" i="41"/>
  <c r="V257" i="41"/>
  <c r="X257" i="41"/>
  <c r="H259" i="41"/>
  <c r="E259" i="41"/>
  <c r="G259" i="41"/>
  <c r="F259" i="41"/>
  <c r="I259" i="41"/>
  <c r="V259" i="41"/>
  <c r="W259" i="41"/>
  <c r="AM259" i="41" s="1"/>
  <c r="AO259" i="41" s="1"/>
  <c r="AP259" i="41" s="1"/>
  <c r="X259" i="41"/>
  <c r="J261" i="41"/>
  <c r="AD261" i="41" s="1"/>
  <c r="AN256" i="41"/>
  <c r="AO245" i="41"/>
  <c r="AP245" i="41" s="1"/>
  <c r="J252" i="41"/>
  <c r="AD252" i="41" s="1"/>
  <c r="J251" i="41"/>
  <c r="AD251" i="41" s="1"/>
  <c r="J254" i="41"/>
  <c r="AD254" i="41" s="1"/>
  <c r="J256" i="41"/>
  <c r="AD256" i="41" s="1"/>
  <c r="F264" i="41"/>
  <c r="H264" i="41"/>
  <c r="E264" i="41"/>
  <c r="I264" i="41"/>
  <c r="G264" i="41"/>
  <c r="X264" i="41"/>
  <c r="W264" i="41"/>
  <c r="AM264" i="41" s="1"/>
  <c r="AO264" i="41" s="1"/>
  <c r="AP264" i="41" s="1"/>
  <c r="V264" i="41"/>
  <c r="G260" i="41"/>
  <c r="F260" i="41"/>
  <c r="I260" i="41"/>
  <c r="H260" i="41"/>
  <c r="E260" i="41"/>
  <c r="V260" i="41"/>
  <c r="X260" i="41"/>
  <c r="W260" i="41"/>
  <c r="AM260" i="41" s="1"/>
  <c r="AO260" i="41" s="1"/>
  <c r="AP260" i="41" s="1"/>
  <c r="G263" i="41"/>
  <c r="H263" i="41"/>
  <c r="E263" i="41"/>
  <c r="I263" i="41"/>
  <c r="V263" i="41"/>
  <c r="F263" i="41"/>
  <c r="W263" i="41"/>
  <c r="AM263" i="41" s="1"/>
  <c r="AO263" i="41" s="1"/>
  <c r="AP263" i="41" s="1"/>
  <c r="X263" i="41"/>
  <c r="J245" i="41"/>
  <c r="I262" i="41"/>
  <c r="E262" i="41"/>
  <c r="W262" i="41"/>
  <c r="AM262" i="41" s="1"/>
  <c r="AO262" i="41" s="1"/>
  <c r="AP262" i="41" s="1"/>
  <c r="G262" i="41"/>
  <c r="V262" i="41"/>
  <c r="F262" i="41"/>
  <c r="H262" i="41"/>
  <c r="X262" i="41"/>
  <c r="J246" i="41"/>
  <c r="AD246" i="41" s="1"/>
  <c r="I258" i="41"/>
  <c r="E258" i="41"/>
  <c r="X258" i="41"/>
  <c r="V258" i="41"/>
  <c r="G258" i="41"/>
  <c r="F258" i="41"/>
  <c r="W258" i="41"/>
  <c r="AM258" i="41" s="1"/>
  <c r="AO258" i="41" s="1"/>
  <c r="AP258" i="41" s="1"/>
  <c r="H258" i="41"/>
  <c r="H268" i="41"/>
  <c r="G268" i="41"/>
  <c r="F268" i="41"/>
  <c r="E268" i="41"/>
  <c r="I268" i="41"/>
  <c r="W268" i="41"/>
  <c r="AM268" i="41" s="1"/>
  <c r="X268" i="41"/>
  <c r="V268" i="41"/>
  <c r="J267" i="41"/>
  <c r="AD267" i="41" s="1"/>
  <c r="J250" i="41"/>
  <c r="AD250" i="41" s="1"/>
  <c r="J253" i="41"/>
  <c r="AD253" i="41" s="1"/>
  <c r="W265" i="41"/>
  <c r="AM265" i="41" s="1"/>
  <c r="AO265" i="41" s="1"/>
  <c r="AP265" i="41" s="1"/>
  <c r="V265" i="41"/>
  <c r="F265" i="41"/>
  <c r="I265" i="41"/>
  <c r="E265" i="41"/>
  <c r="X265" i="41"/>
  <c r="H265" i="41"/>
  <c r="G265" i="41"/>
  <c r="V266" i="41"/>
  <c r="F266" i="41"/>
  <c r="I266" i="41"/>
  <c r="E266" i="41"/>
  <c r="H266" i="41"/>
  <c r="W266" i="41"/>
  <c r="AM266" i="41" s="1"/>
  <c r="AO266" i="41" s="1"/>
  <c r="AP266" i="41" s="1"/>
  <c r="G266" i="41"/>
  <c r="X266" i="41"/>
  <c r="V225" i="40"/>
  <c r="X225" i="40"/>
  <c r="W225" i="40"/>
  <c r="AM225" i="40" s="1"/>
  <c r="AO225" i="40" s="1"/>
  <c r="AP225" i="40" s="1"/>
  <c r="W227" i="40"/>
  <c r="AM227" i="40" s="1"/>
  <c r="AO227" i="40" s="1"/>
  <c r="AP227" i="40" s="1"/>
  <c r="X227" i="40"/>
  <c r="V227" i="40"/>
  <c r="W231" i="40"/>
  <c r="AM231" i="40" s="1"/>
  <c r="AO231" i="40" s="1"/>
  <c r="AP231" i="40" s="1"/>
  <c r="X231" i="40"/>
  <c r="V231" i="40"/>
  <c r="V229" i="40"/>
  <c r="X229" i="40"/>
  <c r="W229" i="40"/>
  <c r="AM229" i="40" s="1"/>
  <c r="AO229" i="40" s="1"/>
  <c r="AP229" i="40" s="1"/>
  <c r="V233" i="40"/>
  <c r="X233" i="40"/>
  <c r="W233" i="40"/>
  <c r="V230" i="40"/>
  <c r="W230" i="40"/>
  <c r="AM230" i="40" s="1"/>
  <c r="AO230" i="40" s="1"/>
  <c r="AP230" i="40" s="1"/>
  <c r="X230" i="40"/>
  <c r="W223" i="40"/>
  <c r="AM223" i="40" s="1"/>
  <c r="AO223" i="40" s="1"/>
  <c r="AP223" i="40" s="1"/>
  <c r="X223" i="40"/>
  <c r="V223" i="40"/>
  <c r="V226" i="40"/>
  <c r="W226" i="40"/>
  <c r="AM226" i="40" s="1"/>
  <c r="AO226" i="40" s="1"/>
  <c r="AP226" i="40" s="1"/>
  <c r="X226" i="40"/>
  <c r="X240" i="40"/>
  <c r="W240" i="40"/>
  <c r="V240" i="40"/>
  <c r="X224" i="40"/>
  <c r="W224" i="40"/>
  <c r="AM224" i="40" s="1"/>
  <c r="AO224" i="40" s="1"/>
  <c r="AP224" i="40" s="1"/>
  <c r="V224" i="40"/>
  <c r="X232" i="40"/>
  <c r="V232" i="40"/>
  <c r="W232" i="40"/>
  <c r="AM232" i="40" s="1"/>
  <c r="AO232" i="40" s="1"/>
  <c r="AP232" i="40" s="1"/>
  <c r="V234" i="40"/>
  <c r="W234" i="40"/>
  <c r="X234" i="40"/>
  <c r="J220" i="40"/>
  <c r="AD220" i="40" s="1"/>
  <c r="AE220" i="40" s="1"/>
  <c r="D239" i="40"/>
  <c r="I227" i="40"/>
  <c r="E227" i="40"/>
  <c r="H227" i="40"/>
  <c r="G227" i="40"/>
  <c r="F227" i="40"/>
  <c r="J217" i="40"/>
  <c r="AD217" i="40" s="1"/>
  <c r="AE217" i="40" s="1"/>
  <c r="D237" i="40"/>
  <c r="I225" i="40"/>
  <c r="E225" i="40"/>
  <c r="H225" i="40"/>
  <c r="G225" i="40"/>
  <c r="F225" i="40"/>
  <c r="D238" i="40"/>
  <c r="I226" i="40"/>
  <c r="E226" i="40"/>
  <c r="H226" i="40"/>
  <c r="G226" i="40"/>
  <c r="F226" i="40"/>
  <c r="L236" i="40"/>
  <c r="L240" i="40"/>
  <c r="AM228" i="40"/>
  <c r="AO228" i="40" s="1"/>
  <c r="AP228" i="40" s="1"/>
  <c r="D243" i="40"/>
  <c r="I231" i="40"/>
  <c r="E231" i="40"/>
  <c r="G231" i="40"/>
  <c r="F231" i="40"/>
  <c r="H231" i="40"/>
  <c r="L239" i="40"/>
  <c r="L254" i="40"/>
  <c r="L234" i="40"/>
  <c r="AM222" i="40"/>
  <c r="AO222" i="40" s="1"/>
  <c r="AP222" i="40" s="1"/>
  <c r="J218" i="40"/>
  <c r="AD218" i="40" s="1"/>
  <c r="AE218" i="40" s="1"/>
  <c r="AD206" i="40"/>
  <c r="AE206" i="40" s="1"/>
  <c r="L235" i="40"/>
  <c r="D252" i="40"/>
  <c r="G240" i="40"/>
  <c r="E240" i="40"/>
  <c r="H240" i="40"/>
  <c r="I240" i="40"/>
  <c r="F240" i="40"/>
  <c r="J291" i="40"/>
  <c r="J221" i="40"/>
  <c r="L241" i="40"/>
  <c r="AN220" i="40"/>
  <c r="AO209" i="40"/>
  <c r="AP209" i="40" s="1"/>
  <c r="AP272" i="40" s="1"/>
  <c r="J228" i="40"/>
  <c r="AD228" i="40" s="1"/>
  <c r="AE228" i="40" s="1"/>
  <c r="L243" i="40"/>
  <c r="I224" i="40"/>
  <c r="E224" i="40"/>
  <c r="H224" i="40"/>
  <c r="G224" i="40"/>
  <c r="F224" i="40"/>
  <c r="D236" i="40"/>
  <c r="G233" i="40"/>
  <c r="D245" i="40"/>
  <c r="F233" i="40"/>
  <c r="E233" i="40"/>
  <c r="I233" i="40"/>
  <c r="H233" i="40"/>
  <c r="L250" i="40"/>
  <c r="J211" i="40"/>
  <c r="AD211" i="40" s="1"/>
  <c r="AE211" i="40" s="1"/>
  <c r="D235" i="40"/>
  <c r="I223" i="40"/>
  <c r="E223" i="40"/>
  <c r="H223" i="40"/>
  <c r="G223" i="40"/>
  <c r="F223" i="40"/>
  <c r="L237" i="40"/>
  <c r="G234" i="40"/>
  <c r="D246" i="40"/>
  <c r="H234" i="40"/>
  <c r="I234" i="40"/>
  <c r="F234" i="40"/>
  <c r="E234" i="40"/>
  <c r="L244" i="40"/>
  <c r="J214" i="40"/>
  <c r="AD214" i="40" s="1"/>
  <c r="AE214" i="40" s="1"/>
  <c r="J222" i="40"/>
  <c r="AD222" i="40" s="1"/>
  <c r="AE222" i="40" s="1"/>
  <c r="J215" i="40"/>
  <c r="AD215" i="40" s="1"/>
  <c r="AE215" i="40" s="1"/>
  <c r="J219" i="40"/>
  <c r="AD219" i="40" s="1"/>
  <c r="AE219" i="40" s="1"/>
  <c r="L233" i="40"/>
  <c r="AM221" i="40"/>
  <c r="D241" i="40"/>
  <c r="I229" i="40"/>
  <c r="E229" i="40"/>
  <c r="H229" i="40"/>
  <c r="G229" i="40"/>
  <c r="F229" i="40"/>
  <c r="J212" i="40"/>
  <c r="AD212" i="40" s="1"/>
  <c r="AE212" i="40" s="1"/>
  <c r="J213" i="40"/>
  <c r="AD213" i="40" s="1"/>
  <c r="AE213" i="40" s="1"/>
  <c r="D242" i="40"/>
  <c r="I230" i="40"/>
  <c r="E230" i="40"/>
  <c r="H230" i="40"/>
  <c r="G230" i="40"/>
  <c r="F230" i="40"/>
  <c r="D244" i="40"/>
  <c r="I232" i="40"/>
  <c r="E232" i="40"/>
  <c r="G232" i="40"/>
  <c r="F232" i="40"/>
  <c r="H232" i="40"/>
  <c r="X62" i="38"/>
  <c r="O62" i="38"/>
  <c r="W62" i="38"/>
  <c r="AM62" i="38" s="1"/>
  <c r="AO62" i="38" s="1"/>
  <c r="AP62" i="38" s="1"/>
  <c r="N62" i="38"/>
  <c r="V62" i="38"/>
  <c r="O57" i="38"/>
  <c r="N57" i="38"/>
  <c r="X57" i="38"/>
  <c r="W57" i="38"/>
  <c r="AM57" i="38" s="1"/>
  <c r="AO57" i="38" s="1"/>
  <c r="AP57" i="38" s="1"/>
  <c r="V57" i="38"/>
  <c r="O63" i="38"/>
  <c r="N63" i="38"/>
  <c r="X63" i="38"/>
  <c r="V63" i="38"/>
  <c r="W63" i="38"/>
  <c r="AM63" i="38" s="1"/>
  <c r="AO63" i="38" s="1"/>
  <c r="AP63" i="38" s="1"/>
  <c r="X58" i="38"/>
  <c r="O58" i="38"/>
  <c r="W58" i="38"/>
  <c r="AM58" i="38" s="1"/>
  <c r="AO58" i="38" s="1"/>
  <c r="AP58" i="38" s="1"/>
  <c r="V58" i="38"/>
  <c r="N58" i="38"/>
  <c r="O53" i="38"/>
  <c r="N53" i="38"/>
  <c r="V53" i="38"/>
  <c r="X53" i="38"/>
  <c r="W53" i="38"/>
  <c r="AM53" i="38" s="1"/>
  <c r="X54" i="38"/>
  <c r="O54" i="38"/>
  <c r="W54" i="38"/>
  <c r="AM54" i="38" s="1"/>
  <c r="AO54" i="38" s="1"/>
  <c r="AP54" i="38" s="1"/>
  <c r="N54" i="38"/>
  <c r="V54" i="38"/>
  <c r="X60" i="38"/>
  <c r="N60" i="38"/>
  <c r="W60" i="38"/>
  <c r="AM60" i="38" s="1"/>
  <c r="AO60" i="38" s="1"/>
  <c r="AP60" i="38" s="1"/>
  <c r="O60" i="38"/>
  <c r="V60" i="38"/>
  <c r="X56" i="38"/>
  <c r="N56" i="38"/>
  <c r="W56" i="38"/>
  <c r="AM56" i="38" s="1"/>
  <c r="AO56" i="38" s="1"/>
  <c r="AP56" i="38" s="1"/>
  <c r="O56" i="38"/>
  <c r="V56" i="38"/>
  <c r="O55" i="38"/>
  <c r="N55" i="38"/>
  <c r="X55" i="38"/>
  <c r="V55" i="38"/>
  <c r="W55" i="38"/>
  <c r="AM55" i="38" s="1"/>
  <c r="AO55" i="38" s="1"/>
  <c r="AP55" i="38" s="1"/>
  <c r="X64" i="38"/>
  <c r="N64" i="38"/>
  <c r="V64" i="38"/>
  <c r="O64" i="38"/>
  <c r="W64" i="38"/>
  <c r="AM64" i="38" s="1"/>
  <c r="AO64" i="38" s="1"/>
  <c r="AP64" i="38" s="1"/>
  <c r="O61" i="38"/>
  <c r="N61" i="38"/>
  <c r="W61" i="38"/>
  <c r="AM61" i="38" s="1"/>
  <c r="AO61" i="38" s="1"/>
  <c r="AP61" i="38" s="1"/>
  <c r="V61" i="38"/>
  <c r="X61" i="38"/>
  <c r="O59" i="38"/>
  <c r="N59" i="38"/>
  <c r="X59" i="38"/>
  <c r="V59" i="38"/>
  <c r="W59" i="38"/>
  <c r="AM59" i="38" s="1"/>
  <c r="AO59" i="38" s="1"/>
  <c r="AP59" i="38" s="1"/>
  <c r="AE5" i="38"/>
  <c r="J58" i="38"/>
  <c r="AD58" i="38" s="1"/>
  <c r="AE58" i="38" s="1"/>
  <c r="G25" i="26"/>
  <c r="P159" i="36"/>
  <c r="P163" i="36"/>
  <c r="P167" i="36"/>
  <c r="P162" i="36"/>
  <c r="P170" i="36"/>
  <c r="P165" i="36"/>
  <c r="P164" i="36"/>
  <c r="P161" i="36"/>
  <c r="P169" i="36"/>
  <c r="P166" i="36"/>
  <c r="P168" i="36"/>
  <c r="P160" i="36"/>
  <c r="J23" i="26"/>
  <c r="I33" i="6"/>
  <c r="H25" i="6"/>
  <c r="C26" i="6"/>
  <c r="I24" i="6"/>
  <c r="I34" i="6"/>
  <c r="L112" i="5"/>
  <c r="L83" i="5"/>
  <c r="L54" i="5"/>
  <c r="L25" i="5"/>
  <c r="H27" i="5"/>
  <c r="L15" i="1"/>
  <c r="G18" i="1"/>
  <c r="I18" i="1" s="1"/>
  <c r="C19" i="1"/>
  <c r="D17" i="1"/>
  <c r="F27" i="28"/>
  <c r="I15" i="28"/>
  <c r="H28" i="28" s="1"/>
  <c r="R31" i="36"/>
  <c r="R27" i="36"/>
  <c r="R37" i="36"/>
  <c r="R35" i="36"/>
  <c r="R33" i="36"/>
  <c r="R29" i="36"/>
  <c r="R34" i="36"/>
  <c r="R32" i="36"/>
  <c r="R30" i="36"/>
  <c r="R38" i="36"/>
  <c r="R28" i="36"/>
  <c r="R36" i="36"/>
  <c r="K15" i="28"/>
  <c r="L15" i="28" s="1"/>
  <c r="R23" i="36"/>
  <c r="R15" i="36"/>
  <c r="R19" i="36"/>
  <c r="R17" i="36"/>
  <c r="R20" i="36"/>
  <c r="R26" i="36"/>
  <c r="R21" i="36"/>
  <c r="R18" i="36"/>
  <c r="R25" i="36"/>
  <c r="R16" i="36"/>
  <c r="R24" i="36"/>
  <c r="R22" i="36"/>
  <c r="J16" i="28"/>
  <c r="G16" i="28"/>
  <c r="C17" i="28"/>
  <c r="R13" i="36"/>
  <c r="R9" i="36"/>
  <c r="R5" i="36"/>
  <c r="R11" i="36"/>
  <c r="R7" i="36"/>
  <c r="R3" i="36"/>
  <c r="R4" i="36"/>
  <c r="R12" i="36"/>
  <c r="R10" i="36"/>
  <c r="R8" i="36"/>
  <c r="R6" i="36"/>
  <c r="R14" i="36"/>
  <c r="N15" i="30"/>
  <c r="H70" i="38"/>
  <c r="O14" i="30"/>
  <c r="P14" i="30"/>
  <c r="K17" i="30"/>
  <c r="C19" i="30"/>
  <c r="L18" i="30"/>
  <c r="F18" i="30"/>
  <c r="K18" i="30" s="1"/>
  <c r="M16" i="30"/>
  <c r="J17" i="30"/>
  <c r="J55" i="38"/>
  <c r="AD55" i="38" s="1"/>
  <c r="AE55" i="38" s="1"/>
  <c r="J278" i="38"/>
  <c r="J59" i="38"/>
  <c r="AD59" i="38" s="1"/>
  <c r="AE59" i="38" s="1"/>
  <c r="I70" i="38"/>
  <c r="G70" i="38"/>
  <c r="E70" i="38"/>
  <c r="D80" i="38"/>
  <c r="F80" i="38" s="1"/>
  <c r="D86" i="38"/>
  <c r="F86" i="38" s="1"/>
  <c r="D81" i="38"/>
  <c r="F81" i="38" s="1"/>
  <c r="I65" i="38"/>
  <c r="G65" i="38"/>
  <c r="E65" i="38"/>
  <c r="I72" i="38"/>
  <c r="G72" i="38"/>
  <c r="E72" i="38"/>
  <c r="J62" i="38"/>
  <c r="AD62" i="38" s="1"/>
  <c r="AE62" i="38" s="1"/>
  <c r="H68" i="38"/>
  <c r="I68" i="38"/>
  <c r="G68" i="38"/>
  <c r="E68" i="38"/>
  <c r="J54" i="38"/>
  <c r="AD54" i="38" s="1"/>
  <c r="AE54" i="38" s="1"/>
  <c r="J64" i="38"/>
  <c r="AD64" i="38" s="1"/>
  <c r="AE64" i="38" s="1"/>
  <c r="I74" i="38"/>
  <c r="G74" i="38"/>
  <c r="E74" i="38"/>
  <c r="I69" i="38"/>
  <c r="G69" i="38"/>
  <c r="E69" i="38"/>
  <c r="I67" i="38"/>
  <c r="G67" i="38"/>
  <c r="E67" i="38"/>
  <c r="D78" i="38"/>
  <c r="F78" i="38" s="1"/>
  <c r="J63" i="38"/>
  <c r="AD63" i="38" s="1"/>
  <c r="AE63" i="38" s="1"/>
  <c r="J60" i="38"/>
  <c r="AD60" i="38" s="1"/>
  <c r="AE60" i="38" s="1"/>
  <c r="D87" i="38"/>
  <c r="F87" i="38" s="1"/>
  <c r="J56" i="38"/>
  <c r="AD56" i="38" s="1"/>
  <c r="AE56" i="38" s="1"/>
  <c r="H73" i="38"/>
  <c r="I73" i="38"/>
  <c r="G73" i="38"/>
  <c r="E73" i="38"/>
  <c r="I76" i="38"/>
  <c r="G76" i="38"/>
  <c r="E76" i="38"/>
  <c r="I71" i="38"/>
  <c r="G71" i="38"/>
  <c r="E71" i="38"/>
  <c r="D77" i="38"/>
  <c r="F77" i="38" s="1"/>
  <c r="D84" i="38"/>
  <c r="F84" i="38" s="1"/>
  <c r="D79" i="38"/>
  <c r="F79" i="38" s="1"/>
  <c r="D85" i="38"/>
  <c r="F85" i="38" s="1"/>
  <c r="D88" i="38"/>
  <c r="F88" i="38" s="1"/>
  <c r="J57" i="38"/>
  <c r="AD57" i="38" s="1"/>
  <c r="AE57" i="38" s="1"/>
  <c r="J53" i="38"/>
  <c r="D83" i="38"/>
  <c r="F83" i="38" s="1"/>
  <c r="AO41" i="38"/>
  <c r="AP41" i="38" s="1"/>
  <c r="AN52" i="38"/>
  <c r="D82" i="38"/>
  <c r="F82" i="38" s="1"/>
  <c r="I66" i="38"/>
  <c r="G66" i="38"/>
  <c r="E66" i="38"/>
  <c r="J61" i="38"/>
  <c r="AD61" i="38" s="1"/>
  <c r="AE61" i="38" s="1"/>
  <c r="H75" i="38"/>
  <c r="I75" i="38"/>
  <c r="G75" i="38"/>
  <c r="E75" i="38"/>
  <c r="J18" i="30" l="1"/>
  <c r="M18" i="30" s="1"/>
  <c r="N18" i="30" s="1"/>
  <c r="M17" i="30"/>
  <c r="N17" i="30" s="1"/>
  <c r="AE254" i="41"/>
  <c r="AE248" i="41"/>
  <c r="AE251" i="41"/>
  <c r="AE250" i="41"/>
  <c r="AE267" i="41"/>
  <c r="AE256" i="41"/>
  <c r="AE252" i="41"/>
  <c r="AE253" i="41"/>
  <c r="AE246" i="41"/>
  <c r="AE261" i="41"/>
  <c r="AE247" i="41"/>
  <c r="AE233" i="41"/>
  <c r="J263" i="41"/>
  <c r="AD263" i="41" s="1"/>
  <c r="J265" i="41"/>
  <c r="AD265" i="41" s="1"/>
  <c r="J266" i="41"/>
  <c r="AD266" i="41" s="1"/>
  <c r="AO268" i="41"/>
  <c r="AP268" i="41" s="1"/>
  <c r="J258" i="41"/>
  <c r="AD258" i="41" s="1"/>
  <c r="J264" i="41"/>
  <c r="AD264" i="41" s="1"/>
  <c r="AN268" i="41"/>
  <c r="AO257" i="41"/>
  <c r="AP257" i="41" s="1"/>
  <c r="J262" i="41"/>
  <c r="AD262" i="41" s="1"/>
  <c r="J259" i="41"/>
  <c r="AD259" i="41" s="1"/>
  <c r="J257" i="41"/>
  <c r="J295" i="41"/>
  <c r="AD245" i="41"/>
  <c r="J268" i="41"/>
  <c r="J260" i="41"/>
  <c r="AD260" i="41" s="1"/>
  <c r="X244" i="40"/>
  <c r="W244" i="40"/>
  <c r="AM244" i="40" s="1"/>
  <c r="AO244" i="40" s="1"/>
  <c r="AP244" i="40" s="1"/>
  <c r="V244" i="40"/>
  <c r="V242" i="40"/>
  <c r="W242" i="40"/>
  <c r="AM242" i="40" s="1"/>
  <c r="AO242" i="40" s="1"/>
  <c r="AP242" i="40" s="1"/>
  <c r="X242" i="40"/>
  <c r="X236" i="40"/>
  <c r="W236" i="40"/>
  <c r="AM236" i="40" s="1"/>
  <c r="AO236" i="40" s="1"/>
  <c r="AP236" i="40" s="1"/>
  <c r="V236" i="40"/>
  <c r="V238" i="40"/>
  <c r="W238" i="40"/>
  <c r="AM238" i="40" s="1"/>
  <c r="AO238" i="40" s="1"/>
  <c r="AP238" i="40" s="1"/>
  <c r="X238" i="40"/>
  <c r="V237" i="40"/>
  <c r="W237" i="40"/>
  <c r="AM237" i="40" s="1"/>
  <c r="AO237" i="40" s="1"/>
  <c r="AP237" i="40" s="1"/>
  <c r="X237" i="40"/>
  <c r="W235" i="40"/>
  <c r="AM235" i="40" s="1"/>
  <c r="AO235" i="40" s="1"/>
  <c r="AP235" i="40" s="1"/>
  <c r="X235" i="40"/>
  <c r="V235" i="40"/>
  <c r="V245" i="40"/>
  <c r="X245" i="40"/>
  <c r="W245" i="40"/>
  <c r="X252" i="40"/>
  <c r="W252" i="40"/>
  <c r="V252" i="40"/>
  <c r="W239" i="40"/>
  <c r="AM239" i="40" s="1"/>
  <c r="AO239" i="40" s="1"/>
  <c r="AP239" i="40" s="1"/>
  <c r="X239" i="40"/>
  <c r="V239" i="40"/>
  <c r="V241" i="40"/>
  <c r="X241" i="40"/>
  <c r="W241" i="40"/>
  <c r="AM241" i="40" s="1"/>
  <c r="AO241" i="40" s="1"/>
  <c r="AP241" i="40" s="1"/>
  <c r="V246" i="40"/>
  <c r="W246" i="40"/>
  <c r="X246" i="40"/>
  <c r="W243" i="40"/>
  <c r="AM243" i="40" s="1"/>
  <c r="AO243" i="40" s="1"/>
  <c r="AP243" i="40" s="1"/>
  <c r="X243" i="40"/>
  <c r="V243" i="40"/>
  <c r="J227" i="40"/>
  <c r="AD227" i="40" s="1"/>
  <c r="AE227" i="40" s="1"/>
  <c r="J231" i="40"/>
  <c r="AD231" i="40" s="1"/>
  <c r="AE231" i="40" s="1"/>
  <c r="L249" i="40"/>
  <c r="L252" i="40"/>
  <c r="AM240" i="40"/>
  <c r="AO240" i="40" s="1"/>
  <c r="AP240" i="40" s="1"/>
  <c r="D253" i="40"/>
  <c r="H241" i="40"/>
  <c r="G241" i="40"/>
  <c r="F241" i="40"/>
  <c r="I241" i="40"/>
  <c r="E241" i="40"/>
  <c r="L256" i="40"/>
  <c r="J223" i="40"/>
  <c r="AD223" i="40" s="1"/>
  <c r="AE223" i="40" s="1"/>
  <c r="J233" i="40"/>
  <c r="L253" i="40"/>
  <c r="D264" i="40"/>
  <c r="H252" i="40"/>
  <c r="F252" i="40"/>
  <c r="E252" i="40"/>
  <c r="I252" i="40"/>
  <c r="G252" i="40"/>
  <c r="J225" i="40"/>
  <c r="AD225" i="40" s="1"/>
  <c r="AE225" i="40" s="1"/>
  <c r="D256" i="40"/>
  <c r="H244" i="40"/>
  <c r="G244" i="40"/>
  <c r="E244" i="40"/>
  <c r="I244" i="40"/>
  <c r="F244" i="40"/>
  <c r="L247" i="40"/>
  <c r="L266" i="40"/>
  <c r="L251" i="40"/>
  <c r="D250" i="40"/>
  <c r="G238" i="40"/>
  <c r="H238" i="40"/>
  <c r="I238" i="40"/>
  <c r="F238" i="40"/>
  <c r="E238" i="40"/>
  <c r="J230" i="40"/>
  <c r="AD230" i="40" s="1"/>
  <c r="AE230" i="40" s="1"/>
  <c r="D255" i="40"/>
  <c r="H243" i="40"/>
  <c r="G243" i="40"/>
  <c r="F243" i="40"/>
  <c r="I243" i="40"/>
  <c r="E243" i="40"/>
  <c r="L248" i="40"/>
  <c r="J226" i="40"/>
  <c r="D251" i="40"/>
  <c r="G239" i="40"/>
  <c r="I239" i="40"/>
  <c r="H239" i="40"/>
  <c r="F239" i="40"/>
  <c r="E239" i="40"/>
  <c r="D254" i="40"/>
  <c r="H242" i="40"/>
  <c r="G242" i="40"/>
  <c r="I242" i="40"/>
  <c r="E242" i="40"/>
  <c r="F242" i="40"/>
  <c r="AM233" i="40"/>
  <c r="L245" i="40"/>
  <c r="J232" i="40"/>
  <c r="AD232" i="40" s="1"/>
  <c r="AE232" i="40" s="1"/>
  <c r="AN232" i="40"/>
  <c r="AO221" i="40"/>
  <c r="AP221" i="40" s="1"/>
  <c r="J292" i="40"/>
  <c r="L262" i="40"/>
  <c r="J229" i="40"/>
  <c r="AD229" i="40" s="1"/>
  <c r="AE229" i="40" s="1"/>
  <c r="J234" i="40"/>
  <c r="AD234" i="40" s="1"/>
  <c r="AE234" i="40" s="1"/>
  <c r="F246" i="40"/>
  <c r="I246" i="40"/>
  <c r="E246" i="40"/>
  <c r="D258" i="40"/>
  <c r="H246" i="40"/>
  <c r="G246" i="40"/>
  <c r="G235" i="40"/>
  <c r="I235" i="40"/>
  <c r="D247" i="40"/>
  <c r="H235" i="40"/>
  <c r="F235" i="40"/>
  <c r="E235" i="40"/>
  <c r="F245" i="40"/>
  <c r="I245" i="40"/>
  <c r="E245" i="40"/>
  <c r="H245" i="40"/>
  <c r="D257" i="40"/>
  <c r="G245" i="40"/>
  <c r="G236" i="40"/>
  <c r="D248" i="40"/>
  <c r="E236" i="40"/>
  <c r="I236" i="40"/>
  <c r="H236" i="40"/>
  <c r="F236" i="40"/>
  <c r="J224" i="40"/>
  <c r="AD224" i="40" s="1"/>
  <c r="AE224" i="40" s="1"/>
  <c r="L255" i="40"/>
  <c r="AD221" i="40"/>
  <c r="AE221" i="40" s="1"/>
  <c r="J240" i="40"/>
  <c r="AD240" i="40" s="1"/>
  <c r="AE240" i="40" s="1"/>
  <c r="AM234" i="40"/>
  <c r="AO234" i="40" s="1"/>
  <c r="AP234" i="40" s="1"/>
  <c r="L246" i="40"/>
  <c r="D249" i="40"/>
  <c r="G237" i="40"/>
  <c r="F237" i="40"/>
  <c r="I237" i="40"/>
  <c r="H237" i="40"/>
  <c r="E237" i="40"/>
  <c r="X65" i="38"/>
  <c r="W65" i="38"/>
  <c r="AM65" i="38" s="1"/>
  <c r="V65" i="38"/>
  <c r="O65" i="38"/>
  <c r="X66" i="38"/>
  <c r="W66" i="38"/>
  <c r="AM66" i="38" s="1"/>
  <c r="AO66" i="38" s="1"/>
  <c r="AP66" i="38" s="1"/>
  <c r="V66" i="38"/>
  <c r="O66" i="38"/>
  <c r="X68" i="38"/>
  <c r="W68" i="38"/>
  <c r="AM68" i="38" s="1"/>
  <c r="AO68" i="38" s="1"/>
  <c r="AP68" i="38" s="1"/>
  <c r="V68" i="38"/>
  <c r="O68" i="38"/>
  <c r="X73" i="38"/>
  <c r="W73" i="38"/>
  <c r="AM73" i="38" s="1"/>
  <c r="AO73" i="38" s="1"/>
  <c r="AP73" i="38" s="1"/>
  <c r="V73" i="38"/>
  <c r="O73" i="38"/>
  <c r="X71" i="38"/>
  <c r="V71" i="38"/>
  <c r="W71" i="38"/>
  <c r="AM71" i="38" s="1"/>
  <c r="AO71" i="38" s="1"/>
  <c r="AP71" i="38" s="1"/>
  <c r="O71" i="38"/>
  <c r="X75" i="38"/>
  <c r="V75" i="38"/>
  <c r="W75" i="38"/>
  <c r="AM75" i="38" s="1"/>
  <c r="AO75" i="38" s="1"/>
  <c r="AP75" i="38" s="1"/>
  <c r="O75" i="38"/>
  <c r="X76" i="38"/>
  <c r="W76" i="38"/>
  <c r="AM76" i="38" s="1"/>
  <c r="AO76" i="38" s="1"/>
  <c r="AP76" i="38" s="1"/>
  <c r="V76" i="38"/>
  <c r="O76" i="38"/>
  <c r="X67" i="38"/>
  <c r="V67" i="38"/>
  <c r="W67" i="38"/>
  <c r="AM67" i="38" s="1"/>
  <c r="AO67" i="38" s="1"/>
  <c r="AP67" i="38" s="1"/>
  <c r="O67" i="38"/>
  <c r="V69" i="38"/>
  <c r="X69" i="38"/>
  <c r="W69" i="38"/>
  <c r="AM69" i="38" s="1"/>
  <c r="AO69" i="38" s="1"/>
  <c r="AP69" i="38" s="1"/>
  <c r="O69" i="38"/>
  <c r="X74" i="38"/>
  <c r="W74" i="38"/>
  <c r="AM74" i="38" s="1"/>
  <c r="AO74" i="38" s="1"/>
  <c r="AP74" i="38" s="1"/>
  <c r="V74" i="38"/>
  <c r="O74" i="38"/>
  <c r="X72" i="38"/>
  <c r="W72" i="38"/>
  <c r="AM72" i="38" s="1"/>
  <c r="AO72" i="38" s="1"/>
  <c r="AP72" i="38" s="1"/>
  <c r="V72" i="38"/>
  <c r="O72" i="38"/>
  <c r="X70" i="38"/>
  <c r="W70" i="38"/>
  <c r="AM70" i="38" s="1"/>
  <c r="AO70" i="38" s="1"/>
  <c r="AP70" i="38" s="1"/>
  <c r="V70" i="38"/>
  <c r="O70" i="38"/>
  <c r="P171" i="36"/>
  <c r="P175" i="36"/>
  <c r="P179" i="36"/>
  <c r="P178" i="36"/>
  <c r="P173" i="36"/>
  <c r="P181" i="36"/>
  <c r="P174" i="36"/>
  <c r="P172" i="36"/>
  <c r="P180" i="36"/>
  <c r="P177" i="36"/>
  <c r="P182" i="36"/>
  <c r="P176" i="36"/>
  <c r="G26" i="26"/>
  <c r="J24" i="26"/>
  <c r="I25" i="6"/>
  <c r="H26" i="6"/>
  <c r="C27" i="6"/>
  <c r="H27" i="6" s="1"/>
  <c r="H28" i="5"/>
  <c r="L113" i="5"/>
  <c r="L84" i="5"/>
  <c r="L55" i="5"/>
  <c r="L26" i="5"/>
  <c r="D18" i="1"/>
  <c r="J17" i="1"/>
  <c r="G19" i="1"/>
  <c r="I19" i="1" s="1"/>
  <c r="C20" i="1"/>
  <c r="L16" i="1"/>
  <c r="K16" i="28"/>
  <c r="L16" i="28" s="1"/>
  <c r="G17" i="28"/>
  <c r="C18" i="28"/>
  <c r="J17" i="28"/>
  <c r="F28" i="28"/>
  <c r="I16" i="28"/>
  <c r="H29" i="28" s="1"/>
  <c r="P17" i="30"/>
  <c r="P13" i="30"/>
  <c r="P12" i="30"/>
  <c r="H71" i="38"/>
  <c r="J71" i="38" s="1"/>
  <c r="AD71" i="38" s="1"/>
  <c r="AE71" i="38" s="1"/>
  <c r="H76" i="38"/>
  <c r="J76" i="38" s="1"/>
  <c r="AD76" i="38" s="1"/>
  <c r="AE76" i="38" s="1"/>
  <c r="H74" i="38"/>
  <c r="J74" i="38" s="1"/>
  <c r="AD74" i="38" s="1"/>
  <c r="AE74" i="38" s="1"/>
  <c r="O13" i="30"/>
  <c r="O12" i="30"/>
  <c r="N16" i="30"/>
  <c r="J19" i="30"/>
  <c r="F19" i="30"/>
  <c r="C20" i="30"/>
  <c r="L19" i="30"/>
  <c r="H63" i="36"/>
  <c r="H70" i="36"/>
  <c r="H67" i="36"/>
  <c r="H69" i="36"/>
  <c r="H73" i="36"/>
  <c r="H74" i="36"/>
  <c r="H65" i="36"/>
  <c r="H72" i="36"/>
  <c r="H64" i="36"/>
  <c r="H66" i="36"/>
  <c r="H71" i="36"/>
  <c r="H68" i="36"/>
  <c r="H66" i="38"/>
  <c r="J66" i="38" s="1"/>
  <c r="AD66" i="38" s="1"/>
  <c r="AE66" i="38" s="1"/>
  <c r="H67" i="38"/>
  <c r="J67" i="38" s="1"/>
  <c r="AD67" i="38" s="1"/>
  <c r="AE67" i="38" s="1"/>
  <c r="H69" i="38"/>
  <c r="J69" i="38" s="1"/>
  <c r="AD69" i="38" s="1"/>
  <c r="AE69" i="38" s="1"/>
  <c r="H72" i="38"/>
  <c r="J72" i="38" s="1"/>
  <c r="AD72" i="38" s="1"/>
  <c r="AE72" i="38" s="1"/>
  <c r="H65" i="38"/>
  <c r="J65" i="38" s="1"/>
  <c r="K19" i="30"/>
  <c r="N66" i="38"/>
  <c r="D94" i="38"/>
  <c r="F94" i="38" s="1"/>
  <c r="D95" i="38"/>
  <c r="F95" i="38" s="1"/>
  <c r="D100" i="38"/>
  <c r="F100" i="38" s="1"/>
  <c r="D96" i="38"/>
  <c r="F96" i="38" s="1"/>
  <c r="I77" i="38"/>
  <c r="G77" i="38"/>
  <c r="E77" i="38"/>
  <c r="N73" i="38"/>
  <c r="D90" i="38"/>
  <c r="F90" i="38" s="1"/>
  <c r="N68" i="38"/>
  <c r="I80" i="38"/>
  <c r="G80" i="38"/>
  <c r="E80" i="38"/>
  <c r="N70" i="38"/>
  <c r="J75" i="38"/>
  <c r="AD75" i="38" s="1"/>
  <c r="AE75" i="38" s="1"/>
  <c r="I82" i="38"/>
  <c r="G82" i="38"/>
  <c r="E82" i="38"/>
  <c r="I83" i="38"/>
  <c r="G83" i="38"/>
  <c r="E83" i="38"/>
  <c r="I88" i="38"/>
  <c r="G88" i="38"/>
  <c r="E88" i="38"/>
  <c r="I84" i="38"/>
  <c r="G84" i="38"/>
  <c r="E84" i="38"/>
  <c r="I78" i="38"/>
  <c r="G78" i="38"/>
  <c r="E78" i="38"/>
  <c r="N69" i="38"/>
  <c r="N72" i="38"/>
  <c r="N75" i="38"/>
  <c r="J279" i="38"/>
  <c r="AD53" i="38"/>
  <c r="D97" i="38"/>
  <c r="F97" i="38" s="1"/>
  <c r="D91" i="38"/>
  <c r="F91" i="38" s="1"/>
  <c r="N71" i="38"/>
  <c r="N76" i="38"/>
  <c r="D99" i="38"/>
  <c r="F99" i="38" s="1"/>
  <c r="D93" i="38"/>
  <c r="F93" i="38" s="1"/>
  <c r="D98" i="38"/>
  <c r="F98" i="38" s="1"/>
  <c r="I85" i="38"/>
  <c r="G85" i="38"/>
  <c r="E85" i="38"/>
  <c r="I79" i="38"/>
  <c r="G79" i="38"/>
  <c r="E79" i="38"/>
  <c r="D89" i="38"/>
  <c r="F89" i="38" s="1"/>
  <c r="AO53" i="38"/>
  <c r="AP53" i="38" s="1"/>
  <c r="AN64" i="38"/>
  <c r="J73" i="38"/>
  <c r="AD73" i="38" s="1"/>
  <c r="AE73" i="38" s="1"/>
  <c r="I87" i="38"/>
  <c r="G87" i="38"/>
  <c r="E87" i="38"/>
  <c r="N67" i="38"/>
  <c r="N74" i="38"/>
  <c r="J68" i="38"/>
  <c r="AD68" i="38" s="1"/>
  <c r="AE68" i="38" s="1"/>
  <c r="N65" i="38"/>
  <c r="I81" i="38"/>
  <c r="G81" i="38"/>
  <c r="E81" i="38"/>
  <c r="I86" i="38"/>
  <c r="G86" i="38"/>
  <c r="E86" i="38"/>
  <c r="D92" i="38"/>
  <c r="F92" i="38" s="1"/>
  <c r="J70" i="38"/>
  <c r="AD70" i="38" s="1"/>
  <c r="AE70" i="38" s="1"/>
  <c r="M19" i="30" l="1"/>
  <c r="N19" i="30" s="1"/>
  <c r="AE265" i="41"/>
  <c r="AE245" i="41"/>
  <c r="AE263" i="41"/>
  <c r="AE262" i="41"/>
  <c r="AE264" i="41"/>
  <c r="AE258" i="41"/>
  <c r="AE266" i="41"/>
  <c r="AE260" i="41"/>
  <c r="AE259" i="41"/>
  <c r="AD268" i="41"/>
  <c r="J296" i="41"/>
  <c r="AD257" i="41"/>
  <c r="X248" i="40"/>
  <c r="V248" i="40"/>
  <c r="W248" i="40"/>
  <c r="AM248" i="40" s="1"/>
  <c r="AO248" i="40" s="1"/>
  <c r="AP248" i="40" s="1"/>
  <c r="V257" i="40"/>
  <c r="X257" i="40"/>
  <c r="W257" i="40"/>
  <c r="W247" i="40"/>
  <c r="AM247" i="40" s="1"/>
  <c r="AO247" i="40" s="1"/>
  <c r="AP247" i="40" s="1"/>
  <c r="X247" i="40"/>
  <c r="V247" i="40"/>
  <c r="V258" i="40"/>
  <c r="W258" i="40"/>
  <c r="X258" i="40"/>
  <c r="V254" i="40"/>
  <c r="W254" i="40"/>
  <c r="AM254" i="40" s="1"/>
  <c r="AO254" i="40" s="1"/>
  <c r="AP254" i="40" s="1"/>
  <c r="X254" i="40"/>
  <c r="W255" i="40"/>
  <c r="AM255" i="40" s="1"/>
  <c r="AO255" i="40" s="1"/>
  <c r="AP255" i="40" s="1"/>
  <c r="X255" i="40"/>
  <c r="V255" i="40"/>
  <c r="X256" i="40"/>
  <c r="W256" i="40"/>
  <c r="AM256" i="40" s="1"/>
  <c r="AO256" i="40" s="1"/>
  <c r="AP256" i="40" s="1"/>
  <c r="V256" i="40"/>
  <c r="X264" i="40"/>
  <c r="V264" i="40"/>
  <c r="W264" i="40"/>
  <c r="V249" i="40"/>
  <c r="X249" i="40"/>
  <c r="W249" i="40"/>
  <c r="AM249" i="40" s="1"/>
  <c r="AO249" i="40" s="1"/>
  <c r="AP249" i="40" s="1"/>
  <c r="V250" i="40"/>
  <c r="W250" i="40"/>
  <c r="AM250" i="40" s="1"/>
  <c r="AO250" i="40" s="1"/>
  <c r="AP250" i="40" s="1"/>
  <c r="X250" i="40"/>
  <c r="W251" i="40"/>
  <c r="AM251" i="40" s="1"/>
  <c r="AO251" i="40" s="1"/>
  <c r="AP251" i="40" s="1"/>
  <c r="X251" i="40"/>
  <c r="V251" i="40"/>
  <c r="V253" i="40"/>
  <c r="W253" i="40"/>
  <c r="AM253" i="40" s="1"/>
  <c r="AO253" i="40" s="1"/>
  <c r="AP253" i="40" s="1"/>
  <c r="X253" i="40"/>
  <c r="J235" i="40"/>
  <c r="AD235" i="40" s="1"/>
  <c r="AE235" i="40" s="1"/>
  <c r="J246" i="40"/>
  <c r="AD246" i="40" s="1"/>
  <c r="AE246" i="40" s="1"/>
  <c r="J238" i="40"/>
  <c r="AD238" i="40" s="1"/>
  <c r="AE238" i="40" s="1"/>
  <c r="L258" i="40"/>
  <c r="AM246" i="40"/>
  <c r="AO246" i="40" s="1"/>
  <c r="AP246" i="40" s="1"/>
  <c r="H251" i="40"/>
  <c r="D263" i="40"/>
  <c r="I251" i="40"/>
  <c r="G251" i="40"/>
  <c r="F251" i="40"/>
  <c r="E251" i="40"/>
  <c r="H249" i="40"/>
  <c r="D261" i="40"/>
  <c r="I249" i="40"/>
  <c r="G249" i="40"/>
  <c r="E249" i="40"/>
  <c r="F249" i="40"/>
  <c r="J293" i="40"/>
  <c r="L267" i="40"/>
  <c r="G257" i="40"/>
  <c r="F257" i="40"/>
  <c r="I257" i="40"/>
  <c r="H257" i="40"/>
  <c r="E257" i="40"/>
  <c r="F247" i="40"/>
  <c r="D259" i="40"/>
  <c r="I247" i="40"/>
  <c r="E247" i="40"/>
  <c r="H247" i="40"/>
  <c r="G247" i="40"/>
  <c r="G258" i="40"/>
  <c r="F258" i="40"/>
  <c r="H258" i="40"/>
  <c r="E258" i="40"/>
  <c r="I258" i="40"/>
  <c r="J239" i="40"/>
  <c r="AD239" i="40" s="1"/>
  <c r="AE239" i="40" s="1"/>
  <c r="L265" i="40"/>
  <c r="J241" i="40"/>
  <c r="AD241" i="40" s="1"/>
  <c r="AE241" i="40" s="1"/>
  <c r="L257" i="40"/>
  <c r="AM245" i="40"/>
  <c r="AD233" i="40"/>
  <c r="AE233" i="40" s="1"/>
  <c r="L268" i="40"/>
  <c r="H253" i="40"/>
  <c r="I253" i="40"/>
  <c r="G253" i="40"/>
  <c r="D265" i="40"/>
  <c r="F253" i="40"/>
  <c r="E253" i="40"/>
  <c r="L264" i="40"/>
  <c r="AM252" i="40"/>
  <c r="AO252" i="40" s="1"/>
  <c r="AP252" i="40" s="1"/>
  <c r="J236" i="40"/>
  <c r="AD236" i="40" s="1"/>
  <c r="AE236" i="40" s="1"/>
  <c r="J245" i="40"/>
  <c r="AD226" i="40"/>
  <c r="AE226" i="40" s="1"/>
  <c r="L260" i="40"/>
  <c r="J243" i="40"/>
  <c r="AD243" i="40" s="1"/>
  <c r="AE243" i="40" s="1"/>
  <c r="H250" i="40"/>
  <c r="D262" i="40"/>
  <c r="F250" i="40"/>
  <c r="E250" i="40"/>
  <c r="G250" i="40"/>
  <c r="I250" i="40"/>
  <c r="L263" i="40"/>
  <c r="D268" i="40"/>
  <c r="H256" i="40"/>
  <c r="F256" i="40"/>
  <c r="E256" i="40"/>
  <c r="I256" i="40"/>
  <c r="G256" i="40"/>
  <c r="G264" i="40"/>
  <c r="I264" i="40"/>
  <c r="H264" i="40"/>
  <c r="F264" i="40"/>
  <c r="E264" i="40"/>
  <c r="J237" i="40"/>
  <c r="AD237" i="40" s="1"/>
  <c r="AE237" i="40" s="1"/>
  <c r="D260" i="40"/>
  <c r="F248" i="40"/>
  <c r="I248" i="40"/>
  <c r="E248" i="40"/>
  <c r="H248" i="40"/>
  <c r="G248" i="40"/>
  <c r="AN244" i="40"/>
  <c r="AO233" i="40"/>
  <c r="AP233" i="40" s="1"/>
  <c r="J242" i="40"/>
  <c r="AD242" i="40" s="1"/>
  <c r="AE242" i="40" s="1"/>
  <c r="H254" i="40"/>
  <c r="F254" i="40"/>
  <c r="D266" i="40"/>
  <c r="E254" i="40"/>
  <c r="G254" i="40"/>
  <c r="I254" i="40"/>
  <c r="D267" i="40"/>
  <c r="H255" i="40"/>
  <c r="I255" i="40"/>
  <c r="G255" i="40"/>
  <c r="F255" i="40"/>
  <c r="E255" i="40"/>
  <c r="L259" i="40"/>
  <c r="J244" i="40"/>
  <c r="AD244" i="40" s="1"/>
  <c r="AE244" i="40" s="1"/>
  <c r="J252" i="40"/>
  <c r="AD252" i="40" s="1"/>
  <c r="AE252" i="40" s="1"/>
  <c r="L261" i="40"/>
  <c r="X87" i="38"/>
  <c r="V87" i="38"/>
  <c r="W87" i="38"/>
  <c r="AM87" i="38" s="1"/>
  <c r="AO87" i="38" s="1"/>
  <c r="AP87" i="38" s="1"/>
  <c r="O87" i="38"/>
  <c r="X80" i="38"/>
  <c r="V80" i="38"/>
  <c r="W80" i="38"/>
  <c r="AM80" i="38" s="1"/>
  <c r="AO80" i="38" s="1"/>
  <c r="AP80" i="38" s="1"/>
  <c r="O80" i="38"/>
  <c r="X86" i="38"/>
  <c r="W86" i="38"/>
  <c r="AM86" i="38" s="1"/>
  <c r="AO86" i="38" s="1"/>
  <c r="AP86" i="38" s="1"/>
  <c r="V86" i="38"/>
  <c r="O86" i="38"/>
  <c r="X81" i="38"/>
  <c r="W81" i="38"/>
  <c r="AM81" i="38" s="1"/>
  <c r="AO81" i="38" s="1"/>
  <c r="AP81" i="38" s="1"/>
  <c r="V81" i="38"/>
  <c r="O81" i="38"/>
  <c r="X79" i="38"/>
  <c r="V79" i="38"/>
  <c r="W79" i="38"/>
  <c r="AM79" i="38" s="1"/>
  <c r="AO79" i="38" s="1"/>
  <c r="AP79" i="38" s="1"/>
  <c r="O79" i="38"/>
  <c r="V85" i="38"/>
  <c r="X85" i="38"/>
  <c r="W85" i="38"/>
  <c r="AM85" i="38" s="1"/>
  <c r="AO85" i="38" s="1"/>
  <c r="AP85" i="38" s="1"/>
  <c r="O85" i="38"/>
  <c r="X78" i="38"/>
  <c r="W78" i="38"/>
  <c r="AM78" i="38" s="1"/>
  <c r="AO78" i="38" s="1"/>
  <c r="AP78" i="38" s="1"/>
  <c r="V78" i="38"/>
  <c r="O78" i="38"/>
  <c r="X84" i="38"/>
  <c r="W84" i="38"/>
  <c r="AM84" i="38" s="1"/>
  <c r="AO84" i="38" s="1"/>
  <c r="AP84" i="38" s="1"/>
  <c r="V84" i="38"/>
  <c r="O84" i="38"/>
  <c r="X88" i="38"/>
  <c r="W88" i="38"/>
  <c r="AM88" i="38" s="1"/>
  <c r="AO88" i="38" s="1"/>
  <c r="AP88" i="38" s="1"/>
  <c r="O88" i="38"/>
  <c r="V88" i="38"/>
  <c r="X83" i="38"/>
  <c r="V83" i="38"/>
  <c r="W83" i="38"/>
  <c r="AM83" i="38" s="1"/>
  <c r="AO83" i="38" s="1"/>
  <c r="AP83" i="38" s="1"/>
  <c r="O83" i="38"/>
  <c r="X82" i="38"/>
  <c r="W82" i="38"/>
  <c r="AM82" i="38" s="1"/>
  <c r="AO82" i="38" s="1"/>
  <c r="AP82" i="38" s="1"/>
  <c r="V82" i="38"/>
  <c r="O82" i="38"/>
  <c r="W77" i="38"/>
  <c r="AM77" i="38" s="1"/>
  <c r="X77" i="38"/>
  <c r="V77" i="38"/>
  <c r="O77" i="38"/>
  <c r="P183" i="36"/>
  <c r="P187" i="36"/>
  <c r="P191" i="36"/>
  <c r="P186" i="36"/>
  <c r="P194" i="36"/>
  <c r="P193" i="36"/>
  <c r="P190" i="36"/>
  <c r="P188" i="36"/>
  <c r="P185" i="36"/>
  <c r="P189" i="36"/>
  <c r="P192" i="36"/>
  <c r="P184" i="36"/>
  <c r="J25" i="26"/>
  <c r="G27" i="26"/>
  <c r="I26" i="6"/>
  <c r="I27" i="6"/>
  <c r="H29" i="5"/>
  <c r="L114" i="5"/>
  <c r="L85" i="5"/>
  <c r="L56" i="5"/>
  <c r="L27" i="5"/>
  <c r="G20" i="1"/>
  <c r="I20" i="1" s="1"/>
  <c r="C21" i="1"/>
  <c r="J18" i="1"/>
  <c r="L17" i="1"/>
  <c r="D19" i="1"/>
  <c r="R57" i="36"/>
  <c r="R59" i="36"/>
  <c r="R51" i="36"/>
  <c r="R61" i="36"/>
  <c r="R53" i="36"/>
  <c r="R55" i="36"/>
  <c r="R58" i="36"/>
  <c r="R56" i="36"/>
  <c r="R54" i="36"/>
  <c r="R62" i="36"/>
  <c r="R52" i="36"/>
  <c r="R60" i="36"/>
  <c r="J18" i="28"/>
  <c r="G18" i="28"/>
  <c r="C19" i="28"/>
  <c r="F29" i="28"/>
  <c r="I17" i="28"/>
  <c r="H30" i="28" s="1"/>
  <c r="K17" i="28"/>
  <c r="L17" i="28" s="1"/>
  <c r="R41" i="36"/>
  <c r="R49" i="36"/>
  <c r="R42" i="36"/>
  <c r="R50" i="36"/>
  <c r="R43" i="36"/>
  <c r="R40" i="36"/>
  <c r="R48" i="36"/>
  <c r="R45" i="36"/>
  <c r="R46" i="36"/>
  <c r="R39" i="36"/>
  <c r="R47" i="36"/>
  <c r="R44" i="36"/>
  <c r="F20" i="30"/>
  <c r="J20" i="30" s="1"/>
  <c r="C21" i="30"/>
  <c r="L20" i="30"/>
  <c r="O15" i="30"/>
  <c r="P15" i="30"/>
  <c r="O17" i="30"/>
  <c r="D104" i="38"/>
  <c r="F104" i="38" s="1"/>
  <c r="N86" i="38"/>
  <c r="AO65" i="38"/>
  <c r="AP65" i="38" s="1"/>
  <c r="AN76" i="38"/>
  <c r="D101" i="38"/>
  <c r="F101" i="38" s="1"/>
  <c r="I98" i="38"/>
  <c r="E98" i="38"/>
  <c r="G98" i="38"/>
  <c r="D111" i="38"/>
  <c r="F111" i="38" s="1"/>
  <c r="D109" i="38"/>
  <c r="F109" i="38" s="1"/>
  <c r="N84" i="38"/>
  <c r="D108" i="38"/>
  <c r="F108" i="38" s="1"/>
  <c r="I100" i="38"/>
  <c r="E100" i="38"/>
  <c r="G100" i="38"/>
  <c r="D106" i="38"/>
  <c r="F106" i="38" s="1"/>
  <c r="I92" i="38"/>
  <c r="G92" i="38"/>
  <c r="E92" i="38"/>
  <c r="I89" i="38"/>
  <c r="G89" i="38"/>
  <c r="E89" i="38"/>
  <c r="N85" i="38"/>
  <c r="D105" i="38"/>
  <c r="F105" i="38" s="1"/>
  <c r="I99" i="38"/>
  <c r="E99" i="38"/>
  <c r="G99" i="38"/>
  <c r="I97" i="38"/>
  <c r="E97" i="38"/>
  <c r="G97" i="38"/>
  <c r="N78" i="38"/>
  <c r="N83" i="38"/>
  <c r="N82" i="38"/>
  <c r="N80" i="38"/>
  <c r="I96" i="38"/>
  <c r="E96" i="38"/>
  <c r="G96" i="38"/>
  <c r="I94" i="38"/>
  <c r="G94" i="38"/>
  <c r="E94" i="38"/>
  <c r="N81" i="38"/>
  <c r="N87" i="38"/>
  <c r="I93" i="38"/>
  <c r="G93" i="38"/>
  <c r="E93" i="38"/>
  <c r="D103" i="38"/>
  <c r="F103" i="38" s="1"/>
  <c r="N88" i="38"/>
  <c r="D102" i="38"/>
  <c r="F102" i="38" s="1"/>
  <c r="D107" i="38"/>
  <c r="F107" i="38" s="1"/>
  <c r="N79" i="38"/>
  <c r="D110" i="38"/>
  <c r="F110" i="38" s="1"/>
  <c r="J280" i="38"/>
  <c r="AD65" i="38"/>
  <c r="AE65" i="38" s="1"/>
  <c r="I91" i="38"/>
  <c r="G91" i="38"/>
  <c r="E91" i="38"/>
  <c r="AE53" i="38"/>
  <c r="I90" i="38"/>
  <c r="G90" i="38"/>
  <c r="E90" i="38"/>
  <c r="N77" i="38"/>
  <c r="F112" i="38"/>
  <c r="I95" i="38"/>
  <c r="E95" i="38"/>
  <c r="G95" i="38"/>
  <c r="K20" i="30" l="1"/>
  <c r="AE257" i="41"/>
  <c r="AE268" i="41"/>
  <c r="W267" i="40"/>
  <c r="AM267" i="40" s="1"/>
  <c r="AO267" i="40" s="1"/>
  <c r="AP267" i="40" s="1"/>
  <c r="X267" i="40"/>
  <c r="V267" i="40"/>
  <c r="X260" i="40"/>
  <c r="W260" i="40"/>
  <c r="AM260" i="40" s="1"/>
  <c r="AO260" i="40" s="1"/>
  <c r="AP260" i="40" s="1"/>
  <c r="V260" i="40"/>
  <c r="V265" i="40"/>
  <c r="X265" i="40"/>
  <c r="W265" i="40"/>
  <c r="AM265" i="40" s="1"/>
  <c r="AO265" i="40" s="1"/>
  <c r="AP265" i="40" s="1"/>
  <c r="V261" i="40"/>
  <c r="X261" i="40"/>
  <c r="W261" i="40"/>
  <c r="AM261" i="40" s="1"/>
  <c r="AO261" i="40" s="1"/>
  <c r="AP261" i="40" s="1"/>
  <c r="V266" i="40"/>
  <c r="W266" i="40"/>
  <c r="AM266" i="40" s="1"/>
  <c r="AO266" i="40" s="1"/>
  <c r="AP266" i="40" s="1"/>
  <c r="X266" i="40"/>
  <c r="V262" i="40"/>
  <c r="W262" i="40"/>
  <c r="AM262" i="40" s="1"/>
  <c r="AO262" i="40" s="1"/>
  <c r="AP262" i="40" s="1"/>
  <c r="X262" i="40"/>
  <c r="X268" i="40"/>
  <c r="W268" i="40"/>
  <c r="AM268" i="40" s="1"/>
  <c r="V268" i="40"/>
  <c r="W259" i="40"/>
  <c r="X259" i="40"/>
  <c r="V259" i="40"/>
  <c r="W263" i="40"/>
  <c r="AM263" i="40" s="1"/>
  <c r="AO263" i="40" s="1"/>
  <c r="AP263" i="40" s="1"/>
  <c r="X263" i="40"/>
  <c r="V263" i="40"/>
  <c r="J254" i="40"/>
  <c r="AD254" i="40" s="1"/>
  <c r="AE254" i="40" s="1"/>
  <c r="J249" i="40"/>
  <c r="AD249" i="40" s="1"/>
  <c r="AE249" i="40" s="1"/>
  <c r="G260" i="40"/>
  <c r="F260" i="40"/>
  <c r="I260" i="40"/>
  <c r="H260" i="40"/>
  <c r="E260" i="40"/>
  <c r="J255" i="40"/>
  <c r="AD255" i="40" s="1"/>
  <c r="AE255" i="40" s="1"/>
  <c r="J264" i="40"/>
  <c r="AD264" i="40" s="1"/>
  <c r="AE264" i="40" s="1"/>
  <c r="G265" i="40"/>
  <c r="F265" i="40"/>
  <c r="E265" i="40"/>
  <c r="I265" i="40"/>
  <c r="H265" i="40"/>
  <c r="J258" i="40"/>
  <c r="AD258" i="40" s="1"/>
  <c r="AE258" i="40" s="1"/>
  <c r="J247" i="40"/>
  <c r="AD247" i="40" s="1"/>
  <c r="AE247" i="40" s="1"/>
  <c r="J257" i="40"/>
  <c r="G261" i="40"/>
  <c r="F261" i="40"/>
  <c r="E261" i="40"/>
  <c r="I261" i="40"/>
  <c r="H261" i="40"/>
  <c r="AM258" i="40"/>
  <c r="AO258" i="40" s="1"/>
  <c r="AP258" i="40" s="1"/>
  <c r="G267" i="40"/>
  <c r="I267" i="40"/>
  <c r="H267" i="40"/>
  <c r="E267" i="40"/>
  <c r="F267" i="40"/>
  <c r="AO245" i="40"/>
  <c r="AP245" i="40" s="1"/>
  <c r="AN256" i="40"/>
  <c r="G266" i="40"/>
  <c r="H266" i="40"/>
  <c r="F266" i="40"/>
  <c r="I266" i="40"/>
  <c r="E266" i="40"/>
  <c r="J248" i="40"/>
  <c r="AD248" i="40" s="1"/>
  <c r="AE248" i="40" s="1"/>
  <c r="G268" i="40"/>
  <c r="E268" i="40"/>
  <c r="I268" i="40"/>
  <c r="H268" i="40"/>
  <c r="F268" i="40"/>
  <c r="J253" i="40"/>
  <c r="AD253" i="40" s="1"/>
  <c r="AE253" i="40" s="1"/>
  <c r="AM257" i="40"/>
  <c r="G259" i="40"/>
  <c r="F259" i="40"/>
  <c r="E259" i="40"/>
  <c r="I259" i="40"/>
  <c r="H259" i="40"/>
  <c r="J251" i="40"/>
  <c r="AD251" i="40" s="1"/>
  <c r="AE251" i="40" s="1"/>
  <c r="G263" i="40"/>
  <c r="H263" i="40"/>
  <c r="I263" i="40"/>
  <c r="F263" i="40"/>
  <c r="E263" i="40"/>
  <c r="G262" i="40"/>
  <c r="H262" i="40"/>
  <c r="F262" i="40"/>
  <c r="I262" i="40"/>
  <c r="E262" i="40"/>
  <c r="AM259" i="40"/>
  <c r="AO259" i="40" s="1"/>
  <c r="AP259" i="40" s="1"/>
  <c r="J256" i="40"/>
  <c r="AD256" i="40" s="1"/>
  <c r="AE256" i="40" s="1"/>
  <c r="J250" i="40"/>
  <c r="AD245" i="40"/>
  <c r="AE245" i="40" s="1"/>
  <c r="AM264" i="40"/>
  <c r="AO264" i="40" s="1"/>
  <c r="AP264" i="40" s="1"/>
  <c r="J294" i="40"/>
  <c r="X95" i="38"/>
  <c r="V95" i="38"/>
  <c r="W95" i="38"/>
  <c r="AM95" i="38" s="1"/>
  <c r="AO95" i="38" s="1"/>
  <c r="AP95" i="38" s="1"/>
  <c r="O95" i="38"/>
  <c r="X90" i="38"/>
  <c r="W90" i="38"/>
  <c r="AM90" i="38" s="1"/>
  <c r="AO90" i="38" s="1"/>
  <c r="AP90" i="38" s="1"/>
  <c r="V90" i="38"/>
  <c r="O90" i="38"/>
  <c r="W93" i="38"/>
  <c r="AM93" i="38" s="1"/>
  <c r="AO93" i="38" s="1"/>
  <c r="AP93" i="38" s="1"/>
  <c r="V93" i="38"/>
  <c r="X93" i="38"/>
  <c r="O93" i="38"/>
  <c r="X94" i="38"/>
  <c r="W94" i="38"/>
  <c r="AM94" i="38" s="1"/>
  <c r="AO94" i="38" s="1"/>
  <c r="AP94" i="38" s="1"/>
  <c r="V94" i="38"/>
  <c r="O94" i="38"/>
  <c r="X100" i="38"/>
  <c r="W100" i="38"/>
  <c r="AM100" i="38" s="1"/>
  <c r="AO100" i="38" s="1"/>
  <c r="AP100" i="38" s="1"/>
  <c r="V100" i="38"/>
  <c r="O100" i="38"/>
  <c r="X98" i="38"/>
  <c r="W98" i="38"/>
  <c r="AM98" i="38" s="1"/>
  <c r="AO98" i="38" s="1"/>
  <c r="AP98" i="38" s="1"/>
  <c r="V98" i="38"/>
  <c r="O98" i="38"/>
  <c r="X91" i="38"/>
  <c r="V91" i="38"/>
  <c r="W91" i="38"/>
  <c r="AM91" i="38" s="1"/>
  <c r="AO91" i="38" s="1"/>
  <c r="AP91" i="38" s="1"/>
  <c r="O91" i="38"/>
  <c r="X97" i="38"/>
  <c r="W97" i="38"/>
  <c r="AM97" i="38" s="1"/>
  <c r="AO97" i="38" s="1"/>
  <c r="AP97" i="38" s="1"/>
  <c r="V97" i="38"/>
  <c r="O97" i="38"/>
  <c r="X99" i="38"/>
  <c r="V99" i="38"/>
  <c r="W99" i="38"/>
  <c r="AM99" i="38" s="1"/>
  <c r="AO99" i="38" s="1"/>
  <c r="AP99" i="38" s="1"/>
  <c r="O99" i="38"/>
  <c r="X96" i="38"/>
  <c r="V96" i="38"/>
  <c r="W96" i="38"/>
  <c r="AM96" i="38" s="1"/>
  <c r="AO96" i="38" s="1"/>
  <c r="AP96" i="38" s="1"/>
  <c r="O96" i="38"/>
  <c r="X89" i="38"/>
  <c r="W89" i="38"/>
  <c r="AM89" i="38" s="1"/>
  <c r="V89" i="38"/>
  <c r="O89" i="38"/>
  <c r="X92" i="38"/>
  <c r="W92" i="38"/>
  <c r="AM92" i="38" s="1"/>
  <c r="AO92" i="38" s="1"/>
  <c r="AP92" i="38" s="1"/>
  <c r="V92" i="38"/>
  <c r="O92" i="38"/>
  <c r="J26" i="26"/>
  <c r="P195" i="36"/>
  <c r="P199" i="36"/>
  <c r="P203" i="36"/>
  <c r="P202" i="36"/>
  <c r="P201" i="36"/>
  <c r="P205" i="36"/>
  <c r="P206" i="36"/>
  <c r="P196" i="36"/>
  <c r="P204" i="36"/>
  <c r="P197" i="36"/>
  <c r="P198" i="36"/>
  <c r="P200" i="36"/>
  <c r="G28" i="26"/>
  <c r="L115" i="5"/>
  <c r="L86" i="5"/>
  <c r="L57" i="5"/>
  <c r="L28" i="5"/>
  <c r="H30" i="5"/>
  <c r="L18" i="1"/>
  <c r="J19" i="1"/>
  <c r="G21" i="1"/>
  <c r="I21" i="1" s="1"/>
  <c r="C22" i="1"/>
  <c r="D20" i="1"/>
  <c r="F30" i="28"/>
  <c r="I18" i="28"/>
  <c r="H31" i="28" s="1"/>
  <c r="R73" i="36"/>
  <c r="R69" i="36"/>
  <c r="R65" i="36"/>
  <c r="R71" i="36"/>
  <c r="R67" i="36"/>
  <c r="R63" i="36"/>
  <c r="R66" i="36"/>
  <c r="R74" i="36"/>
  <c r="R64" i="36"/>
  <c r="R72" i="36"/>
  <c r="R70" i="36"/>
  <c r="R68" i="36"/>
  <c r="G19" i="28"/>
  <c r="C20" i="28"/>
  <c r="J19" i="28"/>
  <c r="K18" i="28"/>
  <c r="L18" i="28" s="1"/>
  <c r="C22" i="30"/>
  <c r="L21" i="30"/>
  <c r="F21" i="30"/>
  <c r="K21" i="30" s="1"/>
  <c r="O16" i="30"/>
  <c r="P16" i="30"/>
  <c r="O18" i="30"/>
  <c r="P18" i="30"/>
  <c r="H75" i="36"/>
  <c r="H80" i="36"/>
  <c r="H83" i="36"/>
  <c r="H82" i="36"/>
  <c r="H81" i="36"/>
  <c r="H77" i="36"/>
  <c r="H85" i="36"/>
  <c r="H86" i="36"/>
  <c r="H78" i="36"/>
  <c r="H79" i="36"/>
  <c r="H84" i="36"/>
  <c r="H76" i="36"/>
  <c r="H79" i="38"/>
  <c r="J79" i="38" s="1"/>
  <c r="AD79" i="38" s="1"/>
  <c r="AE79" i="38" s="1"/>
  <c r="H86" i="38"/>
  <c r="J86" i="38" s="1"/>
  <c r="AD86" i="38" s="1"/>
  <c r="AE86" i="38" s="1"/>
  <c r="H80" i="38"/>
  <c r="J80" i="38" s="1"/>
  <c r="AD80" i="38" s="1"/>
  <c r="AE80" i="38" s="1"/>
  <c r="H83" i="38"/>
  <c r="J83" i="38" s="1"/>
  <c r="AD83" i="38" s="1"/>
  <c r="AE83" i="38" s="1"/>
  <c r="H84" i="38"/>
  <c r="J84" i="38" s="1"/>
  <c r="AD84" i="38" s="1"/>
  <c r="AE84" i="38" s="1"/>
  <c r="H77" i="38"/>
  <c r="J77" i="38" s="1"/>
  <c r="AD77" i="38" s="1"/>
  <c r="H82" i="38"/>
  <c r="J82" i="38" s="1"/>
  <c r="AD82" i="38" s="1"/>
  <c r="AE82" i="38" s="1"/>
  <c r="H78" i="38"/>
  <c r="J78" i="38" s="1"/>
  <c r="AD78" i="38" s="1"/>
  <c r="AE78" i="38" s="1"/>
  <c r="H85" i="38"/>
  <c r="J85" i="38" s="1"/>
  <c r="AD85" i="38" s="1"/>
  <c r="AE85" i="38" s="1"/>
  <c r="H81" i="38"/>
  <c r="J81" i="38" s="1"/>
  <c r="AD81" i="38" s="1"/>
  <c r="AE81" i="38" s="1"/>
  <c r="H88" i="38"/>
  <c r="J88" i="38" s="1"/>
  <c r="AD88" i="38" s="1"/>
  <c r="AE88" i="38" s="1"/>
  <c r="H87" i="38"/>
  <c r="J87" i="38" s="1"/>
  <c r="AD87" i="38" s="1"/>
  <c r="AE87" i="38" s="1"/>
  <c r="M20" i="30"/>
  <c r="N20" i="30" s="1"/>
  <c r="H99" i="36"/>
  <c r="H108" i="36"/>
  <c r="H101" i="36"/>
  <c r="H109" i="36"/>
  <c r="H102" i="36"/>
  <c r="H103" i="36"/>
  <c r="H100" i="36"/>
  <c r="H110" i="36"/>
  <c r="H107" i="36"/>
  <c r="H105" i="36"/>
  <c r="H106" i="36"/>
  <c r="H104" i="36"/>
  <c r="N97" i="38"/>
  <c r="N99" i="38"/>
  <c r="N89" i="38"/>
  <c r="N94" i="38"/>
  <c r="N95" i="38"/>
  <c r="AO77" i="38"/>
  <c r="AP77" i="38" s="1"/>
  <c r="AN88" i="38"/>
  <c r="N91" i="38"/>
  <c r="I109" i="38"/>
  <c r="E109" i="38"/>
  <c r="F121" i="38"/>
  <c r="H109" i="38"/>
  <c r="G109" i="38"/>
  <c r="I111" i="38"/>
  <c r="E111" i="38"/>
  <c r="F123" i="38"/>
  <c r="H111" i="38"/>
  <c r="G111" i="38"/>
  <c r="I101" i="38"/>
  <c r="E101" i="38"/>
  <c r="F113" i="38"/>
  <c r="H101" i="38"/>
  <c r="G101" i="38"/>
  <c r="I112" i="38"/>
  <c r="E112" i="38"/>
  <c r="F124" i="38"/>
  <c r="H112" i="38"/>
  <c r="G112" i="38"/>
  <c r="I103" i="38"/>
  <c r="E103" i="38"/>
  <c r="F115" i="38"/>
  <c r="H103" i="38"/>
  <c r="G103" i="38"/>
  <c r="N90" i="38"/>
  <c r="N100" i="38"/>
  <c r="N98" i="38"/>
  <c r="I104" i="38"/>
  <c r="E104" i="38"/>
  <c r="F116" i="38"/>
  <c r="H104" i="38"/>
  <c r="G104" i="38"/>
  <c r="I110" i="38"/>
  <c r="E110" i="38"/>
  <c r="F122" i="38"/>
  <c r="H110" i="38"/>
  <c r="G110" i="38"/>
  <c r="I107" i="38"/>
  <c r="E107" i="38"/>
  <c r="F119" i="38"/>
  <c r="H107" i="38"/>
  <c r="G107" i="38"/>
  <c r="I102" i="38"/>
  <c r="E102" i="38"/>
  <c r="F114" i="38"/>
  <c r="H102" i="38"/>
  <c r="G102" i="38"/>
  <c r="N93" i="38"/>
  <c r="N96" i="38"/>
  <c r="I105" i="38"/>
  <c r="E105" i="38"/>
  <c r="F117" i="38"/>
  <c r="H105" i="38"/>
  <c r="G105" i="38"/>
  <c r="N92" i="38"/>
  <c r="I106" i="38"/>
  <c r="E106" i="38"/>
  <c r="F118" i="38"/>
  <c r="H106" i="38"/>
  <c r="G106" i="38"/>
  <c r="I108" i="38"/>
  <c r="E108" i="38"/>
  <c r="F120" i="38"/>
  <c r="H108" i="38"/>
  <c r="G108" i="38"/>
  <c r="J295" i="40" l="1"/>
  <c r="J265" i="40"/>
  <c r="AD265" i="40" s="1"/>
  <c r="AE265" i="40" s="1"/>
  <c r="J261" i="40"/>
  <c r="AD261" i="40" s="1"/>
  <c r="AE261" i="40" s="1"/>
  <c r="AD250" i="40"/>
  <c r="AE250" i="40" s="1"/>
  <c r="J263" i="40"/>
  <c r="AD263" i="40" s="1"/>
  <c r="AE263" i="40" s="1"/>
  <c r="J268" i="40"/>
  <c r="J266" i="40"/>
  <c r="AD266" i="40" s="1"/>
  <c r="AE266" i="40" s="1"/>
  <c r="J260" i="40"/>
  <c r="AD260" i="40" s="1"/>
  <c r="AE260" i="40" s="1"/>
  <c r="J262" i="40"/>
  <c r="AD262" i="40" s="1"/>
  <c r="AE262" i="40" s="1"/>
  <c r="J259" i="40"/>
  <c r="AD259" i="40" s="1"/>
  <c r="AE259" i="40" s="1"/>
  <c r="AN268" i="40"/>
  <c r="AO257" i="40"/>
  <c r="AP257" i="40" s="1"/>
  <c r="AO268" i="40"/>
  <c r="AP268" i="40" s="1"/>
  <c r="AM275" i="40"/>
  <c r="AD257" i="40"/>
  <c r="AE257" i="40" s="1"/>
  <c r="J267" i="40"/>
  <c r="AD267" i="40" s="1"/>
  <c r="AE267" i="40" s="1"/>
  <c r="X106" i="38"/>
  <c r="W106" i="38"/>
  <c r="AM106" i="38" s="1"/>
  <c r="AO106" i="38" s="1"/>
  <c r="AP106" i="38" s="1"/>
  <c r="V106" i="38"/>
  <c r="O106" i="38"/>
  <c r="X105" i="38"/>
  <c r="W105" i="38"/>
  <c r="AM105" i="38" s="1"/>
  <c r="AO105" i="38" s="1"/>
  <c r="AP105" i="38" s="1"/>
  <c r="V105" i="38"/>
  <c r="O105" i="38"/>
  <c r="X108" i="38"/>
  <c r="W108" i="38"/>
  <c r="AM108" i="38" s="1"/>
  <c r="AO108" i="38" s="1"/>
  <c r="AP108" i="38" s="1"/>
  <c r="V108" i="38"/>
  <c r="O108" i="38"/>
  <c r="X102" i="38"/>
  <c r="W102" i="38"/>
  <c r="AM102" i="38" s="1"/>
  <c r="AO102" i="38" s="1"/>
  <c r="AP102" i="38" s="1"/>
  <c r="O102" i="38"/>
  <c r="V102" i="38"/>
  <c r="X110" i="38"/>
  <c r="W110" i="38"/>
  <c r="AM110" i="38" s="1"/>
  <c r="AO110" i="38" s="1"/>
  <c r="AP110" i="38" s="1"/>
  <c r="V110" i="38"/>
  <c r="O110" i="38"/>
  <c r="X112" i="38"/>
  <c r="V112" i="38"/>
  <c r="W112" i="38"/>
  <c r="AM112" i="38" s="1"/>
  <c r="AO112" i="38" s="1"/>
  <c r="AP112" i="38" s="1"/>
  <c r="O112" i="38"/>
  <c r="X111" i="38"/>
  <c r="V111" i="38"/>
  <c r="W111" i="38"/>
  <c r="AM111" i="38" s="1"/>
  <c r="AO111" i="38" s="1"/>
  <c r="AP111" i="38" s="1"/>
  <c r="O111" i="38"/>
  <c r="AE77" i="38"/>
  <c r="X107" i="38"/>
  <c r="V107" i="38"/>
  <c r="W107" i="38"/>
  <c r="AM107" i="38" s="1"/>
  <c r="AO107" i="38" s="1"/>
  <c r="AP107" i="38" s="1"/>
  <c r="O107" i="38"/>
  <c r="X104" i="38"/>
  <c r="W104" i="38"/>
  <c r="AM104" i="38" s="1"/>
  <c r="AO104" i="38" s="1"/>
  <c r="AP104" i="38" s="1"/>
  <c r="V104" i="38"/>
  <c r="O104" i="38"/>
  <c r="X103" i="38"/>
  <c r="V103" i="38"/>
  <c r="W103" i="38"/>
  <c r="AM103" i="38" s="1"/>
  <c r="AO103" i="38" s="1"/>
  <c r="AP103" i="38" s="1"/>
  <c r="O103" i="38"/>
  <c r="V101" i="38"/>
  <c r="X101" i="38"/>
  <c r="W101" i="38"/>
  <c r="AM101" i="38" s="1"/>
  <c r="O101" i="38"/>
  <c r="W109" i="38"/>
  <c r="AM109" i="38" s="1"/>
  <c r="AO109" i="38" s="1"/>
  <c r="AP109" i="38" s="1"/>
  <c r="X109" i="38"/>
  <c r="V109" i="38"/>
  <c r="O109" i="38"/>
  <c r="J281" i="38"/>
  <c r="G29" i="26"/>
  <c r="J27" i="26"/>
  <c r="P207" i="36"/>
  <c r="P211" i="36"/>
  <c r="P215" i="36"/>
  <c r="P210" i="36"/>
  <c r="P213" i="36"/>
  <c r="P212" i="36"/>
  <c r="P209" i="36"/>
  <c r="P217" i="36"/>
  <c r="P214" i="36"/>
  <c r="P208" i="36"/>
  <c r="P216" i="36"/>
  <c r="L116" i="5"/>
  <c r="L87" i="5"/>
  <c r="L58" i="5"/>
  <c r="L29" i="5"/>
  <c r="H31" i="5"/>
  <c r="G22" i="1"/>
  <c r="I22" i="1" s="1"/>
  <c r="C23" i="1"/>
  <c r="D21" i="1"/>
  <c r="J20" i="1"/>
  <c r="L19" i="1"/>
  <c r="K19" i="28"/>
  <c r="L19" i="28" s="1"/>
  <c r="J20" i="28"/>
  <c r="G20" i="28"/>
  <c r="C21" i="28"/>
  <c r="F31" i="28"/>
  <c r="I19" i="28"/>
  <c r="H32" i="28" s="1"/>
  <c r="J101" i="38"/>
  <c r="AD101" i="38" s="1"/>
  <c r="AE101" i="38" s="1"/>
  <c r="J111" i="38"/>
  <c r="AD111" i="38" s="1"/>
  <c r="AE111" i="38" s="1"/>
  <c r="J21" i="30"/>
  <c r="M21" i="30" s="1"/>
  <c r="N21" i="30" s="1"/>
  <c r="P20" i="30"/>
  <c r="O19" i="30"/>
  <c r="P19" i="30"/>
  <c r="H87" i="36"/>
  <c r="H89" i="36"/>
  <c r="H94" i="36"/>
  <c r="H98" i="36"/>
  <c r="H90" i="36"/>
  <c r="H91" i="36"/>
  <c r="H97" i="36"/>
  <c r="H93" i="36"/>
  <c r="H96" i="36"/>
  <c r="H88" i="36"/>
  <c r="H92" i="36"/>
  <c r="H95" i="36"/>
  <c r="H99" i="38"/>
  <c r="J99" i="38" s="1"/>
  <c r="AD99" i="38" s="1"/>
  <c r="AE99" i="38" s="1"/>
  <c r="H96" i="38"/>
  <c r="J96" i="38" s="1"/>
  <c r="AD96" i="38" s="1"/>
  <c r="AE96" i="38" s="1"/>
  <c r="H93" i="38"/>
  <c r="J93" i="38" s="1"/>
  <c r="AD93" i="38" s="1"/>
  <c r="AE93" i="38" s="1"/>
  <c r="H90" i="38"/>
  <c r="J90" i="38" s="1"/>
  <c r="AD90" i="38" s="1"/>
  <c r="AE90" i="38" s="1"/>
  <c r="H98" i="38"/>
  <c r="J98" i="38" s="1"/>
  <c r="AD98" i="38" s="1"/>
  <c r="AE98" i="38" s="1"/>
  <c r="H92" i="38"/>
  <c r="J92" i="38" s="1"/>
  <c r="AD92" i="38" s="1"/>
  <c r="AE92" i="38" s="1"/>
  <c r="H94" i="38"/>
  <c r="J94" i="38" s="1"/>
  <c r="AD94" i="38" s="1"/>
  <c r="AE94" i="38" s="1"/>
  <c r="H100" i="38"/>
  <c r="J100" i="38" s="1"/>
  <c r="AD100" i="38" s="1"/>
  <c r="AE100" i="38" s="1"/>
  <c r="H89" i="38"/>
  <c r="J89" i="38" s="1"/>
  <c r="AD89" i="38" s="1"/>
  <c r="AE89" i="38" s="1"/>
  <c r="H97" i="38"/>
  <c r="J97" i="38" s="1"/>
  <c r="AD97" i="38" s="1"/>
  <c r="AE97" i="38" s="1"/>
  <c r="H91" i="38"/>
  <c r="J91" i="38" s="1"/>
  <c r="AD91" i="38" s="1"/>
  <c r="AE91" i="38" s="1"/>
  <c r="H95" i="38"/>
  <c r="J95" i="38" s="1"/>
  <c r="AD95" i="38" s="1"/>
  <c r="AE95" i="38" s="1"/>
  <c r="C23" i="30"/>
  <c r="L22" i="30"/>
  <c r="F22" i="30"/>
  <c r="K22" i="30" s="1"/>
  <c r="J112" i="38"/>
  <c r="AD112" i="38" s="1"/>
  <c r="AE112" i="38" s="1"/>
  <c r="J103" i="38"/>
  <c r="AD103" i="38" s="1"/>
  <c r="AE103" i="38" s="1"/>
  <c r="I118" i="38"/>
  <c r="E118" i="38"/>
  <c r="F130" i="38"/>
  <c r="H118" i="38"/>
  <c r="G118" i="38"/>
  <c r="I117" i="38"/>
  <c r="E117" i="38"/>
  <c r="F129" i="38"/>
  <c r="H117" i="38"/>
  <c r="G117" i="38"/>
  <c r="J108" i="38"/>
  <c r="AD108" i="38" s="1"/>
  <c r="AE108" i="38" s="1"/>
  <c r="N106" i="38"/>
  <c r="J107" i="38"/>
  <c r="AD107" i="38" s="1"/>
  <c r="AE107" i="38" s="1"/>
  <c r="I122" i="38"/>
  <c r="E122" i="38"/>
  <c r="F134" i="38"/>
  <c r="H122" i="38"/>
  <c r="G122" i="38"/>
  <c r="N103" i="38"/>
  <c r="N112" i="38"/>
  <c r="N101" i="38"/>
  <c r="N111" i="38"/>
  <c r="I121" i="38"/>
  <c r="E121" i="38"/>
  <c r="F133" i="38"/>
  <c r="H121" i="38"/>
  <c r="G121" i="38"/>
  <c r="N108" i="38"/>
  <c r="N105" i="38"/>
  <c r="I114" i="38"/>
  <c r="E114" i="38"/>
  <c r="F126" i="38"/>
  <c r="H114" i="38"/>
  <c r="G114" i="38"/>
  <c r="J110" i="38"/>
  <c r="AD110" i="38" s="1"/>
  <c r="AE110" i="38" s="1"/>
  <c r="I116" i="38"/>
  <c r="E116" i="38"/>
  <c r="F128" i="38"/>
  <c r="H116" i="38"/>
  <c r="G116" i="38"/>
  <c r="I115" i="38"/>
  <c r="E115" i="38"/>
  <c r="F127" i="38"/>
  <c r="H115" i="38"/>
  <c r="G115" i="38"/>
  <c r="I124" i="38"/>
  <c r="E124" i="38"/>
  <c r="F136" i="38"/>
  <c r="H124" i="38"/>
  <c r="G124" i="38"/>
  <c r="I113" i="38"/>
  <c r="E113" i="38"/>
  <c r="F125" i="38"/>
  <c r="H113" i="38"/>
  <c r="G113" i="38"/>
  <c r="I123" i="38"/>
  <c r="E123" i="38"/>
  <c r="F135" i="38"/>
  <c r="H123" i="38"/>
  <c r="G123" i="38"/>
  <c r="J109" i="38"/>
  <c r="AD109" i="38" s="1"/>
  <c r="AE109" i="38" s="1"/>
  <c r="J102" i="38"/>
  <c r="AD102" i="38" s="1"/>
  <c r="AE102" i="38" s="1"/>
  <c r="N107" i="38"/>
  <c r="N110" i="38"/>
  <c r="J104" i="38"/>
  <c r="AD104" i="38" s="1"/>
  <c r="AE104" i="38" s="1"/>
  <c r="AO89" i="38"/>
  <c r="AP89" i="38" s="1"/>
  <c r="AN100" i="38"/>
  <c r="I120" i="38"/>
  <c r="E120" i="38"/>
  <c r="F132" i="38"/>
  <c r="H120" i="38"/>
  <c r="G120" i="38"/>
  <c r="J106" i="38"/>
  <c r="AD106" i="38" s="1"/>
  <c r="AE106" i="38" s="1"/>
  <c r="J105" i="38"/>
  <c r="AD105" i="38" s="1"/>
  <c r="AE105" i="38" s="1"/>
  <c r="N102" i="38"/>
  <c r="I119" i="38"/>
  <c r="E119" i="38"/>
  <c r="F131" i="38"/>
  <c r="H119" i="38"/>
  <c r="G119" i="38"/>
  <c r="N104" i="38"/>
  <c r="N109" i="38"/>
  <c r="J296" i="40" l="1"/>
  <c r="J298" i="40" s="1"/>
  <c r="L298" i="40" s="1"/>
  <c r="AD268" i="40"/>
  <c r="J271" i="40"/>
  <c r="V117" i="38"/>
  <c r="X117" i="38"/>
  <c r="W117" i="38"/>
  <c r="O117" i="38"/>
  <c r="X118" i="38"/>
  <c r="W118" i="38"/>
  <c r="AM118" i="38" s="1"/>
  <c r="AO118" i="38" s="1"/>
  <c r="AP118" i="38" s="1"/>
  <c r="V118" i="38"/>
  <c r="O118" i="38"/>
  <c r="X120" i="38"/>
  <c r="W120" i="38"/>
  <c r="AM120" i="38" s="1"/>
  <c r="AO120" i="38" s="1"/>
  <c r="AP120" i="38" s="1"/>
  <c r="V120" i="38"/>
  <c r="O120" i="38"/>
  <c r="X121" i="38"/>
  <c r="W121" i="38"/>
  <c r="AM121" i="38" s="1"/>
  <c r="AO121" i="38" s="1"/>
  <c r="AP121" i="38" s="1"/>
  <c r="V121" i="38"/>
  <c r="O121" i="38"/>
  <c r="X122" i="38"/>
  <c r="W122" i="38"/>
  <c r="AM122" i="38" s="1"/>
  <c r="AO122" i="38" s="1"/>
  <c r="AP122" i="38" s="1"/>
  <c r="V122" i="38"/>
  <c r="O122" i="38"/>
  <c r="X123" i="38"/>
  <c r="V123" i="38"/>
  <c r="W123" i="38"/>
  <c r="AM123" i="38" s="1"/>
  <c r="AO123" i="38" s="1"/>
  <c r="AP123" i="38" s="1"/>
  <c r="O123" i="38"/>
  <c r="X119" i="38"/>
  <c r="V119" i="38"/>
  <c r="W119" i="38"/>
  <c r="AM119" i="38" s="1"/>
  <c r="AO119" i="38" s="1"/>
  <c r="AP119" i="38" s="1"/>
  <c r="O119" i="38"/>
  <c r="X113" i="38"/>
  <c r="W113" i="38"/>
  <c r="AM113" i="38" s="1"/>
  <c r="V113" i="38"/>
  <c r="O113" i="38"/>
  <c r="X124" i="38"/>
  <c r="W124" i="38"/>
  <c r="AM124" i="38" s="1"/>
  <c r="AO124" i="38" s="1"/>
  <c r="AP124" i="38" s="1"/>
  <c r="O124" i="38"/>
  <c r="V124" i="38"/>
  <c r="X115" i="38"/>
  <c r="V115" i="38"/>
  <c r="W115" i="38"/>
  <c r="AM115" i="38" s="1"/>
  <c r="AO115" i="38" s="1"/>
  <c r="AP115" i="38" s="1"/>
  <c r="O115" i="38"/>
  <c r="X116" i="38"/>
  <c r="W116" i="38"/>
  <c r="AM116" i="38" s="1"/>
  <c r="AO116" i="38" s="1"/>
  <c r="AP116" i="38" s="1"/>
  <c r="O116" i="38"/>
  <c r="V116" i="38"/>
  <c r="X114" i="38"/>
  <c r="W114" i="38"/>
  <c r="AM114" i="38" s="1"/>
  <c r="AO114" i="38" s="1"/>
  <c r="AP114" i="38" s="1"/>
  <c r="V114" i="38"/>
  <c r="O114" i="38"/>
  <c r="J282" i="38"/>
  <c r="G30" i="26"/>
  <c r="J28" i="26"/>
  <c r="L117" i="5"/>
  <c r="L88" i="5"/>
  <c r="L59" i="5"/>
  <c r="L30" i="5"/>
  <c r="H32" i="5"/>
  <c r="L20" i="1"/>
  <c r="J21" i="1"/>
  <c r="D22" i="1"/>
  <c r="G23" i="1"/>
  <c r="I23" i="1" s="1"/>
  <c r="C24" i="1"/>
  <c r="K20" i="28"/>
  <c r="L20" i="28" s="1"/>
  <c r="F32" i="28"/>
  <c r="I20" i="28"/>
  <c r="R81" i="36"/>
  <c r="R77" i="36"/>
  <c r="R83" i="36"/>
  <c r="R85" i="36"/>
  <c r="R79" i="36"/>
  <c r="R75" i="36"/>
  <c r="R82" i="36"/>
  <c r="R80" i="36"/>
  <c r="R78" i="36"/>
  <c r="R86" i="36"/>
  <c r="R76" i="36"/>
  <c r="R84" i="36"/>
  <c r="G21" i="28"/>
  <c r="I21" i="28" s="1"/>
  <c r="C22" i="28"/>
  <c r="J22" i="30"/>
  <c r="M22" i="30" s="1"/>
  <c r="P21" i="30"/>
  <c r="N22" i="30"/>
  <c r="O20" i="30"/>
  <c r="F23" i="30"/>
  <c r="K23" i="30" s="1"/>
  <c r="C24" i="30"/>
  <c r="L23" i="30"/>
  <c r="J120" i="38"/>
  <c r="AD120" i="38" s="1"/>
  <c r="AE120" i="38" s="1"/>
  <c r="N119" i="38"/>
  <c r="N123" i="38"/>
  <c r="J113" i="38"/>
  <c r="J115" i="38"/>
  <c r="AD115" i="38" s="1"/>
  <c r="AE115" i="38" s="1"/>
  <c r="J121" i="38"/>
  <c r="AD121" i="38" s="1"/>
  <c r="AE121" i="38" s="1"/>
  <c r="I130" i="38"/>
  <c r="E130" i="38"/>
  <c r="D142" i="38"/>
  <c r="F142" i="38" s="1"/>
  <c r="H130" i="38"/>
  <c r="G130" i="38"/>
  <c r="N118" i="38"/>
  <c r="J119" i="38"/>
  <c r="AD119" i="38" s="1"/>
  <c r="AE119" i="38" s="1"/>
  <c r="J123" i="38"/>
  <c r="AD123" i="38" s="1"/>
  <c r="AE123" i="38" s="1"/>
  <c r="I136" i="38"/>
  <c r="E136" i="38"/>
  <c r="D148" i="38"/>
  <c r="F148" i="38" s="1"/>
  <c r="H136" i="38"/>
  <c r="G136" i="38"/>
  <c r="N124" i="38"/>
  <c r="I126" i="38"/>
  <c r="E126" i="38"/>
  <c r="F138" i="38"/>
  <c r="H126" i="38"/>
  <c r="G126" i="38"/>
  <c r="N114" i="38"/>
  <c r="AO101" i="38"/>
  <c r="AP101" i="38" s="1"/>
  <c r="AN112" i="38"/>
  <c r="I134" i="38"/>
  <c r="E134" i="38"/>
  <c r="D146" i="38"/>
  <c r="F146" i="38" s="1"/>
  <c r="H134" i="38"/>
  <c r="G134" i="38"/>
  <c r="N122" i="38"/>
  <c r="I129" i="38"/>
  <c r="E129" i="38"/>
  <c r="D141" i="38"/>
  <c r="F141" i="38" s="1"/>
  <c r="H129" i="38"/>
  <c r="G129" i="38"/>
  <c r="J118" i="38"/>
  <c r="AD118" i="38" s="1"/>
  <c r="AE118" i="38" s="1"/>
  <c r="I125" i="38"/>
  <c r="E125" i="38"/>
  <c r="F137" i="38"/>
  <c r="H125" i="38"/>
  <c r="G125" i="38"/>
  <c r="J124" i="38"/>
  <c r="AD124" i="38" s="1"/>
  <c r="AE124" i="38" s="1"/>
  <c r="I127" i="38"/>
  <c r="E127" i="38"/>
  <c r="D139" i="38"/>
  <c r="F139" i="38" s="1"/>
  <c r="H127" i="38"/>
  <c r="G127" i="38"/>
  <c r="I128" i="38"/>
  <c r="E128" i="38"/>
  <c r="D140" i="38"/>
  <c r="F140" i="38" s="1"/>
  <c r="H128" i="38"/>
  <c r="G128" i="38"/>
  <c r="N116" i="38"/>
  <c r="J114" i="38"/>
  <c r="AD114" i="38" s="1"/>
  <c r="AE114" i="38" s="1"/>
  <c r="I133" i="38"/>
  <c r="E133" i="38"/>
  <c r="D145" i="38"/>
  <c r="F145" i="38" s="1"/>
  <c r="H133" i="38"/>
  <c r="G133" i="38"/>
  <c r="J122" i="38"/>
  <c r="AD122" i="38" s="1"/>
  <c r="AE122" i="38" s="1"/>
  <c r="N117" i="38"/>
  <c r="AM117" i="38"/>
  <c r="AO117" i="38" s="1"/>
  <c r="AP117" i="38" s="1"/>
  <c r="I131" i="38"/>
  <c r="E131" i="38"/>
  <c r="D143" i="38"/>
  <c r="F143" i="38" s="1"/>
  <c r="H131" i="38"/>
  <c r="G131" i="38"/>
  <c r="I132" i="38"/>
  <c r="E132" i="38"/>
  <c r="D144" i="38"/>
  <c r="F144" i="38" s="1"/>
  <c r="H132" i="38"/>
  <c r="G132" i="38"/>
  <c r="N120" i="38"/>
  <c r="J283" i="38"/>
  <c r="I135" i="38"/>
  <c r="E135" i="38"/>
  <c r="D147" i="38"/>
  <c r="F147" i="38" s="1"/>
  <c r="H135" i="38"/>
  <c r="G135" i="38"/>
  <c r="N113" i="38"/>
  <c r="N115" i="38"/>
  <c r="J116" i="38"/>
  <c r="AD116" i="38" s="1"/>
  <c r="AE116" i="38" s="1"/>
  <c r="N121" i="38"/>
  <c r="J117" i="38"/>
  <c r="AD117" i="38" s="1"/>
  <c r="AE117" i="38" s="1"/>
  <c r="J23" i="30" l="1"/>
  <c r="M23" i="30" s="1"/>
  <c r="AE268" i="40"/>
  <c r="AD272" i="40"/>
  <c r="V133" i="38"/>
  <c r="X133" i="38"/>
  <c r="W133" i="38"/>
  <c r="AM133" i="38" s="1"/>
  <c r="AO133" i="38" s="1"/>
  <c r="AP133" i="38" s="1"/>
  <c r="O133" i="38"/>
  <c r="X126" i="38"/>
  <c r="W126" i="38"/>
  <c r="AM126" i="38" s="1"/>
  <c r="AO126" i="38" s="1"/>
  <c r="AP126" i="38" s="1"/>
  <c r="V126" i="38"/>
  <c r="O126" i="38"/>
  <c r="X136" i="38"/>
  <c r="W136" i="38"/>
  <c r="AM136" i="38" s="1"/>
  <c r="AO136" i="38" s="1"/>
  <c r="AP136" i="38" s="1"/>
  <c r="V136" i="38"/>
  <c r="O136" i="38"/>
  <c r="X130" i="38"/>
  <c r="W130" i="38"/>
  <c r="AM130" i="38" s="1"/>
  <c r="AO130" i="38" s="1"/>
  <c r="AP130" i="38" s="1"/>
  <c r="O130" i="38"/>
  <c r="V130" i="38"/>
  <c r="X131" i="38"/>
  <c r="V131" i="38"/>
  <c r="W131" i="38"/>
  <c r="AM131" i="38" s="1"/>
  <c r="AO131" i="38" s="1"/>
  <c r="AP131" i="38" s="1"/>
  <c r="O131" i="38"/>
  <c r="X128" i="38"/>
  <c r="V128" i="38"/>
  <c r="O128" i="38"/>
  <c r="W128" i="38"/>
  <c r="AM128" i="38" s="1"/>
  <c r="AO128" i="38" s="1"/>
  <c r="AP128" i="38" s="1"/>
  <c r="X129" i="38"/>
  <c r="W129" i="38"/>
  <c r="AM129" i="38" s="1"/>
  <c r="AO129" i="38" s="1"/>
  <c r="AP129" i="38" s="1"/>
  <c r="V129" i="38"/>
  <c r="O129" i="38"/>
  <c r="X134" i="38"/>
  <c r="W134" i="38"/>
  <c r="AM134" i="38" s="1"/>
  <c r="AO134" i="38" s="1"/>
  <c r="AP134" i="38" s="1"/>
  <c r="V134" i="38"/>
  <c r="O134" i="38"/>
  <c r="X135" i="38"/>
  <c r="V135" i="38"/>
  <c r="W135" i="38"/>
  <c r="AM135" i="38" s="1"/>
  <c r="AO135" i="38" s="1"/>
  <c r="AP135" i="38" s="1"/>
  <c r="O135" i="38"/>
  <c r="W125" i="38"/>
  <c r="AM125" i="38" s="1"/>
  <c r="V125" i="38"/>
  <c r="O125" i="38"/>
  <c r="X125" i="38"/>
  <c r="X132" i="38"/>
  <c r="W132" i="38"/>
  <c r="AM132" i="38" s="1"/>
  <c r="AO132" i="38" s="1"/>
  <c r="AP132" i="38" s="1"/>
  <c r="V132" i="38"/>
  <c r="O132" i="38"/>
  <c r="X127" i="38"/>
  <c r="V127" i="38"/>
  <c r="W127" i="38"/>
  <c r="AM127" i="38" s="1"/>
  <c r="AO127" i="38" s="1"/>
  <c r="AP127" i="38" s="1"/>
  <c r="O127" i="38"/>
  <c r="J29" i="26"/>
  <c r="J30" i="26"/>
  <c r="L118" i="5"/>
  <c r="L89" i="5"/>
  <c r="L60" i="5"/>
  <c r="L31" i="5"/>
  <c r="G24" i="1"/>
  <c r="I24" i="1" s="1"/>
  <c r="C25" i="1"/>
  <c r="D23" i="1"/>
  <c r="J22" i="1"/>
  <c r="L21" i="1"/>
  <c r="G22" i="28"/>
  <c r="I22" i="28" s="1"/>
  <c r="C23" i="28"/>
  <c r="R95" i="36"/>
  <c r="R91" i="36"/>
  <c r="R87" i="36"/>
  <c r="R97" i="36"/>
  <c r="R93" i="36"/>
  <c r="R89" i="36"/>
  <c r="R90" i="36"/>
  <c r="R98" i="36"/>
  <c r="R88" i="36"/>
  <c r="R96" i="36"/>
  <c r="R94" i="36"/>
  <c r="R92" i="36"/>
  <c r="J21" i="28"/>
  <c r="L21" i="28" s="1"/>
  <c r="P22" i="30"/>
  <c r="N23" i="30"/>
  <c r="O21" i="30"/>
  <c r="J131" i="38"/>
  <c r="AD131" i="38" s="1"/>
  <c r="AE131" i="38" s="1"/>
  <c r="F24" i="30"/>
  <c r="K24" i="30" s="1"/>
  <c r="C25" i="30"/>
  <c r="L24" i="30"/>
  <c r="I139" i="38"/>
  <c r="E139" i="38"/>
  <c r="D151" i="38"/>
  <c r="F151" i="38" s="1"/>
  <c r="H139" i="38"/>
  <c r="G139" i="38"/>
  <c r="N127" i="38"/>
  <c r="I141" i="38"/>
  <c r="E141" i="38"/>
  <c r="D153" i="38"/>
  <c r="F153" i="38" s="1"/>
  <c r="H141" i="38"/>
  <c r="G141" i="38"/>
  <c r="N129" i="38"/>
  <c r="I147" i="38"/>
  <c r="E147" i="38"/>
  <c r="D159" i="38"/>
  <c r="F159" i="38" s="1"/>
  <c r="H147" i="38"/>
  <c r="G147" i="38"/>
  <c r="N135" i="38"/>
  <c r="I140" i="38"/>
  <c r="E140" i="38"/>
  <c r="D152" i="38"/>
  <c r="F152" i="38" s="1"/>
  <c r="H140" i="38"/>
  <c r="G140" i="38"/>
  <c r="N128" i="38"/>
  <c r="J127" i="38"/>
  <c r="AD127" i="38" s="1"/>
  <c r="AE127" i="38" s="1"/>
  <c r="N125" i="38"/>
  <c r="J129" i="38"/>
  <c r="AD129" i="38" s="1"/>
  <c r="AE129" i="38" s="1"/>
  <c r="I138" i="38"/>
  <c r="E138" i="38"/>
  <c r="D150" i="38"/>
  <c r="F150" i="38" s="1"/>
  <c r="H138" i="38"/>
  <c r="G138" i="38"/>
  <c r="N126" i="38"/>
  <c r="I148" i="38"/>
  <c r="E148" i="38"/>
  <c r="D160" i="38"/>
  <c r="F160" i="38" s="1"/>
  <c r="H148" i="38"/>
  <c r="G148" i="38"/>
  <c r="N136" i="38"/>
  <c r="I142" i="38"/>
  <c r="E142" i="38"/>
  <c r="D154" i="38"/>
  <c r="F154" i="38" s="1"/>
  <c r="H142" i="38"/>
  <c r="G142" i="38"/>
  <c r="N130" i="38"/>
  <c r="J135" i="38"/>
  <c r="AD135" i="38" s="1"/>
  <c r="AE135" i="38" s="1"/>
  <c r="I144" i="38"/>
  <c r="E144" i="38"/>
  <c r="D156" i="38"/>
  <c r="F156" i="38" s="1"/>
  <c r="H144" i="38"/>
  <c r="G144" i="38"/>
  <c r="N132" i="38"/>
  <c r="I145" i="38"/>
  <c r="E145" i="38"/>
  <c r="D157" i="38"/>
  <c r="F157" i="38" s="1"/>
  <c r="H145" i="38"/>
  <c r="G145" i="38"/>
  <c r="N133" i="38"/>
  <c r="J128" i="38"/>
  <c r="AD128" i="38" s="1"/>
  <c r="AE128" i="38" s="1"/>
  <c r="I137" i="38"/>
  <c r="E137" i="38"/>
  <c r="D149" i="38"/>
  <c r="F149" i="38" s="1"/>
  <c r="H137" i="38"/>
  <c r="G137" i="38"/>
  <c r="I146" i="38"/>
  <c r="E146" i="38"/>
  <c r="D158" i="38"/>
  <c r="F158" i="38" s="1"/>
  <c r="H146" i="38"/>
  <c r="G146" i="38"/>
  <c r="N134" i="38"/>
  <c r="J126" i="38"/>
  <c r="AD126" i="38" s="1"/>
  <c r="AE126" i="38" s="1"/>
  <c r="J136" i="38"/>
  <c r="AD136" i="38" s="1"/>
  <c r="AE136" i="38" s="1"/>
  <c r="J130" i="38"/>
  <c r="AD130" i="38" s="1"/>
  <c r="AE130" i="38" s="1"/>
  <c r="J284" i="38"/>
  <c r="AD113" i="38"/>
  <c r="AE113" i="38" s="1"/>
  <c r="AO113" i="38"/>
  <c r="AP113" i="38" s="1"/>
  <c r="AN124" i="38"/>
  <c r="J132" i="38"/>
  <c r="AD132" i="38" s="1"/>
  <c r="AE132" i="38" s="1"/>
  <c r="I143" i="38"/>
  <c r="E143" i="38"/>
  <c r="D155" i="38"/>
  <c r="F155" i="38" s="1"/>
  <c r="H143" i="38"/>
  <c r="G143" i="38"/>
  <c r="N131" i="38"/>
  <c r="J133" i="38"/>
  <c r="AD133" i="38" s="1"/>
  <c r="AE133" i="38" s="1"/>
  <c r="J125" i="38"/>
  <c r="J134" i="38"/>
  <c r="AD134" i="38" s="1"/>
  <c r="AE134" i="38" s="1"/>
  <c r="X145" i="38" l="1"/>
  <c r="W145" i="38"/>
  <c r="AM145" i="38" s="1"/>
  <c r="AO145" i="38" s="1"/>
  <c r="AP145" i="38" s="1"/>
  <c r="V145" i="38"/>
  <c r="O145" i="38"/>
  <c r="X144" i="38"/>
  <c r="V144" i="38"/>
  <c r="W144" i="38"/>
  <c r="AM144" i="38" s="1"/>
  <c r="AO144" i="38" s="1"/>
  <c r="AP144" i="38" s="1"/>
  <c r="O144" i="38"/>
  <c r="X137" i="38"/>
  <c r="W137" i="38"/>
  <c r="AM137" i="38" s="1"/>
  <c r="V137" i="38"/>
  <c r="O137" i="38"/>
  <c r="X143" i="38"/>
  <c r="V143" i="38"/>
  <c r="W143" i="38"/>
  <c r="AM143" i="38" s="1"/>
  <c r="AO143" i="38" s="1"/>
  <c r="AP143" i="38" s="1"/>
  <c r="O143" i="38"/>
  <c r="X146" i="38"/>
  <c r="W146" i="38"/>
  <c r="AM146" i="38" s="1"/>
  <c r="AO146" i="38" s="1"/>
  <c r="AP146" i="38" s="1"/>
  <c r="V146" i="38"/>
  <c r="O146" i="38"/>
  <c r="X142" i="38"/>
  <c r="W142" i="38"/>
  <c r="AM142" i="38" s="1"/>
  <c r="AO142" i="38" s="1"/>
  <c r="AP142" i="38" s="1"/>
  <c r="V142" i="38"/>
  <c r="O142" i="38"/>
  <c r="X148" i="38"/>
  <c r="W148" i="38"/>
  <c r="AM148" i="38" s="1"/>
  <c r="AO148" i="38" s="1"/>
  <c r="AP148" i="38" s="1"/>
  <c r="V148" i="38"/>
  <c r="O148" i="38"/>
  <c r="X138" i="38"/>
  <c r="W138" i="38"/>
  <c r="AM138" i="38" s="1"/>
  <c r="AO138" i="38" s="1"/>
  <c r="AP138" i="38" s="1"/>
  <c r="V138" i="38"/>
  <c r="O138" i="38"/>
  <c r="X140" i="38"/>
  <c r="W140" i="38"/>
  <c r="AM140" i="38" s="1"/>
  <c r="AO140" i="38" s="1"/>
  <c r="AP140" i="38" s="1"/>
  <c r="V140" i="38"/>
  <c r="O140" i="38"/>
  <c r="X147" i="38"/>
  <c r="V147" i="38"/>
  <c r="W147" i="38"/>
  <c r="AM147" i="38" s="1"/>
  <c r="AO147" i="38" s="1"/>
  <c r="AP147" i="38" s="1"/>
  <c r="O147" i="38"/>
  <c r="W141" i="38"/>
  <c r="AM141" i="38" s="1"/>
  <c r="AO141" i="38" s="1"/>
  <c r="AP141" i="38" s="1"/>
  <c r="X141" i="38"/>
  <c r="V141" i="38"/>
  <c r="O141" i="38"/>
  <c r="X139" i="38"/>
  <c r="V139" i="38"/>
  <c r="W139" i="38"/>
  <c r="AM139" i="38" s="1"/>
  <c r="AO139" i="38" s="1"/>
  <c r="AP139" i="38" s="1"/>
  <c r="O139" i="38"/>
  <c r="L119" i="5"/>
  <c r="L90" i="5"/>
  <c r="L61" i="5"/>
  <c r="L32" i="5"/>
  <c r="D24" i="1"/>
  <c r="L22" i="1"/>
  <c r="J23" i="1"/>
  <c r="G25" i="1"/>
  <c r="I25" i="1" s="1"/>
  <c r="C26" i="1"/>
  <c r="G23" i="28"/>
  <c r="I23" i="28" s="1"/>
  <c r="C24" i="28"/>
  <c r="J22" i="28"/>
  <c r="L22" i="28" s="1"/>
  <c r="R107" i="36"/>
  <c r="R109" i="36"/>
  <c r="R103" i="36"/>
  <c r="R99" i="36"/>
  <c r="R105" i="36"/>
  <c r="R101" i="36"/>
  <c r="R106" i="36"/>
  <c r="R104" i="36"/>
  <c r="R110" i="36"/>
  <c r="R102" i="36"/>
  <c r="R108" i="36"/>
  <c r="R100" i="36"/>
  <c r="O22" i="30"/>
  <c r="C26" i="30"/>
  <c r="L25" i="30"/>
  <c r="F25" i="30"/>
  <c r="K25" i="30" s="1"/>
  <c r="J24" i="30"/>
  <c r="M24" i="30" s="1"/>
  <c r="J140" i="38"/>
  <c r="AD140" i="38" s="1"/>
  <c r="AE140" i="38" s="1"/>
  <c r="J137" i="38"/>
  <c r="AD137" i="38" s="1"/>
  <c r="AE137" i="38" s="1"/>
  <c r="J143" i="38"/>
  <c r="AD143" i="38" s="1"/>
  <c r="AE143" i="38" s="1"/>
  <c r="N137" i="38"/>
  <c r="J144" i="38"/>
  <c r="AD144" i="38" s="1"/>
  <c r="AE144" i="38" s="1"/>
  <c r="I160" i="38"/>
  <c r="E160" i="38"/>
  <c r="D172" i="38"/>
  <c r="F172" i="38" s="1"/>
  <c r="H160" i="38"/>
  <c r="G160" i="38"/>
  <c r="N148" i="38"/>
  <c r="I150" i="38"/>
  <c r="E150" i="38"/>
  <c r="D162" i="38"/>
  <c r="F162" i="38" s="1"/>
  <c r="H150" i="38"/>
  <c r="G150" i="38"/>
  <c r="N138" i="38"/>
  <c r="AO125" i="38"/>
  <c r="AP125" i="38" s="1"/>
  <c r="AN136" i="38"/>
  <c r="J147" i="38"/>
  <c r="AD147" i="38" s="1"/>
  <c r="AE147" i="38" s="1"/>
  <c r="J141" i="38"/>
  <c r="AD141" i="38" s="1"/>
  <c r="AE141" i="38" s="1"/>
  <c r="I149" i="38"/>
  <c r="E149" i="38"/>
  <c r="D161" i="38"/>
  <c r="F161" i="38" s="1"/>
  <c r="H149" i="38"/>
  <c r="G149" i="38"/>
  <c r="J148" i="38"/>
  <c r="AD148" i="38" s="1"/>
  <c r="AE148" i="38" s="1"/>
  <c r="J138" i="38"/>
  <c r="AD138" i="38" s="1"/>
  <c r="AE138" i="38" s="1"/>
  <c r="I152" i="38"/>
  <c r="E152" i="38"/>
  <c r="D164" i="38"/>
  <c r="F164" i="38" s="1"/>
  <c r="H152" i="38"/>
  <c r="G152" i="38"/>
  <c r="N140" i="38"/>
  <c r="N141" i="38"/>
  <c r="I158" i="38"/>
  <c r="E158" i="38"/>
  <c r="D170" i="38"/>
  <c r="F170" i="38" s="1"/>
  <c r="H158" i="38"/>
  <c r="G158" i="38"/>
  <c r="N146" i="38"/>
  <c r="I157" i="38"/>
  <c r="E157" i="38"/>
  <c r="D169" i="38"/>
  <c r="F169" i="38" s="1"/>
  <c r="H157" i="38"/>
  <c r="G157" i="38"/>
  <c r="N145" i="38"/>
  <c r="I154" i="38"/>
  <c r="E154" i="38"/>
  <c r="D166" i="38"/>
  <c r="F166" i="38" s="1"/>
  <c r="H154" i="38"/>
  <c r="G154" i="38"/>
  <c r="N142" i="38"/>
  <c r="I151" i="38"/>
  <c r="E151" i="38"/>
  <c r="D163" i="38"/>
  <c r="F163" i="38" s="1"/>
  <c r="H151" i="38"/>
  <c r="G151" i="38"/>
  <c r="N139" i="38"/>
  <c r="J285" i="38"/>
  <c r="AD125" i="38"/>
  <c r="AE125" i="38" s="1"/>
  <c r="I155" i="38"/>
  <c r="E155" i="38"/>
  <c r="D167" i="38"/>
  <c r="F167" i="38" s="1"/>
  <c r="H155" i="38"/>
  <c r="G155" i="38"/>
  <c r="N143" i="38"/>
  <c r="J146" i="38"/>
  <c r="AD146" i="38" s="1"/>
  <c r="AE146" i="38" s="1"/>
  <c r="J145" i="38"/>
  <c r="AD145" i="38" s="1"/>
  <c r="AE145" i="38" s="1"/>
  <c r="I156" i="38"/>
  <c r="E156" i="38"/>
  <c r="D168" i="38"/>
  <c r="F168" i="38" s="1"/>
  <c r="H156" i="38"/>
  <c r="G156" i="38"/>
  <c r="N144" i="38"/>
  <c r="J142" i="38"/>
  <c r="AD142" i="38" s="1"/>
  <c r="AE142" i="38" s="1"/>
  <c r="I159" i="38"/>
  <c r="E159" i="38"/>
  <c r="D171" i="38"/>
  <c r="F171" i="38" s="1"/>
  <c r="H159" i="38"/>
  <c r="G159" i="38"/>
  <c r="N147" i="38"/>
  <c r="I153" i="38"/>
  <c r="E153" i="38"/>
  <c r="D165" i="38"/>
  <c r="F165" i="38" s="1"/>
  <c r="H153" i="38"/>
  <c r="G153" i="38"/>
  <c r="J139" i="38"/>
  <c r="AD139" i="38" s="1"/>
  <c r="AE139" i="38" s="1"/>
  <c r="J25" i="30" l="1"/>
  <c r="M25" i="30" s="1"/>
  <c r="X155" i="38"/>
  <c r="V155" i="38"/>
  <c r="W155" i="38"/>
  <c r="AM155" i="38" s="1"/>
  <c r="AO155" i="38" s="1"/>
  <c r="AP155" i="38" s="1"/>
  <c r="O155" i="38"/>
  <c r="X160" i="38"/>
  <c r="V160" i="38"/>
  <c r="O160" i="38"/>
  <c r="W160" i="38"/>
  <c r="X156" i="38"/>
  <c r="W156" i="38"/>
  <c r="AM156" i="38" s="1"/>
  <c r="AO156" i="38" s="1"/>
  <c r="AP156" i="38" s="1"/>
  <c r="V156" i="38"/>
  <c r="O156" i="38"/>
  <c r="X151" i="38"/>
  <c r="V151" i="38"/>
  <c r="W151" i="38"/>
  <c r="AM151" i="38" s="1"/>
  <c r="AO151" i="38" s="1"/>
  <c r="AP151" i="38" s="1"/>
  <c r="O151" i="38"/>
  <c r="X154" i="38"/>
  <c r="W154" i="38"/>
  <c r="AM154" i="38" s="1"/>
  <c r="AO154" i="38" s="1"/>
  <c r="AP154" i="38" s="1"/>
  <c r="V154" i="38"/>
  <c r="O154" i="38"/>
  <c r="W157" i="38"/>
  <c r="AM157" i="38" s="1"/>
  <c r="AO157" i="38" s="1"/>
  <c r="AP157" i="38" s="1"/>
  <c r="V157" i="38"/>
  <c r="X157" i="38"/>
  <c r="O157" i="38"/>
  <c r="X158" i="38"/>
  <c r="W158" i="38"/>
  <c r="AM158" i="38" s="1"/>
  <c r="AO158" i="38" s="1"/>
  <c r="AP158" i="38" s="1"/>
  <c r="O158" i="38"/>
  <c r="V158" i="38"/>
  <c r="X152" i="38"/>
  <c r="W152" i="38"/>
  <c r="AM152" i="38" s="1"/>
  <c r="AO152" i="38" s="1"/>
  <c r="AP152" i="38" s="1"/>
  <c r="O152" i="38"/>
  <c r="V152" i="38"/>
  <c r="V149" i="38"/>
  <c r="X149" i="38"/>
  <c r="O149" i="38"/>
  <c r="W149" i="38"/>
  <c r="AM149" i="38" s="1"/>
  <c r="X150" i="38"/>
  <c r="W150" i="38"/>
  <c r="AM150" i="38" s="1"/>
  <c r="AO150" i="38" s="1"/>
  <c r="AP150" i="38" s="1"/>
  <c r="V150" i="38"/>
  <c r="O150" i="38"/>
  <c r="X153" i="38"/>
  <c r="W153" i="38"/>
  <c r="AM153" i="38" s="1"/>
  <c r="AO153" i="38" s="1"/>
  <c r="AP153" i="38" s="1"/>
  <c r="V153" i="38"/>
  <c r="O153" i="38"/>
  <c r="X159" i="38"/>
  <c r="V159" i="38"/>
  <c r="W159" i="38"/>
  <c r="AM159" i="38" s="1"/>
  <c r="AO159" i="38" s="1"/>
  <c r="AP159" i="38" s="1"/>
  <c r="O159" i="38"/>
  <c r="J158" i="38"/>
  <c r="AD158" i="38" s="1"/>
  <c r="AE158" i="38" s="1"/>
  <c r="J24" i="1"/>
  <c r="L23" i="1"/>
  <c r="G26" i="1"/>
  <c r="I26" i="1" s="1"/>
  <c r="C27" i="1"/>
  <c r="D25" i="1"/>
  <c r="G24" i="28"/>
  <c r="I24" i="28" s="1"/>
  <c r="C25" i="28"/>
  <c r="R117" i="36"/>
  <c r="R115" i="36"/>
  <c r="R113" i="36"/>
  <c r="R111" i="36"/>
  <c r="R121" i="36"/>
  <c r="R119" i="36"/>
  <c r="R112" i="36"/>
  <c r="R120" i="36"/>
  <c r="R118" i="36"/>
  <c r="R116" i="36"/>
  <c r="R114" i="36"/>
  <c r="R122" i="36"/>
  <c r="J23" i="28"/>
  <c r="L23" i="28" s="1"/>
  <c r="J156" i="38"/>
  <c r="AD156" i="38" s="1"/>
  <c r="AE156" i="38" s="1"/>
  <c r="J157" i="38"/>
  <c r="AD157" i="38" s="1"/>
  <c r="AE157" i="38" s="1"/>
  <c r="P23" i="30"/>
  <c r="O23" i="30"/>
  <c r="N25" i="30"/>
  <c r="C27" i="30"/>
  <c r="L26" i="30"/>
  <c r="J26" i="30"/>
  <c r="M26" i="30" s="1"/>
  <c r="F26" i="30"/>
  <c r="K26" i="30" s="1"/>
  <c r="N24" i="30"/>
  <c r="J152" i="38"/>
  <c r="AD152" i="38" s="1"/>
  <c r="AE152" i="38" s="1"/>
  <c r="J154" i="38"/>
  <c r="AD154" i="38" s="1"/>
  <c r="AE154" i="38" s="1"/>
  <c r="N156" i="38"/>
  <c r="I169" i="38"/>
  <c r="E169" i="38"/>
  <c r="D181" i="38"/>
  <c r="F181" i="38" s="1"/>
  <c r="H169" i="38"/>
  <c r="G169" i="38"/>
  <c r="N157" i="38"/>
  <c r="I164" i="38"/>
  <c r="E164" i="38"/>
  <c r="D176" i="38"/>
  <c r="F176" i="38" s="1"/>
  <c r="H164" i="38"/>
  <c r="G164" i="38"/>
  <c r="I161" i="38"/>
  <c r="E161" i="38"/>
  <c r="D173" i="38"/>
  <c r="F173" i="38" s="1"/>
  <c r="H161" i="38"/>
  <c r="G161" i="38"/>
  <c r="I162" i="38"/>
  <c r="E162" i="38"/>
  <c r="D174" i="38"/>
  <c r="F174" i="38" s="1"/>
  <c r="H162" i="38"/>
  <c r="G162" i="38"/>
  <c r="I172" i="38"/>
  <c r="E172" i="38"/>
  <c r="D184" i="38"/>
  <c r="F184" i="38" s="1"/>
  <c r="H172" i="38"/>
  <c r="G172" i="38"/>
  <c r="I165" i="38"/>
  <c r="E165" i="38"/>
  <c r="D177" i="38"/>
  <c r="F177" i="38" s="1"/>
  <c r="H165" i="38"/>
  <c r="G165" i="38"/>
  <c r="N153" i="38"/>
  <c r="J159" i="38"/>
  <c r="AD159" i="38" s="1"/>
  <c r="AE159" i="38" s="1"/>
  <c r="I167" i="38"/>
  <c r="E167" i="38"/>
  <c r="D179" i="38"/>
  <c r="F179" i="38" s="1"/>
  <c r="H167" i="38"/>
  <c r="G167" i="38"/>
  <c r="N155" i="38"/>
  <c r="I163" i="38"/>
  <c r="E163" i="38"/>
  <c r="D175" i="38"/>
  <c r="F175" i="38" s="1"/>
  <c r="H163" i="38"/>
  <c r="G163" i="38"/>
  <c r="N151" i="38"/>
  <c r="J149" i="38"/>
  <c r="J150" i="38"/>
  <c r="AD150" i="38" s="1"/>
  <c r="AE150" i="38" s="1"/>
  <c r="J160" i="38"/>
  <c r="AD160" i="38" s="1"/>
  <c r="AE160" i="38" s="1"/>
  <c r="I168" i="38"/>
  <c r="E168" i="38"/>
  <c r="D180" i="38"/>
  <c r="F180" i="38" s="1"/>
  <c r="H168" i="38"/>
  <c r="G168" i="38"/>
  <c r="N152" i="38"/>
  <c r="I171" i="38"/>
  <c r="E171" i="38"/>
  <c r="D183" i="38"/>
  <c r="F183" i="38" s="1"/>
  <c r="H171" i="38"/>
  <c r="G171" i="38"/>
  <c r="N159" i="38"/>
  <c r="N149" i="38"/>
  <c r="N150" i="38"/>
  <c r="N160" i="38"/>
  <c r="AM160" i="38"/>
  <c r="AO160" i="38" s="1"/>
  <c r="AP160" i="38" s="1"/>
  <c r="AO137" i="38"/>
  <c r="AP137" i="38" s="1"/>
  <c r="AN148" i="38"/>
  <c r="J153" i="38"/>
  <c r="AD153" i="38" s="1"/>
  <c r="AE153" i="38" s="1"/>
  <c r="J155" i="38"/>
  <c r="AD155" i="38" s="1"/>
  <c r="AE155" i="38" s="1"/>
  <c r="J151" i="38"/>
  <c r="AD151" i="38" s="1"/>
  <c r="AE151" i="38" s="1"/>
  <c r="I166" i="38"/>
  <c r="E166" i="38"/>
  <c r="D178" i="38"/>
  <c r="F178" i="38" s="1"/>
  <c r="H166" i="38"/>
  <c r="G166" i="38"/>
  <c r="N154" i="38"/>
  <c r="J286" i="38"/>
  <c r="I170" i="38"/>
  <c r="E170" i="38"/>
  <c r="D182" i="38"/>
  <c r="F182" i="38" s="1"/>
  <c r="H170" i="38"/>
  <c r="G170" i="38"/>
  <c r="N158" i="38"/>
  <c r="X166" i="38" l="1"/>
  <c r="W166" i="38"/>
  <c r="AM166" i="38" s="1"/>
  <c r="AO166" i="38" s="1"/>
  <c r="AP166" i="38" s="1"/>
  <c r="V166" i="38"/>
  <c r="O166" i="38"/>
  <c r="X163" i="38"/>
  <c r="V163" i="38"/>
  <c r="W163" i="38"/>
  <c r="AM163" i="38" s="1"/>
  <c r="AO163" i="38" s="1"/>
  <c r="AP163" i="38" s="1"/>
  <c r="O163" i="38"/>
  <c r="X167" i="38"/>
  <c r="V167" i="38"/>
  <c r="W167" i="38"/>
  <c r="AM167" i="38" s="1"/>
  <c r="AO167" i="38" s="1"/>
  <c r="AP167" i="38" s="1"/>
  <c r="O167" i="38"/>
  <c r="X170" i="38"/>
  <c r="W170" i="38"/>
  <c r="AM170" i="38" s="1"/>
  <c r="AO170" i="38" s="1"/>
  <c r="AP170" i="38" s="1"/>
  <c r="V170" i="38"/>
  <c r="O170" i="38"/>
  <c r="V171" i="38"/>
  <c r="X171" i="38"/>
  <c r="W171" i="38"/>
  <c r="AM171" i="38" s="1"/>
  <c r="AO171" i="38" s="1"/>
  <c r="AP171" i="38" s="1"/>
  <c r="O171" i="38"/>
  <c r="X168" i="38"/>
  <c r="W168" i="38"/>
  <c r="AM168" i="38" s="1"/>
  <c r="AO168" i="38" s="1"/>
  <c r="AP168" i="38" s="1"/>
  <c r="V168" i="38"/>
  <c r="O168" i="38"/>
  <c r="V165" i="38"/>
  <c r="X165" i="38"/>
  <c r="W165" i="38"/>
  <c r="AM165" i="38" s="1"/>
  <c r="AO165" i="38" s="1"/>
  <c r="AP165" i="38" s="1"/>
  <c r="O165" i="38"/>
  <c r="X162" i="38"/>
  <c r="W162" i="38"/>
  <c r="AM162" i="38" s="1"/>
  <c r="AO162" i="38" s="1"/>
  <c r="AP162" i="38" s="1"/>
  <c r="V162" i="38"/>
  <c r="O162" i="38"/>
  <c r="X164" i="38"/>
  <c r="W164" i="38"/>
  <c r="AM164" i="38" s="1"/>
  <c r="AO164" i="38" s="1"/>
  <c r="AP164" i="38" s="1"/>
  <c r="V164" i="38"/>
  <c r="O164" i="38"/>
  <c r="X169" i="38"/>
  <c r="W169" i="38"/>
  <c r="AM169" i="38" s="1"/>
  <c r="AO169" i="38" s="1"/>
  <c r="AP169" i="38" s="1"/>
  <c r="V169" i="38"/>
  <c r="O169" i="38"/>
  <c r="X172" i="38"/>
  <c r="W172" i="38"/>
  <c r="AM172" i="38" s="1"/>
  <c r="AO172" i="38" s="1"/>
  <c r="AP172" i="38" s="1"/>
  <c r="V172" i="38"/>
  <c r="O172" i="38"/>
  <c r="X161" i="38"/>
  <c r="W161" i="38"/>
  <c r="AM161" i="38" s="1"/>
  <c r="V161" i="38"/>
  <c r="O161" i="38"/>
  <c r="F32" i="1"/>
  <c r="F30" i="1"/>
  <c r="F28" i="1"/>
  <c r="G27" i="1"/>
  <c r="F27" i="1"/>
  <c r="F29" i="1"/>
  <c r="F31" i="1"/>
  <c r="C28" i="1"/>
  <c r="D26" i="1"/>
  <c r="L24" i="1"/>
  <c r="J25" i="1"/>
  <c r="G25" i="28"/>
  <c r="I25" i="28" s="1"/>
  <c r="C26" i="28"/>
  <c r="R125" i="36"/>
  <c r="R131" i="36"/>
  <c r="R129" i="36"/>
  <c r="R127" i="36"/>
  <c r="R123" i="36"/>
  <c r="R133" i="36"/>
  <c r="R128" i="36"/>
  <c r="R132" i="36"/>
  <c r="R126" i="36"/>
  <c r="R124" i="36"/>
  <c r="R130" i="36"/>
  <c r="R134" i="36"/>
  <c r="J24" i="28"/>
  <c r="L24" i="28" s="1"/>
  <c r="J27" i="30"/>
  <c r="M27" i="30" s="1"/>
  <c r="F27" i="30"/>
  <c r="K27" i="30" s="1"/>
  <c r="C28" i="30"/>
  <c r="L27" i="30"/>
  <c r="N26" i="30"/>
  <c r="J166" i="38"/>
  <c r="AD166" i="38" s="1"/>
  <c r="AE166" i="38" s="1"/>
  <c r="J163" i="38"/>
  <c r="AD163" i="38" s="1"/>
  <c r="AE163" i="38" s="1"/>
  <c r="J167" i="38"/>
  <c r="AD167" i="38" s="1"/>
  <c r="AE167" i="38" s="1"/>
  <c r="J165" i="38"/>
  <c r="AD165" i="38" s="1"/>
  <c r="AE165" i="38" s="1"/>
  <c r="J164" i="38"/>
  <c r="AD164" i="38" s="1"/>
  <c r="AE164" i="38" s="1"/>
  <c r="J168" i="38"/>
  <c r="AD168" i="38" s="1"/>
  <c r="AE168" i="38" s="1"/>
  <c r="N166" i="38"/>
  <c r="N168" i="38"/>
  <c r="N167" i="38"/>
  <c r="I182" i="38"/>
  <c r="E182" i="38"/>
  <c r="D194" i="38"/>
  <c r="F194" i="38" s="1"/>
  <c r="H182" i="38"/>
  <c r="G182" i="38"/>
  <c r="N171" i="38"/>
  <c r="N162" i="38"/>
  <c r="J170" i="38"/>
  <c r="AD170" i="38" s="1"/>
  <c r="AE170" i="38" s="1"/>
  <c r="J171" i="38"/>
  <c r="AD171" i="38" s="1"/>
  <c r="AE171" i="38" s="1"/>
  <c r="J287" i="38"/>
  <c r="AD149" i="38"/>
  <c r="AE149" i="38" s="1"/>
  <c r="I184" i="38"/>
  <c r="E184" i="38"/>
  <c r="D196" i="38"/>
  <c r="F196" i="38" s="1"/>
  <c r="H184" i="38"/>
  <c r="G184" i="38"/>
  <c r="N172" i="38"/>
  <c r="J162" i="38"/>
  <c r="AD162" i="38" s="1"/>
  <c r="AE162" i="38" s="1"/>
  <c r="I173" i="38"/>
  <c r="E173" i="38"/>
  <c r="D185" i="38"/>
  <c r="F185" i="38" s="1"/>
  <c r="H173" i="38"/>
  <c r="G173" i="38"/>
  <c r="N161" i="38"/>
  <c r="I181" i="38"/>
  <c r="E181" i="38"/>
  <c r="D193" i="38"/>
  <c r="F193" i="38" s="1"/>
  <c r="H181" i="38"/>
  <c r="G181" i="38"/>
  <c r="N169" i="38"/>
  <c r="I178" i="38"/>
  <c r="E178" i="38"/>
  <c r="D190" i="38"/>
  <c r="F190" i="38" s="1"/>
  <c r="H178" i="38"/>
  <c r="G178" i="38"/>
  <c r="I180" i="38"/>
  <c r="E180" i="38"/>
  <c r="D192" i="38"/>
  <c r="F192" i="38" s="1"/>
  <c r="H180" i="38"/>
  <c r="G180" i="38"/>
  <c r="I179" i="38"/>
  <c r="E179" i="38"/>
  <c r="D191" i="38"/>
  <c r="F191" i="38" s="1"/>
  <c r="H179" i="38"/>
  <c r="G179" i="38"/>
  <c r="I176" i="38"/>
  <c r="E176" i="38"/>
  <c r="D188" i="38"/>
  <c r="F188" i="38" s="1"/>
  <c r="H176" i="38"/>
  <c r="G176" i="38"/>
  <c r="N164" i="38"/>
  <c r="N170" i="38"/>
  <c r="I183" i="38"/>
  <c r="E183" i="38"/>
  <c r="D195" i="38"/>
  <c r="F195" i="38" s="1"/>
  <c r="H183" i="38"/>
  <c r="G183" i="38"/>
  <c r="I174" i="38"/>
  <c r="E174" i="38"/>
  <c r="D186" i="38"/>
  <c r="F186" i="38" s="1"/>
  <c r="H174" i="38"/>
  <c r="G174" i="38"/>
  <c r="AO149" i="38"/>
  <c r="AP149" i="38" s="1"/>
  <c r="AN160" i="38"/>
  <c r="I175" i="38"/>
  <c r="E175" i="38"/>
  <c r="D187" i="38"/>
  <c r="F187" i="38" s="1"/>
  <c r="H175" i="38"/>
  <c r="G175" i="38"/>
  <c r="N163" i="38"/>
  <c r="I177" i="38"/>
  <c r="E177" i="38"/>
  <c r="D189" i="38"/>
  <c r="F189" i="38" s="1"/>
  <c r="H177" i="38"/>
  <c r="G177" i="38"/>
  <c r="N165" i="38"/>
  <c r="J172" i="38"/>
  <c r="AD172" i="38" s="1"/>
  <c r="AE172" i="38" s="1"/>
  <c r="J161" i="38"/>
  <c r="J169" i="38"/>
  <c r="AD169" i="38" s="1"/>
  <c r="AE169" i="38" s="1"/>
  <c r="X184" i="38" l="1"/>
  <c r="W184" i="38"/>
  <c r="AM184" i="38" s="1"/>
  <c r="AO184" i="38" s="1"/>
  <c r="AP184" i="38" s="1"/>
  <c r="V184" i="38"/>
  <c r="O184" i="38"/>
  <c r="X176" i="38"/>
  <c r="V176" i="38"/>
  <c r="W176" i="38"/>
  <c r="AM176" i="38" s="1"/>
  <c r="AO176" i="38" s="1"/>
  <c r="AP176" i="38" s="1"/>
  <c r="O176" i="38"/>
  <c r="X180" i="38"/>
  <c r="W180" i="38"/>
  <c r="AM180" i="38" s="1"/>
  <c r="AO180" i="38" s="1"/>
  <c r="AP180" i="38" s="1"/>
  <c r="O180" i="38"/>
  <c r="V180" i="38"/>
  <c r="X182" i="38"/>
  <c r="W182" i="38"/>
  <c r="AM182" i="38" s="1"/>
  <c r="AO182" i="38" s="1"/>
  <c r="AP182" i="38" s="1"/>
  <c r="V182" i="38"/>
  <c r="O182" i="38"/>
  <c r="W177" i="38"/>
  <c r="AM177" i="38" s="1"/>
  <c r="AO177" i="38" s="1"/>
  <c r="AP177" i="38" s="1"/>
  <c r="X177" i="38"/>
  <c r="V177" i="38"/>
  <c r="O177" i="38"/>
  <c r="X175" i="38"/>
  <c r="V175" i="38"/>
  <c r="W175" i="38"/>
  <c r="AM175" i="38" s="1"/>
  <c r="AO175" i="38" s="1"/>
  <c r="AP175" i="38" s="1"/>
  <c r="O175" i="38"/>
  <c r="X174" i="38"/>
  <c r="W174" i="38"/>
  <c r="AM174" i="38" s="1"/>
  <c r="AO174" i="38" s="1"/>
  <c r="AP174" i="38" s="1"/>
  <c r="V174" i="38"/>
  <c r="O174" i="38"/>
  <c r="X183" i="38"/>
  <c r="V183" i="38"/>
  <c r="W183" i="38"/>
  <c r="AM183" i="38" s="1"/>
  <c r="AO183" i="38" s="1"/>
  <c r="AP183" i="38" s="1"/>
  <c r="O183" i="38"/>
  <c r="V179" i="38"/>
  <c r="X179" i="38"/>
  <c r="W179" i="38"/>
  <c r="AM179" i="38" s="1"/>
  <c r="AO179" i="38" s="1"/>
  <c r="AP179" i="38" s="1"/>
  <c r="O179" i="38"/>
  <c r="X178" i="38"/>
  <c r="W178" i="38"/>
  <c r="AM178" i="38" s="1"/>
  <c r="AO178" i="38" s="1"/>
  <c r="AP178" i="38" s="1"/>
  <c r="V178" i="38"/>
  <c r="O178" i="38"/>
  <c r="V181" i="38"/>
  <c r="W181" i="38"/>
  <c r="AM181" i="38" s="1"/>
  <c r="AO181" i="38" s="1"/>
  <c r="AP181" i="38" s="1"/>
  <c r="X181" i="38"/>
  <c r="O181" i="38"/>
  <c r="X173" i="38"/>
  <c r="W173" i="38"/>
  <c r="AM173" i="38" s="1"/>
  <c r="V173" i="38"/>
  <c r="O173" i="38"/>
  <c r="J183" i="38"/>
  <c r="AD183" i="38" s="1"/>
  <c r="AE183" i="38" s="1"/>
  <c r="J178" i="38"/>
  <c r="AD178" i="38" s="1"/>
  <c r="AE178" i="38" s="1"/>
  <c r="J184" i="38"/>
  <c r="AD184" i="38" s="1"/>
  <c r="AE184" i="38" s="1"/>
  <c r="G28" i="1"/>
  <c r="C29" i="1"/>
  <c r="J26" i="1"/>
  <c r="L25" i="1"/>
  <c r="D27" i="1"/>
  <c r="J25" i="28"/>
  <c r="L25" i="28" s="1"/>
  <c r="R145" i="36"/>
  <c r="R141" i="36"/>
  <c r="R143" i="36"/>
  <c r="R139" i="36"/>
  <c r="R135" i="36"/>
  <c r="R137" i="36"/>
  <c r="R140" i="36"/>
  <c r="R138" i="36"/>
  <c r="R146" i="36"/>
  <c r="R136" i="36"/>
  <c r="R144" i="36"/>
  <c r="R142" i="36"/>
  <c r="G26" i="28"/>
  <c r="I26" i="28" s="1"/>
  <c r="C27" i="28"/>
  <c r="N27" i="30"/>
  <c r="H185" i="38"/>
  <c r="O24" i="30"/>
  <c r="P24" i="30"/>
  <c r="J28" i="30"/>
  <c r="F28" i="30"/>
  <c r="K28" i="30" s="1"/>
  <c r="C29" i="30"/>
  <c r="L28" i="30"/>
  <c r="J180" i="38"/>
  <c r="AD180" i="38" s="1"/>
  <c r="AE180" i="38" s="1"/>
  <c r="P25" i="30"/>
  <c r="O25" i="30"/>
  <c r="J175" i="38"/>
  <c r="AD175" i="38" s="1"/>
  <c r="AE175" i="38" s="1"/>
  <c r="J177" i="38"/>
  <c r="AD177" i="38" s="1"/>
  <c r="AE177" i="38" s="1"/>
  <c r="J176" i="38"/>
  <c r="AD176" i="38" s="1"/>
  <c r="AE176" i="38" s="1"/>
  <c r="J179" i="38"/>
  <c r="AD179" i="38" s="1"/>
  <c r="AE179" i="38" s="1"/>
  <c r="N175" i="38"/>
  <c r="N183" i="38"/>
  <c r="I191" i="38"/>
  <c r="E191" i="38"/>
  <c r="D203" i="38"/>
  <c r="F203" i="38" s="1"/>
  <c r="G191" i="38"/>
  <c r="N179" i="38"/>
  <c r="J174" i="38"/>
  <c r="AD174" i="38" s="1"/>
  <c r="AE174" i="38" s="1"/>
  <c r="J181" i="38"/>
  <c r="AD181" i="38" s="1"/>
  <c r="AE181" i="38" s="1"/>
  <c r="I185" i="38"/>
  <c r="E185" i="38"/>
  <c r="D197" i="38"/>
  <c r="F197" i="38" s="1"/>
  <c r="G185" i="38"/>
  <c r="N173" i="38"/>
  <c r="I194" i="38"/>
  <c r="E194" i="38"/>
  <c r="D206" i="38"/>
  <c r="F206" i="38" s="1"/>
  <c r="G194" i="38"/>
  <c r="N182" i="38"/>
  <c r="I189" i="38"/>
  <c r="E189" i="38"/>
  <c r="D201" i="38"/>
  <c r="F201" i="38" s="1"/>
  <c r="G189" i="38"/>
  <c r="N177" i="38"/>
  <c r="I187" i="38"/>
  <c r="E187" i="38"/>
  <c r="D199" i="38"/>
  <c r="F199" i="38" s="1"/>
  <c r="G187" i="38"/>
  <c r="I195" i="38"/>
  <c r="E195" i="38"/>
  <c r="D207" i="38"/>
  <c r="F207" i="38" s="1"/>
  <c r="G195" i="38"/>
  <c r="I186" i="38"/>
  <c r="E186" i="38"/>
  <c r="D198" i="38"/>
  <c r="F198" i="38" s="1"/>
  <c r="G186" i="38"/>
  <c r="N174" i="38"/>
  <c r="I193" i="38"/>
  <c r="E193" i="38"/>
  <c r="D205" i="38"/>
  <c r="F205" i="38" s="1"/>
  <c r="G193" i="38"/>
  <c r="N181" i="38"/>
  <c r="J288" i="38"/>
  <c r="AD161" i="38"/>
  <c r="AE161" i="38" s="1"/>
  <c r="I188" i="38"/>
  <c r="E188" i="38"/>
  <c r="D200" i="38"/>
  <c r="F200" i="38" s="1"/>
  <c r="G188" i="38"/>
  <c r="N176" i="38"/>
  <c r="I192" i="38"/>
  <c r="E192" i="38"/>
  <c r="D204" i="38"/>
  <c r="F204" i="38" s="1"/>
  <c r="G192" i="38"/>
  <c r="N180" i="38"/>
  <c r="I190" i="38"/>
  <c r="E190" i="38"/>
  <c r="D202" i="38"/>
  <c r="F202" i="38" s="1"/>
  <c r="G190" i="38"/>
  <c r="N178" i="38"/>
  <c r="AO161" i="38"/>
  <c r="AP161" i="38" s="1"/>
  <c r="AN172" i="38"/>
  <c r="J173" i="38"/>
  <c r="I196" i="38"/>
  <c r="E196" i="38"/>
  <c r="D208" i="38"/>
  <c r="F208" i="38" s="1"/>
  <c r="G196" i="38"/>
  <c r="N184" i="38"/>
  <c r="J182" i="38"/>
  <c r="AD182" i="38" s="1"/>
  <c r="AE182" i="38" s="1"/>
  <c r="M28" i="30" l="1"/>
  <c r="N28" i="30" s="1"/>
  <c r="X190" i="38"/>
  <c r="W190" i="38"/>
  <c r="AM190" i="38" s="1"/>
  <c r="AO190" i="38" s="1"/>
  <c r="AP190" i="38" s="1"/>
  <c r="V190" i="38"/>
  <c r="O190" i="38"/>
  <c r="V187" i="38"/>
  <c r="X187" i="38"/>
  <c r="W187" i="38"/>
  <c r="AM187" i="38" s="1"/>
  <c r="AO187" i="38" s="1"/>
  <c r="AP187" i="38" s="1"/>
  <c r="O187" i="38"/>
  <c r="X185" i="38"/>
  <c r="W185" i="38"/>
  <c r="AM185" i="38" s="1"/>
  <c r="V185" i="38"/>
  <c r="O185" i="38"/>
  <c r="X196" i="38"/>
  <c r="W196" i="38"/>
  <c r="AM196" i="38" s="1"/>
  <c r="AO196" i="38" s="1"/>
  <c r="AP196" i="38" s="1"/>
  <c r="V196" i="38"/>
  <c r="O196" i="38"/>
  <c r="X188" i="38"/>
  <c r="W188" i="38"/>
  <c r="AM188" i="38" s="1"/>
  <c r="AO188" i="38" s="1"/>
  <c r="AP188" i="38" s="1"/>
  <c r="O188" i="38"/>
  <c r="V188" i="38"/>
  <c r="X186" i="38"/>
  <c r="W186" i="38"/>
  <c r="AM186" i="38" s="1"/>
  <c r="AO186" i="38" s="1"/>
  <c r="AP186" i="38" s="1"/>
  <c r="V186" i="38"/>
  <c r="O186" i="38"/>
  <c r="X194" i="38"/>
  <c r="W194" i="38"/>
  <c r="AM194" i="38" s="1"/>
  <c r="AO194" i="38" s="1"/>
  <c r="AP194" i="38" s="1"/>
  <c r="V194" i="38"/>
  <c r="O194" i="38"/>
  <c r="X191" i="38"/>
  <c r="V191" i="38"/>
  <c r="W191" i="38"/>
  <c r="AM191" i="38" s="1"/>
  <c r="AO191" i="38" s="1"/>
  <c r="AP191" i="38" s="1"/>
  <c r="O191" i="38"/>
  <c r="X192" i="38"/>
  <c r="V192" i="38"/>
  <c r="O192" i="38"/>
  <c r="W192" i="38"/>
  <c r="AM192" i="38" s="1"/>
  <c r="AO192" i="38" s="1"/>
  <c r="AP192" i="38" s="1"/>
  <c r="W193" i="38"/>
  <c r="AM193" i="38" s="1"/>
  <c r="AO193" i="38" s="1"/>
  <c r="AP193" i="38" s="1"/>
  <c r="V193" i="38"/>
  <c r="X193" i="38"/>
  <c r="O193" i="38"/>
  <c r="V195" i="38"/>
  <c r="X195" i="38"/>
  <c r="W195" i="38"/>
  <c r="AM195" i="38" s="1"/>
  <c r="AO195" i="38" s="1"/>
  <c r="AP195" i="38" s="1"/>
  <c r="O195" i="38"/>
  <c r="X189" i="38"/>
  <c r="W189" i="38"/>
  <c r="AM189" i="38" s="1"/>
  <c r="AO189" i="38" s="1"/>
  <c r="AP189" i="38" s="1"/>
  <c r="V189" i="38"/>
  <c r="O189" i="38"/>
  <c r="G29" i="1"/>
  <c r="C30" i="1"/>
  <c r="L26" i="1"/>
  <c r="J27" i="1"/>
  <c r="H31" i="1"/>
  <c r="H29" i="1"/>
  <c r="H27" i="1"/>
  <c r="I27" i="1" s="1"/>
  <c r="H28" i="1"/>
  <c r="I28" i="1" s="1"/>
  <c r="H30" i="1"/>
  <c r="H32" i="1"/>
  <c r="D28" i="1"/>
  <c r="D29" i="1" s="1"/>
  <c r="D30" i="1" s="1"/>
  <c r="D31" i="1" s="1"/>
  <c r="D32" i="1" s="1"/>
  <c r="J26" i="28"/>
  <c r="L26" i="28" s="1"/>
  <c r="R157" i="36"/>
  <c r="R153" i="36"/>
  <c r="R149" i="36"/>
  <c r="R155" i="36"/>
  <c r="R151" i="36"/>
  <c r="R147" i="36"/>
  <c r="R148" i="36"/>
  <c r="R156" i="36"/>
  <c r="R154" i="36"/>
  <c r="R152" i="36"/>
  <c r="R150" i="36"/>
  <c r="R158" i="36"/>
  <c r="G27" i="28"/>
  <c r="I27" i="28" s="1"/>
  <c r="C28" i="28"/>
  <c r="H192" i="38"/>
  <c r="J192" i="38" s="1"/>
  <c r="AD192" i="38" s="1"/>
  <c r="AE192" i="38" s="1"/>
  <c r="H193" i="38"/>
  <c r="J193" i="38" s="1"/>
  <c r="AD193" i="38" s="1"/>
  <c r="AE193" i="38" s="1"/>
  <c r="H195" i="38"/>
  <c r="J195" i="38" s="1"/>
  <c r="AD195" i="38" s="1"/>
  <c r="AE195" i="38" s="1"/>
  <c r="H194" i="38"/>
  <c r="J194" i="38" s="1"/>
  <c r="AD194" i="38" s="1"/>
  <c r="AE194" i="38" s="1"/>
  <c r="H186" i="38"/>
  <c r="J186" i="38" s="1"/>
  <c r="AD186" i="38" s="1"/>
  <c r="AE186" i="38" s="1"/>
  <c r="H187" i="38"/>
  <c r="J187" i="38" s="1"/>
  <c r="AD187" i="38" s="1"/>
  <c r="AE187" i="38" s="1"/>
  <c r="H189" i="38"/>
  <c r="J189" i="38" s="1"/>
  <c r="AD189" i="38" s="1"/>
  <c r="AE189" i="38" s="1"/>
  <c r="L29" i="30"/>
  <c r="K29" i="30"/>
  <c r="M29" i="30" s="1"/>
  <c r="C30" i="30"/>
  <c r="F29" i="30"/>
  <c r="H188" i="38"/>
  <c r="J188" i="38" s="1"/>
  <c r="AD188" i="38" s="1"/>
  <c r="AE188" i="38" s="1"/>
  <c r="H191" i="38"/>
  <c r="J191" i="38" s="1"/>
  <c r="AD191" i="38" s="1"/>
  <c r="AE191" i="38" s="1"/>
  <c r="H196" i="38"/>
  <c r="J196" i="38" s="1"/>
  <c r="AD196" i="38" s="1"/>
  <c r="AE196" i="38" s="1"/>
  <c r="H190" i="38"/>
  <c r="J190" i="38" s="1"/>
  <c r="AD190" i="38" s="1"/>
  <c r="AE190" i="38" s="1"/>
  <c r="P26" i="30"/>
  <c r="O26" i="30"/>
  <c r="I202" i="38"/>
  <c r="E202" i="38"/>
  <c r="D214" i="38"/>
  <c r="F214" i="38" s="1"/>
  <c r="H202" i="38"/>
  <c r="G202" i="38"/>
  <c r="N190" i="38"/>
  <c r="I198" i="38"/>
  <c r="E198" i="38"/>
  <c r="D210" i="38"/>
  <c r="F210" i="38" s="1"/>
  <c r="H198" i="38"/>
  <c r="G198" i="38"/>
  <c r="I203" i="38"/>
  <c r="E203" i="38"/>
  <c r="D215" i="38"/>
  <c r="F215" i="38" s="1"/>
  <c r="H203" i="38"/>
  <c r="G203" i="38"/>
  <c r="J289" i="38"/>
  <c r="AD173" i="38"/>
  <c r="AE173" i="38" s="1"/>
  <c r="I207" i="38"/>
  <c r="E207" i="38"/>
  <c r="H207" i="38"/>
  <c r="D219" i="38"/>
  <c r="F219" i="38" s="1"/>
  <c r="G207" i="38"/>
  <c r="I204" i="38"/>
  <c r="E204" i="38"/>
  <c r="D216" i="38"/>
  <c r="F216" i="38" s="1"/>
  <c r="H204" i="38"/>
  <c r="G204" i="38"/>
  <c r="N192" i="38"/>
  <c r="I200" i="38"/>
  <c r="E200" i="38"/>
  <c r="D212" i="38"/>
  <c r="F212" i="38" s="1"/>
  <c r="H200" i="38"/>
  <c r="G200" i="38"/>
  <c r="N188" i="38"/>
  <c r="I205" i="38"/>
  <c r="E205" i="38"/>
  <c r="D217" i="38"/>
  <c r="F217" i="38" s="1"/>
  <c r="H205" i="38"/>
  <c r="G205" i="38"/>
  <c r="N193" i="38"/>
  <c r="I199" i="38"/>
  <c r="E199" i="38"/>
  <c r="D211" i="38"/>
  <c r="F211" i="38" s="1"/>
  <c r="H199" i="38"/>
  <c r="G199" i="38"/>
  <c r="N187" i="38"/>
  <c r="I201" i="38"/>
  <c r="E201" i="38"/>
  <c r="D213" i="38"/>
  <c r="F213" i="38" s="1"/>
  <c r="H201" i="38"/>
  <c r="G201" i="38"/>
  <c r="N189" i="38"/>
  <c r="AO173" i="38"/>
  <c r="AP173" i="38" s="1"/>
  <c r="AN184" i="38"/>
  <c r="J185" i="38"/>
  <c r="N186" i="38"/>
  <c r="N191" i="38"/>
  <c r="N195" i="38"/>
  <c r="I197" i="38"/>
  <c r="E197" i="38"/>
  <c r="D209" i="38"/>
  <c r="F209" i="38" s="1"/>
  <c r="H197" i="38"/>
  <c r="G197" i="38"/>
  <c r="N185" i="38"/>
  <c r="D220" i="38"/>
  <c r="F220" i="38" s="1"/>
  <c r="I208" i="38"/>
  <c r="E208" i="38"/>
  <c r="H208" i="38"/>
  <c r="G208" i="38"/>
  <c r="N196" i="38"/>
  <c r="I206" i="38"/>
  <c r="E206" i="38"/>
  <c r="D218" i="38"/>
  <c r="F218" i="38" s="1"/>
  <c r="H206" i="38"/>
  <c r="G206" i="38"/>
  <c r="N194" i="38"/>
  <c r="X208" i="38" l="1"/>
  <c r="V208" i="38"/>
  <c r="W208" i="38"/>
  <c r="AM208" i="38" s="1"/>
  <c r="AO208" i="38" s="1"/>
  <c r="AP208" i="38" s="1"/>
  <c r="O208" i="38"/>
  <c r="V197" i="38"/>
  <c r="X197" i="38"/>
  <c r="W197" i="38"/>
  <c r="AM197" i="38" s="1"/>
  <c r="O197" i="38"/>
  <c r="X201" i="38"/>
  <c r="W201" i="38"/>
  <c r="AM201" i="38" s="1"/>
  <c r="AO201" i="38" s="1"/>
  <c r="AP201" i="38" s="1"/>
  <c r="V201" i="38"/>
  <c r="O201" i="38"/>
  <c r="X199" i="38"/>
  <c r="V199" i="38"/>
  <c r="W199" i="38"/>
  <c r="AM199" i="38" s="1"/>
  <c r="AO199" i="38" s="1"/>
  <c r="AP199" i="38" s="1"/>
  <c r="O199" i="38"/>
  <c r="X205" i="38"/>
  <c r="W205" i="38"/>
  <c r="AM205" i="38" s="1"/>
  <c r="AO205" i="38" s="1"/>
  <c r="AP205" i="38" s="1"/>
  <c r="V205" i="38"/>
  <c r="O205" i="38"/>
  <c r="X200" i="38"/>
  <c r="W200" i="38"/>
  <c r="AM200" i="38" s="1"/>
  <c r="AO200" i="38" s="1"/>
  <c r="AP200" i="38" s="1"/>
  <c r="V200" i="38"/>
  <c r="O200" i="38"/>
  <c r="X204" i="38"/>
  <c r="W204" i="38"/>
  <c r="AM204" i="38" s="1"/>
  <c r="AO204" i="38" s="1"/>
  <c r="AP204" i="38" s="1"/>
  <c r="V204" i="38"/>
  <c r="O204" i="38"/>
  <c r="X198" i="38"/>
  <c r="W198" i="38"/>
  <c r="AM198" i="38" s="1"/>
  <c r="AO198" i="38" s="1"/>
  <c r="AP198" i="38" s="1"/>
  <c r="V198" i="38"/>
  <c r="O198" i="38"/>
  <c r="X202" i="38"/>
  <c r="W202" i="38"/>
  <c r="AM202" i="38" s="1"/>
  <c r="AO202" i="38" s="1"/>
  <c r="AP202" i="38" s="1"/>
  <c r="V202" i="38"/>
  <c r="O202" i="38"/>
  <c r="X206" i="38"/>
  <c r="W206" i="38"/>
  <c r="AM206" i="38" s="1"/>
  <c r="AO206" i="38" s="1"/>
  <c r="AP206" i="38" s="1"/>
  <c r="V206" i="38"/>
  <c r="O206" i="38"/>
  <c r="X207" i="38"/>
  <c r="V207" i="38"/>
  <c r="W207" i="38"/>
  <c r="AM207" i="38" s="1"/>
  <c r="AO207" i="38" s="1"/>
  <c r="AP207" i="38" s="1"/>
  <c r="O207" i="38"/>
  <c r="V203" i="38"/>
  <c r="X203" i="38"/>
  <c r="W203" i="38"/>
  <c r="AM203" i="38" s="1"/>
  <c r="AO203" i="38" s="1"/>
  <c r="AP203" i="38" s="1"/>
  <c r="O203" i="38"/>
  <c r="J202" i="38"/>
  <c r="AD202" i="38" s="1"/>
  <c r="AE202" i="38" s="1"/>
  <c r="J198" i="38"/>
  <c r="AD198" i="38" s="1"/>
  <c r="AE198" i="38" s="1"/>
  <c r="J28" i="1"/>
  <c r="L27" i="1"/>
  <c r="I29" i="1"/>
  <c r="G30" i="1"/>
  <c r="I30" i="1" s="1"/>
  <c r="C31" i="1"/>
  <c r="J27" i="28"/>
  <c r="L27" i="28" s="1"/>
  <c r="G28" i="28"/>
  <c r="I28" i="28" s="1"/>
  <c r="C29" i="28"/>
  <c r="R169" i="36"/>
  <c r="R165" i="36"/>
  <c r="R161" i="36"/>
  <c r="R167" i="36"/>
  <c r="R163" i="36"/>
  <c r="R159" i="36"/>
  <c r="R164" i="36"/>
  <c r="R162" i="36"/>
  <c r="R170" i="36"/>
  <c r="R160" i="36"/>
  <c r="R168" i="36"/>
  <c r="R166" i="36"/>
  <c r="J206" i="38"/>
  <c r="AD206" i="38" s="1"/>
  <c r="AE206" i="38" s="1"/>
  <c r="L30" i="30"/>
  <c r="K30" i="30"/>
  <c r="M30" i="30" s="1"/>
  <c r="F30" i="30"/>
  <c r="P27" i="30"/>
  <c r="O27" i="30"/>
  <c r="J208" i="38"/>
  <c r="AD208" i="38" s="1"/>
  <c r="AE208" i="38" s="1"/>
  <c r="J197" i="38"/>
  <c r="AD197" i="38" s="1"/>
  <c r="AE197" i="38" s="1"/>
  <c r="N29" i="30"/>
  <c r="D229" i="38"/>
  <c r="I217" i="38"/>
  <c r="E217" i="38"/>
  <c r="H217" i="38"/>
  <c r="G217" i="38"/>
  <c r="N205" i="38"/>
  <c r="D224" i="38"/>
  <c r="I212" i="38"/>
  <c r="E212" i="38"/>
  <c r="H212" i="38"/>
  <c r="G212" i="38"/>
  <c r="N200" i="38"/>
  <c r="I213" i="38"/>
  <c r="E213" i="38"/>
  <c r="D225" i="38"/>
  <c r="H213" i="38"/>
  <c r="G213" i="38"/>
  <c r="N201" i="38"/>
  <c r="D223" i="38"/>
  <c r="I211" i="38"/>
  <c r="E211" i="38"/>
  <c r="H211" i="38"/>
  <c r="G211" i="38"/>
  <c r="N199" i="38"/>
  <c r="J205" i="38"/>
  <c r="AD205" i="38" s="1"/>
  <c r="AE205" i="38" s="1"/>
  <c r="J200" i="38"/>
  <c r="AD200" i="38" s="1"/>
  <c r="AE200" i="38" s="1"/>
  <c r="D228" i="38"/>
  <c r="I216" i="38"/>
  <c r="E216" i="38"/>
  <c r="H216" i="38"/>
  <c r="G216" i="38"/>
  <c r="N204" i="38"/>
  <c r="D231" i="38"/>
  <c r="G219" i="38"/>
  <c r="H219" i="38"/>
  <c r="E219" i="38"/>
  <c r="I219" i="38"/>
  <c r="D227" i="38"/>
  <c r="I215" i="38"/>
  <c r="E215" i="38"/>
  <c r="H215" i="38"/>
  <c r="G215" i="38"/>
  <c r="N203" i="38"/>
  <c r="N208" i="38"/>
  <c r="D232" i="38"/>
  <c r="G220" i="38"/>
  <c r="E220" i="38"/>
  <c r="I220" i="38"/>
  <c r="H220" i="38"/>
  <c r="J201" i="38"/>
  <c r="AD201" i="38" s="1"/>
  <c r="AE201" i="38" s="1"/>
  <c r="J199" i="38"/>
  <c r="AD199" i="38" s="1"/>
  <c r="AE199" i="38" s="1"/>
  <c r="J204" i="38"/>
  <c r="AD204" i="38" s="1"/>
  <c r="AE204" i="38" s="1"/>
  <c r="N207" i="38"/>
  <c r="J203" i="38"/>
  <c r="AD203" i="38" s="1"/>
  <c r="AE203" i="38" s="1"/>
  <c r="D230" i="38"/>
  <c r="I218" i="38"/>
  <c r="E218" i="38"/>
  <c r="H218" i="38"/>
  <c r="G218" i="38"/>
  <c r="N206" i="38"/>
  <c r="AO185" i="38"/>
  <c r="AP185" i="38" s="1"/>
  <c r="AN196" i="38"/>
  <c r="D221" i="38"/>
  <c r="I209" i="38"/>
  <c r="E209" i="38"/>
  <c r="H209" i="38"/>
  <c r="G209" i="38"/>
  <c r="N197" i="38"/>
  <c r="J290" i="38"/>
  <c r="AD185" i="38"/>
  <c r="AE185" i="38" s="1"/>
  <c r="J207" i="38"/>
  <c r="AD207" i="38" s="1"/>
  <c r="AE207" i="38" s="1"/>
  <c r="D222" i="38"/>
  <c r="I210" i="38"/>
  <c r="E210" i="38"/>
  <c r="H210" i="38"/>
  <c r="G210" i="38"/>
  <c r="N198" i="38"/>
  <c r="D226" i="38"/>
  <c r="I214" i="38"/>
  <c r="E214" i="38"/>
  <c r="H214" i="38"/>
  <c r="G214" i="38"/>
  <c r="N202" i="38"/>
  <c r="X214" i="38" l="1"/>
  <c r="W214" i="38"/>
  <c r="AM214" i="38" s="1"/>
  <c r="AO214" i="38" s="1"/>
  <c r="AP214" i="38" s="1"/>
  <c r="V214" i="38"/>
  <c r="O214" i="38"/>
  <c r="X210" i="38"/>
  <c r="W210" i="38"/>
  <c r="AM210" i="38" s="1"/>
  <c r="AO210" i="38" s="1"/>
  <c r="AP210" i="38" s="1"/>
  <c r="V210" i="38"/>
  <c r="O210" i="38"/>
  <c r="F227" i="38"/>
  <c r="X216" i="38"/>
  <c r="V216" i="38"/>
  <c r="W216" i="38"/>
  <c r="AM216" i="38" s="1"/>
  <c r="AO216" i="38" s="1"/>
  <c r="AP216" i="38" s="1"/>
  <c r="O216" i="38"/>
  <c r="F230" i="38"/>
  <c r="AM230" i="38"/>
  <c r="AO230" i="38" s="1"/>
  <c r="AP230" i="38" s="1"/>
  <c r="F232" i="38"/>
  <c r="AM232" i="38"/>
  <c r="AO232" i="38" s="1"/>
  <c r="AP232" i="38" s="1"/>
  <c r="F231" i="38"/>
  <c r="AM231" i="38"/>
  <c r="AO231" i="38" s="1"/>
  <c r="AP231" i="38" s="1"/>
  <c r="F228" i="38"/>
  <c r="F221" i="38"/>
  <c r="F223" i="38"/>
  <c r="AM223" i="38"/>
  <c r="AO223" i="38" s="1"/>
  <c r="AP223" i="38" s="1"/>
  <c r="V213" i="38"/>
  <c r="X213" i="38"/>
  <c r="W213" i="38"/>
  <c r="AM213" i="38" s="1"/>
  <c r="AO213" i="38" s="1"/>
  <c r="AP213" i="38" s="1"/>
  <c r="O213" i="38"/>
  <c r="F224" i="38"/>
  <c r="AM224" i="38"/>
  <c r="AO224" i="38" s="1"/>
  <c r="AP224" i="38" s="1"/>
  <c r="X217" i="38"/>
  <c r="W217" i="38"/>
  <c r="AM217" i="38" s="1"/>
  <c r="AO217" i="38" s="1"/>
  <c r="AP217" i="38" s="1"/>
  <c r="O217" i="38"/>
  <c r="V217" i="38"/>
  <c r="F226" i="38"/>
  <c r="F222" i="38"/>
  <c r="AM222" i="38"/>
  <c r="AO222" i="38" s="1"/>
  <c r="AP222" i="38" s="1"/>
  <c r="X218" i="38"/>
  <c r="W218" i="38"/>
  <c r="AM218" i="38" s="1"/>
  <c r="AO218" i="38" s="1"/>
  <c r="AP218" i="38" s="1"/>
  <c r="V218" i="38"/>
  <c r="O218" i="38"/>
  <c r="X220" i="38"/>
  <c r="W220" i="38"/>
  <c r="AM220" i="38" s="1"/>
  <c r="AO220" i="38" s="1"/>
  <c r="AP220" i="38" s="1"/>
  <c r="V220" i="38"/>
  <c r="O220" i="38"/>
  <c r="V219" i="38"/>
  <c r="X219" i="38"/>
  <c r="W219" i="38"/>
  <c r="AM219" i="38" s="1"/>
  <c r="AO219" i="38" s="1"/>
  <c r="AP219" i="38" s="1"/>
  <c r="O219" i="38"/>
  <c r="F225" i="38"/>
  <c r="AM225" i="38"/>
  <c r="AO225" i="38" s="1"/>
  <c r="AP225" i="38" s="1"/>
  <c r="W209" i="38"/>
  <c r="AM209" i="38" s="1"/>
  <c r="X209" i="38"/>
  <c r="V209" i="38"/>
  <c r="O209" i="38"/>
  <c r="X215" i="38"/>
  <c r="V215" i="38"/>
  <c r="W215" i="38"/>
  <c r="AM215" i="38" s="1"/>
  <c r="AO215" i="38" s="1"/>
  <c r="AP215" i="38" s="1"/>
  <c r="O215" i="38"/>
  <c r="V211" i="38"/>
  <c r="X211" i="38"/>
  <c r="W211" i="38"/>
  <c r="AM211" i="38" s="1"/>
  <c r="AO211" i="38" s="1"/>
  <c r="AP211" i="38" s="1"/>
  <c r="O211" i="38"/>
  <c r="X212" i="38"/>
  <c r="W212" i="38"/>
  <c r="AM212" i="38" s="1"/>
  <c r="AO212" i="38" s="1"/>
  <c r="AP212" i="38" s="1"/>
  <c r="V212" i="38"/>
  <c r="O212" i="38"/>
  <c r="F229" i="38"/>
  <c r="AM229" i="38"/>
  <c r="AO229" i="38" s="1"/>
  <c r="AP229" i="38" s="1"/>
  <c r="J29" i="1"/>
  <c r="L28" i="1"/>
  <c r="G31" i="1"/>
  <c r="I31" i="1" s="1"/>
  <c r="C32" i="1"/>
  <c r="G32" i="1" s="1"/>
  <c r="I32" i="1" s="1"/>
  <c r="J28" i="28"/>
  <c r="L28" i="28" s="1"/>
  <c r="G29" i="28"/>
  <c r="I29" i="28" s="1"/>
  <c r="C30" i="28"/>
  <c r="R181" i="36"/>
  <c r="R177" i="36"/>
  <c r="R173" i="36"/>
  <c r="R179" i="36"/>
  <c r="R175" i="36"/>
  <c r="R171" i="36"/>
  <c r="R172" i="36"/>
  <c r="R180" i="36"/>
  <c r="R178" i="36"/>
  <c r="R176" i="36"/>
  <c r="R174" i="36"/>
  <c r="R182" i="36"/>
  <c r="J212" i="38"/>
  <c r="AD212" i="38" s="1"/>
  <c r="AE212" i="38" s="1"/>
  <c r="J217" i="38"/>
  <c r="AD217" i="38" s="1"/>
  <c r="AE217" i="38" s="1"/>
  <c r="P28" i="30"/>
  <c r="O28" i="30"/>
  <c r="N30" i="30"/>
  <c r="J214" i="38"/>
  <c r="AD214" i="38" s="1"/>
  <c r="AE214" i="38" s="1"/>
  <c r="J210" i="38"/>
  <c r="AD210" i="38" s="1"/>
  <c r="AE210" i="38" s="1"/>
  <c r="J216" i="38"/>
  <c r="AD216" i="38" s="1"/>
  <c r="AE216" i="38" s="1"/>
  <c r="I222" i="38"/>
  <c r="E222" i="38"/>
  <c r="D234" i="38"/>
  <c r="H222" i="38"/>
  <c r="G222" i="38"/>
  <c r="J209" i="38"/>
  <c r="G221" i="38"/>
  <c r="D233" i="38"/>
  <c r="I221" i="38"/>
  <c r="E221" i="38"/>
  <c r="H221" i="38"/>
  <c r="AM221" i="38"/>
  <c r="N218" i="38"/>
  <c r="J220" i="38"/>
  <c r="J291" i="38"/>
  <c r="N215" i="38"/>
  <c r="G231" i="38"/>
  <c r="E231" i="38"/>
  <c r="I231" i="38"/>
  <c r="H231" i="38"/>
  <c r="D243" i="38"/>
  <c r="J213" i="38"/>
  <c r="AD213" i="38" s="1"/>
  <c r="AE213" i="38" s="1"/>
  <c r="N214" i="38"/>
  <c r="N210" i="38"/>
  <c r="J218" i="38"/>
  <c r="AD218" i="38" s="1"/>
  <c r="AE218" i="38" s="1"/>
  <c r="I230" i="38"/>
  <c r="E230" i="38"/>
  <c r="D242" i="38"/>
  <c r="H230" i="38"/>
  <c r="G230" i="38"/>
  <c r="J215" i="38"/>
  <c r="AD215" i="38" s="1"/>
  <c r="AE215" i="38" s="1"/>
  <c r="D239" i="38"/>
  <c r="G227" i="38"/>
  <c r="E227" i="38"/>
  <c r="I227" i="38"/>
  <c r="H227" i="38"/>
  <c r="AM227" i="38"/>
  <c r="AO227" i="38" s="1"/>
  <c r="AP227" i="38" s="1"/>
  <c r="N216" i="38"/>
  <c r="N212" i="38"/>
  <c r="G229" i="38"/>
  <c r="D241" i="38"/>
  <c r="E229" i="38"/>
  <c r="I229" i="38"/>
  <c r="H229" i="38"/>
  <c r="I226" i="38"/>
  <c r="E226" i="38"/>
  <c r="H226" i="38"/>
  <c r="D238" i="38"/>
  <c r="G226" i="38"/>
  <c r="AM226" i="38"/>
  <c r="AO226" i="38" s="1"/>
  <c r="AP226" i="38" s="1"/>
  <c r="AO197" i="38"/>
  <c r="AP197" i="38" s="1"/>
  <c r="AN208" i="38"/>
  <c r="N220" i="38"/>
  <c r="D240" i="38"/>
  <c r="I228" i="38"/>
  <c r="E228" i="38"/>
  <c r="H228" i="38"/>
  <c r="G228" i="38"/>
  <c r="AM228" i="38"/>
  <c r="AO228" i="38" s="1"/>
  <c r="AP228" i="38" s="1"/>
  <c r="N211" i="38"/>
  <c r="I224" i="38"/>
  <c r="E224" i="38"/>
  <c r="H224" i="38"/>
  <c r="D236" i="38"/>
  <c r="G224" i="38"/>
  <c r="N217" i="38"/>
  <c r="N209" i="38"/>
  <c r="I232" i="38"/>
  <c r="E232" i="38"/>
  <c r="H232" i="38"/>
  <c r="D244" i="38"/>
  <c r="G232" i="38"/>
  <c r="J219" i="38"/>
  <c r="AD219" i="38" s="1"/>
  <c r="AE219" i="38" s="1"/>
  <c r="N219" i="38"/>
  <c r="J211" i="38"/>
  <c r="AD211" i="38" s="1"/>
  <c r="AE211" i="38" s="1"/>
  <c r="G223" i="38"/>
  <c r="I223" i="38"/>
  <c r="H223" i="38"/>
  <c r="E223" i="38"/>
  <c r="D235" i="38"/>
  <c r="G225" i="38"/>
  <c r="D237" i="38"/>
  <c r="E225" i="38"/>
  <c r="I225" i="38"/>
  <c r="H225" i="38"/>
  <c r="N213" i="38"/>
  <c r="F241" i="38" l="1"/>
  <c r="AM241" i="38"/>
  <c r="AO241" i="38" s="1"/>
  <c r="AP241" i="38" s="1"/>
  <c r="F242" i="38"/>
  <c r="F240" i="38"/>
  <c r="AM240" i="38"/>
  <c r="AO240" i="38" s="1"/>
  <c r="AP240" i="38" s="1"/>
  <c r="F239" i="38"/>
  <c r="AM239" i="38"/>
  <c r="AO239" i="38" s="1"/>
  <c r="AP239" i="38" s="1"/>
  <c r="F243" i="38"/>
  <c r="AM243" i="38"/>
  <c r="AO243" i="38" s="1"/>
  <c r="AP243" i="38" s="1"/>
  <c r="F233" i="38"/>
  <c r="AM233" i="38"/>
  <c r="F234" i="38"/>
  <c r="AM234" i="38"/>
  <c r="AO234" i="38" s="1"/>
  <c r="AP234" i="38" s="1"/>
  <c r="F244" i="38"/>
  <c r="AM244" i="38"/>
  <c r="AO244" i="38" s="1"/>
  <c r="AP244" i="38" s="1"/>
  <c r="F236" i="38"/>
  <c r="AM236" i="38"/>
  <c r="AO236" i="38" s="1"/>
  <c r="AP236" i="38" s="1"/>
  <c r="F237" i="38"/>
  <c r="AM237" i="38"/>
  <c r="AO237" i="38" s="1"/>
  <c r="AP237" i="38" s="1"/>
  <c r="F235" i="38"/>
  <c r="AM235" i="38"/>
  <c r="AO235" i="38" s="1"/>
  <c r="AP235" i="38" s="1"/>
  <c r="F238" i="38"/>
  <c r="AM238" i="38"/>
  <c r="AO238" i="38" s="1"/>
  <c r="AP238" i="38" s="1"/>
  <c r="J30" i="1"/>
  <c r="L29" i="1"/>
  <c r="R193" i="36"/>
  <c r="R189" i="36"/>
  <c r="R185" i="36"/>
  <c r="R191" i="36"/>
  <c r="R187" i="36"/>
  <c r="R183" i="36"/>
  <c r="R188" i="36"/>
  <c r="R186" i="36"/>
  <c r="R194" i="36"/>
  <c r="R184" i="36"/>
  <c r="R192" i="36"/>
  <c r="R190" i="36"/>
  <c r="G30" i="28"/>
  <c r="I30" i="28" s="1"/>
  <c r="C31" i="28"/>
  <c r="J29" i="28"/>
  <c r="L29" i="28" s="1"/>
  <c r="J229" i="38"/>
  <c r="AD229" i="38" s="1"/>
  <c r="AE229" i="38" s="1"/>
  <c r="P29" i="30"/>
  <c r="O29" i="30"/>
  <c r="J231" i="38"/>
  <c r="AD231" i="38" s="1"/>
  <c r="AE231" i="38" s="1"/>
  <c r="J222" i="38"/>
  <c r="AD222" i="38" s="1"/>
  <c r="AE222" i="38" s="1"/>
  <c r="I238" i="38"/>
  <c r="E238" i="38"/>
  <c r="H238" i="38"/>
  <c r="D250" i="38"/>
  <c r="G238" i="38"/>
  <c r="G233" i="38"/>
  <c r="E233" i="38"/>
  <c r="I233" i="38"/>
  <c r="D245" i="38"/>
  <c r="H233" i="38"/>
  <c r="G235" i="38"/>
  <c r="D247" i="38"/>
  <c r="E235" i="38"/>
  <c r="H235" i="38"/>
  <c r="I235" i="38"/>
  <c r="J221" i="38"/>
  <c r="J232" i="38"/>
  <c r="AD232" i="38" s="1"/>
  <c r="AE232" i="38" s="1"/>
  <c r="AO209" i="38"/>
  <c r="AP209" i="38" s="1"/>
  <c r="AP272" i="38" s="1"/>
  <c r="AN220" i="38"/>
  <c r="J224" i="38"/>
  <c r="AD224" i="38" s="1"/>
  <c r="AE224" i="38" s="1"/>
  <c r="J226" i="38"/>
  <c r="AD226" i="38" s="1"/>
  <c r="AE226" i="38" s="1"/>
  <c r="G241" i="38"/>
  <c r="E241" i="38"/>
  <c r="I241" i="38"/>
  <c r="D253" i="38"/>
  <c r="H241" i="38"/>
  <c r="G239" i="38"/>
  <c r="I239" i="38"/>
  <c r="H239" i="38"/>
  <c r="E239" i="38"/>
  <c r="D251" i="38"/>
  <c r="J230" i="38"/>
  <c r="AD230" i="38" s="1"/>
  <c r="AE230" i="38" s="1"/>
  <c r="AD220" i="38"/>
  <c r="AE220" i="38" s="1"/>
  <c r="AO221" i="38"/>
  <c r="AP221" i="38" s="1"/>
  <c r="AN232" i="38"/>
  <c r="J292" i="38"/>
  <c r="AD209" i="38"/>
  <c r="AE209" i="38" s="1"/>
  <c r="G237" i="38"/>
  <c r="H237" i="38"/>
  <c r="D249" i="38"/>
  <c r="I237" i="38"/>
  <c r="E237" i="38"/>
  <c r="I240" i="38"/>
  <c r="E240" i="38"/>
  <c r="H240" i="38"/>
  <c r="G240" i="38"/>
  <c r="D252" i="38"/>
  <c r="AM242" i="38"/>
  <c r="AO242" i="38" s="1"/>
  <c r="AP242" i="38" s="1"/>
  <c r="I242" i="38"/>
  <c r="E242" i="38"/>
  <c r="D254" i="38"/>
  <c r="G242" i="38"/>
  <c r="H242" i="38"/>
  <c r="J225" i="38"/>
  <c r="AD225" i="38" s="1"/>
  <c r="AE225" i="38" s="1"/>
  <c r="J223" i="38"/>
  <c r="AD223" i="38" s="1"/>
  <c r="AE223" i="38" s="1"/>
  <c r="I244" i="38"/>
  <c r="E244" i="38"/>
  <c r="D256" i="38"/>
  <c r="G244" i="38"/>
  <c r="H244" i="38"/>
  <c r="I236" i="38"/>
  <c r="E236" i="38"/>
  <c r="D248" i="38"/>
  <c r="G236" i="38"/>
  <c r="H236" i="38"/>
  <c r="J228" i="38"/>
  <c r="AD228" i="38" s="1"/>
  <c r="AE228" i="38" s="1"/>
  <c r="J227" i="38"/>
  <c r="AD227" i="38" s="1"/>
  <c r="AE227" i="38" s="1"/>
  <c r="G243" i="38"/>
  <c r="D255" i="38"/>
  <c r="E243" i="38"/>
  <c r="H243" i="38"/>
  <c r="I243" i="38"/>
  <c r="I234" i="38"/>
  <c r="E234" i="38"/>
  <c r="D246" i="38"/>
  <c r="G234" i="38"/>
  <c r="H234" i="38"/>
  <c r="F255" i="38" l="1"/>
  <c r="AM255" i="38"/>
  <c r="AO255" i="38" s="1"/>
  <c r="AP255" i="38" s="1"/>
  <c r="AD221" i="38"/>
  <c r="AE221" i="38" s="1"/>
  <c r="J293" i="38"/>
  <c r="F248" i="38"/>
  <c r="AM248" i="38"/>
  <c r="AO248" i="38" s="1"/>
  <c r="AP248" i="38" s="1"/>
  <c r="F256" i="38"/>
  <c r="AM256" i="38"/>
  <c r="AO256" i="38" s="1"/>
  <c r="AP256" i="38" s="1"/>
  <c r="F245" i="38"/>
  <c r="F250" i="38"/>
  <c r="AM250" i="38"/>
  <c r="AO250" i="38" s="1"/>
  <c r="AP250" i="38" s="1"/>
  <c r="F254" i="38"/>
  <c r="AM254" i="38"/>
  <c r="AO254" i="38" s="1"/>
  <c r="AP254" i="38" s="1"/>
  <c r="F249" i="38"/>
  <c r="AM249" i="38"/>
  <c r="AO249" i="38" s="1"/>
  <c r="AP249" i="38" s="1"/>
  <c r="F253" i="38"/>
  <c r="AM253" i="38"/>
  <c r="AO253" i="38" s="1"/>
  <c r="AP253" i="38" s="1"/>
  <c r="F247" i="38"/>
  <c r="F252" i="38"/>
  <c r="AM252" i="38"/>
  <c r="AO252" i="38" s="1"/>
  <c r="AP252" i="38" s="1"/>
  <c r="F246" i="38"/>
  <c r="AM246" i="38"/>
  <c r="AO246" i="38" s="1"/>
  <c r="AP246" i="38" s="1"/>
  <c r="F251" i="38"/>
  <c r="AM251" i="38"/>
  <c r="AO251" i="38" s="1"/>
  <c r="AP251" i="38" s="1"/>
  <c r="J235" i="38"/>
  <c r="AD235" i="38" s="1"/>
  <c r="AE235" i="38" s="1"/>
  <c r="J31" i="1"/>
  <c r="L30" i="1"/>
  <c r="R205" i="36"/>
  <c r="R201" i="36"/>
  <c r="R197" i="36"/>
  <c r="R203" i="36"/>
  <c r="R199" i="36"/>
  <c r="R195" i="36"/>
  <c r="R196" i="36"/>
  <c r="R204" i="36"/>
  <c r="R202" i="36"/>
  <c r="R200" i="36"/>
  <c r="R198" i="36"/>
  <c r="R206" i="36"/>
  <c r="G31" i="28"/>
  <c r="I31" i="28" s="1"/>
  <c r="C32" i="28"/>
  <c r="J30" i="28"/>
  <c r="L30" i="28" s="1"/>
  <c r="J241" i="38"/>
  <c r="AD241" i="38" s="1"/>
  <c r="AE241" i="38" s="1"/>
  <c r="P30" i="30"/>
  <c r="O30" i="30"/>
  <c r="J236" i="38"/>
  <c r="AD236" i="38" s="1"/>
  <c r="AE236" i="38" s="1"/>
  <c r="J244" i="38"/>
  <c r="AD244" i="38" s="1"/>
  <c r="AE244" i="38" s="1"/>
  <c r="J243" i="38"/>
  <c r="AD243" i="38" s="1"/>
  <c r="AE243" i="38" s="1"/>
  <c r="I248" i="38"/>
  <c r="E248" i="38"/>
  <c r="H248" i="38"/>
  <c r="G248" i="38"/>
  <c r="D260" i="38"/>
  <c r="D268" i="38"/>
  <c r="I256" i="38"/>
  <c r="E256" i="38"/>
  <c r="H256" i="38"/>
  <c r="G256" i="38"/>
  <c r="I252" i="38"/>
  <c r="E252" i="38"/>
  <c r="D264" i="38"/>
  <c r="G252" i="38"/>
  <c r="H252" i="38"/>
  <c r="J237" i="38"/>
  <c r="AD237" i="38" s="1"/>
  <c r="AE237" i="38" s="1"/>
  <c r="G249" i="38"/>
  <c r="E249" i="38"/>
  <c r="I249" i="38"/>
  <c r="D261" i="38"/>
  <c r="H249" i="38"/>
  <c r="J239" i="38"/>
  <c r="AD239" i="38" s="1"/>
  <c r="AE239" i="38" s="1"/>
  <c r="AM245" i="38"/>
  <c r="G245" i="38"/>
  <c r="H245" i="38"/>
  <c r="D257" i="38"/>
  <c r="I245" i="38"/>
  <c r="E245" i="38"/>
  <c r="J234" i="38"/>
  <c r="AD234" i="38" s="1"/>
  <c r="AE234" i="38" s="1"/>
  <c r="D266" i="38"/>
  <c r="I254" i="38"/>
  <c r="E254" i="38"/>
  <c r="H254" i="38"/>
  <c r="G254" i="38"/>
  <c r="J242" i="38"/>
  <c r="AD242" i="38" s="1"/>
  <c r="AE242" i="38" s="1"/>
  <c r="AM247" i="38"/>
  <c r="AO247" i="38" s="1"/>
  <c r="AP247" i="38" s="1"/>
  <c r="G247" i="38"/>
  <c r="I247" i="38"/>
  <c r="H247" i="38"/>
  <c r="E247" i="38"/>
  <c r="D259" i="38"/>
  <c r="AN244" i="38"/>
  <c r="AO233" i="38"/>
  <c r="AP233" i="38" s="1"/>
  <c r="J233" i="38"/>
  <c r="I250" i="38"/>
  <c r="E250" i="38"/>
  <c r="D262" i="38"/>
  <c r="G250" i="38"/>
  <c r="H250" i="38"/>
  <c r="J238" i="38"/>
  <c r="AD238" i="38" s="1"/>
  <c r="AE238" i="38" s="1"/>
  <c r="G251" i="38"/>
  <c r="D263" i="38"/>
  <c r="E251" i="38"/>
  <c r="H251" i="38"/>
  <c r="I251" i="38"/>
  <c r="G253" i="38"/>
  <c r="H253" i="38"/>
  <c r="D265" i="38"/>
  <c r="I253" i="38"/>
  <c r="E253" i="38"/>
  <c r="I246" i="38"/>
  <c r="E246" i="38"/>
  <c r="H246" i="38"/>
  <c r="D258" i="38"/>
  <c r="G246" i="38"/>
  <c r="G255" i="38"/>
  <c r="I255" i="38"/>
  <c r="D267" i="38"/>
  <c r="H255" i="38"/>
  <c r="E255" i="38"/>
  <c r="J240" i="38"/>
  <c r="AD240" i="38" s="1"/>
  <c r="AE240" i="38" s="1"/>
  <c r="F263" i="38" l="1"/>
  <c r="AM263" i="38"/>
  <c r="AO263" i="38" s="1"/>
  <c r="AP263" i="38" s="1"/>
  <c r="F262" i="38"/>
  <c r="F259" i="38"/>
  <c r="F258" i="38"/>
  <c r="AM258" i="38"/>
  <c r="AO258" i="38" s="1"/>
  <c r="AP258" i="38" s="1"/>
  <c r="AD233" i="38"/>
  <c r="AE233" i="38" s="1"/>
  <c r="J294" i="38"/>
  <c r="F268" i="38"/>
  <c r="AM268" i="38"/>
  <c r="F264" i="38"/>
  <c r="AM264" i="38"/>
  <c r="AO264" i="38" s="1"/>
  <c r="AP264" i="38" s="1"/>
  <c r="F257" i="38"/>
  <c r="F261" i="38"/>
  <c r="AM261" i="38"/>
  <c r="AO261" i="38" s="1"/>
  <c r="AP261" i="38" s="1"/>
  <c r="F260" i="38"/>
  <c r="F267" i="38"/>
  <c r="F265" i="38"/>
  <c r="AM265" i="38"/>
  <c r="AO265" i="38" s="1"/>
  <c r="AP265" i="38" s="1"/>
  <c r="F266" i="38"/>
  <c r="J32" i="1"/>
  <c r="L32" i="1" s="1"/>
  <c r="L31" i="1"/>
  <c r="R215" i="36"/>
  <c r="R211" i="36"/>
  <c r="R213" i="36"/>
  <c r="R209" i="36"/>
  <c r="R207" i="36"/>
  <c r="R217" i="36"/>
  <c r="R212" i="36"/>
  <c r="R210" i="36"/>
  <c r="R208" i="36"/>
  <c r="R216" i="36"/>
  <c r="R214" i="36"/>
  <c r="G32" i="28"/>
  <c r="I32" i="28" s="1"/>
  <c r="J31" i="28"/>
  <c r="L31" i="28" s="1"/>
  <c r="J249" i="38"/>
  <c r="AD249" i="38" s="1"/>
  <c r="AE249" i="38" s="1"/>
  <c r="J253" i="38"/>
  <c r="AD253" i="38" s="1"/>
  <c r="AE253" i="38" s="1"/>
  <c r="J248" i="38"/>
  <c r="AD248" i="38" s="1"/>
  <c r="AE248" i="38" s="1"/>
  <c r="AM267" i="38"/>
  <c r="AO267" i="38" s="1"/>
  <c r="AP267" i="38" s="1"/>
  <c r="H267" i="38"/>
  <c r="E267" i="38"/>
  <c r="G267" i="38"/>
  <c r="I267" i="38"/>
  <c r="G265" i="38"/>
  <c r="E265" i="38"/>
  <c r="I265" i="38"/>
  <c r="H265" i="38"/>
  <c r="J251" i="38"/>
  <c r="AD251" i="38" s="1"/>
  <c r="AE251" i="38" s="1"/>
  <c r="H268" i="38"/>
  <c r="I268" i="38"/>
  <c r="G268" i="38"/>
  <c r="E268" i="38"/>
  <c r="AM260" i="38"/>
  <c r="AO260" i="38" s="1"/>
  <c r="AP260" i="38" s="1"/>
  <c r="I260" i="38"/>
  <c r="E260" i="38"/>
  <c r="G260" i="38"/>
  <c r="H260" i="38"/>
  <c r="J255" i="38"/>
  <c r="AD255" i="38" s="1"/>
  <c r="AE255" i="38" s="1"/>
  <c r="AM262" i="38"/>
  <c r="AO262" i="38" s="1"/>
  <c r="AP262" i="38" s="1"/>
  <c r="I262" i="38"/>
  <c r="E262" i="38"/>
  <c r="H262" i="38"/>
  <c r="G262" i="38"/>
  <c r="J250" i="38"/>
  <c r="AD250" i="38" s="1"/>
  <c r="AE250" i="38" s="1"/>
  <c r="J247" i="38"/>
  <c r="AD247" i="38" s="1"/>
  <c r="AE247" i="38" s="1"/>
  <c r="AN256" i="38"/>
  <c r="AO245" i="38"/>
  <c r="AP245" i="38" s="1"/>
  <c r="I264" i="38"/>
  <c r="E264" i="38"/>
  <c r="H264" i="38"/>
  <c r="G264" i="38"/>
  <c r="J256" i="38"/>
  <c r="AD256" i="38" s="1"/>
  <c r="AE256" i="38" s="1"/>
  <c r="G263" i="38"/>
  <c r="I263" i="38"/>
  <c r="H263" i="38"/>
  <c r="E263" i="38"/>
  <c r="AM257" i="38"/>
  <c r="G257" i="38"/>
  <c r="E257" i="38"/>
  <c r="I257" i="38"/>
  <c r="H257" i="38"/>
  <c r="AM259" i="38"/>
  <c r="AO259" i="38" s="1"/>
  <c r="AP259" i="38" s="1"/>
  <c r="G259" i="38"/>
  <c r="E259" i="38"/>
  <c r="H259" i="38"/>
  <c r="I259" i="38"/>
  <c r="G261" i="38"/>
  <c r="H261" i="38"/>
  <c r="I261" i="38"/>
  <c r="E261" i="38"/>
  <c r="I258" i="38"/>
  <c r="E258" i="38"/>
  <c r="G258" i="38"/>
  <c r="H258" i="38"/>
  <c r="J246" i="38"/>
  <c r="AD246" i="38" s="1"/>
  <c r="AE246" i="38" s="1"/>
  <c r="J254" i="38"/>
  <c r="AD254" i="38" s="1"/>
  <c r="AE254" i="38" s="1"/>
  <c r="AM266" i="38"/>
  <c r="AO266" i="38" s="1"/>
  <c r="AP266" i="38" s="1"/>
  <c r="H266" i="38"/>
  <c r="G266" i="38"/>
  <c r="I266" i="38"/>
  <c r="E266" i="38"/>
  <c r="J245" i="38"/>
  <c r="J252" i="38"/>
  <c r="AD252" i="38" s="1"/>
  <c r="AE252" i="38" s="1"/>
  <c r="AD245" i="38" l="1"/>
  <c r="AE245" i="38" s="1"/>
  <c r="J295" i="38"/>
  <c r="J268" i="38"/>
  <c r="AD268" i="38" s="1"/>
  <c r="J261" i="38"/>
  <c r="AD261" i="38" s="1"/>
  <c r="AE261" i="38" s="1"/>
  <c r="V268" i="36"/>
  <c r="J32" i="28"/>
  <c r="L32" i="28" s="1"/>
  <c r="J266" i="38"/>
  <c r="AD266" i="38" s="1"/>
  <c r="AE266" i="38" s="1"/>
  <c r="J262" i="38"/>
  <c r="AD262" i="38" s="1"/>
  <c r="AE262" i="38" s="1"/>
  <c r="J260" i="38"/>
  <c r="AD260" i="38" s="1"/>
  <c r="AE260" i="38" s="1"/>
  <c r="J267" i="38"/>
  <c r="AD267" i="38" s="1"/>
  <c r="AE267" i="38" s="1"/>
  <c r="J257" i="38"/>
  <c r="J263" i="38"/>
  <c r="AD263" i="38" s="1"/>
  <c r="AE263" i="38" s="1"/>
  <c r="AO268" i="38"/>
  <c r="AP268" i="38" s="1"/>
  <c r="AM275" i="38"/>
  <c r="J265" i="38"/>
  <c r="AD265" i="38" s="1"/>
  <c r="AE265" i="38" s="1"/>
  <c r="J258" i="38"/>
  <c r="AD258" i="38" s="1"/>
  <c r="AE258" i="38" s="1"/>
  <c r="J259" i="38"/>
  <c r="AD259" i="38" s="1"/>
  <c r="AE259" i="38" s="1"/>
  <c r="AN268" i="38"/>
  <c r="AO257" i="38"/>
  <c r="AP257" i="38" s="1"/>
  <c r="J264" i="38"/>
  <c r="AD264" i="38" s="1"/>
  <c r="AE264" i="38" s="1"/>
  <c r="J271" i="38" l="1"/>
  <c r="AD257" i="38"/>
  <c r="AE257" i="38" s="1"/>
  <c r="J296" i="38"/>
  <c r="J298" i="38" s="1"/>
  <c r="L298" i="38" s="1"/>
  <c r="AE268" i="38"/>
  <c r="AD272" i="38" l="1"/>
  <c r="C130" i="36" l="1"/>
  <c r="C142" i="36" l="1"/>
  <c r="C154" i="36" s="1"/>
  <c r="C166" i="36" s="1"/>
  <c r="C178" i="36" s="1"/>
  <c r="C190" i="36" s="1"/>
  <c r="C202" i="36" s="1"/>
  <c r="C214" i="36" s="1"/>
  <c r="C226" i="36" s="1"/>
  <c r="C238" i="36" s="1"/>
  <c r="C250" i="36" s="1"/>
  <c r="C262" i="36" s="1"/>
  <c r="C129" i="36" l="1"/>
  <c r="C141" i="36" l="1"/>
  <c r="C153" i="36" s="1"/>
  <c r="C165" i="36" s="1"/>
  <c r="C177" i="36" s="1"/>
  <c r="C189" i="36" s="1"/>
  <c r="C201" i="36" s="1"/>
  <c r="C213" i="36" s="1"/>
  <c r="C225" i="36" s="1"/>
  <c r="C237" i="36" s="1"/>
  <c r="C249" i="36" s="1"/>
  <c r="C261" i="36" s="1"/>
  <c r="D120" i="36"/>
  <c r="D113" i="36"/>
  <c r="D117" i="36"/>
  <c r="D115" i="36"/>
  <c r="D122" i="36"/>
  <c r="D112" i="36"/>
  <c r="D116" i="36"/>
  <c r="D111" i="36"/>
  <c r="D114" i="36"/>
  <c r="D121" i="36"/>
  <c r="D119" i="36"/>
  <c r="D118" i="36"/>
  <c r="D113" i="41"/>
  <c r="D117" i="41"/>
  <c r="D122" i="41"/>
  <c r="D123" i="41"/>
  <c r="D116" i="41"/>
  <c r="D114" i="41"/>
  <c r="D119" i="41"/>
  <c r="D118" i="41"/>
  <c r="D124" i="41"/>
  <c r="D115" i="41"/>
  <c r="D121" i="41"/>
  <c r="D120" i="41"/>
  <c r="D116" i="42"/>
  <c r="D123" i="42"/>
  <c r="D114" i="42"/>
  <c r="D119" i="42"/>
  <c r="D117" i="42"/>
  <c r="D124" i="42"/>
  <c r="D118" i="42"/>
  <c r="D121" i="42"/>
  <c r="D115" i="42"/>
  <c r="D113" i="42"/>
  <c r="D122" i="42"/>
  <c r="D120" i="42"/>
  <c r="D113" i="43"/>
  <c r="D121" i="43"/>
  <c r="D114" i="43"/>
  <c r="D118" i="43"/>
  <c r="D122" i="43"/>
  <c r="D119" i="43"/>
  <c r="D123" i="43"/>
  <c r="D116" i="43"/>
  <c r="D124" i="43"/>
  <c r="D117" i="43"/>
  <c r="D115" i="43"/>
  <c r="D120" i="43"/>
  <c r="V114" i="43" l="1"/>
  <c r="X114" i="43"/>
  <c r="W114" i="43"/>
  <c r="AM114" i="43" s="1"/>
  <c r="AO114" i="43" s="1"/>
  <c r="AP114" i="43" s="1"/>
  <c r="G114" i="43"/>
  <c r="Q114" i="43"/>
  <c r="I114" i="43"/>
  <c r="E114" i="43"/>
  <c r="F114" i="43"/>
  <c r="H114" i="43"/>
  <c r="E121" i="41"/>
  <c r="I121" i="41"/>
  <c r="G121" i="41"/>
  <c r="F121" i="41"/>
  <c r="H121" i="41"/>
  <c r="W121" i="41"/>
  <c r="AM121" i="41" s="1"/>
  <c r="AO121" i="41" s="1"/>
  <c r="AP121" i="41" s="1"/>
  <c r="V121" i="41"/>
  <c r="X121" i="41"/>
  <c r="G119" i="36"/>
  <c r="I119" i="36"/>
  <c r="E119" i="36"/>
  <c r="D131" i="36"/>
  <c r="H119" i="36"/>
  <c r="W117" i="43"/>
  <c r="AM117" i="43" s="1"/>
  <c r="AO117" i="43" s="1"/>
  <c r="AP117" i="43" s="1"/>
  <c r="X117" i="43"/>
  <c r="V117" i="43"/>
  <c r="E117" i="43"/>
  <c r="G117" i="43"/>
  <c r="Q117" i="43"/>
  <c r="I117" i="43"/>
  <c r="F117" i="43"/>
  <c r="H117" i="43"/>
  <c r="X119" i="43"/>
  <c r="V119" i="43"/>
  <c r="W119" i="43"/>
  <c r="AM119" i="43" s="1"/>
  <c r="AO119" i="43" s="1"/>
  <c r="AP119" i="43" s="1"/>
  <c r="I119" i="43"/>
  <c r="E119" i="43"/>
  <c r="G119" i="43"/>
  <c r="Q119" i="43"/>
  <c r="F119" i="43"/>
  <c r="H119" i="43"/>
  <c r="V121" i="43"/>
  <c r="X121" i="43"/>
  <c r="W121" i="43"/>
  <c r="AM121" i="43" s="1"/>
  <c r="AO121" i="43" s="1"/>
  <c r="AP121" i="43" s="1"/>
  <c r="E121" i="43"/>
  <c r="Q121" i="43"/>
  <c r="G121" i="43"/>
  <c r="I121" i="43"/>
  <c r="H121" i="43"/>
  <c r="F121" i="43"/>
  <c r="I113" i="42"/>
  <c r="E113" i="42"/>
  <c r="G113" i="42"/>
  <c r="H113" i="42"/>
  <c r="F113" i="42"/>
  <c r="W113" i="42"/>
  <c r="X113" i="42"/>
  <c r="V113" i="42"/>
  <c r="E124" i="42"/>
  <c r="G124" i="42"/>
  <c r="I124" i="42"/>
  <c r="H124" i="42"/>
  <c r="F124" i="42"/>
  <c r="X124" i="42"/>
  <c r="W124" i="42"/>
  <c r="AM124" i="42" s="1"/>
  <c r="AO124" i="42" s="1"/>
  <c r="AP124" i="42" s="1"/>
  <c r="V124" i="42"/>
  <c r="I123" i="42"/>
  <c r="G123" i="42"/>
  <c r="E123" i="42"/>
  <c r="F123" i="42"/>
  <c r="H123" i="42"/>
  <c r="V123" i="42"/>
  <c r="W123" i="42"/>
  <c r="AM123" i="42" s="1"/>
  <c r="AO123" i="42" s="1"/>
  <c r="AP123" i="42" s="1"/>
  <c r="X123" i="42"/>
  <c r="E115" i="41"/>
  <c r="G115" i="41"/>
  <c r="I115" i="41"/>
  <c r="F115" i="41"/>
  <c r="H115" i="41"/>
  <c r="W115" i="41"/>
  <c r="AM115" i="41" s="1"/>
  <c r="AO115" i="41" s="1"/>
  <c r="AP115" i="41" s="1"/>
  <c r="X115" i="41"/>
  <c r="V115" i="41"/>
  <c r="G114" i="41"/>
  <c r="E114" i="41"/>
  <c r="I114" i="41"/>
  <c r="H114" i="41"/>
  <c r="F114" i="41"/>
  <c r="V114" i="41"/>
  <c r="W114" i="41"/>
  <c r="AM114" i="41" s="1"/>
  <c r="AO114" i="41" s="1"/>
  <c r="AP114" i="41" s="1"/>
  <c r="X114" i="41"/>
  <c r="I117" i="41"/>
  <c r="E117" i="41"/>
  <c r="G117" i="41"/>
  <c r="F117" i="41"/>
  <c r="H117" i="41"/>
  <c r="W117" i="41"/>
  <c r="AM117" i="41" s="1"/>
  <c r="AO117" i="41" s="1"/>
  <c r="AP117" i="41" s="1"/>
  <c r="X117" i="41"/>
  <c r="V117" i="41"/>
  <c r="I121" i="36"/>
  <c r="D133" i="36"/>
  <c r="E121" i="36"/>
  <c r="G121" i="36"/>
  <c r="H121" i="36"/>
  <c r="I112" i="36"/>
  <c r="E112" i="36"/>
  <c r="D124" i="36"/>
  <c r="G112" i="36"/>
  <c r="H112" i="36"/>
  <c r="D125" i="36"/>
  <c r="E113" i="36"/>
  <c r="I113" i="36"/>
  <c r="G113" i="36"/>
  <c r="H113" i="36"/>
  <c r="X115" i="43"/>
  <c r="V115" i="43"/>
  <c r="W115" i="43"/>
  <c r="AM115" i="43" s="1"/>
  <c r="AO115" i="43" s="1"/>
  <c r="AP115" i="43" s="1"/>
  <c r="E115" i="43"/>
  <c r="I115" i="43"/>
  <c r="G115" i="43"/>
  <c r="Q115" i="43"/>
  <c r="H115" i="43"/>
  <c r="F115" i="43"/>
  <c r="E122" i="42"/>
  <c r="G122" i="42"/>
  <c r="I122" i="42"/>
  <c r="F122" i="42"/>
  <c r="H122" i="42"/>
  <c r="W122" i="42"/>
  <c r="AM122" i="42" s="1"/>
  <c r="AO122" i="42" s="1"/>
  <c r="AP122" i="42" s="1"/>
  <c r="V122" i="42"/>
  <c r="X122" i="42"/>
  <c r="G119" i="41"/>
  <c r="I119" i="41"/>
  <c r="E119" i="41"/>
  <c r="H119" i="41"/>
  <c r="F119" i="41"/>
  <c r="V119" i="41"/>
  <c r="X119" i="41"/>
  <c r="W119" i="41"/>
  <c r="AM119" i="41" s="1"/>
  <c r="AO119" i="41" s="1"/>
  <c r="AP119" i="41" s="1"/>
  <c r="E116" i="36"/>
  <c r="D128" i="36"/>
  <c r="I116" i="36"/>
  <c r="G116" i="36"/>
  <c r="H116" i="36"/>
  <c r="W124" i="43"/>
  <c r="AM124" i="43" s="1"/>
  <c r="AO124" i="43" s="1"/>
  <c r="AP124" i="43" s="1"/>
  <c r="V124" i="43"/>
  <c r="X124" i="43"/>
  <c r="G124" i="43"/>
  <c r="I124" i="43"/>
  <c r="Q124" i="43"/>
  <c r="E124" i="43"/>
  <c r="F124" i="43"/>
  <c r="H124" i="43"/>
  <c r="W122" i="43"/>
  <c r="AM122" i="43" s="1"/>
  <c r="AO122" i="43" s="1"/>
  <c r="AP122" i="43" s="1"/>
  <c r="V122" i="43"/>
  <c r="X122" i="43"/>
  <c r="Q122" i="43"/>
  <c r="G122" i="43"/>
  <c r="I122" i="43"/>
  <c r="E122" i="43"/>
  <c r="F122" i="43"/>
  <c r="H122" i="43"/>
  <c r="X113" i="43"/>
  <c r="W113" i="43"/>
  <c r="AM113" i="43" s="1"/>
  <c r="V113" i="43"/>
  <c r="I113" i="43"/>
  <c r="E113" i="43"/>
  <c r="G113" i="43"/>
  <c r="Q113" i="43"/>
  <c r="F113" i="43"/>
  <c r="H113" i="43"/>
  <c r="E115" i="42"/>
  <c r="I115" i="42"/>
  <c r="G115" i="42"/>
  <c r="H115" i="42"/>
  <c r="F115" i="42"/>
  <c r="V115" i="42"/>
  <c r="W115" i="42"/>
  <c r="AM115" i="42" s="1"/>
  <c r="AO115" i="42" s="1"/>
  <c r="AP115" i="42" s="1"/>
  <c r="X115" i="42"/>
  <c r="G117" i="42"/>
  <c r="I117" i="42"/>
  <c r="E117" i="42"/>
  <c r="F117" i="42"/>
  <c r="H117" i="42"/>
  <c r="V117" i="42"/>
  <c r="X117" i="42"/>
  <c r="W117" i="42"/>
  <c r="AM117" i="42" s="1"/>
  <c r="AO117" i="42" s="1"/>
  <c r="AP117" i="42" s="1"/>
  <c r="E116" i="42"/>
  <c r="G116" i="42"/>
  <c r="I116" i="42"/>
  <c r="H116" i="42"/>
  <c r="F116" i="42"/>
  <c r="X116" i="42"/>
  <c r="V116" i="42"/>
  <c r="W116" i="42"/>
  <c r="AM116" i="42" s="1"/>
  <c r="AO116" i="42" s="1"/>
  <c r="AP116" i="42" s="1"/>
  <c r="G124" i="41"/>
  <c r="I124" i="41"/>
  <c r="E124" i="41"/>
  <c r="H124" i="41"/>
  <c r="F124" i="41"/>
  <c r="V124" i="41"/>
  <c r="W124" i="41"/>
  <c r="AM124" i="41" s="1"/>
  <c r="AO124" i="41" s="1"/>
  <c r="AP124" i="41" s="1"/>
  <c r="X124" i="41"/>
  <c r="G116" i="41"/>
  <c r="E116" i="41"/>
  <c r="I116" i="41"/>
  <c r="F116" i="41"/>
  <c r="H116" i="41"/>
  <c r="X116" i="41"/>
  <c r="W116" i="41"/>
  <c r="AM116" i="41" s="1"/>
  <c r="AO116" i="41" s="1"/>
  <c r="AP116" i="41" s="1"/>
  <c r="V116" i="41"/>
  <c r="I113" i="41"/>
  <c r="E113" i="41"/>
  <c r="G113" i="41"/>
  <c r="F113" i="41"/>
  <c r="H113" i="41"/>
  <c r="V113" i="41"/>
  <c r="W113" i="41"/>
  <c r="AM113" i="41" s="1"/>
  <c r="X113" i="41"/>
  <c r="E114" i="36"/>
  <c r="D126" i="36"/>
  <c r="G114" i="36"/>
  <c r="I114" i="36"/>
  <c r="H114" i="36"/>
  <c r="I122" i="36"/>
  <c r="D134" i="36"/>
  <c r="G122" i="36"/>
  <c r="E122" i="36"/>
  <c r="H122" i="36"/>
  <c r="E120" i="36"/>
  <c r="D132" i="36"/>
  <c r="I120" i="36"/>
  <c r="G120" i="36"/>
  <c r="H120" i="36"/>
  <c r="W123" i="43"/>
  <c r="AM123" i="43" s="1"/>
  <c r="AO123" i="43" s="1"/>
  <c r="AP123" i="43" s="1"/>
  <c r="X123" i="43"/>
  <c r="V123" i="43"/>
  <c r="G123" i="43"/>
  <c r="Q123" i="43"/>
  <c r="I123" i="43"/>
  <c r="E123" i="43"/>
  <c r="F123" i="43"/>
  <c r="H123" i="43"/>
  <c r="I118" i="42"/>
  <c r="E118" i="42"/>
  <c r="G118" i="42"/>
  <c r="H118" i="42"/>
  <c r="F118" i="42"/>
  <c r="V118" i="42"/>
  <c r="X118" i="42"/>
  <c r="W118" i="42"/>
  <c r="AM118" i="42" s="1"/>
  <c r="AO118" i="42" s="1"/>
  <c r="AP118" i="42" s="1"/>
  <c r="E114" i="42"/>
  <c r="I114" i="42"/>
  <c r="G114" i="42"/>
  <c r="F114" i="42"/>
  <c r="H114" i="42"/>
  <c r="V114" i="42"/>
  <c r="W114" i="42"/>
  <c r="AM114" i="42" s="1"/>
  <c r="AO114" i="42" s="1"/>
  <c r="AP114" i="42" s="1"/>
  <c r="X114" i="42"/>
  <c r="E122" i="41"/>
  <c r="I122" i="41"/>
  <c r="G122" i="41"/>
  <c r="F122" i="41"/>
  <c r="H122" i="41"/>
  <c r="W122" i="41"/>
  <c r="AM122" i="41" s="1"/>
  <c r="AO122" i="41" s="1"/>
  <c r="AP122" i="41" s="1"/>
  <c r="X122" i="41"/>
  <c r="V122" i="41"/>
  <c r="I117" i="36"/>
  <c r="D129" i="36"/>
  <c r="E117" i="36"/>
  <c r="G117" i="36"/>
  <c r="H117" i="36"/>
  <c r="X120" i="43"/>
  <c r="W120" i="43"/>
  <c r="AM120" i="43" s="1"/>
  <c r="AO120" i="43" s="1"/>
  <c r="AP120" i="43" s="1"/>
  <c r="V120" i="43"/>
  <c r="G120" i="43"/>
  <c r="Q120" i="43"/>
  <c r="I120" i="43"/>
  <c r="E120" i="43"/>
  <c r="H120" i="43"/>
  <c r="F120" i="43"/>
  <c r="X116" i="43"/>
  <c r="V116" i="43"/>
  <c r="W116" i="43"/>
  <c r="AM116" i="43" s="1"/>
  <c r="AO116" i="43" s="1"/>
  <c r="AP116" i="43" s="1"/>
  <c r="I116" i="43"/>
  <c r="E116" i="43"/>
  <c r="G116" i="43"/>
  <c r="Q116" i="43"/>
  <c r="H116" i="43"/>
  <c r="F116" i="43"/>
  <c r="V118" i="43"/>
  <c r="W118" i="43"/>
  <c r="AM118" i="43" s="1"/>
  <c r="AO118" i="43" s="1"/>
  <c r="AP118" i="43" s="1"/>
  <c r="X118" i="43"/>
  <c r="I118" i="43"/>
  <c r="Q118" i="43"/>
  <c r="E118" i="43"/>
  <c r="G118" i="43"/>
  <c r="H118" i="43"/>
  <c r="F118" i="43"/>
  <c r="G120" i="42"/>
  <c r="I120" i="42"/>
  <c r="E120" i="42"/>
  <c r="H120" i="42"/>
  <c r="F120" i="42"/>
  <c r="W120" i="42"/>
  <c r="AM120" i="42" s="1"/>
  <c r="AO120" i="42" s="1"/>
  <c r="AP120" i="42" s="1"/>
  <c r="V120" i="42"/>
  <c r="X120" i="42"/>
  <c r="E121" i="42"/>
  <c r="G121" i="42"/>
  <c r="I121" i="42"/>
  <c r="F121" i="42"/>
  <c r="H121" i="42"/>
  <c r="V121" i="42"/>
  <c r="X121" i="42"/>
  <c r="W121" i="42"/>
  <c r="AM121" i="42" s="1"/>
  <c r="AO121" i="42" s="1"/>
  <c r="AP121" i="42" s="1"/>
  <c r="E119" i="42"/>
  <c r="I119" i="42"/>
  <c r="G119" i="42"/>
  <c r="F119" i="42"/>
  <c r="H119" i="42"/>
  <c r="W119" i="42"/>
  <c r="AM119" i="42" s="1"/>
  <c r="AO119" i="42" s="1"/>
  <c r="AP119" i="42" s="1"/>
  <c r="V119" i="42"/>
  <c r="X119" i="42"/>
  <c r="I120" i="41"/>
  <c r="G120" i="41"/>
  <c r="E120" i="41"/>
  <c r="H120" i="41"/>
  <c r="F120" i="41"/>
  <c r="X120" i="41"/>
  <c r="V120" i="41"/>
  <c r="W120" i="41"/>
  <c r="AM120" i="41" s="1"/>
  <c r="AO120" i="41" s="1"/>
  <c r="AP120" i="41" s="1"/>
  <c r="I118" i="41"/>
  <c r="E118" i="41"/>
  <c r="G118" i="41"/>
  <c r="F118" i="41"/>
  <c r="H118" i="41"/>
  <c r="X118" i="41"/>
  <c r="W118" i="41"/>
  <c r="AM118" i="41" s="1"/>
  <c r="AO118" i="41" s="1"/>
  <c r="AP118" i="41" s="1"/>
  <c r="V118" i="41"/>
  <c r="G123" i="41"/>
  <c r="E123" i="41"/>
  <c r="I123" i="41"/>
  <c r="F123" i="41"/>
  <c r="H123" i="41"/>
  <c r="V123" i="41"/>
  <c r="W123" i="41"/>
  <c r="AM123" i="41" s="1"/>
  <c r="AO123" i="41" s="1"/>
  <c r="AP123" i="41" s="1"/>
  <c r="X123" i="41"/>
  <c r="G118" i="36"/>
  <c r="E118" i="36"/>
  <c r="D130" i="36"/>
  <c r="I118" i="36"/>
  <c r="H118" i="36"/>
  <c r="I111" i="36"/>
  <c r="D123" i="36"/>
  <c r="G111" i="36"/>
  <c r="E111" i="36"/>
  <c r="H111" i="36"/>
  <c r="D127" i="36"/>
  <c r="E115" i="36"/>
  <c r="G115" i="36"/>
  <c r="I115" i="36"/>
  <c r="H115" i="36"/>
  <c r="AM113" i="42" l="1"/>
  <c r="J114" i="41"/>
  <c r="AD114" i="41" s="1"/>
  <c r="J118" i="43"/>
  <c r="AD118" i="43" s="1"/>
  <c r="AE118" i="43" s="1"/>
  <c r="J115" i="43"/>
  <c r="AD115" i="43" s="1"/>
  <c r="AE115" i="43" s="1"/>
  <c r="J120" i="41"/>
  <c r="AD120" i="41" s="1"/>
  <c r="J124" i="43"/>
  <c r="AD124" i="43" s="1"/>
  <c r="AE124" i="43" s="1"/>
  <c r="J124" i="41"/>
  <c r="AD124" i="41" s="1"/>
  <c r="J121" i="43"/>
  <c r="AD121" i="43" s="1"/>
  <c r="AE121" i="43" s="1"/>
  <c r="J121" i="41"/>
  <c r="AD121" i="41" s="1"/>
  <c r="J118" i="42"/>
  <c r="AD118" i="42" s="1"/>
  <c r="AE118" i="42" s="1"/>
  <c r="J122" i="41"/>
  <c r="AD122" i="41" s="1"/>
  <c r="E134" i="36"/>
  <c r="I134" i="36"/>
  <c r="G134" i="36"/>
  <c r="D146" i="36"/>
  <c r="H134" i="36"/>
  <c r="J123" i="41"/>
  <c r="AD123" i="41" s="1"/>
  <c r="J119" i="42"/>
  <c r="AD119" i="42" s="1"/>
  <c r="AE119" i="42" s="1"/>
  <c r="J121" i="42"/>
  <c r="AD121" i="42" s="1"/>
  <c r="AE121" i="42" s="1"/>
  <c r="J123" i="43"/>
  <c r="AD123" i="43" s="1"/>
  <c r="AE123" i="43" s="1"/>
  <c r="G132" i="36"/>
  <c r="D144" i="36"/>
  <c r="I132" i="36"/>
  <c r="E132" i="36"/>
  <c r="H132" i="36"/>
  <c r="D138" i="36"/>
  <c r="E126" i="36"/>
  <c r="G126" i="36"/>
  <c r="I126" i="36"/>
  <c r="H126" i="36"/>
  <c r="J113" i="41"/>
  <c r="J116" i="42"/>
  <c r="AD116" i="42" s="1"/>
  <c r="AE116" i="42" s="1"/>
  <c r="J115" i="42"/>
  <c r="AD115" i="42" s="1"/>
  <c r="AE115" i="42" s="1"/>
  <c r="AO113" i="43"/>
  <c r="AP113" i="43" s="1"/>
  <c r="AP272" i="43" s="1"/>
  <c r="AN124" i="43"/>
  <c r="AM275" i="43"/>
  <c r="J119" i="41"/>
  <c r="AD119" i="41" s="1"/>
  <c r="D137" i="36"/>
  <c r="I125" i="36"/>
  <c r="G125" i="36"/>
  <c r="E125" i="36"/>
  <c r="H125" i="36"/>
  <c r="E124" i="36"/>
  <c r="G124" i="36"/>
  <c r="I124" i="36"/>
  <c r="D136" i="36"/>
  <c r="H124" i="36"/>
  <c r="J117" i="41"/>
  <c r="AD117" i="41" s="1"/>
  <c r="J115" i="41"/>
  <c r="AD115" i="41" s="1"/>
  <c r="J124" i="42"/>
  <c r="AD124" i="42" s="1"/>
  <c r="AE124" i="42" s="1"/>
  <c r="J117" i="43"/>
  <c r="AD117" i="43" s="1"/>
  <c r="AE117" i="43" s="1"/>
  <c r="J114" i="43"/>
  <c r="AD114" i="43" s="1"/>
  <c r="AE114" i="43" s="1"/>
  <c r="E127" i="36"/>
  <c r="G127" i="36"/>
  <c r="I127" i="36"/>
  <c r="D139" i="36"/>
  <c r="H127" i="36"/>
  <c r="J118" i="41"/>
  <c r="AD118" i="41" s="1"/>
  <c r="J120" i="42"/>
  <c r="AD120" i="42" s="1"/>
  <c r="AE120" i="42" s="1"/>
  <c r="J116" i="43"/>
  <c r="AD116" i="43" s="1"/>
  <c r="AE116" i="43" s="1"/>
  <c r="J114" i="42"/>
  <c r="AD114" i="42" s="1"/>
  <c r="AE114" i="42" s="1"/>
  <c r="J116" i="41"/>
  <c r="AD116" i="41" s="1"/>
  <c r="J117" i="42"/>
  <c r="AD117" i="42" s="1"/>
  <c r="AE117" i="42" s="1"/>
  <c r="J113" i="43"/>
  <c r="J122" i="42"/>
  <c r="AD122" i="42" s="1"/>
  <c r="AE122" i="42" s="1"/>
  <c r="J123" i="42"/>
  <c r="AD123" i="42" s="1"/>
  <c r="AE123" i="42" s="1"/>
  <c r="J119" i="43"/>
  <c r="AD119" i="43" s="1"/>
  <c r="AE119" i="43" s="1"/>
  <c r="D143" i="36"/>
  <c r="I131" i="36"/>
  <c r="G131" i="36"/>
  <c r="E131" i="36"/>
  <c r="H131" i="36"/>
  <c r="D135" i="36"/>
  <c r="G123" i="36"/>
  <c r="I123" i="36"/>
  <c r="E123" i="36"/>
  <c r="H123" i="36"/>
  <c r="G130" i="36"/>
  <c r="E130" i="36"/>
  <c r="D142" i="36"/>
  <c r="I130" i="36"/>
  <c r="H130" i="36"/>
  <c r="J120" i="43"/>
  <c r="AD120" i="43" s="1"/>
  <c r="AE120" i="43" s="1"/>
  <c r="G129" i="36"/>
  <c r="I129" i="36"/>
  <c r="E129" i="36"/>
  <c r="D141" i="36"/>
  <c r="H129" i="36"/>
  <c r="AN124" i="41"/>
  <c r="AO113" i="41"/>
  <c r="AP113" i="41" s="1"/>
  <c r="AP272" i="41" s="1"/>
  <c r="AM275" i="41"/>
  <c r="J122" i="43"/>
  <c r="AD122" i="43" s="1"/>
  <c r="AE122" i="43" s="1"/>
  <c r="E128" i="36"/>
  <c r="D140" i="36"/>
  <c r="G128" i="36"/>
  <c r="I128" i="36"/>
  <c r="H128" i="36"/>
  <c r="E133" i="36"/>
  <c r="G133" i="36"/>
  <c r="I133" i="36"/>
  <c r="D145" i="36"/>
  <c r="H133" i="36"/>
  <c r="AO113" i="42"/>
  <c r="AP113" i="42" s="1"/>
  <c r="AP272" i="42" s="1"/>
  <c r="AN124" i="42"/>
  <c r="AM275" i="42"/>
  <c r="J113" i="42"/>
  <c r="AE124" i="41" l="1"/>
  <c r="AE114" i="41"/>
  <c r="AE120" i="41"/>
  <c r="AE121" i="41"/>
  <c r="AE118" i="41"/>
  <c r="I144" i="36"/>
  <c r="E144" i="36"/>
  <c r="G144" i="36"/>
  <c r="D156" i="36"/>
  <c r="H144" i="36"/>
  <c r="AE123" i="41"/>
  <c r="G135" i="36"/>
  <c r="E135" i="36"/>
  <c r="D147" i="36"/>
  <c r="I135" i="36"/>
  <c r="H135" i="36"/>
  <c r="I139" i="36"/>
  <c r="E139" i="36"/>
  <c r="D151" i="36"/>
  <c r="G139" i="36"/>
  <c r="H139" i="36"/>
  <c r="AD113" i="43"/>
  <c r="J284" i="43"/>
  <c r="J298" i="43" s="1"/>
  <c r="L298" i="43" s="1"/>
  <c r="J271" i="43"/>
  <c r="AE116" i="41"/>
  <c r="AE115" i="41"/>
  <c r="I136" i="36"/>
  <c r="G136" i="36"/>
  <c r="D148" i="36"/>
  <c r="E136" i="36"/>
  <c r="H136" i="36"/>
  <c r="J284" i="42"/>
  <c r="J298" i="42" s="1"/>
  <c r="L298" i="42" s="1"/>
  <c r="AD113" i="42"/>
  <c r="J271" i="42"/>
  <c r="I145" i="36"/>
  <c r="G145" i="36"/>
  <c r="E145" i="36"/>
  <c r="D157" i="36"/>
  <c r="H145" i="36"/>
  <c r="E143" i="36"/>
  <c r="G143" i="36"/>
  <c r="I143" i="36"/>
  <c r="D155" i="36"/>
  <c r="H143" i="36"/>
  <c r="AE117" i="41"/>
  <c r="AE119" i="41"/>
  <c r="J284" i="41"/>
  <c r="J298" i="41" s="1"/>
  <c r="L298" i="41" s="1"/>
  <c r="AD113" i="41"/>
  <c r="J271" i="41"/>
  <c r="E142" i="36"/>
  <c r="I142" i="36"/>
  <c r="D154" i="36"/>
  <c r="G142" i="36"/>
  <c r="H142" i="36"/>
  <c r="G137" i="36"/>
  <c r="D149" i="36"/>
  <c r="I137" i="36"/>
  <c r="E137" i="36"/>
  <c r="H137" i="36"/>
  <c r="AE122" i="41"/>
  <c r="I140" i="36"/>
  <c r="G140" i="36"/>
  <c r="D152" i="36"/>
  <c r="E140" i="36"/>
  <c r="H140" i="36"/>
  <c r="G141" i="36"/>
  <c r="D153" i="36"/>
  <c r="E141" i="36"/>
  <c r="I141" i="36"/>
  <c r="H141" i="36"/>
  <c r="G138" i="36"/>
  <c r="I138" i="36"/>
  <c r="E138" i="36"/>
  <c r="D150" i="36"/>
  <c r="H138" i="36"/>
  <c r="D158" i="36"/>
  <c r="E146" i="36"/>
  <c r="G146" i="36"/>
  <c r="I146" i="36"/>
  <c r="H146" i="36"/>
  <c r="I153" i="36" l="1"/>
  <c r="D165" i="36"/>
  <c r="E153" i="36"/>
  <c r="G153" i="36"/>
  <c r="H153" i="36"/>
  <c r="D169" i="36"/>
  <c r="E157" i="36"/>
  <c r="G157" i="36"/>
  <c r="I157" i="36"/>
  <c r="H157" i="36"/>
  <c r="G148" i="36"/>
  <c r="I148" i="36"/>
  <c r="E148" i="36"/>
  <c r="D160" i="36"/>
  <c r="H148" i="36"/>
  <c r="E150" i="36"/>
  <c r="G150" i="36"/>
  <c r="I150" i="36"/>
  <c r="D162" i="36"/>
  <c r="H150" i="36"/>
  <c r="I149" i="36"/>
  <c r="E149" i="36"/>
  <c r="G149" i="36"/>
  <c r="D161" i="36"/>
  <c r="H149" i="36"/>
  <c r="AE113" i="42"/>
  <c r="AD272" i="42"/>
  <c r="AE113" i="43"/>
  <c r="AD272" i="43"/>
  <c r="D159" i="36"/>
  <c r="I147" i="36"/>
  <c r="E147" i="36"/>
  <c r="G147" i="36"/>
  <c r="H147" i="36"/>
  <c r="I154" i="36"/>
  <c r="E154" i="36"/>
  <c r="D166" i="36"/>
  <c r="G154" i="36"/>
  <c r="H154" i="36"/>
  <c r="AE113" i="41"/>
  <c r="AD272" i="41"/>
  <c r="E155" i="36"/>
  <c r="D167" i="36"/>
  <c r="G155" i="36"/>
  <c r="I155" i="36"/>
  <c r="H155" i="36"/>
  <c r="I158" i="36"/>
  <c r="D170" i="36"/>
  <c r="G158" i="36"/>
  <c r="E158" i="36"/>
  <c r="H158" i="36"/>
  <c r="D164" i="36"/>
  <c r="G152" i="36"/>
  <c r="I152" i="36"/>
  <c r="E152" i="36"/>
  <c r="H152" i="36"/>
  <c r="I151" i="36"/>
  <c r="D163" i="36"/>
  <c r="G151" i="36"/>
  <c r="E151" i="36"/>
  <c r="H151" i="36"/>
  <c r="E156" i="36"/>
  <c r="G156" i="36"/>
  <c r="D168" i="36"/>
  <c r="I156" i="36"/>
  <c r="H156" i="36"/>
  <c r="G166" i="36" l="1"/>
  <c r="I166" i="36"/>
  <c r="D178" i="36"/>
  <c r="E166" i="36"/>
  <c r="H166" i="36"/>
  <c r="G165" i="36"/>
  <c r="I165" i="36"/>
  <c r="D177" i="36"/>
  <c r="E165" i="36"/>
  <c r="H165" i="36"/>
  <c r="G168" i="36"/>
  <c r="D180" i="36"/>
  <c r="I168" i="36"/>
  <c r="E168" i="36"/>
  <c r="H168" i="36"/>
  <c r="D179" i="36"/>
  <c r="G167" i="36"/>
  <c r="I167" i="36"/>
  <c r="E167" i="36"/>
  <c r="H167" i="36"/>
  <c r="G162" i="36"/>
  <c r="E162" i="36"/>
  <c r="D174" i="36"/>
  <c r="I162" i="36"/>
  <c r="H162" i="36"/>
  <c r="D181" i="36"/>
  <c r="E169" i="36"/>
  <c r="G169" i="36"/>
  <c r="I169" i="36"/>
  <c r="H169" i="36"/>
  <c r="G163" i="36"/>
  <c r="E163" i="36"/>
  <c r="D175" i="36"/>
  <c r="I163" i="36"/>
  <c r="H163" i="36"/>
  <c r="I159" i="36"/>
  <c r="E159" i="36"/>
  <c r="D171" i="36"/>
  <c r="G159" i="36"/>
  <c r="H159" i="36"/>
  <c r="G161" i="36"/>
  <c r="E161" i="36"/>
  <c r="D173" i="36"/>
  <c r="I161" i="36"/>
  <c r="H161" i="36"/>
  <c r="G160" i="36"/>
  <c r="E160" i="36"/>
  <c r="I160" i="36"/>
  <c r="D172" i="36"/>
  <c r="H160" i="36"/>
  <c r="I164" i="36"/>
  <c r="E164" i="36"/>
  <c r="G164" i="36"/>
  <c r="D176" i="36"/>
  <c r="H164" i="36"/>
  <c r="G170" i="36"/>
  <c r="E170" i="36"/>
  <c r="D182" i="36"/>
  <c r="I170" i="36"/>
  <c r="H170" i="36"/>
  <c r="I171" i="36" l="1"/>
  <c r="E171" i="36"/>
  <c r="D183" i="36"/>
  <c r="G171" i="36"/>
  <c r="H171" i="36"/>
  <c r="G176" i="36"/>
  <c r="D188" i="36"/>
  <c r="I176" i="36"/>
  <c r="E176" i="36"/>
  <c r="H176" i="36"/>
  <c r="I172" i="36"/>
  <c r="G172" i="36"/>
  <c r="D184" i="36"/>
  <c r="E172" i="36"/>
  <c r="H172" i="36"/>
  <c r="I174" i="36"/>
  <c r="E174" i="36"/>
  <c r="D186" i="36"/>
  <c r="G174" i="36"/>
  <c r="H174" i="36"/>
  <c r="E179" i="36"/>
  <c r="G179" i="36"/>
  <c r="I179" i="36"/>
  <c r="D191" i="36"/>
  <c r="H179" i="36"/>
  <c r="I180" i="36"/>
  <c r="G180" i="36"/>
  <c r="D192" i="36"/>
  <c r="E180" i="36"/>
  <c r="H180" i="36"/>
  <c r="D194" i="36"/>
  <c r="I182" i="36"/>
  <c r="E182" i="36"/>
  <c r="G182" i="36"/>
  <c r="H182" i="36"/>
  <c r="D187" i="36"/>
  <c r="I175" i="36"/>
  <c r="E175" i="36"/>
  <c r="G175" i="36"/>
  <c r="H175" i="36"/>
  <c r="D185" i="36"/>
  <c r="E173" i="36"/>
  <c r="I173" i="36"/>
  <c r="G173" i="36"/>
  <c r="H173" i="36"/>
  <c r="I181" i="36"/>
  <c r="E181" i="36"/>
  <c r="G181" i="36"/>
  <c r="D193" i="36"/>
  <c r="H181" i="36"/>
  <c r="G177" i="36"/>
  <c r="E177" i="36"/>
  <c r="D189" i="36"/>
  <c r="I177" i="36"/>
  <c r="H177" i="36"/>
  <c r="G178" i="36"/>
  <c r="D190" i="36"/>
  <c r="I178" i="36"/>
  <c r="E178" i="36"/>
  <c r="H178" i="36"/>
  <c r="G187" i="36" l="1"/>
  <c r="I187" i="36"/>
  <c r="E187" i="36"/>
  <c r="D199" i="36"/>
  <c r="H187" i="36"/>
  <c r="E190" i="36"/>
  <c r="D202" i="36"/>
  <c r="I190" i="36"/>
  <c r="G190" i="36"/>
  <c r="H190" i="36"/>
  <c r="G185" i="36"/>
  <c r="I185" i="36"/>
  <c r="D197" i="36"/>
  <c r="E185" i="36"/>
  <c r="H185" i="36"/>
  <c r="D204" i="36"/>
  <c r="E192" i="36"/>
  <c r="G192" i="36"/>
  <c r="I192" i="36"/>
  <c r="H192" i="36"/>
  <c r="I186" i="36"/>
  <c r="D198" i="36"/>
  <c r="G186" i="36"/>
  <c r="E186" i="36"/>
  <c r="H186" i="36"/>
  <c r="G184" i="36"/>
  <c r="E184" i="36"/>
  <c r="D196" i="36"/>
  <c r="I184" i="36"/>
  <c r="H184" i="36"/>
  <c r="D205" i="36"/>
  <c r="E193" i="36"/>
  <c r="G193" i="36"/>
  <c r="I193" i="36"/>
  <c r="H193" i="36"/>
  <c r="D203" i="36"/>
  <c r="I191" i="36"/>
  <c r="E191" i="36"/>
  <c r="G191" i="36"/>
  <c r="H191" i="36"/>
  <c r="D201" i="36"/>
  <c r="I189" i="36"/>
  <c r="G189" i="36"/>
  <c r="E189" i="36"/>
  <c r="H189" i="36"/>
  <c r="G194" i="36"/>
  <c r="I194" i="36"/>
  <c r="E194" i="36"/>
  <c r="D206" i="36"/>
  <c r="H194" i="36"/>
  <c r="G188" i="36"/>
  <c r="D200" i="36"/>
  <c r="I188" i="36"/>
  <c r="E188" i="36"/>
  <c r="H188" i="36"/>
  <c r="D195" i="36"/>
  <c r="I183" i="36"/>
  <c r="E183" i="36"/>
  <c r="G183" i="36"/>
  <c r="H183" i="36"/>
  <c r="E205" i="36" l="1"/>
  <c r="I205" i="36"/>
  <c r="D217" i="36"/>
  <c r="G205" i="36"/>
  <c r="H205" i="36"/>
  <c r="I196" i="36"/>
  <c r="E196" i="36"/>
  <c r="G196" i="36"/>
  <c r="D208" i="36"/>
  <c r="H196" i="36"/>
  <c r="G204" i="36"/>
  <c r="D216" i="36"/>
  <c r="E204" i="36"/>
  <c r="I204" i="36"/>
  <c r="H204" i="36"/>
  <c r="E198" i="36"/>
  <c r="G198" i="36"/>
  <c r="D210" i="36"/>
  <c r="I198" i="36"/>
  <c r="H198" i="36"/>
  <c r="E195" i="36"/>
  <c r="D207" i="36"/>
  <c r="I195" i="36"/>
  <c r="G195" i="36"/>
  <c r="H195" i="36"/>
  <c r="I201" i="36"/>
  <c r="E201" i="36"/>
  <c r="D213" i="36"/>
  <c r="G201" i="36"/>
  <c r="H201" i="36"/>
  <c r="I197" i="36"/>
  <c r="G197" i="36"/>
  <c r="D209" i="36"/>
  <c r="E197" i="36"/>
  <c r="H197" i="36"/>
  <c r="D214" i="36"/>
  <c r="G202" i="36"/>
  <c r="I202" i="36"/>
  <c r="E202" i="36"/>
  <c r="H202" i="36"/>
  <c r="D218" i="36"/>
  <c r="G206" i="36"/>
  <c r="E206" i="36"/>
  <c r="I206" i="36"/>
  <c r="H206" i="36"/>
  <c r="D212" i="36"/>
  <c r="E200" i="36"/>
  <c r="I200" i="36"/>
  <c r="G200" i="36"/>
  <c r="H200" i="36"/>
  <c r="D215" i="36"/>
  <c r="E203" i="36"/>
  <c r="I203" i="36"/>
  <c r="G203" i="36"/>
  <c r="H203" i="36"/>
  <c r="G199" i="36"/>
  <c r="I199" i="36"/>
  <c r="E199" i="36"/>
  <c r="D211" i="36"/>
  <c r="H199" i="36"/>
  <c r="E214" i="36" l="1"/>
  <c r="D226" i="36"/>
  <c r="I214" i="36"/>
  <c r="G214" i="36"/>
  <c r="H214" i="36"/>
  <c r="E215" i="36"/>
  <c r="D227" i="36"/>
  <c r="I215" i="36"/>
  <c r="G215" i="36"/>
  <c r="H215" i="36"/>
  <c r="E212" i="36"/>
  <c r="D224" i="36"/>
  <c r="G212" i="36"/>
  <c r="I212" i="36"/>
  <c r="H212" i="36"/>
  <c r="E213" i="36"/>
  <c r="G213" i="36"/>
  <c r="D225" i="36"/>
  <c r="I213" i="36"/>
  <c r="H213" i="36"/>
  <c r="G207" i="36"/>
  <c r="I207" i="36"/>
  <c r="D219" i="36"/>
  <c r="E207" i="36"/>
  <c r="H207" i="36"/>
  <c r="G208" i="36"/>
  <c r="E208" i="36"/>
  <c r="I208" i="36"/>
  <c r="D220" i="36"/>
  <c r="H208" i="36"/>
  <c r="G211" i="36"/>
  <c r="E211" i="36"/>
  <c r="D223" i="36"/>
  <c r="I211" i="36"/>
  <c r="H211" i="36"/>
  <c r="E218" i="36"/>
  <c r="D230" i="36"/>
  <c r="I218" i="36"/>
  <c r="G218" i="36"/>
  <c r="H218" i="36"/>
  <c r="D221" i="36"/>
  <c r="I209" i="36"/>
  <c r="E209" i="36"/>
  <c r="G209" i="36"/>
  <c r="H209" i="36"/>
  <c r="D228" i="36"/>
  <c r="E216" i="36"/>
  <c r="I216" i="36"/>
  <c r="G216" i="36"/>
  <c r="H216" i="36"/>
  <c r="D229" i="36"/>
  <c r="E217" i="36"/>
  <c r="G217" i="36"/>
  <c r="I217" i="36"/>
  <c r="H217" i="36"/>
  <c r="D222" i="36"/>
  <c r="E210" i="36"/>
  <c r="I210" i="36"/>
  <c r="G210" i="36"/>
  <c r="H210" i="36"/>
  <c r="I220" i="36" l="1"/>
  <c r="G220" i="36"/>
  <c r="F220" i="36"/>
  <c r="H220" i="36"/>
  <c r="G219" i="36"/>
  <c r="I219" i="36"/>
  <c r="H219" i="36"/>
  <c r="F219" i="36"/>
  <c r="I225" i="36"/>
  <c r="G225" i="36"/>
  <c r="F225" i="36"/>
  <c r="H225" i="36"/>
  <c r="I226" i="36"/>
  <c r="G226" i="36"/>
  <c r="F226" i="36"/>
  <c r="H226" i="36"/>
  <c r="I221" i="36"/>
  <c r="G221" i="36"/>
  <c r="F221" i="36"/>
  <c r="H221" i="36"/>
  <c r="I224" i="36"/>
  <c r="G224" i="36"/>
  <c r="F224" i="36"/>
  <c r="H224" i="36"/>
  <c r="I227" i="36"/>
  <c r="G227" i="36"/>
  <c r="F227" i="36"/>
  <c r="H227" i="36"/>
  <c r="I223" i="36"/>
  <c r="G223" i="36"/>
  <c r="F223" i="36"/>
  <c r="H223" i="36"/>
  <c r="I222" i="36"/>
  <c r="G222" i="36"/>
  <c r="F222" i="36"/>
  <c r="H222" i="36"/>
  <c r="I229" i="36"/>
  <c r="G229" i="36"/>
  <c r="F229" i="36"/>
  <c r="H229" i="36"/>
  <c r="I228" i="36"/>
  <c r="G228" i="36"/>
  <c r="F228" i="36"/>
  <c r="H228" i="36"/>
  <c r="I230" i="36"/>
  <c r="G230" i="36"/>
  <c r="F230" i="36"/>
  <c r="H230" i="36"/>
  <c r="E229" i="36"/>
  <c r="D241" i="36"/>
  <c r="E228" i="36"/>
  <c r="D240" i="36"/>
  <c r="E230" i="36"/>
  <c r="D242" i="36"/>
  <c r="E221" i="36"/>
  <c r="D233" i="36"/>
  <c r="E224" i="36"/>
  <c r="D236" i="36"/>
  <c r="E227" i="36"/>
  <c r="D239" i="36"/>
  <c r="E223" i="36"/>
  <c r="D235" i="36"/>
  <c r="E222" i="36"/>
  <c r="D234" i="36"/>
  <c r="E220" i="36"/>
  <c r="D232" i="36"/>
  <c r="E219" i="36"/>
  <c r="D231" i="36"/>
  <c r="E225" i="36"/>
  <c r="D237" i="36"/>
  <c r="E226" i="36"/>
  <c r="D238" i="36"/>
  <c r="I231" i="36" l="1"/>
  <c r="G231" i="36"/>
  <c r="F231" i="36"/>
  <c r="H231" i="36"/>
  <c r="I240" i="36"/>
  <c r="G240" i="36"/>
  <c r="F240" i="36"/>
  <c r="H240" i="36"/>
  <c r="I237" i="36"/>
  <c r="G237" i="36"/>
  <c r="F237" i="36"/>
  <c r="H237" i="36"/>
  <c r="I233" i="36"/>
  <c r="G233" i="36"/>
  <c r="F233" i="36"/>
  <c r="H233" i="36"/>
  <c r="I234" i="36"/>
  <c r="G234" i="36"/>
  <c r="F234" i="36"/>
  <c r="H234" i="36"/>
  <c r="I236" i="36"/>
  <c r="G236" i="36"/>
  <c r="F236" i="36"/>
  <c r="H236" i="36"/>
  <c r="I242" i="36"/>
  <c r="G242" i="36"/>
  <c r="F242" i="36"/>
  <c r="H242" i="36"/>
  <c r="I238" i="36"/>
  <c r="G238" i="36"/>
  <c r="F238" i="36"/>
  <c r="H238" i="36"/>
  <c r="I232" i="36"/>
  <c r="G232" i="36"/>
  <c r="F232" i="36"/>
  <c r="H232" i="36"/>
  <c r="I235" i="36"/>
  <c r="G235" i="36"/>
  <c r="F235" i="36"/>
  <c r="H235" i="36"/>
  <c r="I239" i="36"/>
  <c r="G239" i="36"/>
  <c r="F239" i="36"/>
  <c r="H239" i="36"/>
  <c r="J224" i="36"/>
  <c r="I241" i="36"/>
  <c r="G241" i="36"/>
  <c r="F241" i="36"/>
  <c r="H241" i="36"/>
  <c r="E236" i="36"/>
  <c r="D248" i="36"/>
  <c r="E238" i="36"/>
  <c r="D250" i="36"/>
  <c r="J226" i="36"/>
  <c r="J220" i="36"/>
  <c r="J222" i="36"/>
  <c r="J223" i="36"/>
  <c r="J227" i="36"/>
  <c r="E240" i="36"/>
  <c r="D252" i="36"/>
  <c r="E233" i="36"/>
  <c r="D245" i="36"/>
  <c r="J225" i="36"/>
  <c r="J219" i="36"/>
  <c r="J221" i="36"/>
  <c r="E241" i="36"/>
  <c r="D253" i="36"/>
  <c r="E231" i="36"/>
  <c r="D243" i="36"/>
  <c r="E239" i="36"/>
  <c r="D251" i="36"/>
  <c r="J228" i="36"/>
  <c r="E237" i="36"/>
  <c r="D249" i="36"/>
  <c r="E232" i="36"/>
  <c r="D244" i="36"/>
  <c r="E234" i="36"/>
  <c r="D246" i="36"/>
  <c r="E235" i="36"/>
  <c r="D247" i="36"/>
  <c r="E242" i="36"/>
  <c r="D254" i="36"/>
  <c r="J230" i="36"/>
  <c r="J229" i="36"/>
  <c r="J237" i="36" l="1"/>
  <c r="I247" i="36"/>
  <c r="G247" i="36"/>
  <c r="F247" i="36"/>
  <c r="H247" i="36"/>
  <c r="F253" i="36"/>
  <c r="H253" i="36"/>
  <c r="G253" i="36"/>
  <c r="I253" i="36"/>
  <c r="F252" i="36"/>
  <c r="H252" i="36"/>
  <c r="G252" i="36"/>
  <c r="I252" i="36"/>
  <c r="F250" i="36"/>
  <c r="H250" i="36"/>
  <c r="G250" i="36"/>
  <c r="I250" i="36"/>
  <c r="F254" i="36"/>
  <c r="H254" i="36"/>
  <c r="G254" i="36"/>
  <c r="I254" i="36"/>
  <c r="I244" i="36"/>
  <c r="G244" i="36"/>
  <c r="F244" i="36"/>
  <c r="H244" i="36"/>
  <c r="F251" i="36"/>
  <c r="H251" i="36"/>
  <c r="G251" i="36"/>
  <c r="I251" i="36"/>
  <c r="I245" i="36"/>
  <c r="G245" i="36"/>
  <c r="F245" i="36"/>
  <c r="H245" i="36"/>
  <c r="F249" i="36"/>
  <c r="H249" i="36"/>
  <c r="G249" i="36"/>
  <c r="I249" i="36"/>
  <c r="F248" i="36"/>
  <c r="H248" i="36"/>
  <c r="G248" i="36"/>
  <c r="I248" i="36"/>
  <c r="I246" i="36"/>
  <c r="G246" i="36"/>
  <c r="F246" i="36"/>
  <c r="H246" i="36"/>
  <c r="I243" i="36"/>
  <c r="G243" i="36"/>
  <c r="F243" i="36"/>
  <c r="H243" i="36"/>
  <c r="J242" i="36"/>
  <c r="E247" i="36"/>
  <c r="D259" i="36"/>
  <c r="E246" i="36"/>
  <c r="D258" i="36"/>
  <c r="J234" i="36"/>
  <c r="J239" i="36"/>
  <c r="E243" i="36"/>
  <c r="D255" i="36"/>
  <c r="E245" i="36"/>
  <c r="D257" i="36"/>
  <c r="J233" i="36"/>
  <c r="E252" i="36"/>
  <c r="D264" i="36"/>
  <c r="J240" i="36"/>
  <c r="J236" i="36"/>
  <c r="J235" i="36"/>
  <c r="E244" i="36"/>
  <c r="D256" i="36"/>
  <c r="J232" i="36"/>
  <c r="E249" i="36"/>
  <c r="D261" i="36"/>
  <c r="E253" i="36"/>
  <c r="D265" i="36"/>
  <c r="E250" i="36"/>
  <c r="D262" i="36"/>
  <c r="E248" i="36"/>
  <c r="D260" i="36"/>
  <c r="E254" i="36"/>
  <c r="D266" i="36"/>
  <c r="E251" i="36"/>
  <c r="D263" i="36"/>
  <c r="J231" i="36"/>
  <c r="J241" i="36"/>
  <c r="J238" i="36"/>
  <c r="F266" i="36" l="1"/>
  <c r="H266" i="36"/>
  <c r="G266" i="36"/>
  <c r="I266" i="36"/>
  <c r="F262" i="36"/>
  <c r="H262" i="36"/>
  <c r="G262" i="36"/>
  <c r="I262" i="36"/>
  <c r="F258" i="36"/>
  <c r="H258" i="36"/>
  <c r="G258" i="36"/>
  <c r="I258" i="36"/>
  <c r="F261" i="36"/>
  <c r="H261" i="36"/>
  <c r="G261" i="36"/>
  <c r="I261" i="36"/>
  <c r="F259" i="36"/>
  <c r="H259" i="36"/>
  <c r="G259" i="36"/>
  <c r="I259" i="36"/>
  <c r="F263" i="36"/>
  <c r="H263" i="36"/>
  <c r="G263" i="36"/>
  <c r="I263" i="36"/>
  <c r="F265" i="36"/>
  <c r="H265" i="36"/>
  <c r="G265" i="36"/>
  <c r="I265" i="36"/>
  <c r="F256" i="36"/>
  <c r="H256" i="36"/>
  <c r="G256" i="36"/>
  <c r="I256" i="36"/>
  <c r="F264" i="36"/>
  <c r="H264" i="36"/>
  <c r="G264" i="36"/>
  <c r="I264" i="36"/>
  <c r="F257" i="36"/>
  <c r="H257" i="36"/>
  <c r="G257" i="36"/>
  <c r="I257" i="36"/>
  <c r="F255" i="36"/>
  <c r="H255" i="36"/>
  <c r="G255" i="36"/>
  <c r="I255" i="36"/>
  <c r="F260" i="36"/>
  <c r="H260" i="36"/>
  <c r="G260" i="36"/>
  <c r="I260" i="36"/>
  <c r="J249" i="36"/>
  <c r="E260" i="36"/>
  <c r="E265" i="36"/>
  <c r="J244" i="36"/>
  <c r="J243" i="36"/>
  <c r="J251" i="36"/>
  <c r="E262" i="36"/>
  <c r="E263" i="36"/>
  <c r="E261" i="36"/>
  <c r="E256" i="36"/>
  <c r="E264" i="36"/>
  <c r="J252" i="36"/>
  <c r="J247" i="36"/>
  <c r="E266" i="36"/>
  <c r="E258" i="36"/>
  <c r="E257" i="36"/>
  <c r="J246" i="36"/>
  <c r="J250" i="36"/>
  <c r="J254" i="36"/>
  <c r="J248" i="36"/>
  <c r="J253" i="36"/>
  <c r="J245" i="36"/>
  <c r="E255" i="36"/>
  <c r="E259" i="36"/>
  <c r="J263" i="36" l="1"/>
  <c r="J256" i="36"/>
  <c r="J259" i="36"/>
  <c r="J255" i="36"/>
  <c r="J257" i="36"/>
  <c r="J264" i="36"/>
  <c r="J266" i="36"/>
  <c r="J261" i="36"/>
  <c r="J265" i="36"/>
  <c r="J258" i="36"/>
  <c r="J262" i="36"/>
  <c r="J260" i="36"/>
  <c r="R30" i="17" l="1"/>
  <c r="S30" i="17" s="1"/>
  <c r="R29" i="17"/>
  <c r="S29" i="17" s="1"/>
  <c r="R32" i="2"/>
  <c r="S32" i="2" s="1"/>
  <c r="R31" i="2"/>
  <c r="S31" i="2" s="1"/>
  <c r="R30" i="2"/>
  <c r="S30" i="2" s="1"/>
  <c r="R29" i="2"/>
  <c r="S29" i="2" s="1"/>
  <c r="S255" i="44" l="1"/>
  <c r="X255" i="44" s="1"/>
  <c r="S251" i="44"/>
  <c r="X251" i="44" s="1"/>
  <c r="S247" i="44"/>
  <c r="X247" i="44" s="1"/>
  <c r="S254" i="44"/>
  <c r="X254" i="44" s="1"/>
  <c r="S250" i="44"/>
  <c r="X250" i="44" s="1"/>
  <c r="S246" i="44"/>
  <c r="X246" i="44" s="1"/>
  <c r="S253" i="44"/>
  <c r="X253" i="44" s="1"/>
  <c r="S249" i="44"/>
  <c r="X249" i="44" s="1"/>
  <c r="S245" i="44"/>
  <c r="X245" i="44" s="1"/>
  <c r="S256" i="44"/>
  <c r="X256" i="44" s="1"/>
  <c r="S252" i="44"/>
  <c r="X252" i="44" s="1"/>
  <c r="S248" i="44"/>
  <c r="X248" i="44" s="1"/>
  <c r="S231" i="44"/>
  <c r="X231" i="44" s="1"/>
  <c r="S227" i="44"/>
  <c r="X227" i="44" s="1"/>
  <c r="S223" i="44"/>
  <c r="X223" i="44" s="1"/>
  <c r="S230" i="44"/>
  <c r="X230" i="44" s="1"/>
  <c r="S226" i="44"/>
  <c r="X226" i="44" s="1"/>
  <c r="S222" i="44"/>
  <c r="X222" i="44" s="1"/>
  <c r="S229" i="44"/>
  <c r="X229" i="44" s="1"/>
  <c r="S225" i="44"/>
  <c r="X225" i="44" s="1"/>
  <c r="S221" i="44"/>
  <c r="X221" i="44" s="1"/>
  <c r="S224" i="44"/>
  <c r="X224" i="44" s="1"/>
  <c r="S232" i="44"/>
  <c r="X232" i="44" s="1"/>
  <c r="S228" i="44"/>
  <c r="X228" i="44" s="1"/>
  <c r="S243" i="44"/>
  <c r="X243" i="44" s="1"/>
  <c r="S239" i="44"/>
  <c r="X239" i="44" s="1"/>
  <c r="S235" i="44"/>
  <c r="X235" i="44" s="1"/>
  <c r="S242" i="44"/>
  <c r="X242" i="44" s="1"/>
  <c r="S238" i="44"/>
  <c r="X238" i="44" s="1"/>
  <c r="S234" i="44"/>
  <c r="X234" i="44" s="1"/>
  <c r="S241" i="44"/>
  <c r="X241" i="44" s="1"/>
  <c r="S237" i="44"/>
  <c r="X237" i="44" s="1"/>
  <c r="S233" i="44"/>
  <c r="X233" i="44" s="1"/>
  <c r="S240" i="44"/>
  <c r="X240" i="44" s="1"/>
  <c r="S236" i="44"/>
  <c r="X236" i="44" s="1"/>
  <c r="S244" i="44"/>
  <c r="X244" i="44" s="1"/>
  <c r="S267" i="44"/>
  <c r="X267" i="44" s="1"/>
  <c r="S263" i="44"/>
  <c r="X263" i="44" s="1"/>
  <c r="S259" i="44"/>
  <c r="X259" i="44" s="1"/>
  <c r="S266" i="44"/>
  <c r="X266" i="44" s="1"/>
  <c r="S262" i="44"/>
  <c r="X262" i="44" s="1"/>
  <c r="S258" i="44"/>
  <c r="X258" i="44" s="1"/>
  <c r="S265" i="44"/>
  <c r="X265" i="44" s="1"/>
  <c r="S261" i="44"/>
  <c r="X261" i="44" s="1"/>
  <c r="S257" i="44"/>
  <c r="X257" i="44" s="1"/>
  <c r="S268" i="44"/>
  <c r="X268" i="44" s="1"/>
  <c r="S264" i="44"/>
  <c r="X264" i="44" s="1"/>
  <c r="S260" i="44"/>
  <c r="X260" i="44" s="1"/>
  <c r="U227" i="43"/>
  <c r="U226" i="43"/>
  <c r="U232" i="43"/>
  <c r="U223" i="43"/>
  <c r="U229" i="43"/>
  <c r="U224" i="43"/>
  <c r="U231" i="43"/>
  <c r="U222" i="43"/>
  <c r="U223" i="42"/>
  <c r="U221" i="42"/>
  <c r="U225" i="42"/>
  <c r="U229" i="41"/>
  <c r="U231" i="41"/>
  <c r="U226" i="38"/>
  <c r="U231" i="40"/>
  <c r="U227" i="40"/>
  <c r="U223" i="40"/>
  <c r="U223" i="41"/>
  <c r="U223" i="38"/>
  <c r="U221" i="38"/>
  <c r="U228" i="43"/>
  <c r="U229" i="42"/>
  <c r="U228" i="42"/>
  <c r="U232" i="42"/>
  <c r="U232" i="41"/>
  <c r="U226" i="41"/>
  <c r="U230" i="38"/>
  <c r="U222" i="38"/>
  <c r="U229" i="40"/>
  <c r="U225" i="40"/>
  <c r="U221" i="40"/>
  <c r="U231" i="38"/>
  <c r="U224" i="41"/>
  <c r="U227" i="42"/>
  <c r="U222" i="42"/>
  <c r="U221" i="41"/>
  <c r="U232" i="40"/>
  <c r="U224" i="40"/>
  <c r="U227" i="38"/>
  <c r="U221" i="43"/>
  <c r="U231" i="42"/>
  <c r="U230" i="41"/>
  <c r="U228" i="38"/>
  <c r="U226" i="40"/>
  <c r="U229" i="38"/>
  <c r="U224" i="42"/>
  <c r="U222" i="41"/>
  <c r="U230" i="40"/>
  <c r="U225" i="41"/>
  <c r="U225" i="43"/>
  <c r="U226" i="42"/>
  <c r="U228" i="40"/>
  <c r="U230" i="43"/>
  <c r="U227" i="41"/>
  <c r="U222" i="40"/>
  <c r="U232" i="38"/>
  <c r="U228" i="41"/>
  <c r="U230" i="42"/>
  <c r="U224" i="38"/>
  <c r="U225" i="38"/>
  <c r="U237" i="43"/>
  <c r="U235" i="43"/>
  <c r="U244" i="43"/>
  <c r="U243" i="43"/>
  <c r="U234" i="43"/>
  <c r="U240" i="43"/>
  <c r="U236" i="43"/>
  <c r="U241" i="43"/>
  <c r="U242" i="43"/>
  <c r="U238" i="43"/>
  <c r="U243" i="42"/>
  <c r="U240" i="42"/>
  <c r="U244" i="42"/>
  <c r="U236" i="41"/>
  <c r="U235" i="41"/>
  <c r="U242" i="38"/>
  <c r="U234" i="38"/>
  <c r="U241" i="40"/>
  <c r="U237" i="40"/>
  <c r="U233" i="40"/>
  <c r="U241" i="41"/>
  <c r="U241" i="38"/>
  <c r="U237" i="42"/>
  <c r="U242" i="42"/>
  <c r="U236" i="42"/>
  <c r="U244" i="41"/>
  <c r="U240" i="38"/>
  <c r="U243" i="40"/>
  <c r="U238" i="40"/>
  <c r="U233" i="41"/>
  <c r="U239" i="38"/>
  <c r="U233" i="43"/>
  <c r="U241" i="42"/>
  <c r="U239" i="42"/>
  <c r="U242" i="41"/>
  <c r="U243" i="41"/>
  <c r="U236" i="38"/>
  <c r="U240" i="40"/>
  <c r="U235" i="40"/>
  <c r="U237" i="41"/>
  <c r="U237" i="38"/>
  <c r="U235" i="42"/>
  <c r="U239" i="41"/>
  <c r="U242" i="40"/>
  <c r="U234" i="41"/>
  <c r="U239" i="43"/>
  <c r="U238" i="42"/>
  <c r="U244" i="38"/>
  <c r="U239" i="40"/>
  <c r="U243" i="38"/>
  <c r="U233" i="42"/>
  <c r="U240" i="41"/>
  <c r="U238" i="38"/>
  <c r="U236" i="40"/>
  <c r="U235" i="38"/>
  <c r="U234" i="42"/>
  <c r="U238" i="41"/>
  <c r="U244" i="40"/>
  <c r="U234" i="40"/>
  <c r="U233" i="38"/>
  <c r="R31" i="17"/>
  <c r="S31" i="17" s="1"/>
  <c r="U251" i="43"/>
  <c r="U248" i="43"/>
  <c r="U252" i="43"/>
  <c r="U247" i="43"/>
  <c r="U245" i="43"/>
  <c r="U256" i="43"/>
  <c r="U246" i="43"/>
  <c r="U255" i="43"/>
  <c r="U250" i="43"/>
  <c r="U253" i="43"/>
  <c r="U254" i="43"/>
  <c r="U250" i="42"/>
  <c r="U253" i="42"/>
  <c r="U254" i="42"/>
  <c r="U253" i="41"/>
  <c r="U248" i="41"/>
  <c r="U256" i="38"/>
  <c r="U248" i="38"/>
  <c r="U254" i="40"/>
  <c r="U250" i="40"/>
  <c r="U246" i="40"/>
  <c r="U247" i="41"/>
  <c r="U253" i="38"/>
  <c r="U245" i="42"/>
  <c r="U256" i="42"/>
  <c r="U245" i="41"/>
  <c r="U250" i="41"/>
  <c r="U246" i="38"/>
  <c r="U252" i="40"/>
  <c r="U247" i="40"/>
  <c r="U255" i="38"/>
  <c r="U249" i="38"/>
  <c r="U251" i="42"/>
  <c r="U249" i="42"/>
  <c r="U252" i="42"/>
  <c r="U255" i="41"/>
  <c r="U252" i="38"/>
  <c r="U255" i="40"/>
  <c r="U249" i="40"/>
  <c r="U246" i="41"/>
  <c r="U247" i="38"/>
  <c r="U246" i="42"/>
  <c r="U252" i="41"/>
  <c r="U253" i="40"/>
  <c r="U256" i="41"/>
  <c r="U248" i="42"/>
  <c r="U254" i="38"/>
  <c r="U251" i="40"/>
  <c r="U251" i="38"/>
  <c r="U249" i="43"/>
  <c r="U247" i="42"/>
  <c r="U249" i="41"/>
  <c r="U250" i="38"/>
  <c r="U248" i="40"/>
  <c r="U251" i="41"/>
  <c r="U255" i="42"/>
  <c r="U254" i="41"/>
  <c r="U256" i="40"/>
  <c r="U245" i="40"/>
  <c r="U245" i="38"/>
  <c r="T263" i="43"/>
  <c r="T257" i="43"/>
  <c r="T262" i="43"/>
  <c r="T265" i="43"/>
  <c r="T259" i="43"/>
  <c r="T258" i="43"/>
  <c r="T260" i="43"/>
  <c r="T266" i="43"/>
  <c r="T267" i="43"/>
  <c r="T268" i="43"/>
  <c r="T264" i="43"/>
  <c r="T268" i="42"/>
  <c r="T262" i="42"/>
  <c r="T265" i="42"/>
  <c r="T263" i="41"/>
  <c r="T267" i="38"/>
  <c r="T259" i="38"/>
  <c r="T257" i="41"/>
  <c r="T266" i="38"/>
  <c r="T267" i="41"/>
  <c r="T268" i="40"/>
  <c r="T261" i="43"/>
  <c r="T260" i="42"/>
  <c r="T261" i="42"/>
  <c r="T262" i="41"/>
  <c r="T261" i="38"/>
  <c r="T261" i="41"/>
  <c r="T258" i="38"/>
  <c r="T260" i="38"/>
  <c r="T264" i="40"/>
  <c r="T260" i="40"/>
  <c r="T266" i="42"/>
  <c r="T267" i="42"/>
  <c r="T263" i="42"/>
  <c r="T265" i="38"/>
  <c r="T268" i="41"/>
  <c r="T264" i="41"/>
  <c r="T268" i="38"/>
  <c r="T266" i="40"/>
  <c r="T262" i="40"/>
  <c r="T258" i="40"/>
  <c r="T264" i="42"/>
  <c r="T265" i="41"/>
  <c r="T259" i="41"/>
  <c r="T264" i="38"/>
  <c r="T261" i="40"/>
  <c r="T258" i="42"/>
  <c r="T258" i="41"/>
  <c r="T266" i="41"/>
  <c r="T267" i="40"/>
  <c r="T259" i="40"/>
  <c r="T257" i="42"/>
  <c r="T263" i="38"/>
  <c r="T262" i="38"/>
  <c r="T265" i="40"/>
  <c r="T257" i="40"/>
  <c r="R32" i="8"/>
  <c r="T259" i="42"/>
  <c r="T257" i="38"/>
  <c r="T260" i="41"/>
  <c r="T263" i="40"/>
  <c r="T236" i="43"/>
  <c r="T233" i="43"/>
  <c r="T243" i="43"/>
  <c r="T240" i="43"/>
  <c r="Y240" i="43" s="1"/>
  <c r="T239" i="43"/>
  <c r="Y239" i="43" s="1"/>
  <c r="T242" i="43"/>
  <c r="Y242" i="43" s="1"/>
  <c r="T241" i="43"/>
  <c r="T242" i="42"/>
  <c r="T233" i="42"/>
  <c r="T239" i="42"/>
  <c r="Y239" i="42" s="1"/>
  <c r="T243" i="38"/>
  <c r="Y243" i="38" s="1"/>
  <c r="T235" i="38"/>
  <c r="T242" i="41"/>
  <c r="T235" i="41"/>
  <c r="Y235" i="41" s="1"/>
  <c r="T238" i="38"/>
  <c r="Y238" i="38" s="1"/>
  <c r="T236" i="38"/>
  <c r="Y236" i="38" s="1"/>
  <c r="T241" i="40"/>
  <c r="Y241" i="40" s="1"/>
  <c r="T237" i="40"/>
  <c r="Y237" i="40" s="1"/>
  <c r="T233" i="40"/>
  <c r="T235" i="43"/>
  <c r="Y235" i="43" s="1"/>
  <c r="T237" i="43"/>
  <c r="Y237" i="43" s="1"/>
  <c r="T238" i="42"/>
  <c r="Y238" i="42" s="1"/>
  <c r="T244" i="42"/>
  <c r="Y244" i="42" s="1"/>
  <c r="T237" i="42"/>
  <c r="T233" i="41"/>
  <c r="Y233" i="41" s="1"/>
  <c r="T239" i="38"/>
  <c r="Y239" i="38" s="1"/>
  <c r="T240" i="41"/>
  <c r="T243" i="41"/>
  <c r="T238" i="41"/>
  <c r="Y238" i="41" s="1"/>
  <c r="T244" i="38"/>
  <c r="T243" i="40"/>
  <c r="T239" i="40"/>
  <c r="Y239" i="40" s="1"/>
  <c r="T235" i="40"/>
  <c r="T244" i="43"/>
  <c r="Y244" i="43" s="1"/>
  <c r="T234" i="42"/>
  <c r="T235" i="42"/>
  <c r="Y235" i="42" s="1"/>
  <c r="T237" i="38"/>
  <c r="Y237" i="38" s="1"/>
  <c r="T234" i="41"/>
  <c r="Y234" i="41" s="1"/>
  <c r="T240" i="38"/>
  <c r="Y240" i="38" s="1"/>
  <c r="T238" i="40"/>
  <c r="Y238" i="40" s="1"/>
  <c r="T243" i="42"/>
  <c r="T241" i="38"/>
  <c r="Y241" i="38" s="1"/>
  <c r="T236" i="41"/>
  <c r="Y236" i="41" s="1"/>
  <c r="T242" i="40"/>
  <c r="T234" i="43"/>
  <c r="Y234" i="43" s="1"/>
  <c r="T240" i="42"/>
  <c r="T241" i="41"/>
  <c r="Y241" i="41" s="1"/>
  <c r="T244" i="41"/>
  <c r="Y244" i="41" s="1"/>
  <c r="T234" i="38"/>
  <c r="Y234" i="38" s="1"/>
  <c r="T236" i="40"/>
  <c r="Y236" i="40" s="1"/>
  <c r="T241" i="42"/>
  <c r="Y241" i="42" s="1"/>
  <c r="T239" i="41"/>
  <c r="T234" i="40"/>
  <c r="R30" i="8"/>
  <c r="T236" i="42"/>
  <c r="Y236" i="42" s="1"/>
  <c r="T242" i="38"/>
  <c r="T238" i="43"/>
  <c r="Y238" i="43" s="1"/>
  <c r="T237" i="41"/>
  <c r="T244" i="40"/>
  <c r="Y244" i="40" s="1"/>
  <c r="T233" i="38"/>
  <c r="T240" i="40"/>
  <c r="Y240" i="40" s="1"/>
  <c r="T254" i="43"/>
  <c r="Y254" i="43" s="1"/>
  <c r="T245" i="43"/>
  <c r="T252" i="43"/>
  <c r="T246" i="43"/>
  <c r="T248" i="43"/>
  <c r="T247" i="43"/>
  <c r="Y247" i="43" s="1"/>
  <c r="T255" i="43"/>
  <c r="Y255" i="43" s="1"/>
  <c r="T256" i="43"/>
  <c r="Y256" i="43" s="1"/>
  <c r="T251" i="43"/>
  <c r="T253" i="42"/>
  <c r="T245" i="42"/>
  <c r="T248" i="42"/>
  <c r="Y248" i="42" s="1"/>
  <c r="T248" i="41"/>
  <c r="Y248" i="41" s="1"/>
  <c r="T253" i="41"/>
  <c r="T249" i="38"/>
  <c r="Y249" i="38" s="1"/>
  <c r="T245" i="41"/>
  <c r="Y245" i="41" s="1"/>
  <c r="T247" i="41"/>
  <c r="T256" i="38"/>
  <c r="T255" i="40"/>
  <c r="T251" i="40"/>
  <c r="Y251" i="40" s="1"/>
  <c r="T247" i="40"/>
  <c r="T249" i="43"/>
  <c r="T255" i="42"/>
  <c r="Y255" i="42" s="1"/>
  <c r="T246" i="42"/>
  <c r="Y246" i="42" s="1"/>
  <c r="T256" i="42"/>
  <c r="T246" i="41"/>
  <c r="Y246" i="41" s="1"/>
  <c r="T247" i="38"/>
  <c r="Y247" i="38" s="1"/>
  <c r="T256" i="41"/>
  <c r="Y256" i="41" s="1"/>
  <c r="T246" i="38"/>
  <c r="Y246" i="38" s="1"/>
  <c r="T254" i="40"/>
  <c r="T249" i="40"/>
  <c r="T247" i="42"/>
  <c r="T254" i="42"/>
  <c r="T250" i="41"/>
  <c r="T253" i="38"/>
  <c r="T252" i="41"/>
  <c r="T254" i="38"/>
  <c r="Y254" i="38" s="1"/>
  <c r="T248" i="38"/>
  <c r="T252" i="40"/>
  <c r="Y252" i="40" s="1"/>
  <c r="T246" i="40"/>
  <c r="Y246" i="40" s="1"/>
  <c r="T251" i="42"/>
  <c r="T254" i="41"/>
  <c r="T245" i="38"/>
  <c r="Y245" i="38" s="1"/>
  <c r="T252" i="38"/>
  <c r="Y252" i="38" s="1"/>
  <c r="T248" i="40"/>
  <c r="T249" i="42"/>
  <c r="T249" i="41"/>
  <c r="Y249" i="41" s="1"/>
  <c r="T251" i="41"/>
  <c r="T256" i="40"/>
  <c r="T245" i="40"/>
  <c r="T250" i="43"/>
  <c r="Y250" i="43" s="1"/>
  <c r="T252" i="42"/>
  <c r="T255" i="38"/>
  <c r="Y255" i="38" s="1"/>
  <c r="T255" i="41"/>
  <c r="Y255" i="41" s="1"/>
  <c r="T253" i="40"/>
  <c r="Y253" i="40" s="1"/>
  <c r="R31" i="8"/>
  <c r="T253" i="43"/>
  <c r="T250" i="42"/>
  <c r="Y250" i="42" s="1"/>
  <c r="T251" i="38"/>
  <c r="Y251" i="38" s="1"/>
  <c r="T250" i="38"/>
  <c r="Y250" i="38" s="1"/>
  <c r="T250" i="40"/>
  <c r="Y250" i="40" s="1"/>
  <c r="R32" i="17"/>
  <c r="S32" i="17" s="1"/>
  <c r="T222" i="43"/>
  <c r="Y222" i="43" s="1"/>
  <c r="T223" i="43"/>
  <c r="Y223" i="43" s="1"/>
  <c r="T228" i="43"/>
  <c r="T230" i="43"/>
  <c r="T225" i="43"/>
  <c r="T232" i="43"/>
  <c r="T227" i="43"/>
  <c r="T226" i="43"/>
  <c r="T224" i="43"/>
  <c r="T231" i="43"/>
  <c r="T221" i="43"/>
  <c r="Y221" i="43" s="1"/>
  <c r="T226" i="42"/>
  <c r="T221" i="42"/>
  <c r="T223" i="42"/>
  <c r="Y223" i="42" s="1"/>
  <c r="T230" i="41"/>
  <c r="T226" i="41"/>
  <c r="T225" i="38"/>
  <c r="Y225" i="38" s="1"/>
  <c r="T225" i="41"/>
  <c r="Y225" i="41" s="1"/>
  <c r="T232" i="38"/>
  <c r="Y232" i="38" s="1"/>
  <c r="T229" i="41"/>
  <c r="Y229" i="41" s="1"/>
  <c r="T231" i="40"/>
  <c r="T227" i="40"/>
  <c r="T223" i="40"/>
  <c r="T225" i="42"/>
  <c r="T230" i="42"/>
  <c r="T229" i="42"/>
  <c r="Y229" i="42" s="1"/>
  <c r="T231" i="41"/>
  <c r="T231" i="38"/>
  <c r="Y231" i="38" s="1"/>
  <c r="T223" i="38"/>
  <c r="T221" i="41"/>
  <c r="Y221" i="41" s="1"/>
  <c r="T230" i="38"/>
  <c r="Y230" i="38" s="1"/>
  <c r="T228" i="38"/>
  <c r="T230" i="40"/>
  <c r="T226" i="40"/>
  <c r="T222" i="40"/>
  <c r="Y222" i="40" s="1"/>
  <c r="R29" i="8"/>
  <c r="T229" i="43"/>
  <c r="Y229" i="43" s="1"/>
  <c r="T228" i="42"/>
  <c r="T224" i="42"/>
  <c r="T231" i="42"/>
  <c r="T224" i="41"/>
  <c r="Y224" i="41" s="1"/>
  <c r="T229" i="38"/>
  <c r="Y229" i="38" s="1"/>
  <c r="T221" i="38"/>
  <c r="Y221" i="38" s="1"/>
  <c r="T232" i="41"/>
  <c r="T226" i="38"/>
  <c r="T224" i="38"/>
  <c r="T229" i="40"/>
  <c r="T225" i="40"/>
  <c r="T221" i="40"/>
  <c r="T232" i="42"/>
  <c r="Y232" i="42" s="1"/>
  <c r="T222" i="42"/>
  <c r="Y222" i="42" s="1"/>
  <c r="T227" i="42"/>
  <c r="T228" i="41"/>
  <c r="Y228" i="41" s="1"/>
  <c r="T223" i="41"/>
  <c r="Y223" i="41" s="1"/>
  <c r="T227" i="38"/>
  <c r="Y227" i="38" s="1"/>
  <c r="T227" i="41"/>
  <c r="T222" i="41"/>
  <c r="T222" i="38"/>
  <c r="Y222" i="38" s="1"/>
  <c r="T232" i="40"/>
  <c r="T228" i="40"/>
  <c r="T224" i="40"/>
  <c r="U264" i="43"/>
  <c r="U257" i="43"/>
  <c r="U265" i="43"/>
  <c r="U263" i="43"/>
  <c r="U268" i="43"/>
  <c r="U266" i="43"/>
  <c r="U267" i="43"/>
  <c r="U259" i="43"/>
  <c r="U262" i="43"/>
  <c r="U261" i="43"/>
  <c r="U260" i="43"/>
  <c r="U259" i="42"/>
  <c r="U260" i="42"/>
  <c r="U263" i="42"/>
  <c r="U265" i="41"/>
  <c r="U268" i="38"/>
  <c r="U260" i="38"/>
  <c r="U266" i="40"/>
  <c r="U262" i="40"/>
  <c r="U258" i="40"/>
  <c r="U257" i="41"/>
  <c r="U259" i="38"/>
  <c r="U262" i="41"/>
  <c r="U258" i="43"/>
  <c r="U267" i="42"/>
  <c r="U257" i="42"/>
  <c r="U262" i="42"/>
  <c r="U266" i="41"/>
  <c r="U266" i="38"/>
  <c r="U258" i="38"/>
  <c r="U265" i="40"/>
  <c r="U261" i="40"/>
  <c r="U257" i="40"/>
  <c r="U268" i="41"/>
  <c r="U265" i="38"/>
  <c r="U259" i="41"/>
  <c r="U261" i="42"/>
  <c r="U266" i="42"/>
  <c r="U265" i="42"/>
  <c r="U263" i="41"/>
  <c r="U264" i="41"/>
  <c r="U264" i="38"/>
  <c r="U268" i="40"/>
  <c r="U264" i="40"/>
  <c r="U260" i="40"/>
  <c r="U267" i="41"/>
  <c r="U267" i="38"/>
  <c r="U261" i="38"/>
  <c r="U258" i="42"/>
  <c r="U268" i="42"/>
  <c r="U264" i="42"/>
  <c r="U261" i="41"/>
  <c r="U260" i="41"/>
  <c r="U262" i="38"/>
  <c r="U267" i="40"/>
  <c r="U263" i="40"/>
  <c r="U259" i="40"/>
  <c r="U258" i="41"/>
  <c r="U263" i="38"/>
  <c r="U257" i="38"/>
  <c r="Y226" i="40" l="1"/>
  <c r="Y227" i="40"/>
  <c r="Y230" i="40"/>
  <c r="Y228" i="40"/>
  <c r="AF228" i="40" s="1"/>
  <c r="AG228" i="40" s="1"/>
  <c r="AH228" i="40" s="1"/>
  <c r="S112" i="44"/>
  <c r="X112" i="44" s="1"/>
  <c r="S108" i="44"/>
  <c r="X108" i="44" s="1"/>
  <c r="S104" i="44"/>
  <c r="X104" i="44" s="1"/>
  <c r="S111" i="44"/>
  <c r="X111" i="44" s="1"/>
  <c r="S107" i="44"/>
  <c r="X107" i="44" s="1"/>
  <c r="S103" i="44"/>
  <c r="X103" i="44" s="1"/>
  <c r="S110" i="44"/>
  <c r="X110" i="44" s="1"/>
  <c r="S106" i="44"/>
  <c r="X106" i="44" s="1"/>
  <c r="S102" i="44"/>
  <c r="X102" i="44" s="1"/>
  <c r="S109" i="44"/>
  <c r="X109" i="44" s="1"/>
  <c r="S105" i="44"/>
  <c r="X105" i="44" s="1"/>
  <c r="S101" i="44"/>
  <c r="X101" i="44" s="1"/>
  <c r="S220" i="44"/>
  <c r="X220" i="44" s="1"/>
  <c r="S217" i="44"/>
  <c r="X217" i="44" s="1"/>
  <c r="S213" i="44"/>
  <c r="X213" i="44" s="1"/>
  <c r="S209" i="44"/>
  <c r="X209" i="44" s="1"/>
  <c r="S216" i="44"/>
  <c r="X216" i="44" s="1"/>
  <c r="S212" i="44"/>
  <c r="X212" i="44" s="1"/>
  <c r="S215" i="44"/>
  <c r="X215" i="44" s="1"/>
  <c r="S211" i="44"/>
  <c r="X211" i="44" s="1"/>
  <c r="S218" i="44"/>
  <c r="X218" i="44" s="1"/>
  <c r="S214" i="44"/>
  <c r="X214" i="44" s="1"/>
  <c r="S219" i="44"/>
  <c r="X219" i="44" s="1"/>
  <c r="S210" i="44"/>
  <c r="X210" i="44" s="1"/>
  <c r="AE267" i="44"/>
  <c r="AF267" i="44" s="1"/>
  <c r="AG267" i="44" s="1"/>
  <c r="Y267" i="44"/>
  <c r="AB267" i="44" s="1"/>
  <c r="AH267" i="44" s="1"/>
  <c r="Y243" i="44"/>
  <c r="AB243" i="44" s="1"/>
  <c r="AH243" i="44" s="1"/>
  <c r="AE243" i="44"/>
  <c r="AF243" i="44" s="1"/>
  <c r="AG243" i="44" s="1"/>
  <c r="AE226" i="44"/>
  <c r="AF226" i="44" s="1"/>
  <c r="AG226" i="44" s="1"/>
  <c r="Y226" i="44"/>
  <c r="AB226" i="44" s="1"/>
  <c r="AH226" i="44" s="1"/>
  <c r="AE245" i="44"/>
  <c r="AF245" i="44" s="1"/>
  <c r="AG245" i="44" s="1"/>
  <c r="Y245" i="44"/>
  <c r="X295" i="44"/>
  <c r="AE250" i="44"/>
  <c r="AF250" i="44" s="1"/>
  <c r="AG250" i="44" s="1"/>
  <c r="Y250" i="44"/>
  <c r="AB250" i="44" s="1"/>
  <c r="AH250" i="44" s="1"/>
  <c r="S173" i="44"/>
  <c r="X173" i="44" s="1"/>
  <c r="S174" i="44"/>
  <c r="X174" i="44" s="1"/>
  <c r="S176" i="44"/>
  <c r="X176" i="44" s="1"/>
  <c r="S178" i="44"/>
  <c r="X178" i="44" s="1"/>
  <c r="S180" i="44"/>
  <c r="X180" i="44" s="1"/>
  <c r="S182" i="44"/>
  <c r="X182" i="44" s="1"/>
  <c r="S184" i="44"/>
  <c r="X184" i="44" s="1"/>
  <c r="S177" i="44"/>
  <c r="X177" i="44" s="1"/>
  <c r="S175" i="44"/>
  <c r="X175" i="44" s="1"/>
  <c r="S183" i="44"/>
  <c r="X183" i="44" s="1"/>
  <c r="S179" i="44"/>
  <c r="X179" i="44" s="1"/>
  <c r="S181" i="44"/>
  <c r="X181" i="44" s="1"/>
  <c r="S78" i="44"/>
  <c r="X78" i="44" s="1"/>
  <c r="S82" i="44"/>
  <c r="X82" i="44" s="1"/>
  <c r="S86" i="44"/>
  <c r="X86" i="44" s="1"/>
  <c r="S79" i="44"/>
  <c r="X79" i="44" s="1"/>
  <c r="S83" i="44"/>
  <c r="X83" i="44" s="1"/>
  <c r="S87" i="44"/>
  <c r="X87" i="44" s="1"/>
  <c r="S80" i="44"/>
  <c r="X80" i="44" s="1"/>
  <c r="S84" i="44"/>
  <c r="X84" i="44" s="1"/>
  <c r="S88" i="44"/>
  <c r="X88" i="44" s="1"/>
  <c r="S85" i="44"/>
  <c r="X85" i="44" s="1"/>
  <c r="S81" i="44"/>
  <c r="X81" i="44" s="1"/>
  <c r="S77" i="44"/>
  <c r="X77" i="44" s="1"/>
  <c r="S42" i="44"/>
  <c r="X42" i="44" s="1"/>
  <c r="S46" i="44"/>
  <c r="X46" i="44" s="1"/>
  <c r="S50" i="44"/>
  <c r="X50" i="44" s="1"/>
  <c r="S43" i="44"/>
  <c r="X43" i="44" s="1"/>
  <c r="S47" i="44"/>
  <c r="X47" i="44" s="1"/>
  <c r="S51" i="44"/>
  <c r="X51" i="44" s="1"/>
  <c r="S44" i="44"/>
  <c r="X44" i="44" s="1"/>
  <c r="S48" i="44"/>
  <c r="X48" i="44" s="1"/>
  <c r="S52" i="44"/>
  <c r="X52" i="44" s="1"/>
  <c r="S45" i="44"/>
  <c r="X45" i="44" s="1"/>
  <c r="S49" i="44"/>
  <c r="X49" i="44" s="1"/>
  <c r="S41" i="44"/>
  <c r="X41" i="44" s="1"/>
  <c r="S18" i="44"/>
  <c r="X18" i="44" s="1"/>
  <c r="S22" i="44"/>
  <c r="X22" i="44" s="1"/>
  <c r="S26" i="44"/>
  <c r="X26" i="44" s="1"/>
  <c r="S19" i="44"/>
  <c r="X19" i="44" s="1"/>
  <c r="S23" i="44"/>
  <c r="X23" i="44" s="1"/>
  <c r="S27" i="44"/>
  <c r="X27" i="44" s="1"/>
  <c r="S20" i="44"/>
  <c r="X20" i="44" s="1"/>
  <c r="S24" i="44"/>
  <c r="X24" i="44" s="1"/>
  <c r="S28" i="44"/>
  <c r="X28" i="44" s="1"/>
  <c r="S17" i="44"/>
  <c r="X17" i="44" s="1"/>
  <c r="S25" i="44"/>
  <c r="X25" i="44" s="1"/>
  <c r="S21" i="44"/>
  <c r="X21" i="44" s="1"/>
  <c r="S148" i="44"/>
  <c r="X148" i="44" s="1"/>
  <c r="S144" i="44"/>
  <c r="X144" i="44" s="1"/>
  <c r="S140" i="44"/>
  <c r="X140" i="44" s="1"/>
  <c r="S147" i="44"/>
  <c r="X147" i="44" s="1"/>
  <c r="S143" i="44"/>
  <c r="X143" i="44" s="1"/>
  <c r="S139" i="44"/>
  <c r="X139" i="44" s="1"/>
  <c r="S146" i="44"/>
  <c r="X146" i="44" s="1"/>
  <c r="S142" i="44"/>
  <c r="X142" i="44" s="1"/>
  <c r="S138" i="44"/>
  <c r="X138" i="44" s="1"/>
  <c r="S145" i="44"/>
  <c r="X145" i="44" s="1"/>
  <c r="S141" i="44"/>
  <c r="X141" i="44" s="1"/>
  <c r="S137" i="44"/>
  <c r="X137" i="44" s="1"/>
  <c r="AE260" i="44"/>
  <c r="AF260" i="44" s="1"/>
  <c r="AG260" i="44" s="1"/>
  <c r="Y260" i="44"/>
  <c r="AB260" i="44" s="1"/>
  <c r="AH260" i="44" s="1"/>
  <c r="AE261" i="44"/>
  <c r="AF261" i="44" s="1"/>
  <c r="AG261" i="44" s="1"/>
  <c r="AI261" i="44" s="1"/>
  <c r="Y261" i="44"/>
  <c r="AB261" i="44" s="1"/>
  <c r="AH261" i="44" s="1"/>
  <c r="AE266" i="44"/>
  <c r="AF266" i="44" s="1"/>
  <c r="AG266" i="44" s="1"/>
  <c r="Y266" i="44"/>
  <c r="AB266" i="44" s="1"/>
  <c r="AH266" i="44" s="1"/>
  <c r="AE244" i="44"/>
  <c r="AF244" i="44" s="1"/>
  <c r="AG244" i="44" s="1"/>
  <c r="AI244" i="44" s="1"/>
  <c r="Y244" i="44"/>
  <c r="AB244" i="44" s="1"/>
  <c r="AH244" i="44" s="1"/>
  <c r="Y237" i="44"/>
  <c r="AB237" i="44" s="1"/>
  <c r="AH237" i="44" s="1"/>
  <c r="AE237" i="44"/>
  <c r="AF237" i="44" s="1"/>
  <c r="AG237" i="44" s="1"/>
  <c r="Y242" i="44"/>
  <c r="AB242" i="44" s="1"/>
  <c r="AH242" i="44" s="1"/>
  <c r="AE242" i="44"/>
  <c r="AF242" i="44" s="1"/>
  <c r="AG242" i="44" s="1"/>
  <c r="Y228" i="44"/>
  <c r="AB228" i="44" s="1"/>
  <c r="AH228" i="44" s="1"/>
  <c r="AE228" i="44"/>
  <c r="AF228" i="44" s="1"/>
  <c r="AG228" i="44" s="1"/>
  <c r="AE225" i="44"/>
  <c r="AF225" i="44" s="1"/>
  <c r="AG225" i="44" s="1"/>
  <c r="AI225" i="44" s="1"/>
  <c r="Y225" i="44"/>
  <c r="AB225" i="44" s="1"/>
  <c r="AH225" i="44" s="1"/>
  <c r="AE230" i="44"/>
  <c r="AF230" i="44" s="1"/>
  <c r="AG230" i="44" s="1"/>
  <c r="Y230" i="44"/>
  <c r="AB230" i="44" s="1"/>
  <c r="AH230" i="44" s="1"/>
  <c r="AE248" i="44"/>
  <c r="AF248" i="44" s="1"/>
  <c r="AG248" i="44" s="1"/>
  <c r="AI248" i="44" s="1"/>
  <c r="Y248" i="44"/>
  <c r="AB248" i="44" s="1"/>
  <c r="AH248" i="44" s="1"/>
  <c r="Y249" i="44"/>
  <c r="AB249" i="44" s="1"/>
  <c r="AH249" i="44" s="1"/>
  <c r="AE249" i="44"/>
  <c r="AF249" i="44" s="1"/>
  <c r="AG249" i="44" s="1"/>
  <c r="Y254" i="44"/>
  <c r="AB254" i="44" s="1"/>
  <c r="AH254" i="44" s="1"/>
  <c r="AE254" i="44"/>
  <c r="AF254" i="44" s="1"/>
  <c r="AG254" i="44" s="1"/>
  <c r="S124" i="44"/>
  <c r="X124" i="44" s="1"/>
  <c r="S120" i="44"/>
  <c r="X120" i="44" s="1"/>
  <c r="S116" i="44"/>
  <c r="X116" i="44" s="1"/>
  <c r="S123" i="44"/>
  <c r="X123" i="44" s="1"/>
  <c r="S119" i="44"/>
  <c r="X119" i="44" s="1"/>
  <c r="S115" i="44"/>
  <c r="X115" i="44" s="1"/>
  <c r="S122" i="44"/>
  <c r="X122" i="44" s="1"/>
  <c r="S118" i="44"/>
  <c r="X118" i="44" s="1"/>
  <c r="S114" i="44"/>
  <c r="X114" i="44" s="1"/>
  <c r="S113" i="44"/>
  <c r="X113" i="44" s="1"/>
  <c r="S121" i="44"/>
  <c r="X121" i="44" s="1"/>
  <c r="S117" i="44"/>
  <c r="X117" i="44" s="1"/>
  <c r="S193" i="44"/>
  <c r="X193" i="44" s="1"/>
  <c r="S189" i="44"/>
  <c r="X189" i="44" s="1"/>
  <c r="S185" i="44"/>
  <c r="X185" i="44" s="1"/>
  <c r="S196" i="44"/>
  <c r="X196" i="44" s="1"/>
  <c r="S192" i="44"/>
  <c r="X192" i="44" s="1"/>
  <c r="S188" i="44"/>
  <c r="X188" i="44" s="1"/>
  <c r="S195" i="44"/>
  <c r="X195" i="44" s="1"/>
  <c r="S191" i="44"/>
  <c r="X191" i="44" s="1"/>
  <c r="S187" i="44"/>
  <c r="X187" i="44" s="1"/>
  <c r="S190" i="44"/>
  <c r="X190" i="44" s="1"/>
  <c r="S186" i="44"/>
  <c r="X186" i="44" s="1"/>
  <c r="S194" i="44"/>
  <c r="X194" i="44" s="1"/>
  <c r="X296" i="44"/>
  <c r="AE257" i="44"/>
  <c r="AF257" i="44" s="1"/>
  <c r="AG257" i="44" s="1"/>
  <c r="Y257" i="44"/>
  <c r="AE262" i="44"/>
  <c r="AF262" i="44" s="1"/>
  <c r="AG262" i="44" s="1"/>
  <c r="Y262" i="44"/>
  <c r="AB262" i="44" s="1"/>
  <c r="AH262" i="44" s="1"/>
  <c r="AE233" i="44"/>
  <c r="AF233" i="44" s="1"/>
  <c r="AG233" i="44" s="1"/>
  <c r="Y233" i="44"/>
  <c r="X294" i="44"/>
  <c r="AE238" i="44"/>
  <c r="AF238" i="44" s="1"/>
  <c r="AG238" i="44" s="1"/>
  <c r="Y238" i="44"/>
  <c r="AB238" i="44" s="1"/>
  <c r="AH238" i="44" s="1"/>
  <c r="AE221" i="44"/>
  <c r="AF221" i="44" s="1"/>
  <c r="AG221" i="44" s="1"/>
  <c r="Y221" i="44"/>
  <c r="X293" i="44"/>
  <c r="AE255" i="44"/>
  <c r="AF255" i="44" s="1"/>
  <c r="AG255" i="44" s="1"/>
  <c r="Y255" i="44"/>
  <c r="AB255" i="44" s="1"/>
  <c r="AH255" i="44" s="1"/>
  <c r="S205" i="44"/>
  <c r="X205" i="44" s="1"/>
  <c r="S201" i="44"/>
  <c r="X201" i="44" s="1"/>
  <c r="S197" i="44"/>
  <c r="X197" i="44" s="1"/>
  <c r="S208" i="44"/>
  <c r="X208" i="44" s="1"/>
  <c r="S204" i="44"/>
  <c r="X204" i="44" s="1"/>
  <c r="S200" i="44"/>
  <c r="X200" i="44" s="1"/>
  <c r="S207" i="44"/>
  <c r="X207" i="44" s="1"/>
  <c r="S203" i="44"/>
  <c r="X203" i="44" s="1"/>
  <c r="S199" i="44"/>
  <c r="X199" i="44" s="1"/>
  <c r="S206" i="44"/>
  <c r="X206" i="44" s="1"/>
  <c r="S202" i="44"/>
  <c r="X202" i="44" s="1"/>
  <c r="S198" i="44"/>
  <c r="X198" i="44" s="1"/>
  <c r="S168" i="44"/>
  <c r="X168" i="44" s="1"/>
  <c r="S164" i="44"/>
  <c r="X164" i="44" s="1"/>
  <c r="S171" i="44"/>
  <c r="X171" i="44" s="1"/>
  <c r="S167" i="44"/>
  <c r="X167" i="44" s="1"/>
  <c r="S163" i="44"/>
  <c r="X163" i="44" s="1"/>
  <c r="S172" i="44"/>
  <c r="X172" i="44" s="1"/>
  <c r="S170" i="44"/>
  <c r="X170" i="44" s="1"/>
  <c r="S166" i="44"/>
  <c r="X166" i="44" s="1"/>
  <c r="S162" i="44"/>
  <c r="X162" i="44" s="1"/>
  <c r="S161" i="44"/>
  <c r="X161" i="44" s="1"/>
  <c r="S165" i="44"/>
  <c r="X165" i="44" s="1"/>
  <c r="S169" i="44"/>
  <c r="X169" i="44" s="1"/>
  <c r="S66" i="44"/>
  <c r="X66" i="44" s="1"/>
  <c r="S70" i="44"/>
  <c r="X70" i="44" s="1"/>
  <c r="S74" i="44"/>
  <c r="X74" i="44" s="1"/>
  <c r="S67" i="44"/>
  <c r="X67" i="44" s="1"/>
  <c r="S71" i="44"/>
  <c r="X71" i="44" s="1"/>
  <c r="S75" i="44"/>
  <c r="X75" i="44" s="1"/>
  <c r="S68" i="44"/>
  <c r="X68" i="44" s="1"/>
  <c r="S72" i="44"/>
  <c r="X72" i="44" s="1"/>
  <c r="S76" i="44"/>
  <c r="X76" i="44" s="1"/>
  <c r="S65" i="44"/>
  <c r="X65" i="44" s="1"/>
  <c r="S69" i="44"/>
  <c r="X69" i="44" s="1"/>
  <c r="S73" i="44"/>
  <c r="X73" i="44" s="1"/>
  <c r="S6" i="44"/>
  <c r="X6" i="44" s="1"/>
  <c r="S10" i="44"/>
  <c r="X10" i="44" s="1"/>
  <c r="S14" i="44"/>
  <c r="X14" i="44" s="1"/>
  <c r="S7" i="44"/>
  <c r="X7" i="44" s="1"/>
  <c r="S11" i="44"/>
  <c r="X11" i="44" s="1"/>
  <c r="S8" i="44"/>
  <c r="X8" i="44" s="1"/>
  <c r="S12" i="44"/>
  <c r="X12" i="44" s="1"/>
  <c r="S16" i="44"/>
  <c r="X16" i="44" s="1"/>
  <c r="S9" i="44"/>
  <c r="X9" i="44" s="1"/>
  <c r="S5" i="44"/>
  <c r="X5" i="44" s="1"/>
  <c r="S13" i="44"/>
  <c r="X13" i="44" s="1"/>
  <c r="S15" i="44"/>
  <c r="X15" i="44" s="1"/>
  <c r="AE264" i="44"/>
  <c r="AF264" i="44" s="1"/>
  <c r="AG264" i="44" s="1"/>
  <c r="Y264" i="44"/>
  <c r="AB264" i="44" s="1"/>
  <c r="AH264" i="44" s="1"/>
  <c r="AE265" i="44"/>
  <c r="AF265" i="44" s="1"/>
  <c r="AG265" i="44" s="1"/>
  <c r="Y265" i="44"/>
  <c r="AB265" i="44" s="1"/>
  <c r="AH265" i="44" s="1"/>
  <c r="AE259" i="44"/>
  <c r="AF259" i="44" s="1"/>
  <c r="AG259" i="44" s="1"/>
  <c r="Y259" i="44"/>
  <c r="AB259" i="44" s="1"/>
  <c r="AH259" i="44" s="1"/>
  <c r="Y236" i="44"/>
  <c r="AB236" i="44" s="1"/>
  <c r="AH236" i="44" s="1"/>
  <c r="AE236" i="44"/>
  <c r="AF236" i="44" s="1"/>
  <c r="AG236" i="44" s="1"/>
  <c r="AE241" i="44"/>
  <c r="AF241" i="44" s="1"/>
  <c r="AG241" i="44" s="1"/>
  <c r="Y241" i="44"/>
  <c r="AB241" i="44" s="1"/>
  <c r="AH241" i="44" s="1"/>
  <c r="Y235" i="44"/>
  <c r="AB235" i="44" s="1"/>
  <c r="AH235" i="44" s="1"/>
  <c r="AE235" i="44"/>
  <c r="AF235" i="44" s="1"/>
  <c r="AG235" i="44" s="1"/>
  <c r="Y232" i="44"/>
  <c r="AB232" i="44" s="1"/>
  <c r="AH232" i="44" s="1"/>
  <c r="AQ232" i="44" s="1"/>
  <c r="AE232" i="44"/>
  <c r="AF232" i="44" s="1"/>
  <c r="AG232" i="44" s="1"/>
  <c r="Y229" i="44"/>
  <c r="AB229" i="44" s="1"/>
  <c r="AH229" i="44" s="1"/>
  <c r="AE229" i="44"/>
  <c r="AF229" i="44" s="1"/>
  <c r="AG229" i="44" s="1"/>
  <c r="AE223" i="44"/>
  <c r="AF223" i="44" s="1"/>
  <c r="AG223" i="44" s="1"/>
  <c r="Y223" i="44"/>
  <c r="AB223" i="44" s="1"/>
  <c r="AH223" i="44" s="1"/>
  <c r="AQ223" i="44" s="1"/>
  <c r="Y252" i="44"/>
  <c r="AB252" i="44" s="1"/>
  <c r="AH252" i="44" s="1"/>
  <c r="AE252" i="44"/>
  <c r="AF252" i="44" s="1"/>
  <c r="AG252" i="44" s="1"/>
  <c r="Y253" i="44"/>
  <c r="AB253" i="44" s="1"/>
  <c r="AH253" i="44" s="1"/>
  <c r="AE253" i="44"/>
  <c r="AF253" i="44" s="1"/>
  <c r="AG253" i="44" s="1"/>
  <c r="AI253" i="44" s="1"/>
  <c r="Y247" i="44"/>
  <c r="AB247" i="44" s="1"/>
  <c r="AH247" i="44" s="1"/>
  <c r="AE247" i="44"/>
  <c r="AF247" i="44" s="1"/>
  <c r="AG247" i="44" s="1"/>
  <c r="S100" i="44"/>
  <c r="X100" i="44" s="1"/>
  <c r="S96" i="44"/>
  <c r="X96" i="44" s="1"/>
  <c r="S92" i="44"/>
  <c r="X92" i="44" s="1"/>
  <c r="S99" i="44"/>
  <c r="X99" i="44" s="1"/>
  <c r="S95" i="44"/>
  <c r="X95" i="44" s="1"/>
  <c r="S91" i="44"/>
  <c r="X91" i="44" s="1"/>
  <c r="S98" i="44"/>
  <c r="X98" i="44" s="1"/>
  <c r="S94" i="44"/>
  <c r="X94" i="44" s="1"/>
  <c r="S90" i="44"/>
  <c r="X90" i="44" s="1"/>
  <c r="S97" i="44"/>
  <c r="X97" i="44" s="1"/>
  <c r="S93" i="44"/>
  <c r="X93" i="44" s="1"/>
  <c r="S89" i="44"/>
  <c r="X89" i="44" s="1"/>
  <c r="S54" i="44"/>
  <c r="X54" i="44" s="1"/>
  <c r="S58" i="44"/>
  <c r="X58" i="44" s="1"/>
  <c r="S62" i="44"/>
  <c r="X62" i="44" s="1"/>
  <c r="S55" i="44"/>
  <c r="X55" i="44" s="1"/>
  <c r="S59" i="44"/>
  <c r="X59" i="44" s="1"/>
  <c r="S63" i="44"/>
  <c r="X63" i="44" s="1"/>
  <c r="S56" i="44"/>
  <c r="X56" i="44" s="1"/>
  <c r="S60" i="44"/>
  <c r="X60" i="44" s="1"/>
  <c r="S64" i="44"/>
  <c r="X64" i="44" s="1"/>
  <c r="S57" i="44"/>
  <c r="X57" i="44" s="1"/>
  <c r="S61" i="44"/>
  <c r="X61" i="44" s="1"/>
  <c r="S53" i="44"/>
  <c r="X53" i="44" s="1"/>
  <c r="AE231" i="44"/>
  <c r="AF231" i="44" s="1"/>
  <c r="AG231" i="44" s="1"/>
  <c r="Y231" i="44"/>
  <c r="AB231" i="44" s="1"/>
  <c r="AH231" i="44" s="1"/>
  <c r="S136" i="44"/>
  <c r="X136" i="44" s="1"/>
  <c r="S132" i="44"/>
  <c r="X132" i="44" s="1"/>
  <c r="S128" i="44"/>
  <c r="X128" i="44" s="1"/>
  <c r="S135" i="44"/>
  <c r="X135" i="44" s="1"/>
  <c r="S131" i="44"/>
  <c r="X131" i="44" s="1"/>
  <c r="S127" i="44"/>
  <c r="X127" i="44" s="1"/>
  <c r="S134" i="44"/>
  <c r="X134" i="44" s="1"/>
  <c r="S130" i="44"/>
  <c r="X130" i="44" s="1"/>
  <c r="S126" i="44"/>
  <c r="X126" i="44" s="1"/>
  <c r="S129" i="44"/>
  <c r="X129" i="44" s="1"/>
  <c r="S125" i="44"/>
  <c r="X125" i="44" s="1"/>
  <c r="S133" i="44"/>
  <c r="X133" i="44" s="1"/>
  <c r="S160" i="44"/>
  <c r="X160" i="44" s="1"/>
  <c r="S156" i="44"/>
  <c r="X156" i="44" s="1"/>
  <c r="S152" i="44"/>
  <c r="X152" i="44" s="1"/>
  <c r="S159" i="44"/>
  <c r="X159" i="44" s="1"/>
  <c r="S155" i="44"/>
  <c r="X155" i="44" s="1"/>
  <c r="S151" i="44"/>
  <c r="X151" i="44" s="1"/>
  <c r="S158" i="44"/>
  <c r="X158" i="44" s="1"/>
  <c r="S154" i="44"/>
  <c r="X154" i="44" s="1"/>
  <c r="S150" i="44"/>
  <c r="X150" i="44" s="1"/>
  <c r="S149" i="44"/>
  <c r="X149" i="44" s="1"/>
  <c r="S157" i="44"/>
  <c r="X157" i="44" s="1"/>
  <c r="S153" i="44"/>
  <c r="X153" i="44" s="1"/>
  <c r="S30" i="44"/>
  <c r="X30" i="44" s="1"/>
  <c r="S34" i="44"/>
  <c r="X34" i="44" s="1"/>
  <c r="S38" i="44"/>
  <c r="X38" i="44" s="1"/>
  <c r="S31" i="44"/>
  <c r="X31" i="44" s="1"/>
  <c r="S35" i="44"/>
  <c r="X35" i="44" s="1"/>
  <c r="S39" i="44"/>
  <c r="X39" i="44" s="1"/>
  <c r="S32" i="44"/>
  <c r="X32" i="44" s="1"/>
  <c r="S36" i="44"/>
  <c r="X36" i="44" s="1"/>
  <c r="S40" i="44"/>
  <c r="X40" i="44" s="1"/>
  <c r="S37" i="44"/>
  <c r="X37" i="44" s="1"/>
  <c r="S33" i="44"/>
  <c r="X33" i="44" s="1"/>
  <c r="S29" i="44"/>
  <c r="X29" i="44" s="1"/>
  <c r="Y268" i="44"/>
  <c r="AB268" i="44" s="1"/>
  <c r="AH268" i="44" s="1"/>
  <c r="AE268" i="44"/>
  <c r="AF268" i="44" s="1"/>
  <c r="AG268" i="44" s="1"/>
  <c r="AE258" i="44"/>
  <c r="AF258" i="44" s="1"/>
  <c r="AG258" i="44" s="1"/>
  <c r="Y258" i="44"/>
  <c r="AB258" i="44" s="1"/>
  <c r="AH258" i="44" s="1"/>
  <c r="AE263" i="44"/>
  <c r="AF263" i="44" s="1"/>
  <c r="AG263" i="44" s="1"/>
  <c r="Y263" i="44"/>
  <c r="AB263" i="44" s="1"/>
  <c r="AH263" i="44" s="1"/>
  <c r="AE240" i="44"/>
  <c r="AF240" i="44" s="1"/>
  <c r="AG240" i="44" s="1"/>
  <c r="Y240" i="44"/>
  <c r="AB240" i="44" s="1"/>
  <c r="AH240" i="44" s="1"/>
  <c r="AE234" i="44"/>
  <c r="AF234" i="44" s="1"/>
  <c r="AG234" i="44" s="1"/>
  <c r="Y234" i="44"/>
  <c r="AB234" i="44" s="1"/>
  <c r="AH234" i="44" s="1"/>
  <c r="AE239" i="44"/>
  <c r="AF239" i="44" s="1"/>
  <c r="AG239" i="44" s="1"/>
  <c r="Y239" i="44"/>
  <c r="AB239" i="44" s="1"/>
  <c r="AH239" i="44" s="1"/>
  <c r="Y224" i="44"/>
  <c r="AB224" i="44" s="1"/>
  <c r="AH224" i="44" s="1"/>
  <c r="AE224" i="44"/>
  <c r="AF224" i="44" s="1"/>
  <c r="AG224" i="44" s="1"/>
  <c r="Y222" i="44"/>
  <c r="AB222" i="44" s="1"/>
  <c r="AH222" i="44" s="1"/>
  <c r="AE222" i="44"/>
  <c r="AF222" i="44" s="1"/>
  <c r="AG222" i="44" s="1"/>
  <c r="AI222" i="44" s="1"/>
  <c r="Y227" i="44"/>
  <c r="AB227" i="44" s="1"/>
  <c r="AH227" i="44" s="1"/>
  <c r="AE227" i="44"/>
  <c r="AF227" i="44" s="1"/>
  <c r="AG227" i="44" s="1"/>
  <c r="Y256" i="44"/>
  <c r="AB256" i="44" s="1"/>
  <c r="AH256" i="44" s="1"/>
  <c r="AE256" i="44"/>
  <c r="AF256" i="44" s="1"/>
  <c r="AG256" i="44" s="1"/>
  <c r="AI256" i="44" s="1"/>
  <c r="AE246" i="44"/>
  <c r="AF246" i="44" s="1"/>
  <c r="AG246" i="44" s="1"/>
  <c r="Y246" i="44"/>
  <c r="AB246" i="44" s="1"/>
  <c r="AH246" i="44" s="1"/>
  <c r="Y251" i="44"/>
  <c r="AB251" i="44" s="1"/>
  <c r="AH251" i="44" s="1"/>
  <c r="AE251" i="44"/>
  <c r="AF251" i="44" s="1"/>
  <c r="AG251" i="44" s="1"/>
  <c r="AI251" i="44" s="1"/>
  <c r="Y245" i="42"/>
  <c r="Z245" i="42" s="1"/>
  <c r="Y231" i="43"/>
  <c r="Z231" i="43" s="1"/>
  <c r="AC231" i="43" s="1"/>
  <c r="Y232" i="43"/>
  <c r="Y252" i="42"/>
  <c r="AF252" i="42" s="1"/>
  <c r="AG252" i="42" s="1"/>
  <c r="AH252" i="42" s="1"/>
  <c r="Y251" i="41"/>
  <c r="Z251" i="41" s="1"/>
  <c r="AC251" i="41" s="1"/>
  <c r="Y252" i="41"/>
  <c r="AF252" i="41" s="1"/>
  <c r="AG252" i="41" s="1"/>
  <c r="AH252" i="41" s="1"/>
  <c r="Y247" i="42"/>
  <c r="Y246" i="43"/>
  <c r="AF246" i="43" s="1"/>
  <c r="AG246" i="43" s="1"/>
  <c r="AH246" i="43" s="1"/>
  <c r="Y259" i="42"/>
  <c r="Y262" i="38"/>
  <c r="Z262" i="38" s="1"/>
  <c r="AC262" i="38" s="1"/>
  <c r="AI262" i="38" s="1"/>
  <c r="Y267" i="40"/>
  <c r="Y261" i="40"/>
  <c r="AF261" i="40" s="1"/>
  <c r="AG261" i="40" s="1"/>
  <c r="AH261" i="40" s="1"/>
  <c r="Y264" i="42"/>
  <c r="Y268" i="38"/>
  <c r="AF268" i="38" s="1"/>
  <c r="AG268" i="38" s="1"/>
  <c r="AH268" i="38" s="1"/>
  <c r="Y263" i="42"/>
  <c r="Y264" i="40"/>
  <c r="Z264" i="40" s="1"/>
  <c r="AC264" i="40" s="1"/>
  <c r="Y261" i="38"/>
  <c r="Y261" i="43"/>
  <c r="AF261" i="43" s="1"/>
  <c r="AG261" i="43" s="1"/>
  <c r="AH261" i="43" s="1"/>
  <c r="Y265" i="42"/>
  <c r="Y258" i="43"/>
  <c r="AF258" i="43" s="1"/>
  <c r="AG258" i="43" s="1"/>
  <c r="AH258" i="43" s="1"/>
  <c r="Y257" i="43"/>
  <c r="Y231" i="40"/>
  <c r="AF231" i="40" s="1"/>
  <c r="AG231" i="40" s="1"/>
  <c r="AH231" i="40" s="1"/>
  <c r="Y253" i="38"/>
  <c r="Y249" i="40"/>
  <c r="Z249" i="40" s="1"/>
  <c r="AC249" i="40" s="1"/>
  <c r="Y252" i="43"/>
  <c r="Z252" i="43" s="1"/>
  <c r="AC252" i="43" s="1"/>
  <c r="Y234" i="42"/>
  <c r="Z234" i="42" s="1"/>
  <c r="AC234" i="42" s="1"/>
  <c r="Y243" i="40"/>
  <c r="Y240" i="41"/>
  <c r="Z240" i="41" s="1"/>
  <c r="AC240" i="41" s="1"/>
  <c r="Y233" i="40"/>
  <c r="Y241" i="43"/>
  <c r="Z241" i="43" s="1"/>
  <c r="AC241" i="43" s="1"/>
  <c r="Y243" i="43"/>
  <c r="Y263" i="38"/>
  <c r="Y264" i="38"/>
  <c r="Z264" i="38" s="1"/>
  <c r="AC264" i="38" s="1"/>
  <c r="AI264" i="38" s="1"/>
  <c r="Y262" i="41"/>
  <c r="AF262" i="41" s="1"/>
  <c r="AG262" i="41" s="1"/>
  <c r="AH262" i="41" s="1"/>
  <c r="Y268" i="40"/>
  <c r="Y259" i="38"/>
  <c r="Y262" i="42"/>
  <c r="Y267" i="43"/>
  <c r="AF267" i="43" s="1"/>
  <c r="AG267" i="43" s="1"/>
  <c r="AH267" i="43" s="1"/>
  <c r="Y224" i="38"/>
  <c r="Y228" i="42"/>
  <c r="AF228" i="42" s="1"/>
  <c r="AG228" i="42" s="1"/>
  <c r="AH228" i="42" s="1"/>
  <c r="Y222" i="41"/>
  <c r="Y221" i="40"/>
  <c r="Z221" i="40" s="1"/>
  <c r="Y223" i="38"/>
  <c r="Y228" i="38"/>
  <c r="Y225" i="42"/>
  <c r="AF225" i="42" s="1"/>
  <c r="AG225" i="42" s="1"/>
  <c r="AH225" i="42" s="1"/>
  <c r="Y226" i="42"/>
  <c r="Z226" i="42" s="1"/>
  <c r="AC226" i="42" s="1"/>
  <c r="Y245" i="40"/>
  <c r="Y250" i="41"/>
  <c r="AF250" i="41" s="1"/>
  <c r="AG250" i="41" s="1"/>
  <c r="AH250" i="41" s="1"/>
  <c r="Y254" i="40"/>
  <c r="Z254" i="40" s="1"/>
  <c r="AC254" i="40" s="1"/>
  <c r="Y253" i="41"/>
  <c r="Z253" i="41" s="1"/>
  <c r="AC253" i="41" s="1"/>
  <c r="AF223" i="41"/>
  <c r="AG223" i="41" s="1"/>
  <c r="AH223" i="41" s="1"/>
  <c r="Z223" i="41"/>
  <c r="AC223" i="41" s="1"/>
  <c r="Z224" i="38"/>
  <c r="AC224" i="38" s="1"/>
  <c r="AI224" i="38" s="1"/>
  <c r="AF224" i="38"/>
  <c r="AG224" i="38" s="1"/>
  <c r="AH224" i="38" s="1"/>
  <c r="Z221" i="41"/>
  <c r="AF221" i="41"/>
  <c r="AG221" i="41" s="1"/>
  <c r="AH221" i="41" s="1"/>
  <c r="Z227" i="40"/>
  <c r="AC227" i="40" s="1"/>
  <c r="AF227" i="40"/>
  <c r="AG227" i="40" s="1"/>
  <c r="AH227" i="40" s="1"/>
  <c r="AF223" i="42"/>
  <c r="AG223" i="42" s="1"/>
  <c r="AH223" i="42" s="1"/>
  <c r="Z223" i="42"/>
  <c r="AC223" i="42" s="1"/>
  <c r="AF232" i="43"/>
  <c r="AG232" i="43" s="1"/>
  <c r="AH232" i="43" s="1"/>
  <c r="Z232" i="43"/>
  <c r="AC232" i="43" s="1"/>
  <c r="T177" i="43"/>
  <c r="T182" i="43"/>
  <c r="T181" i="43"/>
  <c r="T173" i="43"/>
  <c r="T178" i="43"/>
  <c r="T174" i="43"/>
  <c r="T180" i="43"/>
  <c r="T175" i="43"/>
  <c r="T179" i="43"/>
  <c r="T173" i="40"/>
  <c r="T183" i="42"/>
  <c r="T176" i="42"/>
  <c r="T173" i="42"/>
  <c r="T181" i="41"/>
  <c r="T177" i="41"/>
  <c r="T174" i="41"/>
  <c r="T178" i="38"/>
  <c r="T184" i="43"/>
  <c r="T178" i="40"/>
  <c r="T175" i="42"/>
  <c r="T180" i="42"/>
  <c r="T174" i="42"/>
  <c r="T183" i="41"/>
  <c r="T179" i="41"/>
  <c r="T175" i="41"/>
  <c r="T182" i="38"/>
  <c r="T183" i="43"/>
  <c r="T184" i="42"/>
  <c r="T184" i="41"/>
  <c r="T176" i="41"/>
  <c r="T176" i="38"/>
  <c r="T181" i="38"/>
  <c r="T181" i="40"/>
  <c r="T179" i="40"/>
  <c r="T180" i="40"/>
  <c r="T178" i="42"/>
  <c r="T182" i="41"/>
  <c r="T173" i="41"/>
  <c r="T174" i="38"/>
  <c r="T179" i="38"/>
  <c r="T184" i="40"/>
  <c r="R25" i="8"/>
  <c r="T179" i="42"/>
  <c r="T182" i="42"/>
  <c r="T180" i="41"/>
  <c r="T184" i="38"/>
  <c r="T183" i="38"/>
  <c r="T177" i="38"/>
  <c r="T182" i="40"/>
  <c r="T176" i="43"/>
  <c r="T181" i="42"/>
  <c r="T177" i="42"/>
  <c r="T178" i="41"/>
  <c r="T180" i="38"/>
  <c r="T175" i="38"/>
  <c r="T173" i="38"/>
  <c r="T175" i="40"/>
  <c r="T177" i="40"/>
  <c r="T183" i="40"/>
  <c r="T176" i="40"/>
  <c r="T174" i="40"/>
  <c r="F182" i="36"/>
  <c r="J182" i="36" s="1"/>
  <c r="F171" i="36"/>
  <c r="J171" i="36" s="1"/>
  <c r="F173" i="36"/>
  <c r="J173" i="36" s="1"/>
  <c r="F181" i="36"/>
  <c r="J181" i="36" s="1"/>
  <c r="F172" i="36"/>
  <c r="J172" i="36" s="1"/>
  <c r="F174" i="36"/>
  <c r="J174" i="36" s="1"/>
  <c r="F179" i="36"/>
  <c r="J179" i="36" s="1"/>
  <c r="F175" i="36"/>
  <c r="J175" i="36" s="1"/>
  <c r="F177" i="36"/>
  <c r="J177" i="36" s="1"/>
  <c r="F178" i="36"/>
  <c r="J178" i="36" s="1"/>
  <c r="F176" i="36"/>
  <c r="J176" i="36" s="1"/>
  <c r="F180" i="36"/>
  <c r="J180" i="36" s="1"/>
  <c r="T87" i="43"/>
  <c r="T79" i="43"/>
  <c r="T83" i="43"/>
  <c r="T80" i="43"/>
  <c r="T88" i="43"/>
  <c r="T81" i="43"/>
  <c r="T77" i="43"/>
  <c r="T84" i="43"/>
  <c r="T86" i="43"/>
  <c r="T78" i="43"/>
  <c r="T85" i="43"/>
  <c r="T80" i="42"/>
  <c r="T88" i="42"/>
  <c r="T83" i="42"/>
  <c r="T82" i="41"/>
  <c r="T88" i="41"/>
  <c r="T84" i="41"/>
  <c r="T88" i="38"/>
  <c r="T80" i="38"/>
  <c r="T77" i="38"/>
  <c r="T88" i="40"/>
  <c r="T77" i="40"/>
  <c r="T81" i="40"/>
  <c r="T84" i="42"/>
  <c r="T81" i="42"/>
  <c r="T77" i="42"/>
  <c r="T83" i="41"/>
  <c r="T78" i="41"/>
  <c r="T77" i="41"/>
  <c r="T84" i="38"/>
  <c r="T87" i="38"/>
  <c r="T83" i="38"/>
  <c r="T83" i="40"/>
  <c r="T84" i="40"/>
  <c r="T78" i="40"/>
  <c r="T78" i="42"/>
  <c r="T85" i="42"/>
  <c r="T87" i="41"/>
  <c r="T85" i="40"/>
  <c r="T81" i="38"/>
  <c r="T79" i="40"/>
  <c r="T82" i="42"/>
  <c r="T87" i="42"/>
  <c r="T81" i="41"/>
  <c r="T86" i="38"/>
  <c r="T85" i="38"/>
  <c r="T82" i="40"/>
  <c r="T82" i="43"/>
  <c r="T86" i="42"/>
  <c r="T86" i="41"/>
  <c r="T85" i="41"/>
  <c r="T82" i="38"/>
  <c r="T79" i="38"/>
  <c r="T80" i="40"/>
  <c r="T79" i="42"/>
  <c r="T79" i="41"/>
  <c r="T80" i="41"/>
  <c r="T78" i="38"/>
  <c r="T86" i="40"/>
  <c r="T87" i="40"/>
  <c r="R17" i="8"/>
  <c r="F75" i="36"/>
  <c r="J75" i="36" s="1"/>
  <c r="F80" i="36"/>
  <c r="J80" i="36" s="1"/>
  <c r="F82" i="36"/>
  <c r="J82" i="36" s="1"/>
  <c r="F79" i="36"/>
  <c r="J79" i="36" s="1"/>
  <c r="F84" i="36"/>
  <c r="J84" i="36" s="1"/>
  <c r="F76" i="36"/>
  <c r="J76" i="36" s="1"/>
  <c r="F86" i="36"/>
  <c r="J86" i="36" s="1"/>
  <c r="F78" i="36"/>
  <c r="J78" i="36" s="1"/>
  <c r="F81" i="36"/>
  <c r="J81" i="36" s="1"/>
  <c r="F83" i="36"/>
  <c r="J83" i="36" s="1"/>
  <c r="F85" i="36"/>
  <c r="J85" i="36" s="1"/>
  <c r="F77" i="36"/>
  <c r="J77" i="36" s="1"/>
  <c r="Z250" i="38"/>
  <c r="AC250" i="38" s="1"/>
  <c r="AI250" i="38" s="1"/>
  <c r="AF250" i="38"/>
  <c r="AG250" i="38" s="1"/>
  <c r="AH250" i="38" s="1"/>
  <c r="Z31" i="8"/>
  <c r="Y31" i="8"/>
  <c r="Z246" i="40"/>
  <c r="AC246" i="40" s="1"/>
  <c r="AF246" i="40"/>
  <c r="AG246" i="40" s="1"/>
  <c r="AH246" i="40" s="1"/>
  <c r="Z247" i="42"/>
  <c r="AC247" i="42" s="1"/>
  <c r="AF247" i="42"/>
  <c r="AG247" i="42" s="1"/>
  <c r="AH247" i="42" s="1"/>
  <c r="AF246" i="42"/>
  <c r="AG246" i="42" s="1"/>
  <c r="AH246" i="42" s="1"/>
  <c r="Z246" i="42"/>
  <c r="AC246" i="42" s="1"/>
  <c r="AF245" i="41"/>
  <c r="AG245" i="41" s="1"/>
  <c r="AH245" i="41" s="1"/>
  <c r="Z245" i="41"/>
  <c r="AF256" i="43"/>
  <c r="AG256" i="43" s="1"/>
  <c r="AH256" i="43" s="1"/>
  <c r="Z256" i="43"/>
  <c r="AC256" i="43" s="1"/>
  <c r="T207" i="43"/>
  <c r="T200" i="43"/>
  <c r="T203" i="43"/>
  <c r="T204" i="43"/>
  <c r="T202" i="43"/>
  <c r="T206" i="43"/>
  <c r="T198" i="43"/>
  <c r="T199" i="43"/>
  <c r="T197" i="43"/>
  <c r="T208" i="43"/>
  <c r="T205" i="43"/>
  <c r="T200" i="42"/>
  <c r="T204" i="42"/>
  <c r="T198" i="42"/>
  <c r="T207" i="41"/>
  <c r="T200" i="41"/>
  <c r="T201" i="41"/>
  <c r="T204" i="38"/>
  <c r="T203" i="38"/>
  <c r="T201" i="38"/>
  <c r="T208" i="40"/>
  <c r="T207" i="42"/>
  <c r="T202" i="42"/>
  <c r="T197" i="42"/>
  <c r="T198" i="41"/>
  <c r="T202" i="41"/>
  <c r="T202" i="38"/>
  <c r="T207" i="38"/>
  <c r="T205" i="40"/>
  <c r="T206" i="40"/>
  <c r="T205" i="42"/>
  <c r="T206" i="42"/>
  <c r="T203" i="41"/>
  <c r="T204" i="41"/>
  <c r="T208" i="38"/>
  <c r="T198" i="38"/>
  <c r="T199" i="38"/>
  <c r="T203" i="42"/>
  <c r="T199" i="41"/>
  <c r="T208" i="41"/>
  <c r="T205" i="38"/>
  <c r="T201" i="43"/>
  <c r="T201" i="42"/>
  <c r="T205" i="41"/>
  <c r="T206" i="38"/>
  <c r="R27" i="8"/>
  <c r="T208" i="42"/>
  <c r="T197" i="41"/>
  <c r="T200" i="38"/>
  <c r="T199" i="42"/>
  <c r="T206" i="41"/>
  <c r="T197" i="38"/>
  <c r="T199" i="40"/>
  <c r="T203" i="40"/>
  <c r="T197" i="40"/>
  <c r="T202" i="40"/>
  <c r="T204" i="40"/>
  <c r="T207" i="40"/>
  <c r="T200" i="40"/>
  <c r="T201" i="40"/>
  <c r="T198" i="40"/>
  <c r="F205" i="36"/>
  <c r="J205" i="36" s="1"/>
  <c r="F196" i="36"/>
  <c r="J196" i="36" s="1"/>
  <c r="F201" i="36"/>
  <c r="J201" i="36" s="1"/>
  <c r="F199" i="36"/>
  <c r="J199" i="36" s="1"/>
  <c r="F206" i="36"/>
  <c r="J206" i="36" s="1"/>
  <c r="F203" i="36"/>
  <c r="J203" i="36" s="1"/>
  <c r="F198" i="36"/>
  <c r="J198" i="36" s="1"/>
  <c r="F204" i="36"/>
  <c r="J204" i="36" s="1"/>
  <c r="F195" i="36"/>
  <c r="J195" i="36" s="1"/>
  <c r="F197" i="36"/>
  <c r="J197" i="36" s="1"/>
  <c r="F202" i="36"/>
  <c r="J202" i="36" s="1"/>
  <c r="F200" i="36"/>
  <c r="J200" i="36" s="1"/>
  <c r="U34" i="43"/>
  <c r="U36" i="43"/>
  <c r="U33" i="43"/>
  <c r="U30" i="43"/>
  <c r="U37" i="43"/>
  <c r="U31" i="43"/>
  <c r="U40" i="43"/>
  <c r="U39" i="43"/>
  <c r="U32" i="43"/>
  <c r="U29" i="43"/>
  <c r="U32" i="42"/>
  <c r="U37" i="42"/>
  <c r="U33" i="42"/>
  <c r="U36" i="41"/>
  <c r="U39" i="41"/>
  <c r="U33" i="41"/>
  <c r="U38" i="40"/>
  <c r="U37" i="40"/>
  <c r="U32" i="38"/>
  <c r="U35" i="38"/>
  <c r="U36" i="40"/>
  <c r="U30" i="38"/>
  <c r="U39" i="42"/>
  <c r="U34" i="42"/>
  <c r="U31" i="42"/>
  <c r="U30" i="41"/>
  <c r="U37" i="41"/>
  <c r="U35" i="41"/>
  <c r="U31" i="40"/>
  <c r="U40" i="38"/>
  <c r="U39" i="38"/>
  <c r="U31" i="38"/>
  <c r="U38" i="38"/>
  <c r="U32" i="40"/>
  <c r="U38" i="43"/>
  <c r="U30" i="42"/>
  <c r="U29" i="41"/>
  <c r="U32" i="41"/>
  <c r="U36" i="38"/>
  <c r="U29" i="38"/>
  <c r="U30" i="40"/>
  <c r="U35" i="43"/>
  <c r="U36" i="42"/>
  <c r="U31" i="41"/>
  <c r="U35" i="40"/>
  <c r="U37" i="38"/>
  <c r="U39" i="40"/>
  <c r="U40" i="42"/>
  <c r="U34" i="41"/>
  <c r="U40" i="40"/>
  <c r="U33" i="40"/>
  <c r="U35" i="42"/>
  <c r="U34" i="40"/>
  <c r="S37" i="36"/>
  <c r="S32" i="36"/>
  <c r="S29" i="36"/>
  <c r="U38" i="41"/>
  <c r="U33" i="38"/>
  <c r="S34" i="36"/>
  <c r="S31" i="36"/>
  <c r="U29" i="42"/>
  <c r="U40" i="41"/>
  <c r="U34" i="38"/>
  <c r="S36" i="36"/>
  <c r="S33" i="36"/>
  <c r="S28" i="36"/>
  <c r="U38" i="42"/>
  <c r="U29" i="40"/>
  <c r="S38" i="36"/>
  <c r="S35" i="36"/>
  <c r="S30" i="36"/>
  <c r="S27" i="36"/>
  <c r="R11" i="2"/>
  <c r="Z236" i="42"/>
  <c r="AC236" i="42" s="1"/>
  <c r="AF236" i="42"/>
  <c r="AG236" i="42" s="1"/>
  <c r="AH236" i="42" s="1"/>
  <c r="AF241" i="41"/>
  <c r="AG241" i="41" s="1"/>
  <c r="AH241" i="41" s="1"/>
  <c r="Z241" i="41"/>
  <c r="AC241" i="41" s="1"/>
  <c r="AF240" i="38"/>
  <c r="AG240" i="38" s="1"/>
  <c r="AH240" i="38" s="1"/>
  <c r="Z240" i="38"/>
  <c r="AC240" i="38" s="1"/>
  <c r="AI240" i="38" s="1"/>
  <c r="AF243" i="40"/>
  <c r="AG243" i="40" s="1"/>
  <c r="AH243" i="40" s="1"/>
  <c r="Z243" i="40"/>
  <c r="AC243" i="40" s="1"/>
  <c r="Z243" i="38"/>
  <c r="AC243" i="38" s="1"/>
  <c r="AI243" i="38" s="1"/>
  <c r="AF243" i="38"/>
  <c r="AG243" i="38" s="1"/>
  <c r="AH243" i="38" s="1"/>
  <c r="AF262" i="38"/>
  <c r="AG262" i="38" s="1"/>
  <c r="AH262" i="38" s="1"/>
  <c r="AF264" i="40"/>
  <c r="AG264" i="40" s="1"/>
  <c r="AH264" i="40" s="1"/>
  <c r="Y257" i="41"/>
  <c r="Y268" i="43"/>
  <c r="U197" i="43"/>
  <c r="U201" i="43"/>
  <c r="U203" i="43"/>
  <c r="U198" i="43"/>
  <c r="U204" i="43"/>
  <c r="U199" i="43"/>
  <c r="U200" i="43"/>
  <c r="U205" i="43"/>
  <c r="U207" i="43"/>
  <c r="U202" i="43"/>
  <c r="U206" i="43"/>
  <c r="U197" i="42"/>
  <c r="U205" i="42"/>
  <c r="U198" i="42"/>
  <c r="U205" i="41"/>
  <c r="U199" i="41"/>
  <c r="U204" i="41"/>
  <c r="U200" i="38"/>
  <c r="U201" i="38"/>
  <c r="U204" i="38"/>
  <c r="U199" i="42"/>
  <c r="U203" i="42"/>
  <c r="U206" i="41"/>
  <c r="U198" i="41"/>
  <c r="U200" i="41"/>
  <c r="U203" i="38"/>
  <c r="U202" i="38"/>
  <c r="U207" i="42"/>
  <c r="U201" i="42"/>
  <c r="U202" i="41"/>
  <c r="U207" i="41"/>
  <c r="U207" i="38"/>
  <c r="U197" i="38"/>
  <c r="U208" i="42"/>
  <c r="U201" i="41"/>
  <c r="U205" i="38"/>
  <c r="U206" i="42"/>
  <c r="U203" i="41"/>
  <c r="U199" i="38"/>
  <c r="U206" i="40"/>
  <c r="U203" i="40"/>
  <c r="U200" i="42"/>
  <c r="U204" i="42"/>
  <c r="U208" i="41"/>
  <c r="U208" i="38"/>
  <c r="U208" i="40"/>
  <c r="U199" i="40"/>
  <c r="U208" i="43"/>
  <c r="U202" i="42"/>
  <c r="U197" i="41"/>
  <c r="U206" i="38"/>
  <c r="U198" i="38"/>
  <c r="U205" i="40"/>
  <c r="U197" i="40"/>
  <c r="S202" i="36"/>
  <c r="U204" i="40"/>
  <c r="U202" i="40"/>
  <c r="S196" i="36"/>
  <c r="S204" i="36"/>
  <c r="S201" i="36"/>
  <c r="S197" i="36"/>
  <c r="S205" i="36"/>
  <c r="S206" i="36"/>
  <c r="S203" i="36"/>
  <c r="S198" i="36"/>
  <c r="S200" i="36"/>
  <c r="S199" i="36"/>
  <c r="S195" i="36"/>
  <c r="U207" i="40"/>
  <c r="U198" i="40"/>
  <c r="U200" i="40"/>
  <c r="U201" i="40"/>
  <c r="U107" i="43"/>
  <c r="U109" i="43"/>
  <c r="U110" i="43"/>
  <c r="U111" i="43"/>
  <c r="U102" i="43"/>
  <c r="U108" i="43"/>
  <c r="U101" i="43"/>
  <c r="U105" i="43"/>
  <c r="U106" i="43"/>
  <c r="U104" i="43"/>
  <c r="U103" i="43"/>
  <c r="U104" i="42"/>
  <c r="U103" i="42"/>
  <c r="U107" i="42"/>
  <c r="U109" i="41"/>
  <c r="U112" i="41"/>
  <c r="U102" i="41"/>
  <c r="U106" i="38"/>
  <c r="U107" i="38"/>
  <c r="U112" i="38"/>
  <c r="U109" i="40"/>
  <c r="U101" i="40"/>
  <c r="U102" i="40"/>
  <c r="U110" i="42"/>
  <c r="U101" i="42"/>
  <c r="U104" i="41"/>
  <c r="U111" i="41"/>
  <c r="U102" i="38"/>
  <c r="U103" i="38"/>
  <c r="U112" i="40"/>
  <c r="U108" i="40"/>
  <c r="U104" i="40"/>
  <c r="U106" i="42"/>
  <c r="U111" i="42"/>
  <c r="U101" i="41"/>
  <c r="U106" i="41"/>
  <c r="U105" i="41"/>
  <c r="U109" i="38"/>
  <c r="U108" i="38"/>
  <c r="U107" i="40"/>
  <c r="U105" i="40"/>
  <c r="U108" i="42"/>
  <c r="U103" i="41"/>
  <c r="U110" i="38"/>
  <c r="U104" i="38"/>
  <c r="U111" i="40"/>
  <c r="U105" i="42"/>
  <c r="U108" i="41"/>
  <c r="U111" i="38"/>
  <c r="U110" i="40"/>
  <c r="U112" i="42"/>
  <c r="U107" i="41"/>
  <c r="U105" i="38"/>
  <c r="U103" i="40"/>
  <c r="U112" i="43"/>
  <c r="U102" i="42"/>
  <c r="U109" i="42"/>
  <c r="U110" i="41"/>
  <c r="U101" i="38"/>
  <c r="U106" i="40"/>
  <c r="S101" i="36"/>
  <c r="S105" i="36"/>
  <c r="S103" i="36"/>
  <c r="S102" i="36"/>
  <c r="S110" i="36"/>
  <c r="S107" i="36"/>
  <c r="S106" i="36"/>
  <c r="S108" i="36"/>
  <c r="S109" i="36"/>
  <c r="S99" i="36"/>
  <c r="S100" i="36"/>
  <c r="S104" i="36"/>
  <c r="R14" i="17"/>
  <c r="R12" i="17"/>
  <c r="U95" i="43"/>
  <c r="U90" i="43"/>
  <c r="U92" i="43"/>
  <c r="U96" i="43"/>
  <c r="U91" i="43"/>
  <c r="U97" i="43"/>
  <c r="U89" i="43"/>
  <c r="U99" i="43"/>
  <c r="U98" i="43"/>
  <c r="U100" i="43"/>
  <c r="U93" i="43"/>
  <c r="U93" i="42"/>
  <c r="U92" i="42"/>
  <c r="U94" i="42"/>
  <c r="U99" i="41"/>
  <c r="U93" i="41"/>
  <c r="U98" i="41"/>
  <c r="U99" i="38"/>
  <c r="U91" i="38"/>
  <c r="U94" i="38"/>
  <c r="U98" i="40"/>
  <c r="U94" i="40"/>
  <c r="U99" i="40"/>
  <c r="U95" i="42"/>
  <c r="U100" i="42"/>
  <c r="U96" i="41"/>
  <c r="U97" i="41"/>
  <c r="U96" i="38"/>
  <c r="U93" i="38"/>
  <c r="U92" i="38"/>
  <c r="U95" i="40"/>
  <c r="U90" i="40"/>
  <c r="U89" i="42"/>
  <c r="U99" i="42"/>
  <c r="U98" i="42"/>
  <c r="U91" i="41"/>
  <c r="U94" i="41"/>
  <c r="U97" i="38"/>
  <c r="U100" i="38"/>
  <c r="U97" i="40"/>
  <c r="U89" i="40"/>
  <c r="U90" i="42"/>
  <c r="U90" i="41"/>
  <c r="U89" i="38"/>
  <c r="U96" i="40"/>
  <c r="U91" i="42"/>
  <c r="U100" i="41"/>
  <c r="U92" i="41"/>
  <c r="U98" i="38"/>
  <c r="U92" i="40"/>
  <c r="U97" i="42"/>
  <c r="U95" i="41"/>
  <c r="U90" i="38"/>
  <c r="U100" i="40"/>
  <c r="U93" i="40"/>
  <c r="U94" i="43"/>
  <c r="U96" i="42"/>
  <c r="U89" i="41"/>
  <c r="U95" i="38"/>
  <c r="U91" i="40"/>
  <c r="S87" i="36"/>
  <c r="S93" i="36"/>
  <c r="S97" i="36"/>
  <c r="S92" i="36"/>
  <c r="S88" i="36"/>
  <c r="S98" i="36"/>
  <c r="S91" i="36"/>
  <c r="S94" i="36"/>
  <c r="S96" i="36"/>
  <c r="S89" i="36"/>
  <c r="S90" i="36"/>
  <c r="S95" i="36"/>
  <c r="R22" i="17"/>
  <c r="R13" i="17"/>
  <c r="R14" i="2"/>
  <c r="T30" i="43"/>
  <c r="Y30" i="43" s="1"/>
  <c r="T32" i="43"/>
  <c r="Y32" i="43" s="1"/>
  <c r="T39" i="43"/>
  <c r="Y39" i="43" s="1"/>
  <c r="T31" i="42"/>
  <c r="Y31" i="42" s="1"/>
  <c r="T37" i="42"/>
  <c r="T33" i="42"/>
  <c r="T30" i="41"/>
  <c r="T35" i="41"/>
  <c r="Y35" i="41" s="1"/>
  <c r="T37" i="41"/>
  <c r="T40" i="38"/>
  <c r="T32" i="38"/>
  <c r="Y32" i="38" s="1"/>
  <c r="T35" i="38"/>
  <c r="Y35" i="38" s="1"/>
  <c r="T32" i="40"/>
  <c r="Y32" i="40" s="1"/>
  <c r="T37" i="38"/>
  <c r="T33" i="40"/>
  <c r="Y33" i="40" s="1"/>
  <c r="T37" i="43"/>
  <c r="Y37" i="43" s="1"/>
  <c r="T34" i="43"/>
  <c r="Y34" i="43" s="1"/>
  <c r="T31" i="43"/>
  <c r="T35" i="42"/>
  <c r="T29" i="42"/>
  <c r="T40" i="42"/>
  <c r="Y40" i="42" s="1"/>
  <c r="T32" i="41"/>
  <c r="T39" i="41"/>
  <c r="Y39" i="41" s="1"/>
  <c r="T34" i="41"/>
  <c r="T35" i="40"/>
  <c r="T36" i="38"/>
  <c r="Y36" i="38" s="1"/>
  <c r="T38" i="40"/>
  <c r="T36" i="40"/>
  <c r="Y36" i="40" s="1"/>
  <c r="T37" i="40"/>
  <c r="Y37" i="40" s="1"/>
  <c r="T29" i="38"/>
  <c r="T36" i="43"/>
  <c r="T30" i="42"/>
  <c r="Y30" i="42" s="1"/>
  <c r="T38" i="41"/>
  <c r="Y38" i="41" s="1"/>
  <c r="T29" i="41"/>
  <c r="T38" i="38"/>
  <c r="T31" i="38"/>
  <c r="Y31" i="38" s="1"/>
  <c r="T33" i="38"/>
  <c r="T33" i="43"/>
  <c r="T35" i="43"/>
  <c r="Y35" i="43" s="1"/>
  <c r="T36" i="42"/>
  <c r="T34" i="42"/>
  <c r="T31" i="41"/>
  <c r="T31" i="40"/>
  <c r="T30" i="38"/>
  <c r="T34" i="40"/>
  <c r="T40" i="43"/>
  <c r="T39" i="42"/>
  <c r="Y39" i="42" s="1"/>
  <c r="T39" i="40"/>
  <c r="Y39" i="40" s="1"/>
  <c r="T40" i="40"/>
  <c r="T38" i="42"/>
  <c r="T34" i="38"/>
  <c r="Y34" i="38" s="1"/>
  <c r="T38" i="43"/>
  <c r="T33" i="41"/>
  <c r="Y33" i="41" s="1"/>
  <c r="T29" i="40"/>
  <c r="T29" i="43"/>
  <c r="T36" i="41"/>
  <c r="T39" i="38"/>
  <c r="T32" i="42"/>
  <c r="T30" i="40"/>
  <c r="T40" i="41"/>
  <c r="R13" i="8"/>
  <c r="F31" i="36"/>
  <c r="J31" i="36" s="1"/>
  <c r="F30" i="36"/>
  <c r="J30" i="36" s="1"/>
  <c r="F37" i="36"/>
  <c r="J37" i="36" s="1"/>
  <c r="F38" i="36"/>
  <c r="J38" i="36" s="1"/>
  <c r="F36" i="36"/>
  <c r="J36" i="36" s="1"/>
  <c r="F34" i="36"/>
  <c r="J34" i="36" s="1"/>
  <c r="F29" i="36"/>
  <c r="J29" i="36" s="1"/>
  <c r="F33" i="36"/>
  <c r="J33" i="36" s="1"/>
  <c r="F28" i="36"/>
  <c r="J28" i="36" s="1"/>
  <c r="F35" i="36"/>
  <c r="J35" i="36" s="1"/>
  <c r="F32" i="36"/>
  <c r="J32" i="36" s="1"/>
  <c r="F27" i="36"/>
  <c r="J27" i="36" s="1"/>
  <c r="R18" i="2"/>
  <c r="Y224" i="40"/>
  <c r="AF224" i="41"/>
  <c r="AG224" i="41" s="1"/>
  <c r="AH224" i="41" s="1"/>
  <c r="Z224" i="41"/>
  <c r="AC224" i="41" s="1"/>
  <c r="Z230" i="40"/>
  <c r="AC230" i="40" s="1"/>
  <c r="AF230" i="40"/>
  <c r="AG230" i="40" s="1"/>
  <c r="AH230" i="40" s="1"/>
  <c r="Y230" i="42"/>
  <c r="Z225" i="38"/>
  <c r="AC225" i="38" s="1"/>
  <c r="AI225" i="38" s="1"/>
  <c r="AF225" i="38"/>
  <c r="AG225" i="38" s="1"/>
  <c r="AH225" i="38" s="1"/>
  <c r="Y221" i="42"/>
  <c r="Y225" i="43"/>
  <c r="Z251" i="38"/>
  <c r="AC251" i="38" s="1"/>
  <c r="AI251" i="38" s="1"/>
  <c r="AF251" i="38"/>
  <c r="AG251" i="38" s="1"/>
  <c r="AH251" i="38" s="1"/>
  <c r="AF250" i="43"/>
  <c r="AG250" i="43" s="1"/>
  <c r="AH250" i="43" s="1"/>
  <c r="Z250" i="43"/>
  <c r="AC250" i="43" s="1"/>
  <c r="Z245" i="38"/>
  <c r="AF245" i="38"/>
  <c r="AG245" i="38" s="1"/>
  <c r="AH245" i="38" s="1"/>
  <c r="Z253" i="38"/>
  <c r="AC253" i="38" s="1"/>
  <c r="AI253" i="38" s="1"/>
  <c r="AF253" i="38"/>
  <c r="AG253" i="38" s="1"/>
  <c r="AH253" i="38" s="1"/>
  <c r="AF247" i="38"/>
  <c r="AG247" i="38" s="1"/>
  <c r="AH247" i="38" s="1"/>
  <c r="Z247" i="38"/>
  <c r="AC247" i="38" s="1"/>
  <c r="AI247" i="38" s="1"/>
  <c r="Z255" i="42"/>
  <c r="AC255" i="42" s="1"/>
  <c r="AF255" i="42"/>
  <c r="AG255" i="42" s="1"/>
  <c r="AH255" i="42" s="1"/>
  <c r="AF249" i="38"/>
  <c r="AG249" i="38" s="1"/>
  <c r="AH249" i="38" s="1"/>
  <c r="Z249" i="38"/>
  <c r="AC249" i="38" s="1"/>
  <c r="AI249" i="38" s="1"/>
  <c r="AF255" i="43"/>
  <c r="AG255" i="43" s="1"/>
  <c r="AH255" i="43" s="1"/>
  <c r="Z255" i="43"/>
  <c r="AC255" i="43" s="1"/>
  <c r="Y237" i="41"/>
  <c r="Z236" i="40"/>
  <c r="AC236" i="40" s="1"/>
  <c r="AF236" i="40"/>
  <c r="AG236" i="40" s="1"/>
  <c r="AH236" i="40" s="1"/>
  <c r="Z241" i="38"/>
  <c r="AC241" i="38" s="1"/>
  <c r="AI241" i="38" s="1"/>
  <c r="AF241" i="38"/>
  <c r="AG241" i="38" s="1"/>
  <c r="AH241" i="38" s="1"/>
  <c r="AF244" i="43"/>
  <c r="AG244" i="43" s="1"/>
  <c r="AH244" i="43" s="1"/>
  <c r="Z244" i="43"/>
  <c r="AC244" i="43" s="1"/>
  <c r="Z239" i="38"/>
  <c r="AC239" i="38" s="1"/>
  <c r="AI239" i="38" s="1"/>
  <c r="AF239" i="38"/>
  <c r="AG239" i="38" s="1"/>
  <c r="AH239" i="38" s="1"/>
  <c r="Z237" i="40"/>
  <c r="AC237" i="40" s="1"/>
  <c r="AF237" i="40"/>
  <c r="AG237" i="40" s="1"/>
  <c r="AH237" i="40" s="1"/>
  <c r="Z239" i="42"/>
  <c r="AC239" i="42" s="1"/>
  <c r="AF239" i="42"/>
  <c r="AG239" i="42" s="1"/>
  <c r="AH239" i="42" s="1"/>
  <c r="Y233" i="43"/>
  <c r="R25" i="17"/>
  <c r="R26" i="2"/>
  <c r="R19" i="2"/>
  <c r="Y32" i="8"/>
  <c r="Z32" i="8"/>
  <c r="Y266" i="41"/>
  <c r="Y264" i="41"/>
  <c r="AF259" i="38"/>
  <c r="AG259" i="38" s="1"/>
  <c r="AH259" i="38" s="1"/>
  <c r="Z259" i="38"/>
  <c r="AC259" i="38" s="1"/>
  <c r="AI259" i="38" s="1"/>
  <c r="Y259" i="43"/>
  <c r="U26" i="43"/>
  <c r="U21" i="43"/>
  <c r="U17" i="43"/>
  <c r="U23" i="43"/>
  <c r="U20" i="43"/>
  <c r="U24" i="43"/>
  <c r="U25" i="43"/>
  <c r="U18" i="43"/>
  <c r="U19" i="43"/>
  <c r="U27" i="43"/>
  <c r="U22" i="43"/>
  <c r="U23" i="42"/>
  <c r="U18" i="42"/>
  <c r="U17" i="42"/>
  <c r="U21" i="41"/>
  <c r="U22" i="41"/>
  <c r="U25" i="41"/>
  <c r="U18" i="40"/>
  <c r="U28" i="38"/>
  <c r="U20" i="40"/>
  <c r="U21" i="38"/>
  <c r="U23" i="40"/>
  <c r="U24" i="38"/>
  <c r="U19" i="42"/>
  <c r="U24" i="42"/>
  <c r="U26" i="42"/>
  <c r="U26" i="41"/>
  <c r="U23" i="41"/>
  <c r="U21" i="40"/>
  <c r="U18" i="38"/>
  <c r="U23" i="38"/>
  <c r="U26" i="40"/>
  <c r="U21" i="42"/>
  <c r="U22" i="42"/>
  <c r="U24" i="41"/>
  <c r="U18" i="41"/>
  <c r="U28" i="40"/>
  <c r="U19" i="40"/>
  <c r="U27" i="38"/>
  <c r="U17" i="38"/>
  <c r="U26" i="38"/>
  <c r="U25" i="42"/>
  <c r="U27" i="41"/>
  <c r="U22" i="38"/>
  <c r="U27" i="40"/>
  <c r="U28" i="42"/>
  <c r="U28" i="41"/>
  <c r="U20" i="41"/>
  <c r="U17" i="40"/>
  <c r="U22" i="40"/>
  <c r="S26" i="36"/>
  <c r="S25" i="36"/>
  <c r="U28" i="43"/>
  <c r="U27" i="42"/>
  <c r="U17" i="41"/>
  <c r="U24" i="40"/>
  <c r="U25" i="38"/>
  <c r="U20" i="38"/>
  <c r="S23" i="36"/>
  <c r="S21" i="36"/>
  <c r="S19" i="36"/>
  <c r="S17" i="36"/>
  <c r="U20" i="42"/>
  <c r="U19" i="41"/>
  <c r="U25" i="40"/>
  <c r="U19" i="38"/>
  <c r="S15" i="36"/>
  <c r="S18" i="36"/>
  <c r="S22" i="36"/>
  <c r="S16" i="36"/>
  <c r="S20" i="36"/>
  <c r="S24" i="36"/>
  <c r="Y227" i="41"/>
  <c r="Y227" i="42"/>
  <c r="Y225" i="40"/>
  <c r="Y232" i="41"/>
  <c r="Y231" i="42"/>
  <c r="Y29" i="8"/>
  <c r="Z29" i="8"/>
  <c r="AF228" i="38"/>
  <c r="AG228" i="38" s="1"/>
  <c r="AH228" i="38" s="1"/>
  <c r="Z228" i="38"/>
  <c r="AC228" i="38" s="1"/>
  <c r="AI228" i="38" s="1"/>
  <c r="Z231" i="38"/>
  <c r="AC231" i="38" s="1"/>
  <c r="AI231" i="38" s="1"/>
  <c r="AF231" i="38"/>
  <c r="AG231" i="38" s="1"/>
  <c r="AH231" i="38" s="1"/>
  <c r="AJ231" i="38" s="1"/>
  <c r="AF229" i="41"/>
  <c r="AG229" i="41" s="1"/>
  <c r="AH229" i="41" s="1"/>
  <c r="Z229" i="41"/>
  <c r="AC229" i="41" s="1"/>
  <c r="Y226" i="41"/>
  <c r="AF226" i="42"/>
  <c r="AG226" i="42" s="1"/>
  <c r="AH226" i="42" s="1"/>
  <c r="Y226" i="43"/>
  <c r="Y230" i="43"/>
  <c r="T221" i="36"/>
  <c r="T246" i="36"/>
  <c r="T250" i="36"/>
  <c r="T254" i="36"/>
  <c r="T258" i="36"/>
  <c r="T262" i="36"/>
  <c r="T224" i="36"/>
  <c r="T228" i="36"/>
  <c r="T232" i="36"/>
  <c r="T236" i="36"/>
  <c r="T240" i="36"/>
  <c r="T244" i="36"/>
  <c r="T219" i="36"/>
  <c r="T223" i="36"/>
  <c r="T248" i="36"/>
  <c r="T252" i="36"/>
  <c r="T256" i="36"/>
  <c r="T260" i="36"/>
  <c r="T264" i="36"/>
  <c r="T226" i="36"/>
  <c r="T230" i="36"/>
  <c r="T234" i="36"/>
  <c r="T238" i="36"/>
  <c r="T242" i="36"/>
  <c r="T266" i="36"/>
  <c r="T218" i="36"/>
  <c r="T253" i="36"/>
  <c r="T261" i="36"/>
  <c r="T227" i="36"/>
  <c r="T235" i="36"/>
  <c r="T243" i="36"/>
  <c r="U220" i="43"/>
  <c r="U210" i="43"/>
  <c r="U215" i="43"/>
  <c r="T220" i="36"/>
  <c r="T249" i="36"/>
  <c r="T257" i="36"/>
  <c r="T265" i="36"/>
  <c r="T231" i="36"/>
  <c r="T239" i="36"/>
  <c r="U212" i="43"/>
  <c r="U213" i="43"/>
  <c r="U218" i="43"/>
  <c r="T251" i="36"/>
  <c r="T225" i="36"/>
  <c r="T241" i="36"/>
  <c r="U216" i="43"/>
  <c r="U211" i="43"/>
  <c r="T222" i="36"/>
  <c r="T259" i="36"/>
  <c r="T233" i="36"/>
  <c r="U217" i="43"/>
  <c r="T247" i="36"/>
  <c r="T237" i="36"/>
  <c r="U209" i="43"/>
  <c r="T263" i="36"/>
  <c r="U214" i="43"/>
  <c r="T245" i="36"/>
  <c r="T255" i="36"/>
  <c r="U211" i="42"/>
  <c r="U218" i="42"/>
  <c r="U213" i="42"/>
  <c r="U212" i="41"/>
  <c r="U211" i="41"/>
  <c r="U219" i="41"/>
  <c r="U212" i="38"/>
  <c r="U213" i="38"/>
  <c r="U216" i="38"/>
  <c r="U218" i="40"/>
  <c r="T229" i="36"/>
  <c r="U219" i="43"/>
  <c r="U210" i="42"/>
  <c r="U220" i="42"/>
  <c r="U212" i="42"/>
  <c r="U214" i="41"/>
  <c r="U215" i="41"/>
  <c r="U218" i="41"/>
  <c r="U219" i="38"/>
  <c r="U211" i="38"/>
  <c r="U214" i="38"/>
  <c r="U220" i="40"/>
  <c r="U209" i="42"/>
  <c r="U215" i="42"/>
  <c r="U217" i="42"/>
  <c r="U216" i="41"/>
  <c r="U217" i="41"/>
  <c r="U209" i="41"/>
  <c r="U217" i="38"/>
  <c r="U209" i="38"/>
  <c r="U210" i="38"/>
  <c r="U217" i="40"/>
  <c r="U214" i="42"/>
  <c r="U216" i="42"/>
  <c r="U219" i="42"/>
  <c r="U210" i="41"/>
  <c r="U220" i="41"/>
  <c r="U213" i="41"/>
  <c r="U218" i="38"/>
  <c r="U215" i="38"/>
  <c r="U220" i="38"/>
  <c r="S217" i="36"/>
  <c r="S210" i="36"/>
  <c r="U211" i="40"/>
  <c r="S209" i="36"/>
  <c r="S216" i="36"/>
  <c r="S208" i="36"/>
  <c r="S207" i="36"/>
  <c r="U215" i="40"/>
  <c r="S211" i="36"/>
  <c r="S214" i="36"/>
  <c r="S215" i="36"/>
  <c r="S213" i="36"/>
  <c r="S212" i="36"/>
  <c r="U209" i="40"/>
  <c r="U216" i="40"/>
  <c r="U214" i="40"/>
  <c r="U219" i="40"/>
  <c r="U212" i="40"/>
  <c r="U210" i="40"/>
  <c r="U213" i="40"/>
  <c r="U161" i="43"/>
  <c r="U162" i="43"/>
  <c r="U171" i="43"/>
  <c r="U169" i="43"/>
  <c r="U163" i="43"/>
  <c r="U166" i="43"/>
  <c r="U172" i="43"/>
  <c r="U170" i="43"/>
  <c r="U168" i="43"/>
  <c r="U167" i="43"/>
  <c r="U162" i="42"/>
  <c r="U170" i="42"/>
  <c r="U166" i="42"/>
  <c r="U164" i="41"/>
  <c r="U165" i="41"/>
  <c r="U169" i="41"/>
  <c r="U170" i="38"/>
  <c r="U167" i="38"/>
  <c r="U172" i="38"/>
  <c r="U170" i="40"/>
  <c r="U167" i="40"/>
  <c r="U164" i="43"/>
  <c r="U164" i="42"/>
  <c r="U169" i="42"/>
  <c r="U172" i="42"/>
  <c r="U168" i="41"/>
  <c r="U166" i="41"/>
  <c r="U171" i="41"/>
  <c r="U171" i="38"/>
  <c r="U163" i="38"/>
  <c r="U164" i="38"/>
  <c r="U172" i="40"/>
  <c r="U166" i="40"/>
  <c r="U165" i="42"/>
  <c r="U163" i="42"/>
  <c r="U161" i="41"/>
  <c r="U166" i="38"/>
  <c r="U168" i="38"/>
  <c r="U168" i="40"/>
  <c r="U167" i="42"/>
  <c r="U168" i="42"/>
  <c r="U163" i="41"/>
  <c r="U169" i="38"/>
  <c r="U162" i="38"/>
  <c r="U161" i="40"/>
  <c r="U165" i="43"/>
  <c r="U171" i="42"/>
  <c r="U162" i="41"/>
  <c r="U170" i="41"/>
  <c r="U165" i="38"/>
  <c r="U169" i="40"/>
  <c r="U171" i="40"/>
  <c r="U165" i="40"/>
  <c r="U161" i="42"/>
  <c r="U172" i="41"/>
  <c r="U167" i="41"/>
  <c r="U161" i="38"/>
  <c r="U163" i="40"/>
  <c r="U164" i="40"/>
  <c r="U162" i="40"/>
  <c r="S169" i="36"/>
  <c r="S167" i="36"/>
  <c r="S160" i="36"/>
  <c r="S159" i="36"/>
  <c r="S162" i="36"/>
  <c r="S164" i="36"/>
  <c r="S161" i="36"/>
  <c r="S168" i="36"/>
  <c r="S165" i="36"/>
  <c r="S170" i="36"/>
  <c r="S163" i="36"/>
  <c r="S166" i="36"/>
  <c r="U123" i="43"/>
  <c r="U119" i="43"/>
  <c r="U116" i="43"/>
  <c r="U121" i="43"/>
  <c r="U114" i="43"/>
  <c r="U117" i="43"/>
  <c r="U118" i="43"/>
  <c r="U122" i="43"/>
  <c r="U113" i="43"/>
  <c r="U120" i="43"/>
  <c r="U117" i="42"/>
  <c r="U119" i="42"/>
  <c r="U123" i="42"/>
  <c r="U121" i="41"/>
  <c r="U118" i="41"/>
  <c r="U124" i="41"/>
  <c r="U123" i="38"/>
  <c r="U115" i="38"/>
  <c r="U118" i="38"/>
  <c r="U124" i="40"/>
  <c r="U120" i="40"/>
  <c r="U116" i="40"/>
  <c r="U118" i="42"/>
  <c r="U120" i="42"/>
  <c r="U121" i="42"/>
  <c r="U113" i="41"/>
  <c r="U117" i="41"/>
  <c r="U114" i="41"/>
  <c r="U122" i="38"/>
  <c r="U119" i="38"/>
  <c r="U124" i="38"/>
  <c r="U121" i="40"/>
  <c r="U119" i="40"/>
  <c r="U123" i="40"/>
  <c r="U113" i="42"/>
  <c r="U124" i="42"/>
  <c r="U120" i="41"/>
  <c r="U121" i="38"/>
  <c r="U114" i="38"/>
  <c r="U113" i="40"/>
  <c r="U124" i="43"/>
  <c r="U116" i="42"/>
  <c r="U123" i="41"/>
  <c r="U122" i="41"/>
  <c r="U117" i="38"/>
  <c r="U122" i="40"/>
  <c r="U117" i="40"/>
  <c r="U115" i="43"/>
  <c r="U115" i="42"/>
  <c r="U119" i="41"/>
  <c r="U116" i="41"/>
  <c r="U113" i="38"/>
  <c r="U115" i="40"/>
  <c r="U114" i="40"/>
  <c r="U114" i="42"/>
  <c r="U122" i="42"/>
  <c r="U115" i="41"/>
  <c r="U116" i="38"/>
  <c r="U120" i="38"/>
  <c r="U118" i="40"/>
  <c r="S111" i="36"/>
  <c r="S119" i="36"/>
  <c r="S121" i="36"/>
  <c r="S118" i="36"/>
  <c r="S112" i="36"/>
  <c r="S120" i="36"/>
  <c r="S113" i="36"/>
  <c r="S114" i="36"/>
  <c r="S122" i="36"/>
  <c r="S115" i="36"/>
  <c r="S117" i="36"/>
  <c r="S116" i="36"/>
  <c r="U73" i="43"/>
  <c r="U69" i="43"/>
  <c r="U67" i="43"/>
  <c r="U75" i="43"/>
  <c r="U71" i="43"/>
  <c r="U68" i="43"/>
  <c r="U74" i="43"/>
  <c r="U66" i="43"/>
  <c r="U70" i="43"/>
  <c r="U76" i="43"/>
  <c r="U74" i="42"/>
  <c r="U73" i="42"/>
  <c r="U75" i="42"/>
  <c r="U70" i="41"/>
  <c r="U76" i="41"/>
  <c r="U73" i="41"/>
  <c r="U70" i="38"/>
  <c r="U71" i="38"/>
  <c r="U76" i="40"/>
  <c r="U68" i="38"/>
  <c r="U72" i="40"/>
  <c r="U68" i="40"/>
  <c r="U65" i="43"/>
  <c r="U66" i="42"/>
  <c r="U69" i="42"/>
  <c r="U65" i="42"/>
  <c r="U75" i="41"/>
  <c r="U74" i="41"/>
  <c r="U67" i="41"/>
  <c r="U73" i="40"/>
  <c r="U75" i="38"/>
  <c r="U67" i="38"/>
  <c r="U74" i="38"/>
  <c r="U71" i="40"/>
  <c r="U75" i="40"/>
  <c r="U70" i="42"/>
  <c r="U67" i="42"/>
  <c r="U69" i="41"/>
  <c r="U76" i="38"/>
  <c r="U65" i="38"/>
  <c r="U70" i="40"/>
  <c r="U72" i="43"/>
  <c r="U76" i="42"/>
  <c r="U72" i="42"/>
  <c r="U65" i="41"/>
  <c r="U66" i="38"/>
  <c r="U74" i="40"/>
  <c r="U65" i="40"/>
  <c r="U71" i="42"/>
  <c r="U68" i="41"/>
  <c r="U71" i="41"/>
  <c r="U73" i="38"/>
  <c r="U72" i="38"/>
  <c r="U69" i="40"/>
  <c r="U68" i="42"/>
  <c r="U72" i="41"/>
  <c r="U66" i="41"/>
  <c r="U69" i="38"/>
  <c r="U67" i="40"/>
  <c r="U66" i="40"/>
  <c r="S69" i="36"/>
  <c r="S73" i="36"/>
  <c r="S63" i="36"/>
  <c r="S65" i="36"/>
  <c r="S67" i="36"/>
  <c r="S64" i="36"/>
  <c r="S71" i="36"/>
  <c r="S70" i="36"/>
  <c r="S66" i="36"/>
  <c r="S72" i="36"/>
  <c r="S74" i="36"/>
  <c r="S68" i="36"/>
  <c r="Z250" i="42"/>
  <c r="AC250" i="42" s="1"/>
  <c r="AF250" i="42"/>
  <c r="AG250" i="42" s="1"/>
  <c r="AH250" i="42" s="1"/>
  <c r="Z255" i="41"/>
  <c r="AC255" i="41" s="1"/>
  <c r="AF255" i="41"/>
  <c r="AG255" i="41" s="1"/>
  <c r="AH255" i="41" s="1"/>
  <c r="AF245" i="40"/>
  <c r="AG245" i="40" s="1"/>
  <c r="AH245" i="40" s="1"/>
  <c r="Z245" i="40"/>
  <c r="Y249" i="42"/>
  <c r="Y254" i="41"/>
  <c r="Y248" i="38"/>
  <c r="AF246" i="41"/>
  <c r="AG246" i="41" s="1"/>
  <c r="AH246" i="41" s="1"/>
  <c r="Z246" i="41"/>
  <c r="AC246" i="41" s="1"/>
  <c r="Y249" i="43"/>
  <c r="Y256" i="38"/>
  <c r="Y253" i="42"/>
  <c r="Z247" i="43"/>
  <c r="AC247" i="43" s="1"/>
  <c r="AF247" i="43"/>
  <c r="AG247" i="43" s="1"/>
  <c r="AH247" i="43" s="1"/>
  <c r="Y245" i="43"/>
  <c r="T153" i="43"/>
  <c r="T156" i="43"/>
  <c r="T149" i="43"/>
  <c r="T157" i="43"/>
  <c r="T159" i="43"/>
  <c r="T150" i="43"/>
  <c r="T151" i="43"/>
  <c r="T152" i="43"/>
  <c r="T159" i="40"/>
  <c r="T158" i="43"/>
  <c r="T154" i="43"/>
  <c r="T155" i="43"/>
  <c r="T158" i="42"/>
  <c r="T151" i="42"/>
  <c r="T152" i="42"/>
  <c r="T150" i="41"/>
  <c r="T157" i="41"/>
  <c r="T158" i="41"/>
  <c r="T156" i="38"/>
  <c r="T157" i="38"/>
  <c r="T153" i="38"/>
  <c r="T158" i="40"/>
  <c r="T149" i="40"/>
  <c r="T152" i="40"/>
  <c r="T154" i="42"/>
  <c r="T155" i="42"/>
  <c r="T154" i="41"/>
  <c r="T149" i="41"/>
  <c r="T158" i="38"/>
  <c r="T151" i="38"/>
  <c r="T157" i="40"/>
  <c r="T154" i="40"/>
  <c r="T150" i="40"/>
  <c r="T160" i="43"/>
  <c r="T149" i="42"/>
  <c r="T159" i="42"/>
  <c r="T151" i="41"/>
  <c r="T160" i="41"/>
  <c r="T156" i="41"/>
  <c r="T152" i="38"/>
  <c r="T155" i="38"/>
  <c r="T155" i="40"/>
  <c r="T150" i="42"/>
  <c r="T160" i="42"/>
  <c r="T159" i="41"/>
  <c r="T159" i="38"/>
  <c r="T156" i="40"/>
  <c r="R23" i="8"/>
  <c r="T156" i="42"/>
  <c r="T155" i="41"/>
  <c r="T160" i="38"/>
  <c r="T149" i="38"/>
  <c r="T153" i="40"/>
  <c r="T153" i="42"/>
  <c r="T152" i="41"/>
  <c r="T154" i="38"/>
  <c r="T160" i="40"/>
  <c r="T157" i="42"/>
  <c r="T153" i="41"/>
  <c r="T150" i="38"/>
  <c r="T151" i="40"/>
  <c r="F148" i="36"/>
  <c r="J148" i="36" s="1"/>
  <c r="F154" i="36"/>
  <c r="J154" i="36" s="1"/>
  <c r="F149" i="36"/>
  <c r="J149" i="36" s="1"/>
  <c r="F158" i="36"/>
  <c r="J158" i="36" s="1"/>
  <c r="F157" i="36"/>
  <c r="J157" i="36" s="1"/>
  <c r="F150" i="36"/>
  <c r="J150" i="36" s="1"/>
  <c r="F155" i="36"/>
  <c r="J155" i="36" s="1"/>
  <c r="F153" i="36"/>
  <c r="J153" i="36" s="1"/>
  <c r="F147" i="36"/>
  <c r="J147" i="36" s="1"/>
  <c r="F152" i="36"/>
  <c r="J152" i="36" s="1"/>
  <c r="F151" i="36"/>
  <c r="J151" i="36" s="1"/>
  <c r="F156" i="36"/>
  <c r="J156" i="36" s="1"/>
  <c r="T48" i="43"/>
  <c r="T45" i="43"/>
  <c r="T44" i="43"/>
  <c r="T51" i="43"/>
  <c r="T49" i="43"/>
  <c r="T42" i="43"/>
  <c r="T43" i="43"/>
  <c r="T47" i="42"/>
  <c r="T44" i="42"/>
  <c r="T42" i="42"/>
  <c r="T52" i="41"/>
  <c r="T43" i="41"/>
  <c r="T47" i="41"/>
  <c r="T52" i="38"/>
  <c r="T44" i="38"/>
  <c r="T52" i="43"/>
  <c r="T41" i="43"/>
  <c r="T46" i="42"/>
  <c r="T52" i="42"/>
  <c r="T41" i="42"/>
  <c r="T42" i="41"/>
  <c r="T48" i="41"/>
  <c r="T41" i="41"/>
  <c r="T46" i="40"/>
  <c r="T50" i="43"/>
  <c r="T49" i="42"/>
  <c r="T46" i="41"/>
  <c r="T49" i="41"/>
  <c r="T48" i="38"/>
  <c r="T45" i="38"/>
  <c r="T52" i="40"/>
  <c r="T43" i="38"/>
  <c r="T44" i="40"/>
  <c r="T48" i="42"/>
  <c r="T45" i="41"/>
  <c r="T50" i="38"/>
  <c r="T50" i="40"/>
  <c r="T49" i="38"/>
  <c r="T45" i="40"/>
  <c r="T47" i="43"/>
  <c r="T51" i="42"/>
  <c r="T50" i="41"/>
  <c r="T47" i="40"/>
  <c r="T42" i="38"/>
  <c r="T49" i="40"/>
  <c r="T41" i="38"/>
  <c r="T43" i="42"/>
  <c r="T48" i="40"/>
  <c r="T41" i="40"/>
  <c r="R14" i="8"/>
  <c r="T45" i="42"/>
  <c r="T46" i="38"/>
  <c r="T47" i="38"/>
  <c r="T44" i="41"/>
  <c r="T51" i="38"/>
  <c r="T51" i="40"/>
  <c r="T46" i="43"/>
  <c r="T50" i="42"/>
  <c r="T51" i="41"/>
  <c r="T43" i="40"/>
  <c r="T42" i="40"/>
  <c r="F41" i="36"/>
  <c r="J41" i="36" s="1"/>
  <c r="F49" i="36"/>
  <c r="J49" i="36" s="1"/>
  <c r="F50" i="36"/>
  <c r="J50" i="36" s="1"/>
  <c r="F42" i="36"/>
  <c r="J42" i="36" s="1"/>
  <c r="F43" i="36"/>
  <c r="J43" i="36" s="1"/>
  <c r="F47" i="36"/>
  <c r="J47" i="36" s="1"/>
  <c r="F39" i="36"/>
  <c r="J39" i="36" s="1"/>
  <c r="F46" i="36"/>
  <c r="J46" i="36" s="1"/>
  <c r="F45" i="36"/>
  <c r="J45" i="36" s="1"/>
  <c r="F40" i="36"/>
  <c r="J40" i="36" s="1"/>
  <c r="F44" i="36"/>
  <c r="J44" i="36" s="1"/>
  <c r="F48" i="36"/>
  <c r="J48" i="36" s="1"/>
  <c r="R26" i="17"/>
  <c r="R13" i="2"/>
  <c r="Z240" i="40"/>
  <c r="AC240" i="40" s="1"/>
  <c r="AF240" i="40"/>
  <c r="AG240" i="40" s="1"/>
  <c r="AH240" i="40" s="1"/>
  <c r="AF238" i="43"/>
  <c r="AG238" i="43" s="1"/>
  <c r="AH238" i="43" s="1"/>
  <c r="Z238" i="43"/>
  <c r="AC238" i="43" s="1"/>
  <c r="Y234" i="40"/>
  <c r="AF234" i="38"/>
  <c r="AG234" i="38" s="1"/>
  <c r="AH234" i="38" s="1"/>
  <c r="Z234" i="38"/>
  <c r="AC234" i="38" s="1"/>
  <c r="AI234" i="38" s="1"/>
  <c r="AF234" i="43"/>
  <c r="AG234" i="43" s="1"/>
  <c r="AH234" i="43" s="1"/>
  <c r="Z234" i="43"/>
  <c r="AC234" i="43" s="1"/>
  <c r="Y243" i="42"/>
  <c r="AF237" i="38"/>
  <c r="AG237" i="38" s="1"/>
  <c r="AH237" i="38" s="1"/>
  <c r="Z237" i="38"/>
  <c r="AC237" i="38" s="1"/>
  <c r="AI237" i="38" s="1"/>
  <c r="Y235" i="40"/>
  <c r="Z238" i="41"/>
  <c r="AC238" i="41" s="1"/>
  <c r="AF238" i="41"/>
  <c r="AG238" i="41" s="1"/>
  <c r="AH238" i="41" s="1"/>
  <c r="AF233" i="41"/>
  <c r="AG233" i="41" s="1"/>
  <c r="AH233" i="41" s="1"/>
  <c r="Z233" i="41"/>
  <c r="AF237" i="43"/>
  <c r="AG237" i="43" s="1"/>
  <c r="AH237" i="43" s="1"/>
  <c r="Z237" i="43"/>
  <c r="AC237" i="43" s="1"/>
  <c r="Z241" i="40"/>
  <c r="AC241" i="40" s="1"/>
  <c r="AF241" i="40"/>
  <c r="AG241" i="40" s="1"/>
  <c r="AH241" i="40" s="1"/>
  <c r="Y242" i="41"/>
  <c r="Y233" i="42"/>
  <c r="AF239" i="43"/>
  <c r="AG239" i="43" s="1"/>
  <c r="AH239" i="43" s="1"/>
  <c r="Z239" i="43"/>
  <c r="AC239" i="43" s="1"/>
  <c r="Y236" i="43"/>
  <c r="Y260" i="41"/>
  <c r="Y257" i="40"/>
  <c r="Y257" i="42"/>
  <c r="Y258" i="41"/>
  <c r="Y259" i="41"/>
  <c r="Y262" i="40"/>
  <c r="Y268" i="41"/>
  <c r="Y266" i="42"/>
  <c r="Y258" i="38"/>
  <c r="Y261" i="42"/>
  <c r="Y267" i="41"/>
  <c r="Y267" i="38"/>
  <c r="Y268" i="42"/>
  <c r="Y266" i="43"/>
  <c r="Y265" i="43"/>
  <c r="S227" i="36"/>
  <c r="S231" i="36"/>
  <c r="S235" i="36"/>
  <c r="S239" i="36"/>
  <c r="S243" i="36"/>
  <c r="S221" i="36"/>
  <c r="S248" i="36"/>
  <c r="S252" i="36"/>
  <c r="S256" i="36"/>
  <c r="S260" i="36"/>
  <c r="S264" i="36"/>
  <c r="S222" i="36"/>
  <c r="T215" i="43"/>
  <c r="Y215" i="43" s="1"/>
  <c r="T220" i="43"/>
  <c r="Y220" i="43" s="1"/>
  <c r="T212" i="43"/>
  <c r="S225" i="36"/>
  <c r="S229" i="36"/>
  <c r="S233" i="36"/>
  <c r="S237" i="36"/>
  <c r="S241" i="36"/>
  <c r="S245" i="36"/>
  <c r="S246" i="36"/>
  <c r="S250" i="36"/>
  <c r="S254" i="36"/>
  <c r="S258" i="36"/>
  <c r="S262" i="36"/>
  <c r="S266" i="36"/>
  <c r="T219" i="43"/>
  <c r="T211" i="43"/>
  <c r="T216" i="43"/>
  <c r="Y216" i="43" s="1"/>
  <c r="S230" i="36"/>
  <c r="S238" i="36"/>
  <c r="S219" i="36"/>
  <c r="S251" i="36"/>
  <c r="S259" i="36"/>
  <c r="S220" i="36"/>
  <c r="T209" i="43"/>
  <c r="Y209" i="43" s="1"/>
  <c r="S226" i="36"/>
  <c r="S234" i="36"/>
  <c r="S242" i="36"/>
  <c r="S247" i="36"/>
  <c r="S255" i="36"/>
  <c r="S263" i="36"/>
  <c r="T217" i="43"/>
  <c r="T214" i="43"/>
  <c r="Y214" i="43" s="1"/>
  <c r="S236" i="36"/>
  <c r="S249" i="36"/>
  <c r="S265" i="36"/>
  <c r="T218" i="43"/>
  <c r="Y218" i="43" s="1"/>
  <c r="S228" i="36"/>
  <c r="S244" i="36"/>
  <c r="S257" i="36"/>
  <c r="S223" i="36"/>
  <c r="T210" i="43"/>
  <c r="T220" i="42"/>
  <c r="T219" i="42"/>
  <c r="T209" i="42"/>
  <c r="T209" i="41"/>
  <c r="Y209" i="41" s="1"/>
  <c r="T217" i="41"/>
  <c r="T220" i="41"/>
  <c r="T220" i="38"/>
  <c r="Y220" i="38" s="1"/>
  <c r="T212" i="38"/>
  <c r="Y212" i="38" s="1"/>
  <c r="T219" i="38"/>
  <c r="Y219" i="38" s="1"/>
  <c r="S253" i="36"/>
  <c r="T213" i="43"/>
  <c r="Y213" i="43" s="1"/>
  <c r="T218" i="42"/>
  <c r="T210" i="42"/>
  <c r="T210" i="41"/>
  <c r="T213" i="41"/>
  <c r="Y213" i="41" s="1"/>
  <c r="T218" i="41"/>
  <c r="T210" i="38"/>
  <c r="T213" i="38"/>
  <c r="S232" i="36"/>
  <c r="S218" i="36"/>
  <c r="T217" i="42"/>
  <c r="T214" i="42"/>
  <c r="T212" i="41"/>
  <c r="Y212" i="41" s="1"/>
  <c r="T216" i="41"/>
  <c r="Y216" i="41" s="1"/>
  <c r="T216" i="38"/>
  <c r="T209" i="38"/>
  <c r="Y209" i="38" s="1"/>
  <c r="T216" i="42"/>
  <c r="Y216" i="42" s="1"/>
  <c r="T211" i="42"/>
  <c r="T211" i="41"/>
  <c r="T215" i="38"/>
  <c r="T220" i="40"/>
  <c r="S224" i="36"/>
  <c r="T215" i="42"/>
  <c r="T215" i="41"/>
  <c r="T218" i="38"/>
  <c r="Y218" i="38" s="1"/>
  <c r="T211" i="38"/>
  <c r="S240" i="36"/>
  <c r="T212" i="42"/>
  <c r="Y212" i="42" s="1"/>
  <c r="T219" i="41"/>
  <c r="T214" i="38"/>
  <c r="S261" i="36"/>
  <c r="T213" i="42"/>
  <c r="Y213" i="42" s="1"/>
  <c r="T214" i="41"/>
  <c r="Y214" i="41" s="1"/>
  <c r="T217" i="38"/>
  <c r="T218" i="40"/>
  <c r="T217" i="40"/>
  <c r="R28" i="8"/>
  <c r="T211" i="40"/>
  <c r="T215" i="40"/>
  <c r="T209" i="40"/>
  <c r="Y209" i="40" s="1"/>
  <c r="T216" i="40"/>
  <c r="Y216" i="40" s="1"/>
  <c r="T214" i="40"/>
  <c r="T219" i="40"/>
  <c r="T210" i="40"/>
  <c r="T213" i="40"/>
  <c r="T212" i="40"/>
  <c r="F214" i="36"/>
  <c r="J214" i="36" s="1"/>
  <c r="F215" i="36"/>
  <c r="J215" i="36" s="1"/>
  <c r="F209" i="36"/>
  <c r="J209" i="36" s="1"/>
  <c r="F207" i="36"/>
  <c r="J207" i="36" s="1"/>
  <c r="F211" i="36"/>
  <c r="J211" i="36" s="1"/>
  <c r="F216" i="36"/>
  <c r="J216" i="36" s="1"/>
  <c r="F217" i="36"/>
  <c r="J217" i="36" s="1"/>
  <c r="F218" i="36"/>
  <c r="J218" i="36" s="1"/>
  <c r="F210" i="36"/>
  <c r="J210" i="36" s="1"/>
  <c r="F212" i="36"/>
  <c r="J212" i="36" s="1"/>
  <c r="F213" i="36"/>
  <c r="J213" i="36" s="1"/>
  <c r="F208" i="36"/>
  <c r="J208" i="36" s="1"/>
  <c r="T171" i="43"/>
  <c r="T167" i="43"/>
  <c r="Y167" i="43" s="1"/>
  <c r="T161" i="43"/>
  <c r="Y161" i="43" s="1"/>
  <c r="T169" i="43"/>
  <c r="T163" i="43"/>
  <c r="Y163" i="43" s="1"/>
  <c r="T166" i="43"/>
  <c r="Y166" i="43" s="1"/>
  <c r="T170" i="43"/>
  <c r="T165" i="43"/>
  <c r="T164" i="43"/>
  <c r="T162" i="43"/>
  <c r="Y162" i="43" s="1"/>
  <c r="T172" i="43"/>
  <c r="Y172" i="43" s="1"/>
  <c r="T169" i="42"/>
  <c r="T161" i="42"/>
  <c r="T164" i="42"/>
  <c r="T164" i="41"/>
  <c r="Y164" i="41" s="1"/>
  <c r="T171" i="41"/>
  <c r="T167" i="41"/>
  <c r="Y167" i="41" s="1"/>
  <c r="T172" i="38"/>
  <c r="T164" i="38"/>
  <c r="Y164" i="38" s="1"/>
  <c r="T169" i="38"/>
  <c r="T169" i="40"/>
  <c r="T167" i="40"/>
  <c r="T165" i="42"/>
  <c r="Y165" i="42" s="1"/>
  <c r="T166" i="42"/>
  <c r="Y166" i="42" s="1"/>
  <c r="T163" i="41"/>
  <c r="T169" i="41"/>
  <c r="Y169" i="41" s="1"/>
  <c r="T161" i="41"/>
  <c r="T162" i="38"/>
  <c r="T163" i="38"/>
  <c r="T163" i="40"/>
  <c r="T172" i="42"/>
  <c r="Y172" i="42" s="1"/>
  <c r="T171" i="42"/>
  <c r="T172" i="41"/>
  <c r="Y172" i="41" s="1"/>
  <c r="T166" i="41"/>
  <c r="Y166" i="41" s="1"/>
  <c r="T168" i="38"/>
  <c r="T165" i="38"/>
  <c r="T172" i="40"/>
  <c r="Y172" i="40" s="1"/>
  <c r="T168" i="40"/>
  <c r="Y168" i="40" s="1"/>
  <c r="T163" i="42"/>
  <c r="T162" i="41"/>
  <c r="T170" i="38"/>
  <c r="Y170" i="38" s="1"/>
  <c r="T161" i="38"/>
  <c r="Y161" i="38" s="1"/>
  <c r="T164" i="40"/>
  <c r="T168" i="42"/>
  <c r="Y168" i="42" s="1"/>
  <c r="T170" i="41"/>
  <c r="Y170" i="41" s="1"/>
  <c r="T166" i="38"/>
  <c r="Y166" i="38" s="1"/>
  <c r="T170" i="40"/>
  <c r="T162" i="40"/>
  <c r="Y162" i="40" s="1"/>
  <c r="T165" i="40"/>
  <c r="R24" i="8"/>
  <c r="T162" i="42"/>
  <c r="T168" i="41"/>
  <c r="T171" i="38"/>
  <c r="Y171" i="38" s="1"/>
  <c r="T166" i="40"/>
  <c r="T168" i="43"/>
  <c r="Y168" i="43" s="1"/>
  <c r="T167" i="42"/>
  <c r="T170" i="42"/>
  <c r="T165" i="41"/>
  <c r="Y165" i="41" s="1"/>
  <c r="T167" i="38"/>
  <c r="T161" i="40"/>
  <c r="T171" i="40"/>
  <c r="Y171" i="40" s="1"/>
  <c r="F166" i="36"/>
  <c r="J166" i="36" s="1"/>
  <c r="F167" i="36"/>
  <c r="J167" i="36" s="1"/>
  <c r="F162" i="36"/>
  <c r="J162" i="36" s="1"/>
  <c r="F163" i="36"/>
  <c r="J163" i="36" s="1"/>
  <c r="F161" i="36"/>
  <c r="J161" i="36" s="1"/>
  <c r="F165" i="36"/>
  <c r="J165" i="36" s="1"/>
  <c r="F168" i="36"/>
  <c r="J168" i="36" s="1"/>
  <c r="F159" i="36"/>
  <c r="J159" i="36" s="1"/>
  <c r="F170" i="36"/>
  <c r="J170" i="36" s="1"/>
  <c r="F169" i="36"/>
  <c r="J169" i="36" s="1"/>
  <c r="F160" i="36"/>
  <c r="J160" i="36" s="1"/>
  <c r="F164" i="36"/>
  <c r="J164" i="36" s="1"/>
  <c r="T119" i="43"/>
  <c r="Y119" i="43" s="1"/>
  <c r="T121" i="43"/>
  <c r="Y121" i="43" s="1"/>
  <c r="T115" i="43"/>
  <c r="Y115" i="43" s="1"/>
  <c r="T117" i="43"/>
  <c r="T123" i="43"/>
  <c r="Y123" i="43" s="1"/>
  <c r="T120" i="43"/>
  <c r="T116" i="43"/>
  <c r="T122" i="43"/>
  <c r="Y122" i="43" s="1"/>
  <c r="T118" i="43"/>
  <c r="T114" i="43"/>
  <c r="T124" i="43"/>
  <c r="T114" i="42"/>
  <c r="Y114" i="42" s="1"/>
  <c r="T124" i="42"/>
  <c r="Y124" i="42" s="1"/>
  <c r="T113" i="42"/>
  <c r="T123" i="41"/>
  <c r="T115" i="41"/>
  <c r="T118" i="41"/>
  <c r="T124" i="38"/>
  <c r="T116" i="38"/>
  <c r="T123" i="38"/>
  <c r="Y123" i="38" s="1"/>
  <c r="T121" i="40"/>
  <c r="Y121" i="40" s="1"/>
  <c r="T119" i="40"/>
  <c r="T114" i="40"/>
  <c r="T121" i="42"/>
  <c r="Y121" i="42" s="1"/>
  <c r="T116" i="42"/>
  <c r="Y116" i="42" s="1"/>
  <c r="T119" i="41"/>
  <c r="T120" i="41"/>
  <c r="T122" i="38"/>
  <c r="Y122" i="38" s="1"/>
  <c r="T119" i="38"/>
  <c r="Y119" i="38" s="1"/>
  <c r="T115" i="38"/>
  <c r="T120" i="40"/>
  <c r="T117" i="40"/>
  <c r="Y117" i="40" s="1"/>
  <c r="T113" i="43"/>
  <c r="Y113" i="43" s="1"/>
  <c r="T115" i="42"/>
  <c r="T120" i="42"/>
  <c r="Y120" i="42" s="1"/>
  <c r="T122" i="42"/>
  <c r="Y122" i="42" s="1"/>
  <c r="T124" i="41"/>
  <c r="Y124" i="41" s="1"/>
  <c r="T113" i="41"/>
  <c r="T118" i="38"/>
  <c r="T121" i="38"/>
  <c r="T122" i="40"/>
  <c r="Y122" i="40" s="1"/>
  <c r="T113" i="40"/>
  <c r="Y113" i="40" s="1"/>
  <c r="T123" i="42"/>
  <c r="T122" i="41"/>
  <c r="Y122" i="41" s="1"/>
  <c r="T114" i="38"/>
  <c r="T115" i="40"/>
  <c r="T119" i="42"/>
  <c r="Y119" i="42" s="1"/>
  <c r="T116" i="41"/>
  <c r="Y116" i="41" s="1"/>
  <c r="T113" i="38"/>
  <c r="T118" i="40"/>
  <c r="T118" i="42"/>
  <c r="T121" i="41"/>
  <c r="Y121" i="41" s="1"/>
  <c r="T114" i="41"/>
  <c r="Y114" i="41" s="1"/>
  <c r="T117" i="38"/>
  <c r="T116" i="40"/>
  <c r="T117" i="42"/>
  <c r="T117" i="41"/>
  <c r="T120" i="38"/>
  <c r="Y120" i="38" s="1"/>
  <c r="T124" i="40"/>
  <c r="Y124" i="40" s="1"/>
  <c r="T123" i="40"/>
  <c r="Y123" i="40" s="1"/>
  <c r="R20" i="8"/>
  <c r="F118" i="36"/>
  <c r="J118" i="36" s="1"/>
  <c r="F111" i="36"/>
  <c r="J111" i="36" s="1"/>
  <c r="F115" i="36"/>
  <c r="J115" i="36" s="1"/>
  <c r="F120" i="36"/>
  <c r="J120" i="36" s="1"/>
  <c r="F119" i="36"/>
  <c r="J119" i="36" s="1"/>
  <c r="F116" i="36"/>
  <c r="J116" i="36" s="1"/>
  <c r="F122" i="36"/>
  <c r="J122" i="36" s="1"/>
  <c r="F117" i="36"/>
  <c r="J117" i="36" s="1"/>
  <c r="F112" i="36"/>
  <c r="J112" i="36" s="1"/>
  <c r="F113" i="36"/>
  <c r="J113" i="36" s="1"/>
  <c r="F114" i="36"/>
  <c r="J114" i="36" s="1"/>
  <c r="F121" i="36"/>
  <c r="J121" i="36" s="1"/>
  <c r="T75" i="43"/>
  <c r="T72" i="43"/>
  <c r="Y72" i="43" s="1"/>
  <c r="T65" i="43"/>
  <c r="Y65" i="43" s="1"/>
  <c r="T71" i="43"/>
  <c r="T66" i="43"/>
  <c r="T76" i="43"/>
  <c r="Y76" i="43" s="1"/>
  <c r="T68" i="43"/>
  <c r="T69" i="43"/>
  <c r="T74" i="43"/>
  <c r="Y74" i="43" s="1"/>
  <c r="T70" i="43"/>
  <c r="T67" i="42"/>
  <c r="Y67" i="42" s="1"/>
  <c r="T73" i="42"/>
  <c r="T70" i="42"/>
  <c r="T65" i="41"/>
  <c r="T69" i="41"/>
  <c r="T68" i="41"/>
  <c r="T76" i="38"/>
  <c r="Y76" i="38" s="1"/>
  <c r="T68" i="38"/>
  <c r="Y68" i="38" s="1"/>
  <c r="T74" i="40"/>
  <c r="Y74" i="40" s="1"/>
  <c r="T73" i="38"/>
  <c r="T67" i="40"/>
  <c r="T75" i="40"/>
  <c r="Y75" i="40" s="1"/>
  <c r="T69" i="42"/>
  <c r="Y69" i="42" s="1"/>
  <c r="T68" i="42"/>
  <c r="T66" i="41"/>
  <c r="T75" i="41"/>
  <c r="Y75" i="41" s="1"/>
  <c r="T74" i="38"/>
  <c r="Y74" i="38" s="1"/>
  <c r="T71" i="38"/>
  <c r="T75" i="38"/>
  <c r="Y75" i="38" s="1"/>
  <c r="T72" i="40"/>
  <c r="T66" i="40"/>
  <c r="Y66" i="40" s="1"/>
  <c r="T67" i="43"/>
  <c r="Y67" i="43" s="1"/>
  <c r="T66" i="42"/>
  <c r="T75" i="42"/>
  <c r="T71" i="42"/>
  <c r="Y71" i="42" s="1"/>
  <c r="T71" i="41"/>
  <c r="Y71" i="41" s="1"/>
  <c r="T74" i="41"/>
  <c r="T70" i="38"/>
  <c r="T71" i="40"/>
  <c r="T67" i="38"/>
  <c r="T70" i="40"/>
  <c r="T73" i="43"/>
  <c r="T72" i="42"/>
  <c r="Y72" i="42" s="1"/>
  <c r="T67" i="41"/>
  <c r="T72" i="38"/>
  <c r="T69" i="38"/>
  <c r="Y69" i="38" s="1"/>
  <c r="T69" i="40"/>
  <c r="T74" i="42"/>
  <c r="Y74" i="42" s="1"/>
  <c r="T73" i="41"/>
  <c r="T66" i="38"/>
  <c r="Y66" i="38" s="1"/>
  <c r="T65" i="38"/>
  <c r="Y65" i="38" s="1"/>
  <c r="R16" i="8"/>
  <c r="T76" i="42"/>
  <c r="Y76" i="42" s="1"/>
  <c r="T70" i="41"/>
  <c r="T73" i="40"/>
  <c r="T65" i="40"/>
  <c r="T65" i="42"/>
  <c r="T76" i="41"/>
  <c r="Y76" i="41" s="1"/>
  <c r="T72" i="41"/>
  <c r="T76" i="40"/>
  <c r="Y76" i="40" s="1"/>
  <c r="T68" i="40"/>
  <c r="Y68" i="40" s="1"/>
  <c r="F65" i="36"/>
  <c r="J65" i="36" s="1"/>
  <c r="F66" i="36"/>
  <c r="J66" i="36" s="1"/>
  <c r="F68" i="36"/>
  <c r="J68" i="36" s="1"/>
  <c r="F63" i="36"/>
  <c r="J63" i="36" s="1"/>
  <c r="F70" i="36"/>
  <c r="J70" i="36" s="1"/>
  <c r="F73" i="36"/>
  <c r="J73" i="36" s="1"/>
  <c r="F69" i="36"/>
  <c r="J69" i="36" s="1"/>
  <c r="F71" i="36"/>
  <c r="J71" i="36" s="1"/>
  <c r="F74" i="36"/>
  <c r="J74" i="36" s="1"/>
  <c r="F64" i="36"/>
  <c r="J64" i="36" s="1"/>
  <c r="F72" i="36"/>
  <c r="J72" i="36" s="1"/>
  <c r="F67" i="36"/>
  <c r="J67" i="36" s="1"/>
  <c r="R27" i="17"/>
  <c r="R23" i="17"/>
  <c r="R19" i="17"/>
  <c r="R15" i="17"/>
  <c r="U148" i="43"/>
  <c r="U142" i="43"/>
  <c r="U140" i="43"/>
  <c r="U138" i="43"/>
  <c r="U143" i="43"/>
  <c r="U146" i="43"/>
  <c r="U144" i="43"/>
  <c r="U141" i="43"/>
  <c r="U147" i="43"/>
  <c r="U145" i="43"/>
  <c r="U143" i="42"/>
  <c r="U146" i="42"/>
  <c r="U148" i="42"/>
  <c r="U144" i="41"/>
  <c r="U148" i="41"/>
  <c r="U147" i="41"/>
  <c r="U145" i="38"/>
  <c r="U137" i="38"/>
  <c r="U138" i="38"/>
  <c r="U139" i="40"/>
  <c r="U144" i="40"/>
  <c r="U141" i="40"/>
  <c r="U139" i="43"/>
  <c r="U137" i="42"/>
  <c r="U147" i="42"/>
  <c r="U140" i="42"/>
  <c r="U146" i="41"/>
  <c r="U141" i="41"/>
  <c r="U147" i="38"/>
  <c r="U148" i="38"/>
  <c r="U148" i="40"/>
  <c r="U137" i="40"/>
  <c r="U141" i="42"/>
  <c r="U144" i="42"/>
  <c r="U140" i="41"/>
  <c r="U143" i="41"/>
  <c r="U146" i="38"/>
  <c r="U141" i="38"/>
  <c r="U142" i="38"/>
  <c r="U143" i="40"/>
  <c r="U138" i="40"/>
  <c r="U138" i="42"/>
  <c r="U139" i="41"/>
  <c r="U143" i="38"/>
  <c r="U146" i="40"/>
  <c r="U137" i="43"/>
  <c r="U142" i="42"/>
  <c r="U137" i="41"/>
  <c r="U139" i="38"/>
  <c r="U142" i="40"/>
  <c r="U139" i="42"/>
  <c r="U138" i="41"/>
  <c r="U145" i="41"/>
  <c r="U144" i="38"/>
  <c r="U140" i="40"/>
  <c r="U145" i="42"/>
  <c r="U142" i="41"/>
  <c r="U140" i="38"/>
  <c r="U145" i="40"/>
  <c r="U147" i="40"/>
  <c r="S143" i="36"/>
  <c r="S146" i="36"/>
  <c r="S138" i="36"/>
  <c r="S137" i="36"/>
  <c r="S144" i="36"/>
  <c r="S136" i="36"/>
  <c r="S145" i="36"/>
  <c r="S142" i="36"/>
  <c r="S139" i="36"/>
  <c r="S135" i="36"/>
  <c r="S140" i="36"/>
  <c r="S141" i="36"/>
  <c r="T54" i="43"/>
  <c r="T58" i="43"/>
  <c r="T62" i="43"/>
  <c r="T53" i="43"/>
  <c r="T57" i="43"/>
  <c r="T60" i="43"/>
  <c r="T61" i="43"/>
  <c r="T55" i="43"/>
  <c r="T59" i="43"/>
  <c r="T64" i="43"/>
  <c r="T56" i="43"/>
  <c r="T61" i="42"/>
  <c r="T55" i="42"/>
  <c r="T62" i="42"/>
  <c r="T58" i="41"/>
  <c r="T56" i="41"/>
  <c r="T60" i="41"/>
  <c r="T59" i="40"/>
  <c r="T58" i="38"/>
  <c r="T63" i="38"/>
  <c r="T58" i="40"/>
  <c r="T53" i="38"/>
  <c r="T54" i="40"/>
  <c r="T58" i="42"/>
  <c r="T64" i="42"/>
  <c r="T55" i="41"/>
  <c r="T59" i="41"/>
  <c r="T57" i="41"/>
  <c r="T60" i="38"/>
  <c r="T59" i="38"/>
  <c r="T61" i="38"/>
  <c r="T57" i="40"/>
  <c r="R15" i="8"/>
  <c r="T59" i="42"/>
  <c r="T56" i="42"/>
  <c r="T53" i="41"/>
  <c r="T63" i="41"/>
  <c r="T64" i="38"/>
  <c r="T54" i="38"/>
  <c r="T62" i="40"/>
  <c r="T60" i="40"/>
  <c r="T63" i="40"/>
  <c r="T63" i="42"/>
  <c r="T57" i="42"/>
  <c r="T62" i="41"/>
  <c r="T61" i="40"/>
  <c r="T53" i="40"/>
  <c r="T54" i="42"/>
  <c r="T54" i="41"/>
  <c r="T64" i="40"/>
  <c r="T55" i="38"/>
  <c r="T56" i="40"/>
  <c r="T53" i="42"/>
  <c r="T61" i="41"/>
  <c r="T62" i="38"/>
  <c r="T55" i="40"/>
  <c r="T63" i="43"/>
  <c r="T60" i="42"/>
  <c r="T64" i="41"/>
  <c r="T56" i="38"/>
  <c r="T57" i="38"/>
  <c r="F53" i="36"/>
  <c r="J53" i="36" s="1"/>
  <c r="F59" i="36"/>
  <c r="J59" i="36" s="1"/>
  <c r="F60" i="36"/>
  <c r="J60" i="36" s="1"/>
  <c r="F55" i="36"/>
  <c r="J55" i="36" s="1"/>
  <c r="F52" i="36"/>
  <c r="J52" i="36" s="1"/>
  <c r="F56" i="36"/>
  <c r="J56" i="36" s="1"/>
  <c r="F62" i="36"/>
  <c r="J62" i="36" s="1"/>
  <c r="F54" i="36"/>
  <c r="J54" i="36" s="1"/>
  <c r="F57" i="36"/>
  <c r="J57" i="36" s="1"/>
  <c r="F51" i="36"/>
  <c r="J51" i="36" s="1"/>
  <c r="F58" i="36"/>
  <c r="J58" i="36" s="1"/>
  <c r="F61" i="36"/>
  <c r="J61" i="36" s="1"/>
  <c r="T192" i="43"/>
  <c r="T185" i="43"/>
  <c r="T187" i="43"/>
  <c r="T193" i="43"/>
  <c r="T190" i="43"/>
  <c r="T195" i="43"/>
  <c r="T188" i="43"/>
  <c r="T191" i="43"/>
  <c r="T195" i="42"/>
  <c r="T189" i="42"/>
  <c r="T196" i="42"/>
  <c r="T188" i="41"/>
  <c r="T185" i="41"/>
  <c r="T195" i="41"/>
  <c r="T196" i="38"/>
  <c r="T188" i="38"/>
  <c r="T193" i="38"/>
  <c r="T194" i="40"/>
  <c r="T194" i="43"/>
  <c r="T187" i="42"/>
  <c r="T194" i="42"/>
  <c r="T192" i="42"/>
  <c r="T187" i="41"/>
  <c r="T190" i="41"/>
  <c r="T196" i="41"/>
  <c r="T192" i="38"/>
  <c r="T191" i="38"/>
  <c r="T187" i="38"/>
  <c r="T193" i="40"/>
  <c r="T196" i="43"/>
  <c r="T185" i="42"/>
  <c r="T186" i="41"/>
  <c r="T194" i="41"/>
  <c r="T186" i="38"/>
  <c r="T196" i="40"/>
  <c r="T187" i="40"/>
  <c r="T186" i="43"/>
  <c r="T191" i="42"/>
  <c r="T190" i="42"/>
  <c r="T193" i="41"/>
  <c r="T189" i="38"/>
  <c r="T186" i="42"/>
  <c r="T191" i="41"/>
  <c r="T190" i="38"/>
  <c r="T189" i="41"/>
  <c r="T185" i="38"/>
  <c r="T192" i="40"/>
  <c r="T189" i="43"/>
  <c r="T192" i="41"/>
  <c r="T193" i="42"/>
  <c r="T194" i="38"/>
  <c r="T185" i="40"/>
  <c r="R26" i="8"/>
  <c r="T188" i="42"/>
  <c r="T195" i="38"/>
  <c r="T191" i="40"/>
  <c r="T190" i="40"/>
  <c r="T188" i="40"/>
  <c r="T189" i="40"/>
  <c r="T195" i="40"/>
  <c r="T186" i="40"/>
  <c r="F193" i="36"/>
  <c r="J193" i="36" s="1"/>
  <c r="F192" i="36"/>
  <c r="J192" i="36" s="1"/>
  <c r="F183" i="36"/>
  <c r="J183" i="36" s="1"/>
  <c r="F185" i="36"/>
  <c r="J185" i="36" s="1"/>
  <c r="F184" i="36"/>
  <c r="J184" i="36" s="1"/>
  <c r="F191" i="36"/>
  <c r="J191" i="36" s="1"/>
  <c r="F194" i="36"/>
  <c r="J194" i="36" s="1"/>
  <c r="F188" i="36"/>
  <c r="J188" i="36" s="1"/>
  <c r="F187" i="36"/>
  <c r="J187" i="36" s="1"/>
  <c r="F190" i="36"/>
  <c r="J190" i="36" s="1"/>
  <c r="F186" i="36"/>
  <c r="J186" i="36" s="1"/>
  <c r="F189" i="36"/>
  <c r="J189" i="36" s="1"/>
  <c r="U82" i="43"/>
  <c r="U86" i="43"/>
  <c r="U81" i="43"/>
  <c r="U80" i="42"/>
  <c r="U88" i="42"/>
  <c r="U85" i="42"/>
  <c r="U79" i="41"/>
  <c r="U86" i="41"/>
  <c r="U82" i="41"/>
  <c r="U85" i="38"/>
  <c r="U77" i="38"/>
  <c r="U78" i="38"/>
  <c r="U79" i="40"/>
  <c r="U82" i="40"/>
  <c r="U81" i="40"/>
  <c r="U79" i="43"/>
  <c r="U84" i="43"/>
  <c r="U77" i="43"/>
  <c r="U77" i="42"/>
  <c r="U84" i="42"/>
  <c r="U87" i="42"/>
  <c r="U81" i="41"/>
  <c r="U85" i="41"/>
  <c r="U84" i="41"/>
  <c r="U80" i="38"/>
  <c r="U81" i="38"/>
  <c r="U84" i="38"/>
  <c r="U88" i="40"/>
  <c r="U84" i="40"/>
  <c r="U80" i="40"/>
  <c r="U80" i="43"/>
  <c r="U86" i="42"/>
  <c r="U83" i="41"/>
  <c r="U78" i="41"/>
  <c r="U79" i="38"/>
  <c r="U86" i="40"/>
  <c r="U78" i="40"/>
  <c r="U85" i="43"/>
  <c r="U88" i="43"/>
  <c r="U79" i="42"/>
  <c r="U81" i="42"/>
  <c r="U88" i="41"/>
  <c r="U87" i="38"/>
  <c r="U82" i="38"/>
  <c r="U77" i="40"/>
  <c r="U87" i="41"/>
  <c r="U83" i="38"/>
  <c r="U87" i="40"/>
  <c r="U87" i="43"/>
  <c r="U82" i="42"/>
  <c r="U86" i="38"/>
  <c r="U78" i="43"/>
  <c r="U77" i="41"/>
  <c r="U85" i="40"/>
  <c r="U80" i="41"/>
  <c r="U88" i="38"/>
  <c r="S85" i="36"/>
  <c r="S76" i="36"/>
  <c r="U78" i="42"/>
  <c r="U83" i="40"/>
  <c r="S84" i="36"/>
  <c r="U83" i="43"/>
  <c r="U83" i="42"/>
  <c r="S79" i="36"/>
  <c r="S78" i="36"/>
  <c r="S81" i="36"/>
  <c r="S86" i="36"/>
  <c r="S75" i="36"/>
  <c r="S83" i="36"/>
  <c r="S82" i="36"/>
  <c r="S80" i="36"/>
  <c r="S77" i="36"/>
  <c r="R28" i="2"/>
  <c r="R24" i="2"/>
  <c r="R20" i="2"/>
  <c r="R17" i="2"/>
  <c r="AF222" i="38"/>
  <c r="AG222" i="38" s="1"/>
  <c r="AH222" i="38" s="1"/>
  <c r="Z222" i="38"/>
  <c r="AC222" i="38" s="1"/>
  <c r="AI222" i="38" s="1"/>
  <c r="Z232" i="42"/>
  <c r="AC232" i="42" s="1"/>
  <c r="AF232" i="42"/>
  <c r="AG232" i="42" s="1"/>
  <c r="AH232" i="42" s="1"/>
  <c r="AF229" i="38"/>
  <c r="AG229" i="38" s="1"/>
  <c r="AH229" i="38" s="1"/>
  <c r="Z229" i="38"/>
  <c r="AC229" i="38" s="1"/>
  <c r="AI229" i="38" s="1"/>
  <c r="Z226" i="40"/>
  <c r="AC226" i="40" s="1"/>
  <c r="AF226" i="40"/>
  <c r="AG226" i="40" s="1"/>
  <c r="AH226" i="40" s="1"/>
  <c r="Z229" i="42"/>
  <c r="AC229" i="42" s="1"/>
  <c r="AF229" i="42"/>
  <c r="AG229" i="42" s="1"/>
  <c r="AH229" i="42" s="1"/>
  <c r="Z225" i="41"/>
  <c r="AC225" i="41" s="1"/>
  <c r="AF225" i="41"/>
  <c r="AG225" i="41" s="1"/>
  <c r="AH225" i="41" s="1"/>
  <c r="AF231" i="43"/>
  <c r="AG231" i="43" s="1"/>
  <c r="AH231" i="43" s="1"/>
  <c r="AF223" i="43"/>
  <c r="AG223" i="43" s="1"/>
  <c r="AH223" i="43" s="1"/>
  <c r="Z223" i="43"/>
  <c r="AC223" i="43" s="1"/>
  <c r="T127" i="43"/>
  <c r="T128" i="43"/>
  <c r="T133" i="43"/>
  <c r="T125" i="43"/>
  <c r="T131" i="43"/>
  <c r="T136" i="43"/>
  <c r="T134" i="43"/>
  <c r="T129" i="43"/>
  <c r="T135" i="43"/>
  <c r="T132" i="43"/>
  <c r="T131" i="42"/>
  <c r="T134" i="42"/>
  <c r="T125" i="42"/>
  <c r="T128" i="41"/>
  <c r="T136" i="41"/>
  <c r="T131" i="41"/>
  <c r="T134" i="38"/>
  <c r="T126" i="38"/>
  <c r="T133" i="38"/>
  <c r="T136" i="40"/>
  <c r="T125" i="40"/>
  <c r="T126" i="40"/>
  <c r="T130" i="43"/>
  <c r="T136" i="42"/>
  <c r="T128" i="42"/>
  <c r="T127" i="42"/>
  <c r="T132" i="41"/>
  <c r="T127" i="41"/>
  <c r="T135" i="41"/>
  <c r="T130" i="38"/>
  <c r="T125" i="38"/>
  <c r="T127" i="38"/>
  <c r="T127" i="40"/>
  <c r="T132" i="40"/>
  <c r="T129" i="40"/>
  <c r="T133" i="42"/>
  <c r="T129" i="42"/>
  <c r="T125" i="41"/>
  <c r="T132" i="38"/>
  <c r="T129" i="38"/>
  <c r="T130" i="40"/>
  <c r="R21" i="8"/>
  <c r="T132" i="42"/>
  <c r="T126" i="41"/>
  <c r="T129" i="41"/>
  <c r="T128" i="38"/>
  <c r="T133" i="40"/>
  <c r="T135" i="40"/>
  <c r="T126" i="42"/>
  <c r="T130" i="41"/>
  <c r="T133" i="41"/>
  <c r="T131" i="38"/>
  <c r="T134" i="40"/>
  <c r="T128" i="40"/>
  <c r="T126" i="43"/>
  <c r="T135" i="42"/>
  <c r="T130" i="42"/>
  <c r="T134" i="41"/>
  <c r="T136" i="38"/>
  <c r="T135" i="38"/>
  <c r="T131" i="40"/>
  <c r="F132" i="36"/>
  <c r="J132" i="36" s="1"/>
  <c r="F129" i="36"/>
  <c r="J129" i="36" s="1"/>
  <c r="F128" i="36"/>
  <c r="J128" i="36" s="1"/>
  <c r="F133" i="36"/>
  <c r="J133" i="36" s="1"/>
  <c r="F131" i="36"/>
  <c r="J131" i="36" s="1"/>
  <c r="F125" i="36"/>
  <c r="J125" i="36" s="1"/>
  <c r="F123" i="36"/>
  <c r="J123" i="36" s="1"/>
  <c r="F134" i="36"/>
  <c r="J134" i="36" s="1"/>
  <c r="F126" i="36"/>
  <c r="J126" i="36" s="1"/>
  <c r="F124" i="36"/>
  <c r="J124" i="36" s="1"/>
  <c r="F127" i="36"/>
  <c r="J127" i="36" s="1"/>
  <c r="F130" i="36"/>
  <c r="J130" i="36" s="1"/>
  <c r="U14" i="43"/>
  <c r="U16" i="43"/>
  <c r="U9" i="43"/>
  <c r="AJ275" i="43"/>
  <c r="U11" i="43"/>
  <c r="U10" i="43"/>
  <c r="U5" i="43"/>
  <c r="U7" i="43"/>
  <c r="U13" i="43"/>
  <c r="U6" i="43"/>
  <c r="U8" i="43"/>
  <c r="U15" i="43"/>
  <c r="U7" i="42"/>
  <c r="U5" i="42"/>
  <c r="U9" i="42"/>
  <c r="AJ275" i="41"/>
  <c r="U8" i="41"/>
  <c r="U10" i="41"/>
  <c r="U16" i="41"/>
  <c r="U8" i="40"/>
  <c r="U5" i="40"/>
  <c r="U16" i="40"/>
  <c r="U6" i="38"/>
  <c r="U9" i="38"/>
  <c r="U12" i="38"/>
  <c r="U8" i="42"/>
  <c r="U14" i="42"/>
  <c r="U15" i="42"/>
  <c r="U5" i="41"/>
  <c r="U15" i="41"/>
  <c r="U12" i="41"/>
  <c r="U10" i="40"/>
  <c r="U15" i="40"/>
  <c r="U13" i="40"/>
  <c r="U14" i="38"/>
  <c r="U13" i="38"/>
  <c r="U5" i="38"/>
  <c r="U10" i="42"/>
  <c r="U16" i="42"/>
  <c r="U9" i="41"/>
  <c r="U14" i="40"/>
  <c r="U9" i="40"/>
  <c r="U11" i="38"/>
  <c r="U12" i="42"/>
  <c r="U7" i="41"/>
  <c r="U6" i="41"/>
  <c r="AJ275" i="40"/>
  <c r="U7" i="40"/>
  <c r="U7" i="38"/>
  <c r="S13" i="36"/>
  <c r="S9" i="36"/>
  <c r="S5" i="36"/>
  <c r="U12" i="43"/>
  <c r="AJ275" i="42"/>
  <c r="U6" i="42"/>
  <c r="U13" i="41"/>
  <c r="U14" i="41"/>
  <c r="U6" i="40"/>
  <c r="U10" i="38"/>
  <c r="U16" i="38"/>
  <c r="U13" i="42"/>
  <c r="U11" i="42"/>
  <c r="U11" i="41"/>
  <c r="U11" i="40"/>
  <c r="U12" i="40"/>
  <c r="U15" i="38"/>
  <c r="U8" i="38"/>
  <c r="S11" i="36"/>
  <c r="S7" i="36"/>
  <c r="S3" i="36"/>
  <c r="S6" i="36"/>
  <c r="S10" i="36"/>
  <c r="S14" i="36"/>
  <c r="S4" i="36"/>
  <c r="S8" i="36"/>
  <c r="S12" i="36"/>
  <c r="AC271" i="36"/>
  <c r="AC269" i="36"/>
  <c r="AJ275" i="38"/>
  <c r="Z252" i="38"/>
  <c r="AC252" i="38" s="1"/>
  <c r="AI252" i="38" s="1"/>
  <c r="AF252" i="38"/>
  <c r="AG252" i="38" s="1"/>
  <c r="AH252" i="38" s="1"/>
  <c r="AF256" i="41"/>
  <c r="AG256" i="41" s="1"/>
  <c r="AH256" i="41" s="1"/>
  <c r="Z256" i="41"/>
  <c r="AC256" i="41" s="1"/>
  <c r="Z251" i="40"/>
  <c r="AC251" i="40" s="1"/>
  <c r="AF251" i="40"/>
  <c r="AG251" i="40" s="1"/>
  <c r="AH251" i="40" s="1"/>
  <c r="AF248" i="42"/>
  <c r="AG248" i="42" s="1"/>
  <c r="AH248" i="42" s="1"/>
  <c r="Z248" i="42"/>
  <c r="AC248" i="42" s="1"/>
  <c r="T110" i="43"/>
  <c r="Y110" i="43" s="1"/>
  <c r="T106" i="43"/>
  <c r="Y106" i="43" s="1"/>
  <c r="T102" i="43"/>
  <c r="Y102" i="43" s="1"/>
  <c r="T108" i="43"/>
  <c r="T104" i="43"/>
  <c r="T111" i="43"/>
  <c r="Y111" i="43" s="1"/>
  <c r="T109" i="43"/>
  <c r="Y109" i="43" s="1"/>
  <c r="T101" i="43"/>
  <c r="Y101" i="43" s="1"/>
  <c r="T105" i="43"/>
  <c r="T103" i="43"/>
  <c r="Y103" i="43" s="1"/>
  <c r="T112" i="43"/>
  <c r="T109" i="42"/>
  <c r="T108" i="42"/>
  <c r="Y108" i="42" s="1"/>
  <c r="T110" i="42"/>
  <c r="Y110" i="42" s="1"/>
  <c r="T105" i="41"/>
  <c r="Y105" i="41" s="1"/>
  <c r="T110" i="41"/>
  <c r="Y110" i="41" s="1"/>
  <c r="T112" i="41"/>
  <c r="T110" i="38"/>
  <c r="Y110" i="38" s="1"/>
  <c r="T102" i="38"/>
  <c r="Y102" i="38" s="1"/>
  <c r="T109" i="38"/>
  <c r="Y109" i="38" s="1"/>
  <c r="T109" i="40"/>
  <c r="T108" i="40"/>
  <c r="Y108" i="40" s="1"/>
  <c r="T105" i="40"/>
  <c r="Y105" i="40" s="1"/>
  <c r="T103" i="42"/>
  <c r="T102" i="42"/>
  <c r="T109" i="41"/>
  <c r="Y109" i="41" s="1"/>
  <c r="T106" i="41"/>
  <c r="Y106" i="41" s="1"/>
  <c r="T104" i="41"/>
  <c r="Y104" i="41" s="1"/>
  <c r="T104" i="38"/>
  <c r="T105" i="38"/>
  <c r="T107" i="40"/>
  <c r="Y107" i="40" s="1"/>
  <c r="T102" i="40"/>
  <c r="Y102" i="40" s="1"/>
  <c r="T107" i="43"/>
  <c r="T104" i="42"/>
  <c r="T101" i="42"/>
  <c r="T107" i="41"/>
  <c r="T101" i="41"/>
  <c r="Y101" i="41" s="1"/>
  <c r="T108" i="38"/>
  <c r="T101" i="38"/>
  <c r="T110" i="40"/>
  <c r="Y110" i="40" s="1"/>
  <c r="T106" i="40"/>
  <c r="Y106" i="40" s="1"/>
  <c r="T111" i="40"/>
  <c r="Y111" i="40" s="1"/>
  <c r="T112" i="42"/>
  <c r="T111" i="41"/>
  <c r="T112" i="38"/>
  <c r="Y112" i="38" s="1"/>
  <c r="T103" i="38"/>
  <c r="Y103" i="38" s="1"/>
  <c r="T104" i="40"/>
  <c r="T105" i="42"/>
  <c r="T103" i="41"/>
  <c r="Y103" i="41" s="1"/>
  <c r="T106" i="38"/>
  <c r="Y106" i="38" s="1"/>
  <c r="T112" i="40"/>
  <c r="Y112" i="40" s="1"/>
  <c r="T106" i="42"/>
  <c r="T102" i="41"/>
  <c r="Y102" i="41" s="1"/>
  <c r="T107" i="38"/>
  <c r="Y107" i="38" s="1"/>
  <c r="T103" i="40"/>
  <c r="Y103" i="40" s="1"/>
  <c r="T111" i="42"/>
  <c r="Y111" i="42" s="1"/>
  <c r="T107" i="42"/>
  <c r="T108" i="41"/>
  <c r="Y108" i="41" s="1"/>
  <c r="T111" i="38"/>
  <c r="T101" i="40"/>
  <c r="R19" i="8"/>
  <c r="F99" i="36"/>
  <c r="J99" i="36" s="1"/>
  <c r="F100" i="36"/>
  <c r="J100" i="36" s="1"/>
  <c r="F110" i="36"/>
  <c r="J110" i="36" s="1"/>
  <c r="F102" i="36"/>
  <c r="J102" i="36" s="1"/>
  <c r="F104" i="36"/>
  <c r="J104" i="36" s="1"/>
  <c r="F103" i="36"/>
  <c r="J103" i="36" s="1"/>
  <c r="F108" i="36"/>
  <c r="J108" i="36" s="1"/>
  <c r="F106" i="36"/>
  <c r="J106" i="36" s="1"/>
  <c r="F107" i="36"/>
  <c r="J107" i="36" s="1"/>
  <c r="F101" i="36"/>
  <c r="J101" i="36" s="1"/>
  <c r="F109" i="36"/>
  <c r="J109" i="36" s="1"/>
  <c r="F105" i="36"/>
  <c r="J105" i="36" s="1"/>
  <c r="AF244" i="40"/>
  <c r="AG244" i="40" s="1"/>
  <c r="AH244" i="40" s="1"/>
  <c r="Z244" i="40"/>
  <c r="AC244" i="40" s="1"/>
  <c r="Z241" i="42"/>
  <c r="AC241" i="42" s="1"/>
  <c r="AF241" i="42"/>
  <c r="AG241" i="42" s="1"/>
  <c r="AH241" i="42" s="1"/>
  <c r="AF236" i="41"/>
  <c r="AG236" i="41" s="1"/>
  <c r="AH236" i="41" s="1"/>
  <c r="Z236" i="41"/>
  <c r="AC236" i="41" s="1"/>
  <c r="AF234" i="42"/>
  <c r="AG234" i="42" s="1"/>
  <c r="AH234" i="42" s="1"/>
  <c r="AF244" i="42"/>
  <c r="AG244" i="42" s="1"/>
  <c r="AH244" i="42" s="1"/>
  <c r="Z244" i="42"/>
  <c r="AC244" i="42" s="1"/>
  <c r="AF238" i="38"/>
  <c r="AG238" i="38" s="1"/>
  <c r="AH238" i="38" s="1"/>
  <c r="Z238" i="38"/>
  <c r="AC238" i="38" s="1"/>
  <c r="AI238" i="38" s="1"/>
  <c r="Z243" i="43"/>
  <c r="AC243" i="43" s="1"/>
  <c r="AF243" i="43"/>
  <c r="AG243" i="43" s="1"/>
  <c r="AH243" i="43" s="1"/>
  <c r="Z267" i="40"/>
  <c r="AC267" i="40" s="1"/>
  <c r="AF267" i="40"/>
  <c r="AG267" i="40" s="1"/>
  <c r="AH267" i="40" s="1"/>
  <c r="AF263" i="42"/>
  <c r="AG263" i="42" s="1"/>
  <c r="AH263" i="42" s="1"/>
  <c r="Z263" i="42"/>
  <c r="AC263" i="42" s="1"/>
  <c r="Z261" i="43"/>
  <c r="AC261" i="43" s="1"/>
  <c r="Z265" i="42"/>
  <c r="AC265" i="42" s="1"/>
  <c r="AF265" i="42"/>
  <c r="AG265" i="42" s="1"/>
  <c r="AH265" i="42" s="1"/>
  <c r="Z258" i="43"/>
  <c r="AC258" i="43" s="1"/>
  <c r="U156" i="43"/>
  <c r="U153" i="43"/>
  <c r="U159" i="43"/>
  <c r="U159" i="40"/>
  <c r="U151" i="43"/>
  <c r="U149" i="43"/>
  <c r="U155" i="43"/>
  <c r="U158" i="43"/>
  <c r="U160" i="43"/>
  <c r="U150" i="43"/>
  <c r="U157" i="43"/>
  <c r="U152" i="43"/>
  <c r="U151" i="42"/>
  <c r="U150" i="42"/>
  <c r="U156" i="42"/>
  <c r="U150" i="41"/>
  <c r="U153" i="41"/>
  <c r="U152" i="41"/>
  <c r="U154" i="38"/>
  <c r="U155" i="38"/>
  <c r="U158" i="38"/>
  <c r="U160" i="40"/>
  <c r="U156" i="40"/>
  <c r="U158" i="42"/>
  <c r="U157" i="42"/>
  <c r="U155" i="41"/>
  <c r="U159" i="41"/>
  <c r="U150" i="38"/>
  <c r="U151" i="38"/>
  <c r="U157" i="40"/>
  <c r="U149" i="40"/>
  <c r="U154" i="43"/>
  <c r="U150" i="40"/>
  <c r="U152" i="42"/>
  <c r="U155" i="42"/>
  <c r="U154" i="41"/>
  <c r="U160" i="41"/>
  <c r="U156" i="41"/>
  <c r="U157" i="38"/>
  <c r="U156" i="38"/>
  <c r="U151" i="40"/>
  <c r="U149" i="42"/>
  <c r="U151" i="41"/>
  <c r="U159" i="38"/>
  <c r="U158" i="40"/>
  <c r="U153" i="40"/>
  <c r="U159" i="42"/>
  <c r="U157" i="41"/>
  <c r="U153" i="38"/>
  <c r="U155" i="40"/>
  <c r="U160" i="42"/>
  <c r="U153" i="42"/>
  <c r="U149" i="41"/>
  <c r="U149" i="38"/>
  <c r="U154" i="40"/>
  <c r="U154" i="42"/>
  <c r="U158" i="41"/>
  <c r="U160" i="38"/>
  <c r="U152" i="38"/>
  <c r="U152" i="40"/>
  <c r="S156" i="36"/>
  <c r="S150" i="36"/>
  <c r="S157" i="36"/>
  <c r="S158" i="36"/>
  <c r="S148" i="36"/>
  <c r="S147" i="36"/>
  <c r="S151" i="36"/>
  <c r="S155" i="36"/>
  <c r="S153" i="36"/>
  <c r="S152" i="36"/>
  <c r="S149" i="36"/>
  <c r="S154" i="36"/>
  <c r="U61" i="43"/>
  <c r="U58" i="43"/>
  <c r="U54" i="43"/>
  <c r="U57" i="43"/>
  <c r="U63" i="43"/>
  <c r="U56" i="43"/>
  <c r="U59" i="43"/>
  <c r="U53" i="43"/>
  <c r="U62" i="43"/>
  <c r="U55" i="43"/>
  <c r="U60" i="43"/>
  <c r="U58" i="42"/>
  <c r="U53" i="42"/>
  <c r="U64" i="42"/>
  <c r="U61" i="41"/>
  <c r="U53" i="41"/>
  <c r="U60" i="41"/>
  <c r="U62" i="40"/>
  <c r="U55" i="40"/>
  <c r="U57" i="38"/>
  <c r="U64" i="38"/>
  <c r="U53" i="40"/>
  <c r="U63" i="40"/>
  <c r="U64" i="43"/>
  <c r="U56" i="42"/>
  <c r="U59" i="42"/>
  <c r="U64" i="41"/>
  <c r="U55" i="41"/>
  <c r="U61" i="40"/>
  <c r="U61" i="38"/>
  <c r="U64" i="40"/>
  <c r="U60" i="40"/>
  <c r="U57" i="40"/>
  <c r="U61" i="42"/>
  <c r="U57" i="42"/>
  <c r="U54" i="41"/>
  <c r="U62" i="41"/>
  <c r="U63" i="41"/>
  <c r="U56" i="38"/>
  <c r="U55" i="38"/>
  <c r="U58" i="38"/>
  <c r="U54" i="40"/>
  <c r="U60" i="42"/>
  <c r="U54" i="42"/>
  <c r="U57" i="41"/>
  <c r="U59" i="38"/>
  <c r="U58" i="40"/>
  <c r="U63" i="42"/>
  <c r="U59" i="41"/>
  <c r="U59" i="40"/>
  <c r="U53" i="38"/>
  <c r="U56" i="40"/>
  <c r="U62" i="42"/>
  <c r="U56" i="41"/>
  <c r="U60" i="38"/>
  <c r="U62" i="38"/>
  <c r="U55" i="42"/>
  <c r="U58" i="41"/>
  <c r="U63" i="38"/>
  <c r="U54" i="38"/>
  <c r="S62" i="36"/>
  <c r="S54" i="36"/>
  <c r="S51" i="36"/>
  <c r="S59" i="36"/>
  <c r="S60" i="36"/>
  <c r="S52" i="36"/>
  <c r="S53" i="36"/>
  <c r="S61" i="36"/>
  <c r="S58" i="36"/>
  <c r="S55" i="36"/>
  <c r="S56" i="36"/>
  <c r="S57" i="36"/>
  <c r="U188" i="43"/>
  <c r="U189" i="43"/>
  <c r="U194" i="43"/>
  <c r="U196" i="43"/>
  <c r="U186" i="43"/>
  <c r="U195" i="43"/>
  <c r="U185" i="43"/>
  <c r="U187" i="43"/>
  <c r="U187" i="40"/>
  <c r="U190" i="43"/>
  <c r="U193" i="43"/>
  <c r="U189" i="42"/>
  <c r="U188" i="42"/>
  <c r="U192" i="42"/>
  <c r="U192" i="41"/>
  <c r="U186" i="41"/>
  <c r="U189" i="41"/>
  <c r="U186" i="38"/>
  <c r="U189" i="38"/>
  <c r="U192" i="38"/>
  <c r="U196" i="40"/>
  <c r="U192" i="43"/>
  <c r="U191" i="42"/>
  <c r="U186" i="42"/>
  <c r="U194" i="41"/>
  <c r="U188" i="41"/>
  <c r="U196" i="38"/>
  <c r="U191" i="38"/>
  <c r="U188" i="38"/>
  <c r="U185" i="42"/>
  <c r="U195" i="42"/>
  <c r="U190" i="42"/>
  <c r="U191" i="41"/>
  <c r="U187" i="41"/>
  <c r="U195" i="38"/>
  <c r="U185" i="38"/>
  <c r="U193" i="40"/>
  <c r="U191" i="40"/>
  <c r="U194" i="42"/>
  <c r="U193" i="41"/>
  <c r="U187" i="38"/>
  <c r="U190" i="40"/>
  <c r="U187" i="42"/>
  <c r="U196" i="41"/>
  <c r="U185" i="41"/>
  <c r="U194" i="38"/>
  <c r="U185" i="40"/>
  <c r="U193" i="42"/>
  <c r="U190" i="41"/>
  <c r="U190" i="38"/>
  <c r="U194" i="40"/>
  <c r="U191" i="43"/>
  <c r="U196" i="42"/>
  <c r="U195" i="41"/>
  <c r="U193" i="38"/>
  <c r="U192" i="40"/>
  <c r="S183" i="36"/>
  <c r="S188" i="36"/>
  <c r="U186" i="40"/>
  <c r="S192" i="36"/>
  <c r="S185" i="36"/>
  <c r="S190" i="36"/>
  <c r="S186" i="36"/>
  <c r="S187" i="36"/>
  <c r="U188" i="40"/>
  <c r="U189" i="40"/>
  <c r="S194" i="36"/>
  <c r="S193" i="36"/>
  <c r="S184" i="36"/>
  <c r="S189" i="36"/>
  <c r="S191" i="36"/>
  <c r="U195" i="40"/>
  <c r="T28" i="43"/>
  <c r="Y28" i="43" s="1"/>
  <c r="T27" i="43"/>
  <c r="Y27" i="43" s="1"/>
  <c r="T18" i="43"/>
  <c r="T26" i="43"/>
  <c r="Y26" i="43" s="1"/>
  <c r="T22" i="43"/>
  <c r="T21" i="43"/>
  <c r="Y21" i="43" s="1"/>
  <c r="T25" i="43"/>
  <c r="T24" i="43"/>
  <c r="T26" i="42"/>
  <c r="T27" i="42"/>
  <c r="Y27" i="42" s="1"/>
  <c r="T24" i="42"/>
  <c r="Y24" i="42" s="1"/>
  <c r="T23" i="41"/>
  <c r="T21" i="41"/>
  <c r="T24" i="41"/>
  <c r="Y24" i="41" s="1"/>
  <c r="T20" i="40"/>
  <c r="T26" i="40"/>
  <c r="T28" i="38"/>
  <c r="T20" i="38"/>
  <c r="Y20" i="38" s="1"/>
  <c r="T27" i="40"/>
  <c r="T21" i="38"/>
  <c r="Y21" i="38" s="1"/>
  <c r="T23" i="43"/>
  <c r="Y23" i="43" s="1"/>
  <c r="T17" i="42"/>
  <c r="T22" i="42"/>
  <c r="T19" i="42"/>
  <c r="Y19" i="42" s="1"/>
  <c r="T19" i="41"/>
  <c r="Y19" i="41" s="1"/>
  <c r="T28" i="41"/>
  <c r="T26" i="41"/>
  <c r="T24" i="40"/>
  <c r="Y24" i="40" s="1"/>
  <c r="T22" i="40"/>
  <c r="Y22" i="40" s="1"/>
  <c r="T24" i="38"/>
  <c r="T25" i="38"/>
  <c r="T27" i="38"/>
  <c r="T25" i="40"/>
  <c r="Y25" i="40" s="1"/>
  <c r="T19" i="43"/>
  <c r="Y19" i="43" s="1"/>
  <c r="T28" i="42"/>
  <c r="T21" i="42"/>
  <c r="Y21" i="42" s="1"/>
  <c r="T27" i="41"/>
  <c r="T23" i="40"/>
  <c r="T21" i="40"/>
  <c r="Y21" i="40" s="1"/>
  <c r="T19" i="38"/>
  <c r="T17" i="43"/>
  <c r="Y17" i="43" s="1"/>
  <c r="T20" i="42"/>
  <c r="T22" i="41"/>
  <c r="T17" i="40"/>
  <c r="Y17" i="40" s="1"/>
  <c r="T18" i="40"/>
  <c r="Y18" i="40" s="1"/>
  <c r="T23" i="42"/>
  <c r="T17" i="41"/>
  <c r="T28" i="40"/>
  <c r="Y28" i="40" s="1"/>
  <c r="T22" i="38"/>
  <c r="Y22" i="38" s="1"/>
  <c r="T17" i="38"/>
  <c r="T20" i="41"/>
  <c r="Y20" i="41" s="1"/>
  <c r="T18" i="38"/>
  <c r="Y18" i="38" s="1"/>
  <c r="T18" i="42"/>
  <c r="Y18" i="42" s="1"/>
  <c r="T18" i="41"/>
  <c r="T23" i="38"/>
  <c r="T20" i="43"/>
  <c r="Y20" i="43" s="1"/>
  <c r="T25" i="42"/>
  <c r="Y25" i="42" s="1"/>
  <c r="T19" i="40"/>
  <c r="R12" i="8"/>
  <c r="T25" i="41"/>
  <c r="Y25" i="41" s="1"/>
  <c r="T26" i="38"/>
  <c r="Y26" i="38" s="1"/>
  <c r="F16" i="36"/>
  <c r="J16" i="36" s="1"/>
  <c r="F24" i="36"/>
  <c r="J24" i="36" s="1"/>
  <c r="F26" i="36"/>
  <c r="J26" i="36" s="1"/>
  <c r="F21" i="36"/>
  <c r="J21" i="36" s="1"/>
  <c r="F22" i="36"/>
  <c r="J22" i="36" s="1"/>
  <c r="F19" i="36"/>
  <c r="J19" i="36" s="1"/>
  <c r="F23" i="36"/>
  <c r="J23" i="36" s="1"/>
  <c r="F17" i="36"/>
  <c r="J17" i="36" s="1"/>
  <c r="F15" i="36"/>
  <c r="J15" i="36" s="1"/>
  <c r="F20" i="36"/>
  <c r="J20" i="36" s="1"/>
  <c r="F18" i="36"/>
  <c r="J18" i="36" s="1"/>
  <c r="F25" i="36"/>
  <c r="J25" i="36" s="1"/>
  <c r="R18" i="17"/>
  <c r="T145" i="43"/>
  <c r="Y145" i="43" s="1"/>
  <c r="T141" i="43"/>
  <c r="T139" i="43"/>
  <c r="T145" i="42"/>
  <c r="T141" i="42"/>
  <c r="Y141" i="42" s="1"/>
  <c r="T137" i="42"/>
  <c r="T147" i="43"/>
  <c r="T143" i="43"/>
  <c r="T137" i="43"/>
  <c r="Y137" i="43" s="1"/>
  <c r="T147" i="42"/>
  <c r="Y147" i="42" s="1"/>
  <c r="T143" i="42"/>
  <c r="T139" i="42"/>
  <c r="Y139" i="42" s="1"/>
  <c r="T147" i="41"/>
  <c r="Y147" i="41" s="1"/>
  <c r="T142" i="43"/>
  <c r="Y142" i="43" s="1"/>
  <c r="T148" i="42"/>
  <c r="Y148" i="42" s="1"/>
  <c r="T140" i="42"/>
  <c r="Y140" i="42" s="1"/>
  <c r="T145" i="41"/>
  <c r="Y145" i="41" s="1"/>
  <c r="T141" i="41"/>
  <c r="T137" i="41"/>
  <c r="T142" i="38"/>
  <c r="Y142" i="38" s="1"/>
  <c r="T137" i="38"/>
  <c r="Y137" i="38" s="1"/>
  <c r="T139" i="38"/>
  <c r="Y139" i="38" s="1"/>
  <c r="T139" i="40"/>
  <c r="T142" i="40"/>
  <c r="Y142" i="40" s="1"/>
  <c r="T140" i="40"/>
  <c r="T146" i="43"/>
  <c r="Y146" i="43" s="1"/>
  <c r="T138" i="43"/>
  <c r="T144" i="42"/>
  <c r="Y144" i="42" s="1"/>
  <c r="T148" i="41"/>
  <c r="T143" i="41"/>
  <c r="T139" i="41"/>
  <c r="T146" i="38"/>
  <c r="Y146" i="38" s="1"/>
  <c r="T138" i="38"/>
  <c r="T143" i="38"/>
  <c r="T145" i="40"/>
  <c r="T137" i="40"/>
  <c r="T141" i="40"/>
  <c r="Y141" i="40" s="1"/>
  <c r="T148" i="43"/>
  <c r="T146" i="42"/>
  <c r="T144" i="41"/>
  <c r="Y144" i="41" s="1"/>
  <c r="T148" i="38"/>
  <c r="Y148" i="38" s="1"/>
  <c r="T147" i="38"/>
  <c r="Y147" i="38" s="1"/>
  <c r="T143" i="40"/>
  <c r="T144" i="43"/>
  <c r="Y144" i="43" s="1"/>
  <c r="T142" i="41"/>
  <c r="Y142" i="41" s="1"/>
  <c r="T140" i="38"/>
  <c r="Y140" i="38" s="1"/>
  <c r="T146" i="40"/>
  <c r="Y146" i="40" s="1"/>
  <c r="T138" i="42"/>
  <c r="Y138" i="42" s="1"/>
  <c r="T138" i="41"/>
  <c r="Y138" i="41" s="1"/>
  <c r="T141" i="38"/>
  <c r="Y141" i="38" s="1"/>
  <c r="T147" i="40"/>
  <c r="T140" i="41"/>
  <c r="Y140" i="41" s="1"/>
  <c r="T144" i="40"/>
  <c r="Y144" i="40" s="1"/>
  <c r="R22" i="8"/>
  <c r="T140" i="43"/>
  <c r="Y140" i="43" s="1"/>
  <c r="T144" i="38"/>
  <c r="Y144" i="38" s="1"/>
  <c r="T138" i="40"/>
  <c r="Y138" i="40" s="1"/>
  <c r="T142" i="42"/>
  <c r="T145" i="38"/>
  <c r="Y145" i="38" s="1"/>
  <c r="T146" i="41"/>
  <c r="Y146" i="41" s="1"/>
  <c r="T148" i="40"/>
  <c r="F144" i="36"/>
  <c r="J144" i="36" s="1"/>
  <c r="F138" i="36"/>
  <c r="J138" i="36" s="1"/>
  <c r="F142" i="36"/>
  <c r="J142" i="36" s="1"/>
  <c r="F140" i="36"/>
  <c r="J140" i="36" s="1"/>
  <c r="F139" i="36"/>
  <c r="J139" i="36" s="1"/>
  <c r="F136" i="36"/>
  <c r="J136" i="36" s="1"/>
  <c r="F145" i="36"/>
  <c r="J145" i="36" s="1"/>
  <c r="F143" i="36"/>
  <c r="J143" i="36" s="1"/>
  <c r="F137" i="36"/>
  <c r="J137" i="36" s="1"/>
  <c r="F146" i="36"/>
  <c r="J146" i="36" s="1"/>
  <c r="F135" i="36"/>
  <c r="J135" i="36" s="1"/>
  <c r="F141" i="36"/>
  <c r="J141" i="36" s="1"/>
  <c r="R17" i="17"/>
  <c r="R27" i="2"/>
  <c r="R22" i="2"/>
  <c r="R15" i="2"/>
  <c r="Z228" i="41"/>
  <c r="AC228" i="41" s="1"/>
  <c r="AF228" i="41"/>
  <c r="AG228" i="41" s="1"/>
  <c r="AH228" i="41" s="1"/>
  <c r="Y226" i="38"/>
  <c r="Y293" i="38" s="1"/>
  <c r="AF229" i="43"/>
  <c r="AG229" i="43" s="1"/>
  <c r="AH229" i="43" s="1"/>
  <c r="Z229" i="43"/>
  <c r="AC229" i="43" s="1"/>
  <c r="Z223" i="38"/>
  <c r="AC223" i="38" s="1"/>
  <c r="AI223" i="38" s="1"/>
  <c r="AF223" i="38"/>
  <c r="AG223" i="38" s="1"/>
  <c r="AH223" i="38" s="1"/>
  <c r="Y224" i="43"/>
  <c r="Z222" i="43"/>
  <c r="AC222" i="43" s="1"/>
  <c r="AF222" i="43"/>
  <c r="AG222" i="43" s="1"/>
  <c r="AH222" i="43" s="1"/>
  <c r="R12" i="2"/>
  <c r="Z253" i="40"/>
  <c r="AC253" i="40" s="1"/>
  <c r="AF253" i="40"/>
  <c r="AG253" i="40" s="1"/>
  <c r="AH253" i="40" s="1"/>
  <c r="AF249" i="41"/>
  <c r="AG249" i="41" s="1"/>
  <c r="AH249" i="41" s="1"/>
  <c r="Z249" i="41"/>
  <c r="AC249" i="41" s="1"/>
  <c r="AF252" i="40"/>
  <c r="AG252" i="40" s="1"/>
  <c r="AH252" i="40" s="1"/>
  <c r="Z252" i="40"/>
  <c r="AC252" i="40" s="1"/>
  <c r="Y255" i="40"/>
  <c r="Y30" i="8"/>
  <c r="Z30" i="8"/>
  <c r="Y240" i="42"/>
  <c r="AF234" i="41"/>
  <c r="AG234" i="41" s="1"/>
  <c r="AH234" i="41" s="1"/>
  <c r="Z234" i="41"/>
  <c r="AC234" i="41" s="1"/>
  <c r="Y244" i="38"/>
  <c r="Z238" i="42"/>
  <c r="AC238" i="42" s="1"/>
  <c r="AF238" i="42"/>
  <c r="AG238" i="42" s="1"/>
  <c r="AH238" i="42" s="1"/>
  <c r="Z235" i="41"/>
  <c r="AC235" i="41" s="1"/>
  <c r="AF235" i="41"/>
  <c r="AG235" i="41" s="1"/>
  <c r="AH235" i="41" s="1"/>
  <c r="AF242" i="43"/>
  <c r="AG242" i="43" s="1"/>
  <c r="AH242" i="43" s="1"/>
  <c r="Z242" i="43"/>
  <c r="AC242" i="43" s="1"/>
  <c r="U130" i="43"/>
  <c r="U131" i="43"/>
  <c r="U128" i="43"/>
  <c r="U131" i="42"/>
  <c r="U128" i="42"/>
  <c r="U129" i="42"/>
  <c r="U126" i="41"/>
  <c r="U128" i="41"/>
  <c r="U131" i="41"/>
  <c r="U136" i="38"/>
  <c r="U133" i="38"/>
  <c r="U125" i="38"/>
  <c r="U134" i="40"/>
  <c r="U127" i="40"/>
  <c r="U135" i="40"/>
  <c r="U135" i="43"/>
  <c r="U136" i="43"/>
  <c r="U134" i="43"/>
  <c r="U135" i="42"/>
  <c r="U136" i="42"/>
  <c r="U134" i="42"/>
  <c r="U127" i="41"/>
  <c r="U129" i="41"/>
  <c r="U125" i="41"/>
  <c r="U126" i="38"/>
  <c r="U129" i="38"/>
  <c r="U130" i="38"/>
  <c r="U133" i="40"/>
  <c r="U125" i="40"/>
  <c r="U126" i="40"/>
  <c r="U129" i="43"/>
  <c r="U127" i="43"/>
  <c r="U132" i="42"/>
  <c r="U127" i="42"/>
  <c r="U136" i="41"/>
  <c r="U132" i="38"/>
  <c r="U134" i="38"/>
  <c r="U130" i="40"/>
  <c r="U133" i="43"/>
  <c r="U130" i="42"/>
  <c r="U134" i="41"/>
  <c r="U132" i="41"/>
  <c r="U131" i="38"/>
  <c r="U136" i="40"/>
  <c r="U128" i="40"/>
  <c r="U126" i="42"/>
  <c r="U130" i="41"/>
  <c r="U128" i="38"/>
  <c r="U133" i="42"/>
  <c r="U135" i="38"/>
  <c r="U129" i="40"/>
  <c r="U126" i="43"/>
  <c r="U135" i="41"/>
  <c r="U131" i="40"/>
  <c r="U132" i="43"/>
  <c r="U127" i="38"/>
  <c r="U132" i="40"/>
  <c r="U125" i="42"/>
  <c r="U125" i="43"/>
  <c r="U133" i="41"/>
  <c r="S129" i="36"/>
  <c r="S125" i="36"/>
  <c r="S126" i="36"/>
  <c r="S130" i="36"/>
  <c r="S123" i="36"/>
  <c r="S134" i="36"/>
  <c r="S133" i="36"/>
  <c r="S131" i="36"/>
  <c r="S127" i="36"/>
  <c r="S132" i="36"/>
  <c r="S124" i="36"/>
  <c r="S128" i="36"/>
  <c r="R21" i="17"/>
  <c r="R23" i="2"/>
  <c r="Y263" i="40"/>
  <c r="AF263" i="38"/>
  <c r="AG263" i="38" s="1"/>
  <c r="AH263" i="38" s="1"/>
  <c r="Z263" i="38"/>
  <c r="AC263" i="38" s="1"/>
  <c r="AI263" i="38" s="1"/>
  <c r="Y258" i="40"/>
  <c r="Y267" i="42"/>
  <c r="Y260" i="38"/>
  <c r="AF268" i="40"/>
  <c r="AG268" i="40" s="1"/>
  <c r="AH268" i="40" s="1"/>
  <c r="Z268" i="40"/>
  <c r="AC268" i="40" s="1"/>
  <c r="Z267" i="43"/>
  <c r="AC267" i="43" s="1"/>
  <c r="Y263" i="43"/>
  <c r="Y232" i="40"/>
  <c r="Z227" i="38"/>
  <c r="AC227" i="38" s="1"/>
  <c r="AI227" i="38" s="1"/>
  <c r="AF227" i="38"/>
  <c r="AG227" i="38" s="1"/>
  <c r="AH227" i="38" s="1"/>
  <c r="AF222" i="42"/>
  <c r="AG222" i="42" s="1"/>
  <c r="AH222" i="42" s="1"/>
  <c r="Z222" i="42"/>
  <c r="AC222" i="42" s="1"/>
  <c r="Y229" i="40"/>
  <c r="Z221" i="38"/>
  <c r="AF221" i="38"/>
  <c r="AG221" i="38" s="1"/>
  <c r="AH221" i="38" s="1"/>
  <c r="Y224" i="42"/>
  <c r="Z222" i="40"/>
  <c r="AC222" i="40" s="1"/>
  <c r="AF222" i="40"/>
  <c r="AG222" i="40" s="1"/>
  <c r="AH222" i="40" s="1"/>
  <c r="Z230" i="38"/>
  <c r="AC230" i="38" s="1"/>
  <c r="AI230" i="38" s="1"/>
  <c r="AF230" i="38"/>
  <c r="AG230" i="38" s="1"/>
  <c r="AH230" i="38" s="1"/>
  <c r="Y231" i="41"/>
  <c r="Y223" i="40"/>
  <c r="Z232" i="38"/>
  <c r="AC232" i="38" s="1"/>
  <c r="AI232" i="38" s="1"/>
  <c r="AF232" i="38"/>
  <c r="AG232" i="38" s="1"/>
  <c r="AH232" i="38" s="1"/>
  <c r="Y230" i="41"/>
  <c r="AF221" i="43"/>
  <c r="AG221" i="43" s="1"/>
  <c r="AH221" i="43" s="1"/>
  <c r="Z221" i="43"/>
  <c r="Y227" i="43"/>
  <c r="Y228" i="43"/>
  <c r="R28" i="17"/>
  <c r="R24" i="17"/>
  <c r="R20" i="17"/>
  <c r="R16" i="17"/>
  <c r="R11" i="17"/>
  <c r="AF250" i="40"/>
  <c r="AG250" i="40" s="1"/>
  <c r="AH250" i="40" s="1"/>
  <c r="Z250" i="40"/>
  <c r="AC250" i="40" s="1"/>
  <c r="Y253" i="43"/>
  <c r="Z255" i="38"/>
  <c r="AC255" i="38" s="1"/>
  <c r="AI255" i="38" s="1"/>
  <c r="AF255" i="38"/>
  <c r="AG255" i="38" s="1"/>
  <c r="AH255" i="38" s="1"/>
  <c r="Y256" i="40"/>
  <c r="Y248" i="40"/>
  <c r="Y251" i="42"/>
  <c r="AF254" i="38"/>
  <c r="AG254" i="38" s="1"/>
  <c r="AH254" i="38" s="1"/>
  <c r="Z254" i="38"/>
  <c r="AC254" i="38" s="1"/>
  <c r="AI254" i="38" s="1"/>
  <c r="Y254" i="42"/>
  <c r="AF246" i="38"/>
  <c r="AG246" i="38" s="1"/>
  <c r="AH246" i="38" s="1"/>
  <c r="Z246" i="38"/>
  <c r="AC246" i="38" s="1"/>
  <c r="AI246" i="38" s="1"/>
  <c r="Y256" i="42"/>
  <c r="Y247" i="40"/>
  <c r="Y247" i="41"/>
  <c r="AF248" i="41"/>
  <c r="AG248" i="41" s="1"/>
  <c r="AH248" i="41" s="1"/>
  <c r="Z248" i="41"/>
  <c r="AC248" i="41" s="1"/>
  <c r="Y251" i="43"/>
  <c r="Y248" i="43"/>
  <c r="Z254" i="43"/>
  <c r="AC254" i="43" s="1"/>
  <c r="AF254" i="43"/>
  <c r="AG254" i="43" s="1"/>
  <c r="AH254" i="43" s="1"/>
  <c r="Y233" i="38"/>
  <c r="Y242" i="38"/>
  <c r="Y239" i="41"/>
  <c r="Z244" i="41"/>
  <c r="AC244" i="41" s="1"/>
  <c r="AF244" i="41"/>
  <c r="AG244" i="41" s="1"/>
  <c r="AH244" i="41" s="1"/>
  <c r="Y242" i="40"/>
  <c r="AF238" i="40"/>
  <c r="AG238" i="40" s="1"/>
  <c r="AH238" i="40" s="1"/>
  <c r="Z238" i="40"/>
  <c r="AC238" i="40" s="1"/>
  <c r="AF235" i="42"/>
  <c r="AG235" i="42" s="1"/>
  <c r="AH235" i="42" s="1"/>
  <c r="Z235" i="42"/>
  <c r="AC235" i="42" s="1"/>
  <c r="Z239" i="40"/>
  <c r="AC239" i="40" s="1"/>
  <c r="AF239" i="40"/>
  <c r="AG239" i="40" s="1"/>
  <c r="AH239" i="40" s="1"/>
  <c r="Y243" i="41"/>
  <c r="Y237" i="42"/>
  <c r="AF235" i="43"/>
  <c r="AG235" i="43" s="1"/>
  <c r="AH235" i="43" s="1"/>
  <c r="Z235" i="43"/>
  <c r="AC235" i="43" s="1"/>
  <c r="Z236" i="38"/>
  <c r="AC236" i="38" s="1"/>
  <c r="AI236" i="38" s="1"/>
  <c r="AF236" i="38"/>
  <c r="AG236" i="38" s="1"/>
  <c r="AH236" i="38" s="1"/>
  <c r="Y235" i="38"/>
  <c r="Y242" i="42"/>
  <c r="Z240" i="43"/>
  <c r="AC240" i="43" s="1"/>
  <c r="AF240" i="43"/>
  <c r="AG240" i="43" s="1"/>
  <c r="AH240" i="43" s="1"/>
  <c r="U179" i="43"/>
  <c r="U176" i="43"/>
  <c r="U178" i="43"/>
  <c r="U184" i="43"/>
  <c r="U174" i="43"/>
  <c r="U173" i="43"/>
  <c r="U182" i="43"/>
  <c r="U175" i="42"/>
  <c r="U180" i="42"/>
  <c r="U178" i="42"/>
  <c r="U183" i="41"/>
  <c r="U175" i="41"/>
  <c r="U182" i="41"/>
  <c r="U183" i="38"/>
  <c r="U175" i="38"/>
  <c r="U178" i="38"/>
  <c r="U184" i="40"/>
  <c r="U181" i="43"/>
  <c r="U177" i="43"/>
  <c r="U182" i="42"/>
  <c r="U179" i="42"/>
  <c r="U177" i="42"/>
  <c r="U173" i="41"/>
  <c r="U184" i="41"/>
  <c r="U179" i="41"/>
  <c r="U182" i="38"/>
  <c r="U179" i="38"/>
  <c r="U184" i="38"/>
  <c r="U181" i="40"/>
  <c r="U179" i="40"/>
  <c r="U174" i="42"/>
  <c r="U177" i="41"/>
  <c r="U176" i="41"/>
  <c r="U173" i="38"/>
  <c r="U175" i="40"/>
  <c r="U183" i="43"/>
  <c r="U181" i="42"/>
  <c r="U176" i="42"/>
  <c r="U174" i="41"/>
  <c r="U180" i="38"/>
  <c r="U175" i="43"/>
  <c r="U184" i="42"/>
  <c r="U181" i="41"/>
  <c r="U181" i="38"/>
  <c r="U182" i="40"/>
  <c r="U180" i="43"/>
  <c r="U180" i="41"/>
  <c r="U174" i="38"/>
  <c r="U178" i="40"/>
  <c r="U178" i="41"/>
  <c r="U173" i="40"/>
  <c r="U180" i="40"/>
  <c r="U183" i="42"/>
  <c r="U176" i="38"/>
  <c r="U173" i="42"/>
  <c r="U177" i="38"/>
  <c r="U183" i="40"/>
  <c r="S175" i="36"/>
  <c r="U174" i="40"/>
  <c r="S182" i="36"/>
  <c r="S181" i="36"/>
  <c r="S176" i="36"/>
  <c r="U176" i="40"/>
  <c r="U177" i="40"/>
  <c r="S179" i="36"/>
  <c r="S171" i="36"/>
  <c r="S172" i="36"/>
  <c r="S174" i="36"/>
  <c r="S178" i="36"/>
  <c r="S173" i="36"/>
  <c r="S177" i="36"/>
  <c r="S180" i="36"/>
  <c r="T99" i="43"/>
  <c r="Y99" i="43" s="1"/>
  <c r="T92" i="43"/>
  <c r="T90" i="43"/>
  <c r="Y90" i="43" s="1"/>
  <c r="T94" i="42"/>
  <c r="Y94" i="42" s="1"/>
  <c r="T91" i="42"/>
  <c r="T93" i="42"/>
  <c r="T92" i="41"/>
  <c r="T95" i="41"/>
  <c r="T91" i="41"/>
  <c r="Y91" i="41" s="1"/>
  <c r="T96" i="38"/>
  <c r="T97" i="38"/>
  <c r="Y97" i="38" s="1"/>
  <c r="T93" i="38"/>
  <c r="T100" i="40"/>
  <c r="T89" i="40"/>
  <c r="T99" i="40"/>
  <c r="T91" i="43"/>
  <c r="T98" i="43"/>
  <c r="Y98" i="43" s="1"/>
  <c r="T95" i="43"/>
  <c r="T90" i="42"/>
  <c r="T98" i="42"/>
  <c r="T99" i="42"/>
  <c r="Y99" i="42" s="1"/>
  <c r="T94" i="41"/>
  <c r="T90" i="41"/>
  <c r="T89" i="41"/>
  <c r="T100" i="38"/>
  <c r="T92" i="38"/>
  <c r="Y92" i="38" s="1"/>
  <c r="T99" i="38"/>
  <c r="Y99" i="38" s="1"/>
  <c r="T98" i="40"/>
  <c r="T91" i="40"/>
  <c r="Y91" i="40" s="1"/>
  <c r="T92" i="40"/>
  <c r="T89" i="43"/>
  <c r="T93" i="43"/>
  <c r="T100" i="42"/>
  <c r="Y100" i="42" s="1"/>
  <c r="T98" i="41"/>
  <c r="T100" i="41"/>
  <c r="T90" i="38"/>
  <c r="Y90" i="38" s="1"/>
  <c r="T97" i="40"/>
  <c r="Y97" i="40" s="1"/>
  <c r="T93" i="40"/>
  <c r="T96" i="43"/>
  <c r="T92" i="42"/>
  <c r="T89" i="42"/>
  <c r="T96" i="41"/>
  <c r="Y96" i="41" s="1"/>
  <c r="T98" i="38"/>
  <c r="Y98" i="38" s="1"/>
  <c r="T95" i="38"/>
  <c r="Y95" i="38" s="1"/>
  <c r="T96" i="40"/>
  <c r="Y96" i="40" s="1"/>
  <c r="T97" i="43"/>
  <c r="Y97" i="43" s="1"/>
  <c r="T97" i="42"/>
  <c r="T94" i="38"/>
  <c r="Y94" i="38" s="1"/>
  <c r="T94" i="40"/>
  <c r="Y94" i="40" s="1"/>
  <c r="T99" i="41"/>
  <c r="T95" i="40"/>
  <c r="T100" i="43"/>
  <c r="Y100" i="43" s="1"/>
  <c r="T95" i="42"/>
  <c r="T91" i="38"/>
  <c r="Y91" i="38" s="1"/>
  <c r="T94" i="43"/>
  <c r="T93" i="41"/>
  <c r="Y93" i="41" s="1"/>
  <c r="T97" i="41"/>
  <c r="T89" i="38"/>
  <c r="R18" i="8"/>
  <c r="T96" i="42"/>
  <c r="Y96" i="42" s="1"/>
  <c r="T90" i="40"/>
  <c r="F89" i="36"/>
  <c r="J89" i="36" s="1"/>
  <c r="F96" i="36"/>
  <c r="J96" i="36" s="1"/>
  <c r="F88" i="36"/>
  <c r="J88" i="36" s="1"/>
  <c r="F98" i="36"/>
  <c r="J98" i="36" s="1"/>
  <c r="F90" i="36"/>
  <c r="J90" i="36" s="1"/>
  <c r="F91" i="36"/>
  <c r="J91" i="36" s="1"/>
  <c r="F92" i="36"/>
  <c r="J92" i="36" s="1"/>
  <c r="F94" i="36"/>
  <c r="J94" i="36" s="1"/>
  <c r="F87" i="36"/>
  <c r="J87" i="36" s="1"/>
  <c r="F97" i="36"/>
  <c r="J97" i="36" s="1"/>
  <c r="F93" i="36"/>
  <c r="J93" i="36" s="1"/>
  <c r="F95" i="36"/>
  <c r="J95" i="36" s="1"/>
  <c r="R25" i="2"/>
  <c r="R21" i="2"/>
  <c r="R16" i="2"/>
  <c r="Y257" i="38"/>
  <c r="Y265" i="40"/>
  <c r="Y259" i="40"/>
  <c r="Y258" i="42"/>
  <c r="Y265" i="41"/>
  <c r="Y266" i="40"/>
  <c r="Y265" i="38"/>
  <c r="Y260" i="40"/>
  <c r="Y261" i="41"/>
  <c r="Y260" i="42"/>
  <c r="Y266" i="38"/>
  <c r="Y263" i="41"/>
  <c r="Y264" i="43"/>
  <c r="Y260" i="43"/>
  <c r="Y262" i="43"/>
  <c r="U51" i="43"/>
  <c r="U46" i="43"/>
  <c r="U45" i="43"/>
  <c r="U50" i="43"/>
  <c r="U41" i="43"/>
  <c r="U49" i="43"/>
  <c r="U43" i="43"/>
  <c r="U42" i="43"/>
  <c r="U52" i="43"/>
  <c r="U47" i="43"/>
  <c r="U52" i="42"/>
  <c r="U50" i="42"/>
  <c r="U49" i="42"/>
  <c r="U45" i="41"/>
  <c r="U48" i="41"/>
  <c r="U52" i="41"/>
  <c r="U49" i="40"/>
  <c r="U46" i="40"/>
  <c r="U49" i="38"/>
  <c r="U41" i="38"/>
  <c r="U46" i="38"/>
  <c r="U51" i="40"/>
  <c r="U44" i="43"/>
  <c r="U41" i="42"/>
  <c r="U46" i="42"/>
  <c r="U42" i="42"/>
  <c r="U43" i="41"/>
  <c r="U44" i="41"/>
  <c r="U50" i="38"/>
  <c r="U47" i="40"/>
  <c r="U43" i="38"/>
  <c r="U42" i="38"/>
  <c r="U51" i="42"/>
  <c r="U45" i="42"/>
  <c r="U41" i="41"/>
  <c r="U42" i="41"/>
  <c r="U50" i="40"/>
  <c r="U48" i="40"/>
  <c r="U47" i="38"/>
  <c r="U52" i="38"/>
  <c r="U44" i="40"/>
  <c r="U43" i="42"/>
  <c r="U51" i="41"/>
  <c r="U52" i="40"/>
  <c r="U45" i="38"/>
  <c r="U42" i="40"/>
  <c r="U48" i="43"/>
  <c r="U47" i="42"/>
  <c r="U47" i="41"/>
  <c r="U44" i="38"/>
  <c r="U43" i="40"/>
  <c r="U48" i="42"/>
  <c r="U50" i="41"/>
  <c r="U41" i="40"/>
  <c r="U48" i="38"/>
  <c r="U44" i="42"/>
  <c r="U49" i="41"/>
  <c r="U46" i="41"/>
  <c r="U51" i="38"/>
  <c r="U45" i="40"/>
  <c r="S39" i="36"/>
  <c r="S43" i="36"/>
  <c r="S49" i="36"/>
  <c r="S46" i="36"/>
  <c r="S44" i="36"/>
  <c r="S42" i="36"/>
  <c r="S50" i="36"/>
  <c r="S45" i="36"/>
  <c r="S41" i="36"/>
  <c r="S47" i="36"/>
  <c r="S48" i="36"/>
  <c r="S40" i="36"/>
  <c r="T7" i="43"/>
  <c r="T5" i="43"/>
  <c r="Y5" i="43" s="1"/>
  <c r="T9" i="43"/>
  <c r="Y9" i="43" s="1"/>
  <c r="T6" i="43"/>
  <c r="Y6" i="43" s="1"/>
  <c r="T11" i="43"/>
  <c r="Y11" i="43" s="1"/>
  <c r="T14" i="43"/>
  <c r="T15" i="43"/>
  <c r="T12" i="43"/>
  <c r="Y12" i="43" s="1"/>
  <c r="T16" i="43"/>
  <c r="Y16" i="43" s="1"/>
  <c r="T8" i="43"/>
  <c r="Y8" i="43" s="1"/>
  <c r="T13" i="43"/>
  <c r="T9" i="42"/>
  <c r="Y9" i="42" s="1"/>
  <c r="T10" i="42"/>
  <c r="Y10" i="42" s="1"/>
  <c r="T8" i="42"/>
  <c r="Y8" i="42" s="1"/>
  <c r="T16" i="41"/>
  <c r="Y16" i="41" s="1"/>
  <c r="T5" i="41"/>
  <c r="Y5" i="41" s="1"/>
  <c r="T13" i="41"/>
  <c r="T5" i="40"/>
  <c r="T12" i="38"/>
  <c r="T11" i="40"/>
  <c r="Y11" i="40" s="1"/>
  <c r="T13" i="40"/>
  <c r="T11" i="38"/>
  <c r="T16" i="40"/>
  <c r="Y16" i="40" s="1"/>
  <c r="T10" i="43"/>
  <c r="Y10" i="43" s="1"/>
  <c r="T14" i="42"/>
  <c r="T13" i="42"/>
  <c r="Y13" i="42" s="1"/>
  <c r="T10" i="41"/>
  <c r="Y10" i="41" s="1"/>
  <c r="T8" i="41"/>
  <c r="Y8" i="41" s="1"/>
  <c r="T11" i="41"/>
  <c r="T15" i="40"/>
  <c r="Y15" i="40" s="1"/>
  <c r="T8" i="38"/>
  <c r="T12" i="40"/>
  <c r="Y12" i="40" s="1"/>
  <c r="T9" i="38"/>
  <c r="T7" i="42"/>
  <c r="T5" i="42"/>
  <c r="T14" i="41"/>
  <c r="Y14" i="41" s="1"/>
  <c r="T9" i="41"/>
  <c r="T14" i="40"/>
  <c r="Y14" i="40" s="1"/>
  <c r="T14" i="38"/>
  <c r="T13" i="38"/>
  <c r="Y13" i="38" s="1"/>
  <c r="T8" i="40"/>
  <c r="T7" i="40"/>
  <c r="T11" i="42"/>
  <c r="Y11" i="42" s="1"/>
  <c r="T12" i="41"/>
  <c r="T6" i="40"/>
  <c r="T7" i="38"/>
  <c r="Y7" i="38" s="1"/>
  <c r="T6" i="42"/>
  <c r="T15" i="41"/>
  <c r="Y15" i="41" s="1"/>
  <c r="T16" i="38"/>
  <c r="T9" i="40"/>
  <c r="R11" i="8"/>
  <c r="T16" i="42"/>
  <c r="T15" i="42"/>
  <c r="T7" i="41"/>
  <c r="Y7" i="41" s="1"/>
  <c r="T10" i="38"/>
  <c r="T15" i="38"/>
  <c r="Y15" i="38" s="1"/>
  <c r="T12" i="42"/>
  <c r="T6" i="41"/>
  <c r="Y6" i="41" s="1"/>
  <c r="T10" i="40"/>
  <c r="T6" i="38"/>
  <c r="Y6" i="38" s="1"/>
  <c r="T5" i="38"/>
  <c r="Y5" i="38" s="1"/>
  <c r="F7" i="36"/>
  <c r="J7" i="36" s="1"/>
  <c r="F9" i="36"/>
  <c r="J9" i="36" s="1"/>
  <c r="F6" i="36"/>
  <c r="J6" i="36" s="1"/>
  <c r="F14" i="36"/>
  <c r="J14" i="36" s="1"/>
  <c r="F4" i="36"/>
  <c r="J4" i="36" s="1"/>
  <c r="F13" i="36"/>
  <c r="J13" i="36" s="1"/>
  <c r="F10" i="36"/>
  <c r="J10" i="36" s="1"/>
  <c r="F11" i="36"/>
  <c r="J11" i="36" s="1"/>
  <c r="F5" i="36"/>
  <c r="J5" i="36" s="1"/>
  <c r="F8" i="36"/>
  <c r="J8" i="36" s="1"/>
  <c r="F12" i="36"/>
  <c r="J12" i="36" s="1"/>
  <c r="F3" i="36"/>
  <c r="J3" i="36" s="1"/>
  <c r="AF240" i="41" l="1"/>
  <c r="AG240" i="41" s="1"/>
  <c r="AH240" i="41" s="1"/>
  <c r="Z252" i="42"/>
  <c r="AC252" i="42" s="1"/>
  <c r="Z250" i="41"/>
  <c r="AC250" i="41" s="1"/>
  <c r="Z246" i="43"/>
  <c r="AC246" i="43" s="1"/>
  <c r="AL246" i="43" s="1"/>
  <c r="Z261" i="40"/>
  <c r="AC261" i="40" s="1"/>
  <c r="Y126" i="38"/>
  <c r="Y58" i="38"/>
  <c r="Y193" i="38"/>
  <c r="Y64" i="38"/>
  <c r="Y80" i="38"/>
  <c r="Y173" i="38"/>
  <c r="Y177" i="38"/>
  <c r="Y179" i="38"/>
  <c r="Y181" i="38"/>
  <c r="Y78" i="38"/>
  <c r="Y9" i="40"/>
  <c r="Y126" i="40"/>
  <c r="Y166" i="40"/>
  <c r="Z166" i="40" s="1"/>
  <c r="AC166" i="40" s="1"/>
  <c r="Y167" i="40"/>
  <c r="Y6" i="40"/>
  <c r="Y13" i="40"/>
  <c r="AF249" i="40"/>
  <c r="AG249" i="40" s="1"/>
  <c r="AH249" i="40" s="1"/>
  <c r="Y131" i="40"/>
  <c r="Y134" i="40"/>
  <c r="AF134" i="40" s="1"/>
  <c r="AG134" i="40" s="1"/>
  <c r="AH134" i="40" s="1"/>
  <c r="Y130" i="40"/>
  <c r="Y127" i="40"/>
  <c r="Z127" i="40" s="1"/>
  <c r="AC127" i="40" s="1"/>
  <c r="Y193" i="40"/>
  <c r="Y61" i="40"/>
  <c r="AF61" i="40" s="1"/>
  <c r="AG61" i="40" s="1"/>
  <c r="AH61" i="40" s="1"/>
  <c r="Y165" i="40"/>
  <c r="Y219" i="40"/>
  <c r="AF219" i="40" s="1"/>
  <c r="AG219" i="40" s="1"/>
  <c r="AH219" i="40" s="1"/>
  <c r="Z228" i="40"/>
  <c r="AC228" i="40" s="1"/>
  <c r="Y176" i="40"/>
  <c r="AF176" i="40" s="1"/>
  <c r="AG176" i="40" s="1"/>
  <c r="AH176" i="40" s="1"/>
  <c r="Y195" i="40"/>
  <c r="Y185" i="40"/>
  <c r="AF185" i="40" s="1"/>
  <c r="AG185" i="40" s="1"/>
  <c r="AH185" i="40" s="1"/>
  <c r="Y161" i="40"/>
  <c r="Y34" i="40"/>
  <c r="Y35" i="40"/>
  <c r="Y84" i="40"/>
  <c r="AF84" i="40" s="1"/>
  <c r="AG84" i="40" s="1"/>
  <c r="AH84" i="40" s="1"/>
  <c r="Y136" i="43"/>
  <c r="Y56" i="43"/>
  <c r="Z56" i="43" s="1"/>
  <c r="AC56" i="43" s="1"/>
  <c r="Y61" i="43"/>
  <c r="Y62" i="43"/>
  <c r="Z62" i="43" s="1"/>
  <c r="AC62" i="43" s="1"/>
  <c r="Y179" i="43"/>
  <c r="Y178" i="43"/>
  <c r="AF178" i="43" s="1"/>
  <c r="AG178" i="43" s="1"/>
  <c r="AH178" i="43" s="1"/>
  <c r="Y177" i="43"/>
  <c r="Y186" i="43"/>
  <c r="Z186" i="43" s="1"/>
  <c r="AC186" i="43" s="1"/>
  <c r="Y59" i="41"/>
  <c r="Y135" i="41"/>
  <c r="AF135" i="41" s="1"/>
  <c r="AG135" i="41" s="1"/>
  <c r="AH135" i="41" s="1"/>
  <c r="Y189" i="41"/>
  <c r="Y194" i="41"/>
  <c r="AF194" i="41" s="1"/>
  <c r="AG194" i="41" s="1"/>
  <c r="AH194" i="41" s="1"/>
  <c r="Y196" i="41"/>
  <c r="Y82" i="41"/>
  <c r="AF82" i="41" s="1"/>
  <c r="AG82" i="41" s="1"/>
  <c r="AH82" i="41" s="1"/>
  <c r="Y179" i="41"/>
  <c r="Y174" i="41"/>
  <c r="Z174" i="41" s="1"/>
  <c r="AC174" i="41" s="1"/>
  <c r="Y86" i="41"/>
  <c r="Y182" i="42"/>
  <c r="AF182" i="42" s="1"/>
  <c r="AG182" i="42" s="1"/>
  <c r="AH182" i="42" s="1"/>
  <c r="Y175" i="42"/>
  <c r="AI232" i="44"/>
  <c r="AI243" i="44"/>
  <c r="AI250" i="44"/>
  <c r="AI249" i="44"/>
  <c r="AI228" i="44"/>
  <c r="AI237" i="44"/>
  <c r="Z231" i="40"/>
  <c r="AC231" i="40" s="1"/>
  <c r="AL231" i="40" s="1"/>
  <c r="Z252" i="41"/>
  <c r="AC252" i="41" s="1"/>
  <c r="AF253" i="41"/>
  <c r="AG253" i="41" s="1"/>
  <c r="AH253" i="41" s="1"/>
  <c r="Z262" i="41"/>
  <c r="AC262" i="41" s="1"/>
  <c r="AF221" i="40"/>
  <c r="AG221" i="40" s="1"/>
  <c r="AH221" i="40" s="1"/>
  <c r="Z268" i="38"/>
  <c r="AC268" i="38" s="1"/>
  <c r="AI268" i="38" s="1"/>
  <c r="AF241" i="43"/>
  <c r="AG241" i="43" s="1"/>
  <c r="AH241" i="43" s="1"/>
  <c r="AJ249" i="38"/>
  <c r="AJ247" i="38"/>
  <c r="AI246" i="44"/>
  <c r="AI234" i="44"/>
  <c r="AI263" i="44"/>
  <c r="AI265" i="44"/>
  <c r="AI255" i="44"/>
  <c r="AI226" i="44"/>
  <c r="AI267" i="44"/>
  <c r="AJ259" i="38"/>
  <c r="AF264" i="38"/>
  <c r="AG264" i="38" s="1"/>
  <c r="AH264" i="38" s="1"/>
  <c r="AJ262" i="38"/>
  <c r="AF251" i="41"/>
  <c r="AG251" i="41" s="1"/>
  <c r="AH251" i="41" s="1"/>
  <c r="AF245" i="42"/>
  <c r="AG245" i="42" s="1"/>
  <c r="AH245" i="42" s="1"/>
  <c r="Z228" i="42"/>
  <c r="AC228" i="42" s="1"/>
  <c r="AJ223" i="38"/>
  <c r="AJ252" i="38"/>
  <c r="AQ227" i="44"/>
  <c r="AE35" i="44"/>
  <c r="AF35" i="44" s="1"/>
  <c r="AG35" i="44" s="1"/>
  <c r="Y35" i="44"/>
  <c r="AB35" i="44" s="1"/>
  <c r="AE155" i="44"/>
  <c r="AF155" i="44" s="1"/>
  <c r="AG155" i="44" s="1"/>
  <c r="Y155" i="44"/>
  <c r="AB155" i="44" s="1"/>
  <c r="AE131" i="44"/>
  <c r="AF131" i="44" s="1"/>
  <c r="AG131" i="44" s="1"/>
  <c r="Y131" i="44"/>
  <c r="AB131" i="44" s="1"/>
  <c r="Y93" i="44"/>
  <c r="AB93" i="44" s="1"/>
  <c r="AE93" i="44"/>
  <c r="AF93" i="44" s="1"/>
  <c r="AG93" i="44" s="1"/>
  <c r="AJ252" i="44"/>
  <c r="AQ252" i="44"/>
  <c r="AJ236" i="44"/>
  <c r="AQ236" i="44"/>
  <c r="Y12" i="44"/>
  <c r="AB12" i="44" s="1"/>
  <c r="AE12" i="44"/>
  <c r="AF12" i="44" s="1"/>
  <c r="AG12" i="44" s="1"/>
  <c r="AE68" i="44"/>
  <c r="AF68" i="44" s="1"/>
  <c r="AG68" i="44" s="1"/>
  <c r="Y68" i="44"/>
  <c r="AB68" i="44" s="1"/>
  <c r="AE171" i="44"/>
  <c r="AF171" i="44" s="1"/>
  <c r="AG171" i="44" s="1"/>
  <c r="Y171" i="44"/>
  <c r="AB171" i="44" s="1"/>
  <c r="Y189" i="44"/>
  <c r="AB189" i="44" s="1"/>
  <c r="AE189" i="44"/>
  <c r="AF189" i="44" s="1"/>
  <c r="AG189" i="44" s="1"/>
  <c r="AQ260" i="44"/>
  <c r="AJ260" i="44"/>
  <c r="Y139" i="44"/>
  <c r="AB139" i="44" s="1"/>
  <c r="AE139" i="44"/>
  <c r="AF139" i="44" s="1"/>
  <c r="AG139" i="44" s="1"/>
  <c r="AE27" i="44"/>
  <c r="AF27" i="44" s="1"/>
  <c r="AG27" i="44" s="1"/>
  <c r="Y27" i="44"/>
  <c r="AB27" i="44" s="1"/>
  <c r="AE51" i="44"/>
  <c r="AF51" i="44" s="1"/>
  <c r="AG51" i="44" s="1"/>
  <c r="Y51" i="44"/>
  <c r="AB51" i="44" s="1"/>
  <c r="Y85" i="44"/>
  <c r="AB85" i="44" s="1"/>
  <c r="AE85" i="44"/>
  <c r="AF85" i="44" s="1"/>
  <c r="AG85" i="44" s="1"/>
  <c r="Y107" i="44"/>
  <c r="AB107" i="44" s="1"/>
  <c r="AE107" i="44"/>
  <c r="AF107" i="44" s="1"/>
  <c r="AG107" i="44" s="1"/>
  <c r="AF254" i="40"/>
  <c r="AG254" i="40" s="1"/>
  <c r="AH254" i="40" s="1"/>
  <c r="AI239" i="44"/>
  <c r="AQ239" i="44"/>
  <c r="AJ239" i="44"/>
  <c r="AJ240" i="44"/>
  <c r="AQ240" i="44"/>
  <c r="AJ258" i="44"/>
  <c r="AQ258" i="44"/>
  <c r="AE29" i="44"/>
  <c r="AF29" i="44" s="1"/>
  <c r="AG29" i="44" s="1"/>
  <c r="Y29" i="44"/>
  <c r="X277" i="44"/>
  <c r="AE36" i="44"/>
  <c r="AF36" i="44" s="1"/>
  <c r="AG36" i="44" s="1"/>
  <c r="Y36" i="44"/>
  <c r="AB36" i="44" s="1"/>
  <c r="Y31" i="44"/>
  <c r="AB31" i="44" s="1"/>
  <c r="AE31" i="44"/>
  <c r="AF31" i="44" s="1"/>
  <c r="AG31" i="44" s="1"/>
  <c r="Y153" i="44"/>
  <c r="AB153" i="44" s="1"/>
  <c r="AE153" i="44"/>
  <c r="AF153" i="44" s="1"/>
  <c r="AG153" i="44" s="1"/>
  <c r="AE154" i="44"/>
  <c r="AF154" i="44" s="1"/>
  <c r="AG154" i="44" s="1"/>
  <c r="Y154" i="44"/>
  <c r="AB154" i="44" s="1"/>
  <c r="AE159" i="44"/>
  <c r="AF159" i="44" s="1"/>
  <c r="AG159" i="44" s="1"/>
  <c r="Y159" i="44"/>
  <c r="AB159" i="44" s="1"/>
  <c r="Y133" i="44"/>
  <c r="AB133" i="44" s="1"/>
  <c r="AE133" i="44"/>
  <c r="AF133" i="44" s="1"/>
  <c r="AG133" i="44" s="1"/>
  <c r="AE130" i="44"/>
  <c r="AF130" i="44" s="1"/>
  <c r="AG130" i="44" s="1"/>
  <c r="Y130" i="44"/>
  <c r="AB130" i="44" s="1"/>
  <c r="AE135" i="44"/>
  <c r="AF135" i="44" s="1"/>
  <c r="AG135" i="44" s="1"/>
  <c r="Y135" i="44"/>
  <c r="AB135" i="44" s="1"/>
  <c r="AQ231" i="44"/>
  <c r="Y57" i="44"/>
  <c r="AB57" i="44" s="1"/>
  <c r="AE57" i="44"/>
  <c r="AF57" i="44" s="1"/>
  <c r="AG57" i="44" s="1"/>
  <c r="AE63" i="44"/>
  <c r="AF63" i="44" s="1"/>
  <c r="AG63" i="44" s="1"/>
  <c r="Y63" i="44"/>
  <c r="AB63" i="44" s="1"/>
  <c r="AE58" i="44"/>
  <c r="AF58" i="44" s="1"/>
  <c r="AG58" i="44" s="1"/>
  <c r="Y58" i="44"/>
  <c r="AB58" i="44" s="1"/>
  <c r="AE97" i="44"/>
  <c r="AF97" i="44" s="1"/>
  <c r="AG97" i="44" s="1"/>
  <c r="Y97" i="44"/>
  <c r="AB97" i="44" s="1"/>
  <c r="AE91" i="44"/>
  <c r="AF91" i="44" s="1"/>
  <c r="AG91" i="44" s="1"/>
  <c r="Y91" i="44"/>
  <c r="AB91" i="44" s="1"/>
  <c r="Y96" i="44"/>
  <c r="AB96" i="44" s="1"/>
  <c r="AE96" i="44"/>
  <c r="AF96" i="44" s="1"/>
  <c r="AG96" i="44" s="1"/>
  <c r="AQ241" i="44"/>
  <c r="AJ241" i="44"/>
  <c r="AJ259" i="44"/>
  <c r="AQ259" i="44"/>
  <c r="AQ264" i="44"/>
  <c r="AJ264" i="44"/>
  <c r="X275" i="44"/>
  <c r="AE5" i="44"/>
  <c r="Y5" i="44"/>
  <c r="AE8" i="44"/>
  <c r="AF8" i="44" s="1"/>
  <c r="AG8" i="44" s="1"/>
  <c r="Y8" i="44"/>
  <c r="AB8" i="44" s="1"/>
  <c r="Y10" i="44"/>
  <c r="AB10" i="44" s="1"/>
  <c r="AE10" i="44"/>
  <c r="AF10" i="44" s="1"/>
  <c r="AG10" i="44" s="1"/>
  <c r="Y65" i="44"/>
  <c r="X280" i="44"/>
  <c r="AE65" i="44"/>
  <c r="AF65" i="44" s="1"/>
  <c r="AG65" i="44" s="1"/>
  <c r="AE75" i="44"/>
  <c r="AF75" i="44" s="1"/>
  <c r="AG75" i="44" s="1"/>
  <c r="Y75" i="44"/>
  <c r="AB75" i="44" s="1"/>
  <c r="AE70" i="44"/>
  <c r="AF70" i="44" s="1"/>
  <c r="AG70" i="44" s="1"/>
  <c r="Y70" i="44"/>
  <c r="AB70" i="44" s="1"/>
  <c r="X288" i="44"/>
  <c r="Y161" i="44"/>
  <c r="AE161" i="44"/>
  <c r="AF161" i="44" s="1"/>
  <c r="AG161" i="44" s="1"/>
  <c r="AE172" i="44"/>
  <c r="AF172" i="44" s="1"/>
  <c r="AG172" i="44" s="1"/>
  <c r="Y172" i="44"/>
  <c r="AB172" i="44" s="1"/>
  <c r="Y164" i="44"/>
  <c r="AB164" i="44" s="1"/>
  <c r="AE164" i="44"/>
  <c r="AF164" i="44" s="1"/>
  <c r="AG164" i="44" s="1"/>
  <c r="AE206" i="44"/>
  <c r="AF206" i="44" s="1"/>
  <c r="AG206" i="44" s="1"/>
  <c r="Y206" i="44"/>
  <c r="AB206" i="44" s="1"/>
  <c r="Y200" i="44"/>
  <c r="AB200" i="44" s="1"/>
  <c r="AE200" i="44"/>
  <c r="AF200" i="44" s="1"/>
  <c r="AG200" i="44" s="1"/>
  <c r="Y201" i="44"/>
  <c r="AB201" i="44" s="1"/>
  <c r="AE201" i="44"/>
  <c r="AF201" i="44" s="1"/>
  <c r="AG201" i="44" s="1"/>
  <c r="AI238" i="44"/>
  <c r="AJ262" i="44"/>
  <c r="AQ262" i="44"/>
  <c r="AE187" i="44"/>
  <c r="AF187" i="44" s="1"/>
  <c r="AG187" i="44" s="1"/>
  <c r="Y187" i="44"/>
  <c r="AB187" i="44" s="1"/>
  <c r="Y192" i="44"/>
  <c r="AB192" i="44" s="1"/>
  <c r="AE192" i="44"/>
  <c r="AF192" i="44" s="1"/>
  <c r="AG192" i="44" s="1"/>
  <c r="Y193" i="44"/>
  <c r="AB193" i="44" s="1"/>
  <c r="AE193" i="44"/>
  <c r="AF193" i="44" s="1"/>
  <c r="AG193" i="44" s="1"/>
  <c r="AE114" i="44"/>
  <c r="AF114" i="44" s="1"/>
  <c r="AG114" i="44" s="1"/>
  <c r="Y114" i="44"/>
  <c r="AB114" i="44" s="1"/>
  <c r="Y119" i="44"/>
  <c r="AB119" i="44" s="1"/>
  <c r="AE119" i="44"/>
  <c r="AF119" i="44" s="1"/>
  <c r="AG119" i="44" s="1"/>
  <c r="Y124" i="44"/>
  <c r="AB124" i="44" s="1"/>
  <c r="AE124" i="44"/>
  <c r="AF124" i="44" s="1"/>
  <c r="AG124" i="44" s="1"/>
  <c r="AJ249" i="44"/>
  <c r="AQ249" i="44"/>
  <c r="AI230" i="44"/>
  <c r="AQ228" i="44"/>
  <c r="AJ237" i="44"/>
  <c r="AQ237" i="44"/>
  <c r="AI266" i="44"/>
  <c r="AI260" i="44"/>
  <c r="AE138" i="44"/>
  <c r="AF138" i="44" s="1"/>
  <c r="AG138" i="44" s="1"/>
  <c r="Y138" i="44"/>
  <c r="AB138" i="44" s="1"/>
  <c r="Y143" i="44"/>
  <c r="AB143" i="44" s="1"/>
  <c r="AE143" i="44"/>
  <c r="AF143" i="44" s="1"/>
  <c r="AG143" i="44" s="1"/>
  <c r="AE148" i="44"/>
  <c r="AF148" i="44" s="1"/>
  <c r="AG148" i="44" s="1"/>
  <c r="Y148" i="44"/>
  <c r="AB148" i="44" s="1"/>
  <c r="AE28" i="44"/>
  <c r="AF28" i="44" s="1"/>
  <c r="AG28" i="44" s="1"/>
  <c r="Y28" i="44"/>
  <c r="AB28" i="44" s="1"/>
  <c r="Y23" i="44"/>
  <c r="AB23" i="44" s="1"/>
  <c r="AE23" i="44"/>
  <c r="AF23" i="44" s="1"/>
  <c r="AG23" i="44" s="1"/>
  <c r="AE18" i="44"/>
  <c r="AF18" i="44" s="1"/>
  <c r="AG18" i="44" s="1"/>
  <c r="Y18" i="44"/>
  <c r="AB18" i="44" s="1"/>
  <c r="Y52" i="44"/>
  <c r="AB52" i="44" s="1"/>
  <c r="AE52" i="44"/>
  <c r="AF52" i="44" s="1"/>
  <c r="AG52" i="44" s="1"/>
  <c r="AE47" i="44"/>
  <c r="AF47" i="44" s="1"/>
  <c r="AG47" i="44" s="1"/>
  <c r="Y47" i="44"/>
  <c r="AB47" i="44" s="1"/>
  <c r="AE42" i="44"/>
  <c r="AF42" i="44" s="1"/>
  <c r="AG42" i="44" s="1"/>
  <c r="Y42" i="44"/>
  <c r="AB42" i="44" s="1"/>
  <c r="AE88" i="44"/>
  <c r="AF88" i="44" s="1"/>
  <c r="AG88" i="44" s="1"/>
  <c r="Y88" i="44"/>
  <c r="AB88" i="44" s="1"/>
  <c r="AE83" i="44"/>
  <c r="AF83" i="44" s="1"/>
  <c r="AG83" i="44" s="1"/>
  <c r="Y83" i="44"/>
  <c r="AB83" i="44" s="1"/>
  <c r="Y78" i="44"/>
  <c r="AB78" i="44" s="1"/>
  <c r="AE78" i="44"/>
  <c r="AF78" i="44" s="1"/>
  <c r="AG78" i="44" s="1"/>
  <c r="AE175" i="44"/>
  <c r="AF175" i="44" s="1"/>
  <c r="AG175" i="44" s="1"/>
  <c r="Y175" i="44"/>
  <c r="AB175" i="44" s="1"/>
  <c r="Y180" i="44"/>
  <c r="AB180" i="44" s="1"/>
  <c r="AE180" i="44"/>
  <c r="AF180" i="44" s="1"/>
  <c r="AG180" i="44" s="1"/>
  <c r="Y173" i="44"/>
  <c r="AE173" i="44"/>
  <c r="AF173" i="44" s="1"/>
  <c r="AG173" i="44" s="1"/>
  <c r="X289" i="44"/>
  <c r="AB245" i="44"/>
  <c r="AH245" i="44" s="1"/>
  <c r="AI245" i="44" s="1"/>
  <c r="Y295" i="44"/>
  <c r="Z256" i="44"/>
  <c r="Y210" i="44"/>
  <c r="AB210" i="44" s="1"/>
  <c r="AE210" i="44"/>
  <c r="AF210" i="44" s="1"/>
  <c r="AG210" i="44" s="1"/>
  <c r="AE211" i="44"/>
  <c r="AF211" i="44" s="1"/>
  <c r="AG211" i="44" s="1"/>
  <c r="Y211" i="44"/>
  <c r="AB211" i="44" s="1"/>
  <c r="AE209" i="44"/>
  <c r="AF209" i="44" s="1"/>
  <c r="AG209" i="44" s="1"/>
  <c r="Y209" i="44"/>
  <c r="X292" i="44"/>
  <c r="AE101" i="44"/>
  <c r="AF101" i="44" s="1"/>
  <c r="AG101" i="44" s="1"/>
  <c r="Y101" i="44"/>
  <c r="X283" i="44"/>
  <c r="AE106" i="44"/>
  <c r="AF106" i="44" s="1"/>
  <c r="AG106" i="44" s="1"/>
  <c r="Y106" i="44"/>
  <c r="AB106" i="44" s="1"/>
  <c r="AE111" i="44"/>
  <c r="AF111" i="44" s="1"/>
  <c r="AG111" i="44" s="1"/>
  <c r="Y111" i="44"/>
  <c r="AB111" i="44" s="1"/>
  <c r="AE40" i="44"/>
  <c r="AF40" i="44" s="1"/>
  <c r="AG40" i="44" s="1"/>
  <c r="Y40" i="44"/>
  <c r="AB40" i="44" s="1"/>
  <c r="Y150" i="44"/>
  <c r="AB150" i="44" s="1"/>
  <c r="AE150" i="44"/>
  <c r="AF150" i="44" s="1"/>
  <c r="AG150" i="44" s="1"/>
  <c r="AE160" i="44"/>
  <c r="AF160" i="44" s="1"/>
  <c r="AG160" i="44" s="1"/>
  <c r="Y160" i="44"/>
  <c r="AB160" i="44" s="1"/>
  <c r="Y136" i="44"/>
  <c r="AB136" i="44" s="1"/>
  <c r="AE136" i="44"/>
  <c r="AF136" i="44" s="1"/>
  <c r="AG136" i="44" s="1"/>
  <c r="Y56" i="44"/>
  <c r="AB56" i="44" s="1"/>
  <c r="AE56" i="44"/>
  <c r="AF56" i="44" s="1"/>
  <c r="AG56" i="44" s="1"/>
  <c r="Y98" i="44"/>
  <c r="AB98" i="44" s="1"/>
  <c r="AE98" i="44"/>
  <c r="AF98" i="44" s="1"/>
  <c r="AG98" i="44" s="1"/>
  <c r="AE92" i="44"/>
  <c r="AF92" i="44" s="1"/>
  <c r="AG92" i="44" s="1"/>
  <c r="Y92" i="44"/>
  <c r="AB92" i="44" s="1"/>
  <c r="AQ229" i="44"/>
  <c r="Y14" i="44"/>
  <c r="AB14" i="44" s="1"/>
  <c r="AE14" i="44"/>
  <c r="AF14" i="44" s="1"/>
  <c r="AG14" i="44" s="1"/>
  <c r="Y74" i="44"/>
  <c r="AB74" i="44" s="1"/>
  <c r="AE74" i="44"/>
  <c r="AF74" i="44" s="1"/>
  <c r="AG74" i="44" s="1"/>
  <c r="Y170" i="44"/>
  <c r="AB170" i="44" s="1"/>
  <c r="AE170" i="44"/>
  <c r="AF170" i="44" s="1"/>
  <c r="AG170" i="44" s="1"/>
  <c r="AE202" i="44"/>
  <c r="AF202" i="44" s="1"/>
  <c r="AG202" i="44" s="1"/>
  <c r="Y202" i="44"/>
  <c r="AB202" i="44" s="1"/>
  <c r="AE197" i="44"/>
  <c r="AF197" i="44" s="1"/>
  <c r="AG197" i="44" s="1"/>
  <c r="X291" i="44"/>
  <c r="Y197" i="44"/>
  <c r="Y188" i="44"/>
  <c r="AB188" i="44" s="1"/>
  <c r="AE188" i="44"/>
  <c r="AF188" i="44" s="1"/>
  <c r="AG188" i="44" s="1"/>
  <c r="AE113" i="44"/>
  <c r="AF113" i="44" s="1"/>
  <c r="AG113" i="44" s="1"/>
  <c r="Y113" i="44"/>
  <c r="X284" i="44"/>
  <c r="Y120" i="44"/>
  <c r="AB120" i="44" s="1"/>
  <c r="AE120" i="44"/>
  <c r="AF120" i="44" s="1"/>
  <c r="AG120" i="44" s="1"/>
  <c r="AQ230" i="44"/>
  <c r="AQ266" i="44"/>
  <c r="AJ266" i="44"/>
  <c r="Y145" i="44"/>
  <c r="AB145" i="44" s="1"/>
  <c r="AE145" i="44"/>
  <c r="AF145" i="44" s="1"/>
  <c r="AG145" i="44" s="1"/>
  <c r="AE144" i="44"/>
  <c r="AF144" i="44" s="1"/>
  <c r="AG144" i="44" s="1"/>
  <c r="Y144" i="44"/>
  <c r="AB144" i="44" s="1"/>
  <c r="X276" i="44"/>
  <c r="Y17" i="44"/>
  <c r="AE17" i="44"/>
  <c r="AF17" i="44" s="1"/>
  <c r="AG17" i="44" s="1"/>
  <c r="Y22" i="44"/>
  <c r="AB22" i="44" s="1"/>
  <c r="AE22" i="44"/>
  <c r="AF22" i="44" s="1"/>
  <c r="AG22" i="44" s="1"/>
  <c r="AE45" i="44"/>
  <c r="AF45" i="44" s="1"/>
  <c r="AG45" i="44" s="1"/>
  <c r="Y45" i="44"/>
  <c r="AB45" i="44" s="1"/>
  <c r="Y46" i="44"/>
  <c r="AB46" i="44" s="1"/>
  <c r="AE46" i="44"/>
  <c r="AF46" i="44" s="1"/>
  <c r="AG46" i="44" s="1"/>
  <c r="AE87" i="44"/>
  <c r="AF87" i="44" s="1"/>
  <c r="AG87" i="44" s="1"/>
  <c r="Y87" i="44"/>
  <c r="AB87" i="44" s="1"/>
  <c r="AE82" i="44"/>
  <c r="AF82" i="44" s="1"/>
  <c r="AG82" i="44" s="1"/>
  <c r="Y82" i="44"/>
  <c r="AB82" i="44" s="1"/>
  <c r="AE183" i="44"/>
  <c r="AF183" i="44" s="1"/>
  <c r="AG183" i="44" s="1"/>
  <c r="Y183" i="44"/>
  <c r="AB183" i="44" s="1"/>
  <c r="AE182" i="44"/>
  <c r="AF182" i="44" s="1"/>
  <c r="AG182" i="44" s="1"/>
  <c r="Y182" i="44"/>
  <c r="AB182" i="44" s="1"/>
  <c r="Y174" i="44"/>
  <c r="AB174" i="44" s="1"/>
  <c r="AE174" i="44"/>
  <c r="AF174" i="44" s="1"/>
  <c r="AG174" i="44" s="1"/>
  <c r="AE218" i="44"/>
  <c r="AF218" i="44" s="1"/>
  <c r="AG218" i="44" s="1"/>
  <c r="Y218" i="44"/>
  <c r="AB218" i="44" s="1"/>
  <c r="AE216" i="44"/>
  <c r="AF216" i="44" s="1"/>
  <c r="AG216" i="44" s="1"/>
  <c r="Y216" i="44"/>
  <c r="AB216" i="44" s="1"/>
  <c r="AE220" i="44"/>
  <c r="AF220" i="44" s="1"/>
  <c r="AG220" i="44" s="1"/>
  <c r="Y220" i="44"/>
  <c r="AB220" i="44" s="1"/>
  <c r="AE112" i="44"/>
  <c r="AF112" i="44" s="1"/>
  <c r="AG112" i="44" s="1"/>
  <c r="Y112" i="44"/>
  <c r="AB112" i="44" s="1"/>
  <c r="AJ255" i="38"/>
  <c r="AQ251" i="44"/>
  <c r="AJ251" i="44"/>
  <c r="AQ256" i="44"/>
  <c r="AJ256" i="44"/>
  <c r="AQ222" i="44"/>
  <c r="AI240" i="44"/>
  <c r="AI258" i="44"/>
  <c r="Y33" i="44"/>
  <c r="AB33" i="44" s="1"/>
  <c r="AE33" i="44"/>
  <c r="AF33" i="44" s="1"/>
  <c r="AG33" i="44" s="1"/>
  <c r="Y32" i="44"/>
  <c r="AB32" i="44" s="1"/>
  <c r="AE32" i="44"/>
  <c r="AF32" i="44" s="1"/>
  <c r="AG32" i="44" s="1"/>
  <c r="Y38" i="44"/>
  <c r="AB38" i="44" s="1"/>
  <c r="AE38" i="44"/>
  <c r="AF38" i="44" s="1"/>
  <c r="AG38" i="44" s="1"/>
  <c r="Y157" i="44"/>
  <c r="AB157" i="44" s="1"/>
  <c r="AE157" i="44"/>
  <c r="AF157" i="44" s="1"/>
  <c r="AG157" i="44" s="1"/>
  <c r="Y158" i="44"/>
  <c r="AB158" i="44" s="1"/>
  <c r="AE158" i="44"/>
  <c r="AF158" i="44" s="1"/>
  <c r="AG158" i="44" s="1"/>
  <c r="Y152" i="44"/>
  <c r="AB152" i="44" s="1"/>
  <c r="AE152" i="44"/>
  <c r="AF152" i="44" s="1"/>
  <c r="AG152" i="44" s="1"/>
  <c r="AE125" i="44"/>
  <c r="AF125" i="44" s="1"/>
  <c r="AG125" i="44" s="1"/>
  <c r="Y125" i="44"/>
  <c r="X285" i="44"/>
  <c r="AE134" i="44"/>
  <c r="AF134" i="44" s="1"/>
  <c r="AG134" i="44" s="1"/>
  <c r="Y134" i="44"/>
  <c r="AB134" i="44" s="1"/>
  <c r="Y128" i="44"/>
  <c r="AB128" i="44" s="1"/>
  <c r="AE128" i="44"/>
  <c r="AF128" i="44" s="1"/>
  <c r="AG128" i="44" s="1"/>
  <c r="AI231" i="44"/>
  <c r="Y64" i="44"/>
  <c r="AB64" i="44" s="1"/>
  <c r="AE64" i="44"/>
  <c r="AF64" i="44" s="1"/>
  <c r="AG64" i="44" s="1"/>
  <c r="AE59" i="44"/>
  <c r="AF59" i="44" s="1"/>
  <c r="AG59" i="44" s="1"/>
  <c r="Y59" i="44"/>
  <c r="AB59" i="44" s="1"/>
  <c r="Y54" i="44"/>
  <c r="AB54" i="44" s="1"/>
  <c r="AE54" i="44"/>
  <c r="AF54" i="44" s="1"/>
  <c r="AG54" i="44" s="1"/>
  <c r="AE90" i="44"/>
  <c r="AF90" i="44" s="1"/>
  <c r="AG90" i="44" s="1"/>
  <c r="Y90" i="44"/>
  <c r="AB90" i="44" s="1"/>
  <c r="AE95" i="44"/>
  <c r="AF95" i="44" s="1"/>
  <c r="AG95" i="44" s="1"/>
  <c r="Y95" i="44"/>
  <c r="AB95" i="44" s="1"/>
  <c r="Y100" i="44"/>
  <c r="AB100" i="44" s="1"/>
  <c r="AE100" i="44"/>
  <c r="AF100" i="44" s="1"/>
  <c r="AG100" i="44" s="1"/>
  <c r="AJ253" i="44"/>
  <c r="AQ253" i="44"/>
  <c r="AI223" i="44"/>
  <c r="AI241" i="44"/>
  <c r="AI259" i="44"/>
  <c r="AI264" i="44"/>
  <c r="AE9" i="44"/>
  <c r="AF9" i="44" s="1"/>
  <c r="AG9" i="44" s="1"/>
  <c r="Y9" i="44"/>
  <c r="AB9" i="44" s="1"/>
  <c r="Y11" i="44"/>
  <c r="AB11" i="44" s="1"/>
  <c r="AE11" i="44"/>
  <c r="AF11" i="44" s="1"/>
  <c r="AG11" i="44" s="1"/>
  <c r="Y6" i="44"/>
  <c r="AB6" i="44" s="1"/>
  <c r="AE6" i="44"/>
  <c r="AF6" i="44" s="1"/>
  <c r="AG6" i="44" s="1"/>
  <c r="Y76" i="44"/>
  <c r="AB76" i="44" s="1"/>
  <c r="AE76" i="44"/>
  <c r="AF76" i="44" s="1"/>
  <c r="AG76" i="44" s="1"/>
  <c r="Y71" i="44"/>
  <c r="AB71" i="44" s="1"/>
  <c r="AE71" i="44"/>
  <c r="AF71" i="44" s="1"/>
  <c r="AG71" i="44" s="1"/>
  <c r="AE66" i="44"/>
  <c r="AF66" i="44" s="1"/>
  <c r="AG66" i="44" s="1"/>
  <c r="Y66" i="44"/>
  <c r="AB66" i="44" s="1"/>
  <c r="AE162" i="44"/>
  <c r="AF162" i="44" s="1"/>
  <c r="AG162" i="44" s="1"/>
  <c r="Y162" i="44"/>
  <c r="AB162" i="44" s="1"/>
  <c r="AE163" i="44"/>
  <c r="AF163" i="44" s="1"/>
  <c r="AG163" i="44" s="1"/>
  <c r="Y163" i="44"/>
  <c r="AB163" i="44" s="1"/>
  <c r="Y168" i="44"/>
  <c r="AB168" i="44" s="1"/>
  <c r="AE168" i="44"/>
  <c r="AF168" i="44" s="1"/>
  <c r="AG168" i="44" s="1"/>
  <c r="AE199" i="44"/>
  <c r="AF199" i="44" s="1"/>
  <c r="AG199" i="44" s="1"/>
  <c r="Y199" i="44"/>
  <c r="AB199" i="44" s="1"/>
  <c r="Y204" i="44"/>
  <c r="AB204" i="44" s="1"/>
  <c r="AE204" i="44"/>
  <c r="AF204" i="44" s="1"/>
  <c r="AG204" i="44" s="1"/>
  <c r="AE205" i="44"/>
  <c r="AF205" i="44" s="1"/>
  <c r="AG205" i="44" s="1"/>
  <c r="Y205" i="44"/>
  <c r="AB205" i="44" s="1"/>
  <c r="Y293" i="44"/>
  <c r="AB221" i="44"/>
  <c r="AH221" i="44" s="1"/>
  <c r="AQ221" i="44" s="1"/>
  <c r="Z232" i="44"/>
  <c r="AI262" i="44"/>
  <c r="Y194" i="44"/>
  <c r="AB194" i="44" s="1"/>
  <c r="AE194" i="44"/>
  <c r="AF194" i="44" s="1"/>
  <c r="AG194" i="44" s="1"/>
  <c r="Y191" i="44"/>
  <c r="AB191" i="44" s="1"/>
  <c r="AE191" i="44"/>
  <c r="AF191" i="44" s="1"/>
  <c r="AG191" i="44" s="1"/>
  <c r="AE196" i="44"/>
  <c r="AF196" i="44" s="1"/>
  <c r="AG196" i="44" s="1"/>
  <c r="Y196" i="44"/>
  <c r="AB196" i="44" s="1"/>
  <c r="Y117" i="44"/>
  <c r="AB117" i="44" s="1"/>
  <c r="AE117" i="44"/>
  <c r="AF117" i="44" s="1"/>
  <c r="AG117" i="44" s="1"/>
  <c r="AE118" i="44"/>
  <c r="AF118" i="44" s="1"/>
  <c r="AG118" i="44" s="1"/>
  <c r="Y118" i="44"/>
  <c r="AB118" i="44" s="1"/>
  <c r="Y123" i="44"/>
  <c r="AB123" i="44" s="1"/>
  <c r="AE123" i="44"/>
  <c r="AF123" i="44" s="1"/>
  <c r="AG123" i="44" s="1"/>
  <c r="AI254" i="44"/>
  <c r="AJ248" i="44"/>
  <c r="AQ248" i="44"/>
  <c r="AQ225" i="44"/>
  <c r="AI242" i="44"/>
  <c r="AJ244" i="44"/>
  <c r="AQ244" i="44"/>
  <c r="AJ261" i="44"/>
  <c r="AQ261" i="44"/>
  <c r="AE137" i="44"/>
  <c r="AF137" i="44" s="1"/>
  <c r="AG137" i="44" s="1"/>
  <c r="X286" i="44"/>
  <c r="Y137" i="44"/>
  <c r="Y142" i="44"/>
  <c r="AB142" i="44" s="1"/>
  <c r="AE142" i="44"/>
  <c r="AF142" i="44" s="1"/>
  <c r="AG142" i="44" s="1"/>
  <c r="Y147" i="44"/>
  <c r="AB147" i="44" s="1"/>
  <c r="AE147" i="44"/>
  <c r="AF147" i="44" s="1"/>
  <c r="AG147" i="44" s="1"/>
  <c r="Y21" i="44"/>
  <c r="AB21" i="44" s="1"/>
  <c r="AE21" i="44"/>
  <c r="AF21" i="44" s="1"/>
  <c r="AG21" i="44" s="1"/>
  <c r="Y24" i="44"/>
  <c r="AB24" i="44" s="1"/>
  <c r="AE24" i="44"/>
  <c r="AF24" i="44" s="1"/>
  <c r="AG24" i="44" s="1"/>
  <c r="AE19" i="44"/>
  <c r="AF19" i="44" s="1"/>
  <c r="AG19" i="44" s="1"/>
  <c r="Y19" i="44"/>
  <c r="AB19" i="44" s="1"/>
  <c r="AE41" i="44"/>
  <c r="AF41" i="44" s="1"/>
  <c r="AG41" i="44" s="1"/>
  <c r="Y41" i="44"/>
  <c r="X278" i="44"/>
  <c r="AE48" i="44"/>
  <c r="AF48" i="44" s="1"/>
  <c r="AG48" i="44" s="1"/>
  <c r="Y48" i="44"/>
  <c r="AB48" i="44" s="1"/>
  <c r="Y43" i="44"/>
  <c r="AB43" i="44" s="1"/>
  <c r="AE43" i="44"/>
  <c r="AF43" i="44" s="1"/>
  <c r="AG43" i="44" s="1"/>
  <c r="X281" i="44"/>
  <c r="AE77" i="44"/>
  <c r="AF77" i="44" s="1"/>
  <c r="AG77" i="44" s="1"/>
  <c r="Y77" i="44"/>
  <c r="Y84" i="44"/>
  <c r="AB84" i="44" s="1"/>
  <c r="AE84" i="44"/>
  <c r="AF84" i="44" s="1"/>
  <c r="AG84" i="44" s="1"/>
  <c r="AE79" i="44"/>
  <c r="AF79" i="44" s="1"/>
  <c r="AG79" i="44" s="1"/>
  <c r="Y79" i="44"/>
  <c r="AB79" i="44" s="1"/>
  <c r="AE181" i="44"/>
  <c r="AF181" i="44" s="1"/>
  <c r="AG181" i="44" s="1"/>
  <c r="Y181" i="44"/>
  <c r="AB181" i="44" s="1"/>
  <c r="Y177" i="44"/>
  <c r="AB177" i="44" s="1"/>
  <c r="AE177" i="44"/>
  <c r="AF177" i="44" s="1"/>
  <c r="AG177" i="44" s="1"/>
  <c r="Y178" i="44"/>
  <c r="AB178" i="44" s="1"/>
  <c r="AE178" i="44"/>
  <c r="AF178" i="44" s="1"/>
  <c r="AG178" i="44" s="1"/>
  <c r="AJ250" i="44"/>
  <c r="AQ250" i="44"/>
  <c r="AQ243" i="44"/>
  <c r="AJ243" i="44"/>
  <c r="AE219" i="44"/>
  <c r="AF219" i="44" s="1"/>
  <c r="AG219" i="44" s="1"/>
  <c r="Y219" i="44"/>
  <c r="AB219" i="44" s="1"/>
  <c r="Y215" i="44"/>
  <c r="AB215" i="44" s="1"/>
  <c r="AE215" i="44"/>
  <c r="AF215" i="44" s="1"/>
  <c r="AG215" i="44" s="1"/>
  <c r="Y213" i="44"/>
  <c r="AB213" i="44" s="1"/>
  <c r="AE213" i="44"/>
  <c r="AF213" i="44" s="1"/>
  <c r="AG213" i="44" s="1"/>
  <c r="AE105" i="44"/>
  <c r="AF105" i="44" s="1"/>
  <c r="AG105" i="44" s="1"/>
  <c r="Y105" i="44"/>
  <c r="AB105" i="44" s="1"/>
  <c r="Y110" i="44"/>
  <c r="AB110" i="44" s="1"/>
  <c r="AE110" i="44"/>
  <c r="AF110" i="44" s="1"/>
  <c r="AG110" i="44" s="1"/>
  <c r="AE104" i="44"/>
  <c r="AF104" i="44" s="1"/>
  <c r="AG104" i="44" s="1"/>
  <c r="Y104" i="44"/>
  <c r="AB104" i="44" s="1"/>
  <c r="AQ224" i="44"/>
  <c r="AQ268" i="44"/>
  <c r="AJ268" i="44"/>
  <c r="Y30" i="44"/>
  <c r="AB30" i="44" s="1"/>
  <c r="AE30" i="44"/>
  <c r="AF30" i="44" s="1"/>
  <c r="AG30" i="44" s="1"/>
  <c r="AE126" i="44"/>
  <c r="AF126" i="44" s="1"/>
  <c r="AG126" i="44" s="1"/>
  <c r="Y126" i="44"/>
  <c r="AB126" i="44" s="1"/>
  <c r="AE61" i="44"/>
  <c r="AF61" i="44" s="1"/>
  <c r="AG61" i="44" s="1"/>
  <c r="Y61" i="44"/>
  <c r="AB61" i="44" s="1"/>
  <c r="Y62" i="44"/>
  <c r="AB62" i="44" s="1"/>
  <c r="AE62" i="44"/>
  <c r="AF62" i="44" s="1"/>
  <c r="AG62" i="44" s="1"/>
  <c r="AQ247" i="44"/>
  <c r="AJ247" i="44"/>
  <c r="AJ235" i="44"/>
  <c r="AQ235" i="44"/>
  <c r="Y13" i="44"/>
  <c r="AB13" i="44" s="1"/>
  <c r="AE13" i="44"/>
  <c r="AF13" i="44" s="1"/>
  <c r="AG13" i="44" s="1"/>
  <c r="AE69" i="44"/>
  <c r="AF69" i="44" s="1"/>
  <c r="AG69" i="44" s="1"/>
  <c r="Y69" i="44"/>
  <c r="AB69" i="44" s="1"/>
  <c r="Y165" i="44"/>
  <c r="AB165" i="44" s="1"/>
  <c r="AE165" i="44"/>
  <c r="AF165" i="44" s="1"/>
  <c r="AG165" i="44" s="1"/>
  <c r="Y207" i="44"/>
  <c r="AB207" i="44" s="1"/>
  <c r="AE207" i="44"/>
  <c r="AF207" i="44" s="1"/>
  <c r="AG207" i="44" s="1"/>
  <c r="AQ238" i="44"/>
  <c r="AJ238" i="44"/>
  <c r="Y190" i="44"/>
  <c r="AB190" i="44" s="1"/>
  <c r="AE190" i="44"/>
  <c r="AF190" i="44" s="1"/>
  <c r="AG190" i="44" s="1"/>
  <c r="Y115" i="44"/>
  <c r="AB115" i="44" s="1"/>
  <c r="AE115" i="44"/>
  <c r="AF115" i="44" s="1"/>
  <c r="AG115" i="44" s="1"/>
  <c r="AE102" i="44"/>
  <c r="AF102" i="44" s="1"/>
  <c r="AG102" i="44" s="1"/>
  <c r="Y102" i="44"/>
  <c r="AB102" i="44" s="1"/>
  <c r="AJ246" i="44"/>
  <c r="AQ246" i="44"/>
  <c r="AI227" i="44"/>
  <c r="AI224" i="44"/>
  <c r="AJ234" i="44"/>
  <c r="AQ234" i="44"/>
  <c r="AQ263" i="44"/>
  <c r="AJ263" i="44"/>
  <c r="AI268" i="44"/>
  <c r="AE37" i="44"/>
  <c r="AF37" i="44" s="1"/>
  <c r="AG37" i="44" s="1"/>
  <c r="Y37" i="44"/>
  <c r="AB37" i="44" s="1"/>
  <c r="Y39" i="44"/>
  <c r="AB39" i="44" s="1"/>
  <c r="AE39" i="44"/>
  <c r="AF39" i="44" s="1"/>
  <c r="AG39" i="44" s="1"/>
  <c r="AE34" i="44"/>
  <c r="AF34" i="44" s="1"/>
  <c r="AG34" i="44" s="1"/>
  <c r="Y34" i="44"/>
  <c r="AB34" i="44" s="1"/>
  <c r="Y149" i="44"/>
  <c r="AE149" i="44"/>
  <c r="AF149" i="44" s="1"/>
  <c r="AG149" i="44" s="1"/>
  <c r="X287" i="44"/>
  <c r="Y151" i="44"/>
  <c r="AB151" i="44" s="1"/>
  <c r="AE151" i="44"/>
  <c r="AF151" i="44" s="1"/>
  <c r="AG151" i="44" s="1"/>
  <c r="AE156" i="44"/>
  <c r="AF156" i="44" s="1"/>
  <c r="AG156" i="44" s="1"/>
  <c r="Y156" i="44"/>
  <c r="AB156" i="44" s="1"/>
  <c r="Y129" i="44"/>
  <c r="AB129" i="44" s="1"/>
  <c r="AE129" i="44"/>
  <c r="AF129" i="44" s="1"/>
  <c r="AG129" i="44" s="1"/>
  <c r="AE127" i="44"/>
  <c r="AF127" i="44" s="1"/>
  <c r="AG127" i="44" s="1"/>
  <c r="Y127" i="44"/>
  <c r="AB127" i="44" s="1"/>
  <c r="Y132" i="44"/>
  <c r="AB132" i="44" s="1"/>
  <c r="AE132" i="44"/>
  <c r="AF132" i="44" s="1"/>
  <c r="AG132" i="44" s="1"/>
  <c r="X279" i="44"/>
  <c r="Y53" i="44"/>
  <c r="AE53" i="44"/>
  <c r="AF53" i="44" s="1"/>
  <c r="AG53" i="44" s="1"/>
  <c r="AE60" i="44"/>
  <c r="AF60" i="44" s="1"/>
  <c r="AG60" i="44" s="1"/>
  <c r="Y60" i="44"/>
  <c r="AB60" i="44" s="1"/>
  <c r="Y55" i="44"/>
  <c r="AB55" i="44" s="1"/>
  <c r="AE55" i="44"/>
  <c r="AF55" i="44" s="1"/>
  <c r="AG55" i="44" s="1"/>
  <c r="X282" i="44"/>
  <c r="AE89" i="44"/>
  <c r="AF89" i="44" s="1"/>
  <c r="AG89" i="44" s="1"/>
  <c r="Y89" i="44"/>
  <c r="Y94" i="44"/>
  <c r="AB94" i="44" s="1"/>
  <c r="AE94" i="44"/>
  <c r="AF94" i="44" s="1"/>
  <c r="AG94" i="44" s="1"/>
  <c r="AE99" i="44"/>
  <c r="AF99" i="44" s="1"/>
  <c r="AG99" i="44" s="1"/>
  <c r="Y99" i="44"/>
  <c r="AB99" i="44" s="1"/>
  <c r="AI247" i="44"/>
  <c r="AI252" i="44"/>
  <c r="AI229" i="44"/>
  <c r="AI235" i="44"/>
  <c r="AI236" i="44"/>
  <c r="AQ265" i="44"/>
  <c r="AJ265" i="44"/>
  <c r="AE15" i="44"/>
  <c r="AF15" i="44" s="1"/>
  <c r="AG15" i="44" s="1"/>
  <c r="Y15" i="44"/>
  <c r="AB15" i="44" s="1"/>
  <c r="AE16" i="44"/>
  <c r="AF16" i="44" s="1"/>
  <c r="AG16" i="44" s="1"/>
  <c r="Y16" i="44"/>
  <c r="AB16" i="44" s="1"/>
  <c r="AE7" i="44"/>
  <c r="AF7" i="44" s="1"/>
  <c r="AG7" i="44" s="1"/>
  <c r="Y7" i="44"/>
  <c r="AB7" i="44" s="1"/>
  <c r="AE73" i="44"/>
  <c r="AF73" i="44" s="1"/>
  <c r="AG73" i="44" s="1"/>
  <c r="Y73" i="44"/>
  <c r="AB73" i="44" s="1"/>
  <c r="Y72" i="44"/>
  <c r="AB72" i="44" s="1"/>
  <c r="AE72" i="44"/>
  <c r="AF72" i="44" s="1"/>
  <c r="AG72" i="44" s="1"/>
  <c r="Y67" i="44"/>
  <c r="AB67" i="44" s="1"/>
  <c r="AE67" i="44"/>
  <c r="AF67" i="44" s="1"/>
  <c r="AG67" i="44" s="1"/>
  <c r="AE169" i="44"/>
  <c r="AF169" i="44" s="1"/>
  <c r="AG169" i="44" s="1"/>
  <c r="Y169" i="44"/>
  <c r="AB169" i="44" s="1"/>
  <c r="Y166" i="44"/>
  <c r="AB166" i="44" s="1"/>
  <c r="AE166" i="44"/>
  <c r="AF166" i="44" s="1"/>
  <c r="AG166" i="44" s="1"/>
  <c r="AE167" i="44"/>
  <c r="AF167" i="44" s="1"/>
  <c r="AG167" i="44" s="1"/>
  <c r="Y167" i="44"/>
  <c r="AB167" i="44" s="1"/>
  <c r="Y198" i="44"/>
  <c r="AB198" i="44" s="1"/>
  <c r="AE198" i="44"/>
  <c r="AF198" i="44" s="1"/>
  <c r="AG198" i="44" s="1"/>
  <c r="Y203" i="44"/>
  <c r="AB203" i="44" s="1"/>
  <c r="AE203" i="44"/>
  <c r="AF203" i="44" s="1"/>
  <c r="AG203" i="44" s="1"/>
  <c r="Y208" i="44"/>
  <c r="AB208" i="44" s="1"/>
  <c r="AE208" i="44"/>
  <c r="AF208" i="44" s="1"/>
  <c r="AG208" i="44" s="1"/>
  <c r="AJ255" i="44"/>
  <c r="AQ255" i="44"/>
  <c r="AI221" i="44"/>
  <c r="Y294" i="44"/>
  <c r="Z244" i="44"/>
  <c r="AB233" i="44"/>
  <c r="AH233" i="44" s="1"/>
  <c r="Z268" i="44"/>
  <c r="Y296" i="44"/>
  <c r="AB257" i="44"/>
  <c r="AH257" i="44" s="1"/>
  <c r="AE186" i="44"/>
  <c r="AF186" i="44" s="1"/>
  <c r="AG186" i="44" s="1"/>
  <c r="Y186" i="44"/>
  <c r="AB186" i="44" s="1"/>
  <c r="Y195" i="44"/>
  <c r="AB195" i="44" s="1"/>
  <c r="AE195" i="44"/>
  <c r="AF195" i="44" s="1"/>
  <c r="AG195" i="44" s="1"/>
  <c r="Y185" i="44"/>
  <c r="AE185" i="44"/>
  <c r="AF185" i="44" s="1"/>
  <c r="AG185" i="44" s="1"/>
  <c r="X290" i="44"/>
  <c r="AE121" i="44"/>
  <c r="AF121" i="44" s="1"/>
  <c r="AG121" i="44" s="1"/>
  <c r="Y121" i="44"/>
  <c r="AB121" i="44" s="1"/>
  <c r="Y122" i="44"/>
  <c r="AB122" i="44" s="1"/>
  <c r="AE122" i="44"/>
  <c r="AF122" i="44" s="1"/>
  <c r="AG122" i="44" s="1"/>
  <c r="AE116" i="44"/>
  <c r="AF116" i="44" s="1"/>
  <c r="AG116" i="44" s="1"/>
  <c r="Y116" i="44"/>
  <c r="AB116" i="44" s="1"/>
  <c r="AQ254" i="44"/>
  <c r="AJ254" i="44"/>
  <c r="AQ242" i="44"/>
  <c r="AJ242" i="44"/>
  <c r="Y141" i="44"/>
  <c r="AB141" i="44" s="1"/>
  <c r="AE141" i="44"/>
  <c r="AF141" i="44" s="1"/>
  <c r="AG141" i="44" s="1"/>
  <c r="AE146" i="44"/>
  <c r="AF146" i="44" s="1"/>
  <c r="AG146" i="44" s="1"/>
  <c r="Y146" i="44"/>
  <c r="AB146" i="44" s="1"/>
  <c r="Y140" i="44"/>
  <c r="AB140" i="44" s="1"/>
  <c r="AE140" i="44"/>
  <c r="AF140" i="44" s="1"/>
  <c r="AG140" i="44" s="1"/>
  <c r="Y25" i="44"/>
  <c r="AB25" i="44" s="1"/>
  <c r="AE25" i="44"/>
  <c r="AF25" i="44" s="1"/>
  <c r="AG25" i="44" s="1"/>
  <c r="AE20" i="44"/>
  <c r="AF20" i="44" s="1"/>
  <c r="AG20" i="44" s="1"/>
  <c r="Y20" i="44"/>
  <c r="AB20" i="44" s="1"/>
  <c r="Y26" i="44"/>
  <c r="AB26" i="44" s="1"/>
  <c r="AE26" i="44"/>
  <c r="AF26" i="44" s="1"/>
  <c r="AG26" i="44" s="1"/>
  <c r="AE49" i="44"/>
  <c r="AF49" i="44" s="1"/>
  <c r="AG49" i="44" s="1"/>
  <c r="Y49" i="44"/>
  <c r="AB49" i="44" s="1"/>
  <c r="AE44" i="44"/>
  <c r="AF44" i="44" s="1"/>
  <c r="AG44" i="44" s="1"/>
  <c r="Y44" i="44"/>
  <c r="AB44" i="44" s="1"/>
  <c r="Y50" i="44"/>
  <c r="AB50" i="44" s="1"/>
  <c r="AE50" i="44"/>
  <c r="AF50" i="44" s="1"/>
  <c r="AG50" i="44" s="1"/>
  <c r="Y81" i="44"/>
  <c r="AB81" i="44" s="1"/>
  <c r="AE81" i="44"/>
  <c r="AF81" i="44" s="1"/>
  <c r="AG81" i="44" s="1"/>
  <c r="AE80" i="44"/>
  <c r="AF80" i="44" s="1"/>
  <c r="AG80" i="44" s="1"/>
  <c r="Y80" i="44"/>
  <c r="AB80" i="44" s="1"/>
  <c r="AE86" i="44"/>
  <c r="AF86" i="44" s="1"/>
  <c r="AG86" i="44" s="1"/>
  <c r="Y86" i="44"/>
  <c r="AB86" i="44" s="1"/>
  <c r="AE179" i="44"/>
  <c r="AF179" i="44" s="1"/>
  <c r="AG179" i="44" s="1"/>
  <c r="Y179" i="44"/>
  <c r="AB179" i="44" s="1"/>
  <c r="Y184" i="44"/>
  <c r="AB184" i="44" s="1"/>
  <c r="AE184" i="44"/>
  <c r="AF184" i="44" s="1"/>
  <c r="AG184" i="44" s="1"/>
  <c r="Y176" i="44"/>
  <c r="AB176" i="44" s="1"/>
  <c r="AE176" i="44"/>
  <c r="AF176" i="44" s="1"/>
  <c r="AG176" i="44" s="1"/>
  <c r="AQ226" i="44"/>
  <c r="AJ267" i="44"/>
  <c r="AQ267" i="44"/>
  <c r="AE214" i="44"/>
  <c r="AF214" i="44" s="1"/>
  <c r="AG214" i="44" s="1"/>
  <c r="Y214" i="44"/>
  <c r="AB214" i="44" s="1"/>
  <c r="AE212" i="44"/>
  <c r="AF212" i="44" s="1"/>
  <c r="AG212" i="44" s="1"/>
  <c r="Y212" i="44"/>
  <c r="AB212" i="44" s="1"/>
  <c r="Y217" i="44"/>
  <c r="AB217" i="44" s="1"/>
  <c r="AE217" i="44"/>
  <c r="AF217" i="44" s="1"/>
  <c r="AG217" i="44" s="1"/>
  <c r="Y109" i="44"/>
  <c r="AB109" i="44" s="1"/>
  <c r="AE109" i="44"/>
  <c r="AF109" i="44" s="1"/>
  <c r="AG109" i="44" s="1"/>
  <c r="Y103" i="44"/>
  <c r="AB103" i="44" s="1"/>
  <c r="AE103" i="44"/>
  <c r="AF103" i="44" s="1"/>
  <c r="AG103" i="44" s="1"/>
  <c r="Y108" i="44"/>
  <c r="AB108" i="44" s="1"/>
  <c r="AE108" i="44"/>
  <c r="AF108" i="44" s="1"/>
  <c r="AG108" i="44" s="1"/>
  <c r="Y89" i="42"/>
  <c r="Z89" i="42" s="1"/>
  <c r="Y26" i="42"/>
  <c r="AF26" i="42" s="1"/>
  <c r="AG26" i="42" s="1"/>
  <c r="AH26" i="42" s="1"/>
  <c r="Y126" i="42"/>
  <c r="Z126" i="42" s="1"/>
  <c r="AC126" i="42" s="1"/>
  <c r="Y129" i="42"/>
  <c r="Z129" i="42" s="1"/>
  <c r="AC129" i="42" s="1"/>
  <c r="Y128" i="42"/>
  <c r="AF128" i="42" s="1"/>
  <c r="AG128" i="42" s="1"/>
  <c r="AH128" i="42" s="1"/>
  <c r="Y194" i="42"/>
  <c r="Z194" i="42" s="1"/>
  <c r="AC194" i="42" s="1"/>
  <c r="Y65" i="42"/>
  <c r="Y118" i="42"/>
  <c r="AF118" i="42" s="1"/>
  <c r="AG118" i="42" s="1"/>
  <c r="AH118" i="42" s="1"/>
  <c r="Y170" i="42"/>
  <c r="AF170" i="42" s="1"/>
  <c r="AG170" i="42" s="1"/>
  <c r="AH170" i="42" s="1"/>
  <c r="Y214" i="42"/>
  <c r="Z214" i="42" s="1"/>
  <c r="AC214" i="42" s="1"/>
  <c r="Y209" i="42"/>
  <c r="AF209" i="42" s="1"/>
  <c r="AG209" i="42" s="1"/>
  <c r="AH209" i="42" s="1"/>
  <c r="Y38" i="42"/>
  <c r="Y5" i="42"/>
  <c r="Z5" i="42" s="1"/>
  <c r="Y34" i="42"/>
  <c r="AF34" i="42" s="1"/>
  <c r="AG34" i="42" s="1"/>
  <c r="AH34" i="42" s="1"/>
  <c r="Y37" i="42"/>
  <c r="Y184" i="42"/>
  <c r="AF184" i="42" s="1"/>
  <c r="AG184" i="42" s="1"/>
  <c r="AH184" i="42" s="1"/>
  <c r="Y176" i="42"/>
  <c r="AF176" i="42" s="1"/>
  <c r="AG176" i="42" s="1"/>
  <c r="AH176" i="42" s="1"/>
  <c r="Y36" i="42"/>
  <c r="AF36" i="42" s="1"/>
  <c r="AG36" i="42" s="1"/>
  <c r="AH36" i="42" s="1"/>
  <c r="Y87" i="41"/>
  <c r="Y83" i="43"/>
  <c r="AF83" i="43" s="1"/>
  <c r="AG83" i="43" s="1"/>
  <c r="AH83" i="43" s="1"/>
  <c r="Y97" i="41"/>
  <c r="Z97" i="41" s="1"/>
  <c r="AC97" i="41" s="1"/>
  <c r="Y92" i="40"/>
  <c r="Z92" i="40" s="1"/>
  <c r="AC92" i="40" s="1"/>
  <c r="Y92" i="43"/>
  <c r="AF252" i="43"/>
  <c r="AG252" i="43" s="1"/>
  <c r="AH252" i="43" s="1"/>
  <c r="Y82" i="42"/>
  <c r="AF82" i="42" s="1"/>
  <c r="AG82" i="42" s="1"/>
  <c r="AH82" i="42" s="1"/>
  <c r="Y85" i="43"/>
  <c r="AF85" i="43" s="1"/>
  <c r="AG85" i="43" s="1"/>
  <c r="AH85" i="43" s="1"/>
  <c r="Z264" i="42"/>
  <c r="AC264" i="42" s="1"/>
  <c r="AF264" i="42"/>
  <c r="AG264" i="42" s="1"/>
  <c r="AH264" i="42" s="1"/>
  <c r="Y16" i="42"/>
  <c r="AF16" i="42" s="1"/>
  <c r="AG16" i="42" s="1"/>
  <c r="AH16" i="42" s="1"/>
  <c r="Y12" i="41"/>
  <c r="AF12" i="41" s="1"/>
  <c r="AG12" i="41" s="1"/>
  <c r="AH12" i="41" s="1"/>
  <c r="Y7" i="43"/>
  <c r="Z7" i="43" s="1"/>
  <c r="AC7" i="43" s="1"/>
  <c r="Y100" i="38"/>
  <c r="Z100" i="38" s="1"/>
  <c r="AC100" i="38" s="1"/>
  <c r="Y100" i="40"/>
  <c r="Z100" i="40" s="1"/>
  <c r="AC100" i="40" s="1"/>
  <c r="Y91" i="42"/>
  <c r="Z91" i="42" s="1"/>
  <c r="AC91" i="42" s="1"/>
  <c r="AJ227" i="38"/>
  <c r="Y80" i="40"/>
  <c r="Z80" i="40" s="1"/>
  <c r="AC80" i="40" s="1"/>
  <c r="Y85" i="38"/>
  <c r="AF85" i="38" s="1"/>
  <c r="AG85" i="38" s="1"/>
  <c r="AH85" i="38" s="1"/>
  <c r="Y77" i="43"/>
  <c r="AF77" i="43" s="1"/>
  <c r="AG77" i="43" s="1"/>
  <c r="AH77" i="43" s="1"/>
  <c r="AF222" i="41"/>
  <c r="AG222" i="41" s="1"/>
  <c r="AH222" i="41" s="1"/>
  <c r="Z222" i="41"/>
  <c r="AC222" i="41" s="1"/>
  <c r="AI222" i="41" s="1"/>
  <c r="Z262" i="42"/>
  <c r="AC262" i="42" s="1"/>
  <c r="AI262" i="42" s="1"/>
  <c r="AF262" i="42"/>
  <c r="AG262" i="42" s="1"/>
  <c r="AH262" i="42" s="1"/>
  <c r="Z233" i="40"/>
  <c r="AC233" i="40" s="1"/>
  <c r="AF233" i="40"/>
  <c r="AG233" i="40" s="1"/>
  <c r="AH233" i="40" s="1"/>
  <c r="Y294" i="40"/>
  <c r="AF257" i="43"/>
  <c r="AG257" i="43" s="1"/>
  <c r="AH257" i="43" s="1"/>
  <c r="Z257" i="43"/>
  <c r="AF261" i="38"/>
  <c r="AG261" i="38" s="1"/>
  <c r="AH261" i="38" s="1"/>
  <c r="Z261" i="38"/>
  <c r="AC261" i="38" s="1"/>
  <c r="AI261" i="38" s="1"/>
  <c r="AR261" i="38" s="1"/>
  <c r="Z259" i="42"/>
  <c r="AC259" i="42" s="1"/>
  <c r="AI259" i="42" s="1"/>
  <c r="AF259" i="42"/>
  <c r="AG259" i="42" s="1"/>
  <c r="AH259" i="42" s="1"/>
  <c r="Y10" i="38"/>
  <c r="AF10" i="38" s="1"/>
  <c r="AG10" i="38" s="1"/>
  <c r="AH10" i="38" s="1"/>
  <c r="Y6" i="42"/>
  <c r="Z6" i="42" s="1"/>
  <c r="AC6" i="42" s="1"/>
  <c r="Y14" i="38"/>
  <c r="Z14" i="38" s="1"/>
  <c r="AC14" i="38" s="1"/>
  <c r="Y8" i="38"/>
  <c r="AF8" i="38" s="1"/>
  <c r="AG8" i="38" s="1"/>
  <c r="AH8" i="38" s="1"/>
  <c r="Y95" i="40"/>
  <c r="Z95" i="40" s="1"/>
  <c r="AC95" i="40" s="1"/>
  <c r="Y93" i="43"/>
  <c r="Z93" i="43" s="1"/>
  <c r="AC93" i="43" s="1"/>
  <c r="Y89" i="41"/>
  <c r="Z89" i="41" s="1"/>
  <c r="Y98" i="42"/>
  <c r="Y295" i="38"/>
  <c r="Z225" i="42"/>
  <c r="AC225" i="42" s="1"/>
  <c r="AL225" i="42" s="1"/>
  <c r="Y17" i="41"/>
  <c r="Z17" i="41" s="1"/>
  <c r="Y22" i="41"/>
  <c r="Y26" i="40"/>
  <c r="AF26" i="40" s="1"/>
  <c r="AG26" i="40" s="1"/>
  <c r="AH26" i="40" s="1"/>
  <c r="Y23" i="41"/>
  <c r="AF23" i="41" s="1"/>
  <c r="AG23" i="41" s="1"/>
  <c r="AH23" i="41" s="1"/>
  <c r="Y105" i="42"/>
  <c r="AF105" i="42" s="1"/>
  <c r="AG105" i="42" s="1"/>
  <c r="AH105" i="42" s="1"/>
  <c r="Y111" i="41"/>
  <c r="Y112" i="41"/>
  <c r="Z112" i="41" s="1"/>
  <c r="AC112" i="41" s="1"/>
  <c r="Y105" i="43"/>
  <c r="AF105" i="43" s="1"/>
  <c r="AG105" i="43" s="1"/>
  <c r="AH105" i="43" s="1"/>
  <c r="Y66" i="41"/>
  <c r="AF66" i="41" s="1"/>
  <c r="AG66" i="41" s="1"/>
  <c r="AH66" i="41" s="1"/>
  <c r="Y118" i="38"/>
  <c r="Y114" i="40"/>
  <c r="AF114" i="40" s="1"/>
  <c r="AG114" i="40" s="1"/>
  <c r="AH114" i="40" s="1"/>
  <c r="Y116" i="38"/>
  <c r="Z116" i="38" s="1"/>
  <c r="AC116" i="38" s="1"/>
  <c r="Y123" i="41"/>
  <c r="Z123" i="41" s="1"/>
  <c r="AC123" i="41" s="1"/>
  <c r="Y116" i="43"/>
  <c r="AF116" i="43" s="1"/>
  <c r="Y167" i="42"/>
  <c r="Z167" i="42" s="1"/>
  <c r="AC167" i="42" s="1"/>
  <c r="Y162" i="41"/>
  <c r="Z162" i="41" s="1"/>
  <c r="AC162" i="41" s="1"/>
  <c r="Y215" i="40"/>
  <c r="Z215" i="40" s="1"/>
  <c r="AC215" i="40" s="1"/>
  <c r="Y218" i="40"/>
  <c r="Z218" i="40" s="1"/>
  <c r="AC218" i="40" s="1"/>
  <c r="Y217" i="42"/>
  <c r="Z217" i="42" s="1"/>
  <c r="AC217" i="42" s="1"/>
  <c r="Y220" i="41"/>
  <c r="AF220" i="41" s="1"/>
  <c r="AG220" i="41" s="1"/>
  <c r="AH220" i="41" s="1"/>
  <c r="AJ228" i="38"/>
  <c r="AJ253" i="38"/>
  <c r="Y32" i="42"/>
  <c r="Z32" i="42" s="1"/>
  <c r="AC32" i="42" s="1"/>
  <c r="Y40" i="43"/>
  <c r="AF40" i="43" s="1"/>
  <c r="AG40" i="43" s="1"/>
  <c r="AH40" i="43" s="1"/>
  <c r="Y33" i="43"/>
  <c r="Z33" i="43" s="1"/>
  <c r="AC33" i="43" s="1"/>
  <c r="Y32" i="41"/>
  <c r="Y37" i="38"/>
  <c r="Y200" i="40"/>
  <c r="AF200" i="40" s="1"/>
  <c r="AG200" i="40" s="1"/>
  <c r="AH200" i="40" s="1"/>
  <c r="Y208" i="41"/>
  <c r="AF208" i="41" s="1"/>
  <c r="AG208" i="41" s="1"/>
  <c r="AH208" i="41" s="1"/>
  <c r="Y198" i="38"/>
  <c r="Z198" i="38" s="1"/>
  <c r="AC198" i="38" s="1"/>
  <c r="Y206" i="42"/>
  <c r="AF206" i="42" s="1"/>
  <c r="AG206" i="42" s="1"/>
  <c r="AH206" i="42" s="1"/>
  <c r="Y207" i="38"/>
  <c r="Z207" i="38" s="1"/>
  <c r="AC207" i="38" s="1"/>
  <c r="Y197" i="42"/>
  <c r="Z197" i="42" s="1"/>
  <c r="Y200" i="41"/>
  <c r="Y199" i="43"/>
  <c r="Z199" i="43" s="1"/>
  <c r="AC199" i="43" s="1"/>
  <c r="Y204" i="43"/>
  <c r="Z204" i="43" s="1"/>
  <c r="AC204" i="43" s="1"/>
  <c r="Y86" i="42"/>
  <c r="Z86" i="42" s="1"/>
  <c r="AC86" i="42" s="1"/>
  <c r="Y79" i="40"/>
  <c r="Z79" i="40" s="1"/>
  <c r="AC79" i="40" s="1"/>
  <c r="Y83" i="40"/>
  <c r="Z83" i="40" s="1"/>
  <c r="AC83" i="40" s="1"/>
  <c r="Y77" i="41"/>
  <c r="Z77" i="41" s="1"/>
  <c r="Y81" i="42"/>
  <c r="AF81" i="42" s="1"/>
  <c r="AG81" i="42" s="1"/>
  <c r="AH81" i="42" s="1"/>
  <c r="Y77" i="40"/>
  <c r="AF77" i="40" s="1"/>
  <c r="AG77" i="40" s="1"/>
  <c r="AH77" i="40" s="1"/>
  <c r="Y88" i="38"/>
  <c r="AF88" i="38" s="1"/>
  <c r="AG88" i="38" s="1"/>
  <c r="AH88" i="38" s="1"/>
  <c r="Y78" i="43"/>
  <c r="AF78" i="43" s="1"/>
  <c r="AG78" i="43" s="1"/>
  <c r="AH78" i="43" s="1"/>
  <c r="Y79" i="43"/>
  <c r="Z79" i="43" s="1"/>
  <c r="AC79" i="43" s="1"/>
  <c r="Y175" i="38"/>
  <c r="AF175" i="38" s="1"/>
  <c r="AG175" i="38" s="1"/>
  <c r="AH175" i="38" s="1"/>
  <c r="Y176" i="38"/>
  <c r="AF176" i="38" s="1"/>
  <c r="AG176" i="38" s="1"/>
  <c r="AH176" i="38" s="1"/>
  <c r="Y183" i="41"/>
  <c r="AF183" i="41" s="1"/>
  <c r="AG183" i="41" s="1"/>
  <c r="AH183" i="41" s="1"/>
  <c r="Y18" i="41"/>
  <c r="AF18" i="41" s="1"/>
  <c r="AG18" i="41" s="1"/>
  <c r="AH18" i="41" s="1"/>
  <c r="Y17" i="38"/>
  <c r="Z17" i="38" s="1"/>
  <c r="Y23" i="42"/>
  <c r="AF23" i="42" s="1"/>
  <c r="AG23" i="42" s="1"/>
  <c r="AH23" i="42" s="1"/>
  <c r="Y20" i="42"/>
  <c r="AF20" i="42" s="1"/>
  <c r="AG20" i="42" s="1"/>
  <c r="AH20" i="42" s="1"/>
  <c r="Y28" i="41"/>
  <c r="AF28" i="41" s="1"/>
  <c r="AG28" i="41" s="1"/>
  <c r="AH28" i="41" s="1"/>
  <c r="Y20" i="40"/>
  <c r="Y18" i="43"/>
  <c r="Z18" i="43" s="1"/>
  <c r="AC18" i="43" s="1"/>
  <c r="Y112" i="42"/>
  <c r="Z112" i="42" s="1"/>
  <c r="AC112" i="42" s="1"/>
  <c r="Y101" i="38"/>
  <c r="AF101" i="38" s="1"/>
  <c r="AG101" i="38" s="1"/>
  <c r="AH101" i="38" s="1"/>
  <c r="Y73" i="40"/>
  <c r="Y71" i="38"/>
  <c r="Y68" i="41"/>
  <c r="AF68" i="41" s="1"/>
  <c r="AG68" i="41" s="1"/>
  <c r="AH68" i="41" s="1"/>
  <c r="Y69" i="43"/>
  <c r="AF69" i="43" s="1"/>
  <c r="AG69" i="43" s="1"/>
  <c r="AH69" i="43" s="1"/>
  <c r="Y117" i="41"/>
  <c r="Z117" i="41" s="1"/>
  <c r="AC117" i="41" s="1"/>
  <c r="Y119" i="41"/>
  <c r="Z119" i="41" s="1"/>
  <c r="AC119" i="41" s="1"/>
  <c r="Y124" i="38"/>
  <c r="Z124" i="38" s="1"/>
  <c r="AC124" i="38" s="1"/>
  <c r="Y113" i="42"/>
  <c r="Z113" i="42" s="1"/>
  <c r="Y170" i="40"/>
  <c r="Y164" i="40"/>
  <c r="Z164" i="40" s="1"/>
  <c r="AC164" i="40" s="1"/>
  <c r="Y162" i="38"/>
  <c r="Z162" i="38" s="1"/>
  <c r="AC162" i="38" s="1"/>
  <c r="Y171" i="41"/>
  <c r="Z171" i="41" s="1"/>
  <c r="AC171" i="41" s="1"/>
  <c r="Y169" i="42"/>
  <c r="AF169" i="42" s="1"/>
  <c r="AG169" i="42" s="1"/>
  <c r="AH169" i="42" s="1"/>
  <c r="Y169" i="43"/>
  <c r="AF169" i="43" s="1"/>
  <c r="AG169" i="43" s="1"/>
  <c r="AH169" i="43" s="1"/>
  <c r="Y214" i="40"/>
  <c r="AF214" i="40" s="1"/>
  <c r="AG214" i="40" s="1"/>
  <c r="AH214" i="40" s="1"/>
  <c r="Y217" i="38"/>
  <c r="Z217" i="38" s="1"/>
  <c r="AC217" i="38" s="1"/>
  <c r="Y220" i="42"/>
  <c r="Z220" i="42" s="1"/>
  <c r="AC220" i="42" s="1"/>
  <c r="Y212" i="43"/>
  <c r="Z212" i="43" s="1"/>
  <c r="AC212" i="43" s="1"/>
  <c r="Y47" i="38"/>
  <c r="Z47" i="38" s="1"/>
  <c r="AC47" i="38" s="1"/>
  <c r="Y41" i="40"/>
  <c r="Z41" i="40" s="1"/>
  <c r="Y49" i="40"/>
  <c r="Y51" i="42"/>
  <c r="AF51" i="42" s="1"/>
  <c r="AG51" i="42" s="1"/>
  <c r="AH51" i="42" s="1"/>
  <c r="Y50" i="40"/>
  <c r="Z50" i="40" s="1"/>
  <c r="AC50" i="40" s="1"/>
  <c r="Y44" i="40"/>
  <c r="Z44" i="40" s="1"/>
  <c r="AC44" i="40" s="1"/>
  <c r="Y48" i="38"/>
  <c r="Y50" i="43"/>
  <c r="AF50" i="43" s="1"/>
  <c r="AG50" i="43" s="1"/>
  <c r="AH50" i="43" s="1"/>
  <c r="Y42" i="41"/>
  <c r="Z42" i="41" s="1"/>
  <c r="AC42" i="41" s="1"/>
  <c r="Y41" i="43"/>
  <c r="Z41" i="43" s="1"/>
  <c r="Y47" i="41"/>
  <c r="Y44" i="42"/>
  <c r="AF44" i="42" s="1"/>
  <c r="AG44" i="42" s="1"/>
  <c r="AH44" i="42" s="1"/>
  <c r="Y42" i="43"/>
  <c r="AF42" i="43" s="1"/>
  <c r="AG42" i="43" s="1"/>
  <c r="AH42" i="43" s="1"/>
  <c r="Y45" i="43"/>
  <c r="Z45" i="43" s="1"/>
  <c r="AC45" i="43" s="1"/>
  <c r="Y152" i="41"/>
  <c r="Y160" i="38"/>
  <c r="AF160" i="38" s="1"/>
  <c r="AG160" i="38" s="1"/>
  <c r="AH160" i="38" s="1"/>
  <c r="Y156" i="40"/>
  <c r="Z156" i="40" s="1"/>
  <c r="AC156" i="40" s="1"/>
  <c r="Y150" i="42"/>
  <c r="AF150" i="42" s="1"/>
  <c r="AG150" i="42" s="1"/>
  <c r="AH150" i="42" s="1"/>
  <c r="Y156" i="41"/>
  <c r="Y149" i="42"/>
  <c r="Z149" i="42" s="1"/>
  <c r="Y157" i="40"/>
  <c r="Z157" i="40" s="1"/>
  <c r="AC157" i="40" s="1"/>
  <c r="Y157" i="38"/>
  <c r="AF157" i="38" s="1"/>
  <c r="AG157" i="38" s="1"/>
  <c r="AH157" i="38" s="1"/>
  <c r="Y150" i="41"/>
  <c r="Y155" i="43"/>
  <c r="AF155" i="43" s="1"/>
  <c r="AG155" i="43" s="1"/>
  <c r="AH155" i="43" s="1"/>
  <c r="Y152" i="43"/>
  <c r="AF152" i="43" s="1"/>
  <c r="AG152" i="43" s="1"/>
  <c r="AH152" i="43" s="1"/>
  <c r="Y157" i="43"/>
  <c r="AF157" i="43" s="1"/>
  <c r="AG157" i="43" s="1"/>
  <c r="AH157" i="43" s="1"/>
  <c r="Y295" i="42"/>
  <c r="J273" i="36"/>
  <c r="Y39" i="38"/>
  <c r="AF39" i="38" s="1"/>
  <c r="AG39" i="38" s="1"/>
  <c r="AH39" i="38" s="1"/>
  <c r="Y40" i="40"/>
  <c r="AF40" i="40" s="1"/>
  <c r="AG40" i="40" s="1"/>
  <c r="AH40" i="40" s="1"/>
  <c r="Y33" i="38"/>
  <c r="Y37" i="41"/>
  <c r="Y199" i="42"/>
  <c r="AF199" i="42" s="1"/>
  <c r="AG199" i="42" s="1"/>
  <c r="AH199" i="42" s="1"/>
  <c r="Y199" i="41"/>
  <c r="Z199" i="41" s="1"/>
  <c r="AC199" i="41" s="1"/>
  <c r="Y205" i="42"/>
  <c r="AF205" i="42" s="1"/>
  <c r="AG205" i="42" s="1"/>
  <c r="AH205" i="42" s="1"/>
  <c r="Y207" i="41"/>
  <c r="Z207" i="41" s="1"/>
  <c r="AC207" i="41" s="1"/>
  <c r="Y205" i="43"/>
  <c r="Z205" i="43" s="1"/>
  <c r="AC205" i="43" s="1"/>
  <c r="Y198" i="43"/>
  <c r="Z198" i="43" s="1"/>
  <c r="AC198" i="43" s="1"/>
  <c r="Y99" i="41"/>
  <c r="AF99" i="41" s="1"/>
  <c r="AG99" i="41" s="1"/>
  <c r="AH99" i="41" s="1"/>
  <c r="Y89" i="43"/>
  <c r="Z89" i="43" s="1"/>
  <c r="Y90" i="42"/>
  <c r="AF90" i="42" s="1"/>
  <c r="AG90" i="42" s="1"/>
  <c r="AH90" i="42" s="1"/>
  <c r="Y99" i="40"/>
  <c r="Z99" i="40" s="1"/>
  <c r="AC99" i="40" s="1"/>
  <c r="Y148" i="40"/>
  <c r="Z148" i="40" s="1"/>
  <c r="AC148" i="40" s="1"/>
  <c r="Y138" i="38"/>
  <c r="AF138" i="38" s="1"/>
  <c r="AG138" i="38" s="1"/>
  <c r="AH138" i="38" s="1"/>
  <c r="Y148" i="41"/>
  <c r="AF148" i="41" s="1"/>
  <c r="AG148" i="41" s="1"/>
  <c r="AH148" i="41" s="1"/>
  <c r="Y140" i="40"/>
  <c r="AF140" i="40" s="1"/>
  <c r="AG140" i="40" s="1"/>
  <c r="AH140" i="40" s="1"/>
  <c r="Y141" i="43"/>
  <c r="Y27" i="41"/>
  <c r="AF27" i="41" s="1"/>
  <c r="AG27" i="41" s="1"/>
  <c r="AH27" i="41" s="1"/>
  <c r="AJ238" i="38"/>
  <c r="Y108" i="38"/>
  <c r="Z108" i="38" s="1"/>
  <c r="AC108" i="38" s="1"/>
  <c r="Y104" i="42"/>
  <c r="Y112" i="43"/>
  <c r="AF112" i="43" s="1"/>
  <c r="AG112" i="43" s="1"/>
  <c r="AH112" i="43" s="1"/>
  <c r="Y134" i="41"/>
  <c r="Z134" i="41" s="1"/>
  <c r="AC134" i="41" s="1"/>
  <c r="Y128" i="40"/>
  <c r="AF128" i="40" s="1"/>
  <c r="AG128" i="40" s="1"/>
  <c r="AH128" i="40" s="1"/>
  <c r="Y130" i="41"/>
  <c r="Y132" i="40"/>
  <c r="AF132" i="40" s="1"/>
  <c r="AG132" i="40" s="1"/>
  <c r="AH132" i="40" s="1"/>
  <c r="Y130" i="38"/>
  <c r="AF130" i="38" s="1"/>
  <c r="AG130" i="38" s="1"/>
  <c r="AH130" i="38" s="1"/>
  <c r="Y127" i="42"/>
  <c r="Z127" i="42" s="1"/>
  <c r="AC127" i="42" s="1"/>
  <c r="Y130" i="43"/>
  <c r="AF130" i="43" s="1"/>
  <c r="AG130" i="43" s="1"/>
  <c r="AH130" i="43" s="1"/>
  <c r="Y133" i="38"/>
  <c r="Z133" i="38" s="1"/>
  <c r="AC133" i="38" s="1"/>
  <c r="Y136" i="41"/>
  <c r="AF136" i="41" s="1"/>
  <c r="AG136" i="41" s="1"/>
  <c r="AH136" i="41" s="1"/>
  <c r="Y134" i="43"/>
  <c r="AF134" i="43" s="1"/>
  <c r="AG134" i="43" s="1"/>
  <c r="AH134" i="43" s="1"/>
  <c r="Y133" i="43"/>
  <c r="Z133" i="43" s="1"/>
  <c r="AC133" i="43" s="1"/>
  <c r="Y186" i="40"/>
  <c r="AF186" i="40" s="1"/>
  <c r="AG186" i="40" s="1"/>
  <c r="AH186" i="40" s="1"/>
  <c r="Y185" i="38"/>
  <c r="AF185" i="38" s="1"/>
  <c r="AG185" i="38" s="1"/>
  <c r="AH185" i="38" s="1"/>
  <c r="Y186" i="42"/>
  <c r="Z186" i="42" s="1"/>
  <c r="AC186" i="42" s="1"/>
  <c r="Y186" i="38"/>
  <c r="AF186" i="38" s="1"/>
  <c r="AG186" i="38" s="1"/>
  <c r="AH186" i="38" s="1"/>
  <c r="Y196" i="43"/>
  <c r="AF196" i="43" s="1"/>
  <c r="AG196" i="43" s="1"/>
  <c r="AH196" i="43" s="1"/>
  <c r="Y192" i="38"/>
  <c r="Z192" i="38" s="1"/>
  <c r="AC192" i="38" s="1"/>
  <c r="Y192" i="42"/>
  <c r="Z192" i="42" s="1"/>
  <c r="AC192" i="42" s="1"/>
  <c r="Y194" i="40"/>
  <c r="Z194" i="40" s="1"/>
  <c r="AC194" i="40" s="1"/>
  <c r="Y189" i="42"/>
  <c r="Z189" i="42" s="1"/>
  <c r="AC189" i="42" s="1"/>
  <c r="Y195" i="43"/>
  <c r="AF195" i="43" s="1"/>
  <c r="AG195" i="43" s="1"/>
  <c r="AH195" i="43" s="1"/>
  <c r="J275" i="36"/>
  <c r="Y62" i="38"/>
  <c r="Z62" i="38" s="1"/>
  <c r="AC62" i="38" s="1"/>
  <c r="Y55" i="38"/>
  <c r="AF55" i="38" s="1"/>
  <c r="AG55" i="38" s="1"/>
  <c r="AH55" i="38" s="1"/>
  <c r="Y53" i="40"/>
  <c r="Z53" i="40" s="1"/>
  <c r="Y63" i="42"/>
  <c r="Z63" i="42" s="1"/>
  <c r="AC63" i="42" s="1"/>
  <c r="Y54" i="38"/>
  <c r="Z54" i="38" s="1"/>
  <c r="AC54" i="38" s="1"/>
  <c r="Y56" i="42"/>
  <c r="Z56" i="42" s="1"/>
  <c r="AC56" i="42" s="1"/>
  <c r="Y57" i="40"/>
  <c r="Z57" i="40" s="1"/>
  <c r="AC57" i="40" s="1"/>
  <c r="Y57" i="41"/>
  <c r="Z57" i="41" s="1"/>
  <c r="AC57" i="41" s="1"/>
  <c r="Y56" i="41"/>
  <c r="AF56" i="41" s="1"/>
  <c r="AG56" i="41" s="1"/>
  <c r="AH56" i="41" s="1"/>
  <c r="Y61" i="42"/>
  <c r="Z61" i="42" s="1"/>
  <c r="AC61" i="42" s="1"/>
  <c r="Y55" i="43"/>
  <c r="AF55" i="43" s="1"/>
  <c r="AG55" i="43" s="1"/>
  <c r="AH55" i="43" s="1"/>
  <c r="Y70" i="41"/>
  <c r="AF70" i="41" s="1"/>
  <c r="AG70" i="41" s="1"/>
  <c r="AH70" i="41" s="1"/>
  <c r="Y69" i="40"/>
  <c r="Y71" i="40"/>
  <c r="Z71" i="40" s="1"/>
  <c r="AC71" i="40" s="1"/>
  <c r="Y69" i="41"/>
  <c r="AF69" i="41" s="1"/>
  <c r="AG69" i="41" s="1"/>
  <c r="AH69" i="41" s="1"/>
  <c r="Y68" i="43"/>
  <c r="AF68" i="43" s="1"/>
  <c r="AG68" i="43" s="1"/>
  <c r="AH68" i="43" s="1"/>
  <c r="Y117" i="42"/>
  <c r="Z117" i="42" s="1"/>
  <c r="AC117" i="42" s="1"/>
  <c r="Y114" i="38"/>
  <c r="AF114" i="38" s="1"/>
  <c r="AG114" i="38" s="1"/>
  <c r="AH114" i="38" s="1"/>
  <c r="Y118" i="41"/>
  <c r="Z118" i="41" s="1"/>
  <c r="AC118" i="41" s="1"/>
  <c r="Y118" i="43"/>
  <c r="Z118" i="43" s="1"/>
  <c r="AC118" i="43" s="1"/>
  <c r="Y161" i="41"/>
  <c r="Z161" i="41" s="1"/>
  <c r="Y170" i="43"/>
  <c r="Z170" i="43" s="1"/>
  <c r="AC170" i="43" s="1"/>
  <c r="Y213" i="40"/>
  <c r="AF213" i="40" s="1"/>
  <c r="AG213" i="40" s="1"/>
  <c r="AH213" i="40" s="1"/>
  <c r="Y219" i="41"/>
  <c r="AF219" i="41" s="1"/>
  <c r="AG219" i="41" s="1"/>
  <c r="AH219" i="41" s="1"/>
  <c r="Y220" i="40"/>
  <c r="AF220" i="40" s="1"/>
  <c r="AG220" i="40" s="1"/>
  <c r="AH220" i="40" s="1"/>
  <c r="Y218" i="41"/>
  <c r="AF218" i="41" s="1"/>
  <c r="AG218" i="41" s="1"/>
  <c r="AH218" i="41" s="1"/>
  <c r="Y218" i="42"/>
  <c r="Z218" i="42" s="1"/>
  <c r="AC218" i="42" s="1"/>
  <c r="Y210" i="43"/>
  <c r="AF210" i="43" s="1"/>
  <c r="AG210" i="43" s="1"/>
  <c r="AH210" i="43" s="1"/>
  <c r="Y43" i="40"/>
  <c r="Y42" i="38"/>
  <c r="Z42" i="38" s="1"/>
  <c r="AC42" i="38" s="1"/>
  <c r="Y43" i="38"/>
  <c r="AF43" i="38" s="1"/>
  <c r="AG43" i="38" s="1"/>
  <c r="AH43" i="38" s="1"/>
  <c r="Y41" i="42"/>
  <c r="Z41" i="42" s="1"/>
  <c r="Y43" i="41"/>
  <c r="AF43" i="41" s="1"/>
  <c r="AG43" i="41" s="1"/>
  <c r="AH43" i="41" s="1"/>
  <c r="Y47" i="42"/>
  <c r="Z47" i="42" s="1"/>
  <c r="AC47" i="42" s="1"/>
  <c r="Y48" i="43"/>
  <c r="AF48" i="43" s="1"/>
  <c r="AG48" i="43" s="1"/>
  <c r="AH48" i="43" s="1"/>
  <c r="Y157" i="42"/>
  <c r="Z157" i="42" s="1"/>
  <c r="AC157" i="42" s="1"/>
  <c r="Y155" i="41"/>
  <c r="Y155" i="40"/>
  <c r="AF155" i="40" s="1"/>
  <c r="AG155" i="40" s="1"/>
  <c r="AH155" i="40" s="1"/>
  <c r="Y160" i="41"/>
  <c r="AF160" i="41" s="1"/>
  <c r="AG160" i="41" s="1"/>
  <c r="AH160" i="41" s="1"/>
  <c r="Y151" i="38"/>
  <c r="AF151" i="38" s="1"/>
  <c r="AG151" i="38" s="1"/>
  <c r="AH151" i="38" s="1"/>
  <c r="Y152" i="42"/>
  <c r="Z152" i="42" s="1"/>
  <c r="AC152" i="42" s="1"/>
  <c r="Y149" i="43"/>
  <c r="AF149" i="43" s="1"/>
  <c r="AG149" i="43" s="1"/>
  <c r="AH149" i="43" s="1"/>
  <c r="Y40" i="41"/>
  <c r="Z40" i="41" s="1"/>
  <c r="AC40" i="41" s="1"/>
  <c r="Y38" i="43"/>
  <c r="Z38" i="43" s="1"/>
  <c r="AC38" i="43" s="1"/>
  <c r="AJ224" i="38"/>
  <c r="Z15" i="38"/>
  <c r="AC15" i="38" s="1"/>
  <c r="AF15" i="38"/>
  <c r="AG15" i="38" s="1"/>
  <c r="AH15" i="38" s="1"/>
  <c r="AF15" i="41"/>
  <c r="AG15" i="41" s="1"/>
  <c r="AH15" i="41" s="1"/>
  <c r="Z15" i="41"/>
  <c r="AC15" i="41" s="1"/>
  <c r="Z13" i="38"/>
  <c r="AC13" i="38" s="1"/>
  <c r="AF13" i="38"/>
  <c r="AG13" i="38" s="1"/>
  <c r="AH13" i="38" s="1"/>
  <c r="AF12" i="40"/>
  <c r="AG12" i="40" s="1"/>
  <c r="AH12" i="40" s="1"/>
  <c r="Z12" i="40"/>
  <c r="AC12" i="40" s="1"/>
  <c r="AF8" i="41"/>
  <c r="AG8" i="41" s="1"/>
  <c r="AH8" i="41" s="1"/>
  <c r="Z8" i="41"/>
  <c r="AC8" i="41" s="1"/>
  <c r="Z11" i="40"/>
  <c r="AC11" i="40" s="1"/>
  <c r="AF11" i="40"/>
  <c r="AG11" i="40" s="1"/>
  <c r="AH11" i="40" s="1"/>
  <c r="AF9" i="42"/>
  <c r="AG9" i="42" s="1"/>
  <c r="AH9" i="42" s="1"/>
  <c r="Z9" i="42"/>
  <c r="AC9" i="42" s="1"/>
  <c r="AF11" i="43"/>
  <c r="AG11" i="43" s="1"/>
  <c r="AH11" i="43" s="1"/>
  <c r="Z11" i="43"/>
  <c r="AC11" i="43" s="1"/>
  <c r="AC41" i="36"/>
  <c r="AE41" i="36" s="1"/>
  <c r="AF41" i="36" s="1"/>
  <c r="U41" i="36"/>
  <c r="V41" i="36" s="1"/>
  <c r="AC39" i="36"/>
  <c r="U39" i="36"/>
  <c r="AF264" i="43"/>
  <c r="AG264" i="43" s="1"/>
  <c r="AH264" i="43" s="1"/>
  <c r="Z264" i="43"/>
  <c r="AC264" i="43" s="1"/>
  <c r="Z257" i="38"/>
  <c r="Y296" i="38"/>
  <c r="AF257" i="38"/>
  <c r="AG257" i="38" s="1"/>
  <c r="AH257" i="38" s="1"/>
  <c r="AF93" i="41"/>
  <c r="AG93" i="41" s="1"/>
  <c r="AH93" i="41" s="1"/>
  <c r="Z93" i="41"/>
  <c r="AC93" i="41" s="1"/>
  <c r="Z94" i="40"/>
  <c r="AC94" i="40" s="1"/>
  <c r="AF94" i="40"/>
  <c r="AG94" i="40" s="1"/>
  <c r="AH94" i="40" s="1"/>
  <c r="AF89" i="42"/>
  <c r="AG89" i="42" s="1"/>
  <c r="AH89" i="42" s="1"/>
  <c r="AF100" i="42"/>
  <c r="AG100" i="42" s="1"/>
  <c r="AH100" i="42" s="1"/>
  <c r="Z100" i="42"/>
  <c r="AC100" i="42" s="1"/>
  <c r="AF100" i="38"/>
  <c r="AG100" i="38" s="1"/>
  <c r="AH100" i="38" s="1"/>
  <c r="AF98" i="43"/>
  <c r="AG98" i="43" s="1"/>
  <c r="AH98" i="43" s="1"/>
  <c r="Z98" i="43"/>
  <c r="AC98" i="43" s="1"/>
  <c r="AF91" i="41"/>
  <c r="AG91" i="41" s="1"/>
  <c r="AH91" i="41" s="1"/>
  <c r="Z91" i="41"/>
  <c r="AC91" i="41" s="1"/>
  <c r="AF99" i="43"/>
  <c r="AG99" i="43" s="1"/>
  <c r="AH99" i="43" s="1"/>
  <c r="Z99" i="43"/>
  <c r="AC99" i="43" s="1"/>
  <c r="AC179" i="36"/>
  <c r="AE179" i="36" s="1"/>
  <c r="AF179" i="36" s="1"/>
  <c r="U179" i="36"/>
  <c r="AI235" i="43"/>
  <c r="AJ235" i="43" s="1"/>
  <c r="AI238" i="40"/>
  <c r="AL238" i="40"/>
  <c r="Z256" i="42"/>
  <c r="AC256" i="42" s="1"/>
  <c r="AF256" i="42"/>
  <c r="AG256" i="42" s="1"/>
  <c r="AH256" i="42" s="1"/>
  <c r="Z256" i="40"/>
  <c r="AC256" i="40" s="1"/>
  <c r="AF256" i="40"/>
  <c r="AG256" i="40" s="1"/>
  <c r="AH256" i="40" s="1"/>
  <c r="S16" i="17"/>
  <c r="AF263" i="43"/>
  <c r="AG263" i="43" s="1"/>
  <c r="AH263" i="43" s="1"/>
  <c r="Z263" i="43"/>
  <c r="AC263" i="43" s="1"/>
  <c r="AR263" i="38"/>
  <c r="AK263" i="38"/>
  <c r="AC124" i="36"/>
  <c r="AE124" i="36" s="1"/>
  <c r="AF124" i="36" s="1"/>
  <c r="U124" i="36"/>
  <c r="V124" i="36" s="1"/>
  <c r="AC126" i="36"/>
  <c r="AE126" i="36" s="1"/>
  <c r="AF126" i="36" s="1"/>
  <c r="U126" i="36"/>
  <c r="V126" i="36" s="1"/>
  <c r="AI242" i="43"/>
  <c r="AJ242" i="43" s="1"/>
  <c r="S27" i="2"/>
  <c r="AF138" i="40"/>
  <c r="AG138" i="40" s="1"/>
  <c r="AH138" i="40" s="1"/>
  <c r="Z138" i="40"/>
  <c r="AC138" i="40" s="1"/>
  <c r="AF138" i="41"/>
  <c r="AG138" i="41" s="1"/>
  <c r="AH138" i="41" s="1"/>
  <c r="Z138" i="41"/>
  <c r="AC138" i="41" s="1"/>
  <c r="AF148" i="38"/>
  <c r="AG148" i="38" s="1"/>
  <c r="AH148" i="38" s="1"/>
  <c r="Z148" i="38"/>
  <c r="AC148" i="38" s="1"/>
  <c r="Z138" i="38"/>
  <c r="AC138" i="38" s="1"/>
  <c r="Z145" i="41"/>
  <c r="AC145" i="41" s="1"/>
  <c r="AF145" i="41"/>
  <c r="AG145" i="41" s="1"/>
  <c r="AH145" i="41" s="1"/>
  <c r="AF137" i="43"/>
  <c r="AG137" i="43" s="1"/>
  <c r="AH137" i="43" s="1"/>
  <c r="Z137" i="43"/>
  <c r="Z26" i="38"/>
  <c r="AC26" i="38" s="1"/>
  <c r="AF26" i="38"/>
  <c r="AG26" i="38" s="1"/>
  <c r="AH26" i="38" s="1"/>
  <c r="Z18" i="42"/>
  <c r="AC18" i="42" s="1"/>
  <c r="AF18" i="42"/>
  <c r="AG18" i="42" s="1"/>
  <c r="AH18" i="42" s="1"/>
  <c r="Z18" i="40"/>
  <c r="AC18" i="40" s="1"/>
  <c r="AF18" i="40"/>
  <c r="AG18" i="40" s="1"/>
  <c r="AH18" i="40" s="1"/>
  <c r="AF22" i="40"/>
  <c r="AG22" i="40" s="1"/>
  <c r="AH22" i="40" s="1"/>
  <c r="Z22" i="40"/>
  <c r="AC22" i="40" s="1"/>
  <c r="Z20" i="38"/>
  <c r="AC20" i="38" s="1"/>
  <c r="AF20" i="38"/>
  <c r="AG20" i="38" s="1"/>
  <c r="AH20" i="38" s="1"/>
  <c r="AF27" i="42"/>
  <c r="AG27" i="42" s="1"/>
  <c r="AH27" i="42" s="1"/>
  <c r="Z27" i="42"/>
  <c r="AC27" i="42" s="1"/>
  <c r="Z27" i="43"/>
  <c r="AC27" i="43" s="1"/>
  <c r="AF27" i="43"/>
  <c r="AG27" i="43" s="1"/>
  <c r="AH27" i="43" s="1"/>
  <c r="AC188" i="36"/>
  <c r="AE188" i="36" s="1"/>
  <c r="AF188" i="36" s="1"/>
  <c r="U188" i="36"/>
  <c r="V188" i="36" s="1"/>
  <c r="AC56" i="36"/>
  <c r="AE56" i="36" s="1"/>
  <c r="AF56" i="36" s="1"/>
  <c r="U56" i="36"/>
  <c r="V56" i="36" s="1"/>
  <c r="AC51" i="36"/>
  <c r="U51" i="36"/>
  <c r="AC155" i="36"/>
  <c r="AE155" i="36" s="1"/>
  <c r="AF155" i="36" s="1"/>
  <c r="U155" i="36"/>
  <c r="AI265" i="42"/>
  <c r="AR265" i="42" s="1"/>
  <c r="AI261" i="40"/>
  <c r="AL261" i="40"/>
  <c r="AI240" i="41"/>
  <c r="AJ240" i="41" s="1"/>
  <c r="AL240" i="41"/>
  <c r="J279" i="36"/>
  <c r="AF108" i="41"/>
  <c r="AG108" i="41" s="1"/>
  <c r="AH108" i="41" s="1"/>
  <c r="Z108" i="41"/>
  <c r="AC108" i="41" s="1"/>
  <c r="AF106" i="38"/>
  <c r="AG106" i="38" s="1"/>
  <c r="AH106" i="38" s="1"/>
  <c r="Z106" i="38"/>
  <c r="AC106" i="38" s="1"/>
  <c r="AF111" i="40"/>
  <c r="AG111" i="40" s="1"/>
  <c r="AH111" i="40" s="1"/>
  <c r="Z111" i="40"/>
  <c r="AC111" i="40" s="1"/>
  <c r="AF107" i="40"/>
  <c r="AG107" i="40" s="1"/>
  <c r="AH107" i="40" s="1"/>
  <c r="Z107" i="40"/>
  <c r="AC107" i="40" s="1"/>
  <c r="Z106" i="41"/>
  <c r="AC106" i="41" s="1"/>
  <c r="AF106" i="41"/>
  <c r="AG106" i="41" s="1"/>
  <c r="AH106" i="41" s="1"/>
  <c r="Z102" i="38"/>
  <c r="AC102" i="38" s="1"/>
  <c r="AF102" i="38"/>
  <c r="AG102" i="38" s="1"/>
  <c r="AH102" i="38" s="1"/>
  <c r="AF102" i="43"/>
  <c r="AG102" i="43" s="1"/>
  <c r="AH102" i="43" s="1"/>
  <c r="Z102" i="43"/>
  <c r="AC102" i="43" s="1"/>
  <c r="AI251" i="40"/>
  <c r="AJ251" i="40" s="1"/>
  <c r="AL251" i="40"/>
  <c r="AC10" i="36"/>
  <c r="U10" i="36"/>
  <c r="V10" i="36" s="1"/>
  <c r="Y125" i="41"/>
  <c r="Z130" i="38"/>
  <c r="AC130" i="38" s="1"/>
  <c r="Z130" i="43"/>
  <c r="AC130" i="43" s="1"/>
  <c r="AF133" i="38"/>
  <c r="AG133" i="38" s="1"/>
  <c r="AH133" i="38" s="1"/>
  <c r="Y131" i="42"/>
  <c r="AI225" i="41"/>
  <c r="AJ225" i="41" s="1"/>
  <c r="AL225" i="41"/>
  <c r="AI226" i="40"/>
  <c r="AJ226" i="40" s="1"/>
  <c r="AC80" i="36"/>
  <c r="AE80" i="36" s="1"/>
  <c r="AF80" i="36" s="1"/>
  <c r="U80" i="36"/>
  <c r="V80" i="36" s="1"/>
  <c r="T26" i="8"/>
  <c r="Y26" i="8"/>
  <c r="Z26" i="8"/>
  <c r="Z185" i="38"/>
  <c r="Y191" i="42"/>
  <c r="Z196" i="43"/>
  <c r="AC196" i="43" s="1"/>
  <c r="Y195" i="41"/>
  <c r="Z55" i="38"/>
  <c r="AC55" i="38" s="1"/>
  <c r="AF57" i="40"/>
  <c r="AG57" i="40" s="1"/>
  <c r="AH57" i="40" s="1"/>
  <c r="Y58" i="42"/>
  <c r="AC141" i="36"/>
  <c r="AE141" i="36" s="1"/>
  <c r="AF141" i="36" s="1"/>
  <c r="U141" i="36"/>
  <c r="V141" i="36" s="1"/>
  <c r="AC137" i="36"/>
  <c r="AE137" i="36" s="1"/>
  <c r="AF137" i="36" s="1"/>
  <c r="U137" i="36"/>
  <c r="Z66" i="40"/>
  <c r="AC66" i="40" s="1"/>
  <c r="AF66" i="40"/>
  <c r="AG66" i="40" s="1"/>
  <c r="AH66" i="40" s="1"/>
  <c r="AF69" i="42"/>
  <c r="AG69" i="42" s="1"/>
  <c r="AH69" i="42" s="1"/>
  <c r="Z69" i="42"/>
  <c r="AC69" i="42" s="1"/>
  <c r="Z69" i="41"/>
  <c r="AC69" i="41" s="1"/>
  <c r="Z116" i="41"/>
  <c r="AC116" i="41" s="1"/>
  <c r="AF116" i="41"/>
  <c r="AF124" i="41"/>
  <c r="Z124" i="41"/>
  <c r="AC124" i="41" s="1"/>
  <c r="AF119" i="38"/>
  <c r="AG119" i="38" s="1"/>
  <c r="AH119" i="38" s="1"/>
  <c r="Z119" i="38"/>
  <c r="AC119" i="38" s="1"/>
  <c r="AF121" i="40"/>
  <c r="AG121" i="40" s="1"/>
  <c r="AH121" i="40" s="1"/>
  <c r="Z121" i="40"/>
  <c r="AC121" i="40" s="1"/>
  <c r="AF124" i="42"/>
  <c r="AG124" i="42" s="1"/>
  <c r="AH124" i="42" s="1"/>
  <c r="Z124" i="42"/>
  <c r="AC124" i="42" s="1"/>
  <c r="Z123" i="43"/>
  <c r="AC123" i="43" s="1"/>
  <c r="AF123" i="43"/>
  <c r="Z166" i="38"/>
  <c r="AC166" i="38" s="1"/>
  <c r="AF166" i="38"/>
  <c r="AG166" i="38" s="1"/>
  <c r="AH166" i="38" s="1"/>
  <c r="Z166" i="41"/>
  <c r="AC166" i="41" s="1"/>
  <c r="AF166" i="41"/>
  <c r="AG166" i="41" s="1"/>
  <c r="AH166" i="41" s="1"/>
  <c r="Z164" i="38"/>
  <c r="AC164" i="38" s="1"/>
  <c r="AF164" i="38"/>
  <c r="AG164" i="38" s="1"/>
  <c r="AH164" i="38" s="1"/>
  <c r="AF172" i="43"/>
  <c r="AG172" i="43" s="1"/>
  <c r="AH172" i="43" s="1"/>
  <c r="Z172" i="43"/>
  <c r="AC172" i="43" s="1"/>
  <c r="AF161" i="43"/>
  <c r="AG161" i="43" s="1"/>
  <c r="AH161" i="43" s="1"/>
  <c r="Z161" i="43"/>
  <c r="Z28" i="8"/>
  <c r="T28" i="8"/>
  <c r="Y28" i="8"/>
  <c r="AF212" i="41"/>
  <c r="AG212" i="41" s="1"/>
  <c r="AH212" i="41" s="1"/>
  <c r="Z212" i="41"/>
  <c r="AC212" i="41" s="1"/>
  <c r="AC218" i="36"/>
  <c r="AE218" i="36" s="1"/>
  <c r="AF218" i="36" s="1"/>
  <c r="U218" i="36"/>
  <c r="V218" i="36" s="1"/>
  <c r="AF209" i="41"/>
  <c r="AG209" i="41" s="1"/>
  <c r="AH209" i="41" s="1"/>
  <c r="Z209" i="41"/>
  <c r="AC236" i="36"/>
  <c r="AE236" i="36" s="1"/>
  <c r="AF236" i="36" s="1"/>
  <c r="U236" i="36"/>
  <c r="V236" i="36" s="1"/>
  <c r="Z216" i="43"/>
  <c r="AC216" i="43" s="1"/>
  <c r="AF216" i="43"/>
  <c r="AG216" i="43" s="1"/>
  <c r="AH216" i="43" s="1"/>
  <c r="AC246" i="36"/>
  <c r="AE246" i="36" s="1"/>
  <c r="AF246" i="36" s="1"/>
  <c r="U246" i="36"/>
  <c r="V246" i="36" s="1"/>
  <c r="AC233" i="36"/>
  <c r="AE233" i="36" s="1"/>
  <c r="AF233" i="36" s="1"/>
  <c r="U233" i="36"/>
  <c r="V233" i="36" s="1"/>
  <c r="AC260" i="36"/>
  <c r="AE260" i="36" s="1"/>
  <c r="AF260" i="36" s="1"/>
  <c r="U260" i="36"/>
  <c r="V260" i="36" s="1"/>
  <c r="U231" i="36"/>
  <c r="V231" i="36" s="1"/>
  <c r="AC231" i="36"/>
  <c r="Z268" i="42"/>
  <c r="AC268" i="42" s="1"/>
  <c r="AF268" i="42"/>
  <c r="AG268" i="42" s="1"/>
  <c r="AH268" i="42" s="1"/>
  <c r="AF259" i="41"/>
  <c r="AG259" i="41" s="1"/>
  <c r="AH259" i="41" s="1"/>
  <c r="Z259" i="41"/>
  <c r="AC259" i="41" s="1"/>
  <c r="Z233" i="42"/>
  <c r="AF233" i="42"/>
  <c r="AG233" i="42" s="1"/>
  <c r="AH233" i="42" s="1"/>
  <c r="Y294" i="42"/>
  <c r="AI237" i="43"/>
  <c r="AL237" i="43"/>
  <c r="AK237" i="38"/>
  <c r="AR237" i="38"/>
  <c r="AI238" i="43"/>
  <c r="AL238" i="43"/>
  <c r="S13" i="2"/>
  <c r="Y42" i="40"/>
  <c r="AF156" i="40"/>
  <c r="AG156" i="40" s="1"/>
  <c r="AH156" i="40" s="1"/>
  <c r="Y152" i="40"/>
  <c r="AI253" i="41"/>
  <c r="AL253" i="41"/>
  <c r="AI250" i="41"/>
  <c r="AL250" i="41"/>
  <c r="AC70" i="36"/>
  <c r="AE70" i="36" s="1"/>
  <c r="AF70" i="36" s="1"/>
  <c r="U70" i="36"/>
  <c r="V70" i="36" s="1"/>
  <c r="AC112" i="36"/>
  <c r="AE112" i="36" s="1"/>
  <c r="AF112" i="36" s="1"/>
  <c r="U112" i="36"/>
  <c r="AC164" i="36"/>
  <c r="AE164" i="36" s="1"/>
  <c r="AF164" i="36" s="1"/>
  <c r="U164" i="36"/>
  <c r="AC207" i="36"/>
  <c r="U207" i="36"/>
  <c r="AF226" i="41"/>
  <c r="AG226" i="41" s="1"/>
  <c r="AH226" i="41" s="1"/>
  <c r="Z226" i="41"/>
  <c r="AC226" i="41" s="1"/>
  <c r="AI228" i="40"/>
  <c r="AL228" i="40"/>
  <c r="AC17" i="36"/>
  <c r="U17" i="36"/>
  <c r="V17" i="36" s="1"/>
  <c r="AI262" i="41"/>
  <c r="AJ262" i="41" s="1"/>
  <c r="AL262" i="41"/>
  <c r="S19" i="2"/>
  <c r="S25" i="17"/>
  <c r="AK239" i="38"/>
  <c r="AR239" i="38"/>
  <c r="AI255" i="43"/>
  <c r="AJ255" i="43" s="1"/>
  <c r="AL255" i="43"/>
  <c r="AK251" i="38"/>
  <c r="AR251" i="38"/>
  <c r="AI224" i="41"/>
  <c r="AJ224" i="41" s="1"/>
  <c r="AL224" i="41"/>
  <c r="Z13" i="8"/>
  <c r="T13" i="8"/>
  <c r="Y13" i="8"/>
  <c r="AF33" i="41"/>
  <c r="AG33" i="41" s="1"/>
  <c r="AH33" i="41" s="1"/>
  <c r="Z33" i="41"/>
  <c r="AC33" i="41" s="1"/>
  <c r="AF34" i="40"/>
  <c r="AG34" i="40" s="1"/>
  <c r="AH34" i="40" s="1"/>
  <c r="Z34" i="40"/>
  <c r="AC34" i="40" s="1"/>
  <c r="AF37" i="40"/>
  <c r="AG37" i="40" s="1"/>
  <c r="AH37" i="40" s="1"/>
  <c r="Z37" i="40"/>
  <c r="AC37" i="40" s="1"/>
  <c r="Z40" i="42"/>
  <c r="AC40" i="42" s="1"/>
  <c r="AF40" i="42"/>
  <c r="AG40" i="42" s="1"/>
  <c r="AH40" i="42" s="1"/>
  <c r="AF32" i="40"/>
  <c r="AG32" i="40" s="1"/>
  <c r="AH32" i="40" s="1"/>
  <c r="Z32" i="40"/>
  <c r="AC32" i="40" s="1"/>
  <c r="S13" i="17"/>
  <c r="AC94" i="36"/>
  <c r="AE94" i="36" s="1"/>
  <c r="AF94" i="36" s="1"/>
  <c r="U94" i="36"/>
  <c r="V94" i="36" s="1"/>
  <c r="AC109" i="36"/>
  <c r="AE109" i="36" s="1"/>
  <c r="AF109" i="36" s="1"/>
  <c r="U109" i="36"/>
  <c r="V109" i="36" s="1"/>
  <c r="AC101" i="36"/>
  <c r="AE101" i="36" s="1"/>
  <c r="AF101" i="36" s="1"/>
  <c r="U101" i="36"/>
  <c r="V101" i="36" s="1"/>
  <c r="AC205" i="36"/>
  <c r="AE205" i="36" s="1"/>
  <c r="AF205" i="36" s="1"/>
  <c r="U205" i="36"/>
  <c r="AI264" i="40"/>
  <c r="AL264" i="40"/>
  <c r="AI241" i="43"/>
  <c r="AJ241" i="43" s="1"/>
  <c r="AL241" i="43"/>
  <c r="AC38" i="36"/>
  <c r="U38" i="36"/>
  <c r="V38" i="36" s="1"/>
  <c r="Y197" i="40"/>
  <c r="Y197" i="41"/>
  <c r="AF207" i="38"/>
  <c r="AG207" i="38" s="1"/>
  <c r="AH207" i="38" s="1"/>
  <c r="Y201" i="38"/>
  <c r="Y200" i="42"/>
  <c r="AF204" i="43"/>
  <c r="AG204" i="43" s="1"/>
  <c r="AH204" i="43" s="1"/>
  <c r="AI256" i="43"/>
  <c r="AJ256" i="43" s="1"/>
  <c r="AI247" i="42"/>
  <c r="AL247" i="42"/>
  <c r="AK250" i="38"/>
  <c r="AR250" i="38"/>
  <c r="J277" i="36"/>
  <c r="Z82" i="42"/>
  <c r="AC82" i="42" s="1"/>
  <c r="Y77" i="42"/>
  <c r="Z80" i="38"/>
  <c r="AC80" i="38" s="1"/>
  <c r="AF80" i="38"/>
  <c r="AG80" i="38" s="1"/>
  <c r="AH80" i="38" s="1"/>
  <c r="Z83" i="43"/>
  <c r="AC83" i="43" s="1"/>
  <c r="Z173" i="38"/>
  <c r="AF173" i="38"/>
  <c r="AG173" i="38" s="1"/>
  <c r="AH173" i="38" s="1"/>
  <c r="Z177" i="38"/>
  <c r="AC177" i="38" s="1"/>
  <c r="AF177" i="38"/>
  <c r="AG177" i="38" s="1"/>
  <c r="AH177" i="38" s="1"/>
  <c r="Z179" i="38"/>
  <c r="AC179" i="38" s="1"/>
  <c r="AF179" i="38"/>
  <c r="AG179" i="38" s="1"/>
  <c r="AH179" i="38" s="1"/>
  <c r="Z181" i="38"/>
  <c r="AC181" i="38" s="1"/>
  <c r="AF181" i="38"/>
  <c r="AG181" i="38" s="1"/>
  <c r="AH181" i="38" s="1"/>
  <c r="Z179" i="41"/>
  <c r="AC179" i="41" s="1"/>
  <c r="AF179" i="41"/>
  <c r="AG179" i="41" s="1"/>
  <c r="AH179" i="41" s="1"/>
  <c r="AF175" i="42"/>
  <c r="AG175" i="42" s="1"/>
  <c r="AH175" i="42" s="1"/>
  <c r="Z175" i="42"/>
  <c r="AC175" i="42" s="1"/>
  <c r="AF179" i="43"/>
  <c r="AG179" i="43" s="1"/>
  <c r="AH179" i="43" s="1"/>
  <c r="Z179" i="43"/>
  <c r="AC179" i="43" s="1"/>
  <c r="Z177" i="43"/>
  <c r="AC177" i="43" s="1"/>
  <c r="AF177" i="43"/>
  <c r="AG177" i="43" s="1"/>
  <c r="AH177" i="43" s="1"/>
  <c r="Z8" i="38"/>
  <c r="AC8" i="38" s="1"/>
  <c r="Z16" i="40"/>
  <c r="AC16" i="40" s="1"/>
  <c r="AF16" i="40"/>
  <c r="AG16" i="40" s="1"/>
  <c r="AH16" i="40" s="1"/>
  <c r="Z16" i="41"/>
  <c r="AC16" i="41" s="1"/>
  <c r="AF16" i="41"/>
  <c r="AG16" i="41" s="1"/>
  <c r="AH16" i="41" s="1"/>
  <c r="AF12" i="43"/>
  <c r="AG12" i="43" s="1"/>
  <c r="AH12" i="43" s="1"/>
  <c r="Z12" i="43"/>
  <c r="AC12" i="43" s="1"/>
  <c r="AC40" i="36"/>
  <c r="AE40" i="36" s="1"/>
  <c r="AF40" i="36" s="1"/>
  <c r="U40" i="36"/>
  <c r="V40" i="36" s="1"/>
  <c r="AC46" i="36"/>
  <c r="AE46" i="36" s="1"/>
  <c r="AF46" i="36" s="1"/>
  <c r="U46" i="36"/>
  <c r="V46" i="36" s="1"/>
  <c r="AF260" i="40"/>
  <c r="AG260" i="40" s="1"/>
  <c r="AH260" i="40" s="1"/>
  <c r="Z260" i="40"/>
  <c r="AC260" i="40" s="1"/>
  <c r="AF258" i="42"/>
  <c r="AG258" i="42" s="1"/>
  <c r="AH258" i="42" s="1"/>
  <c r="Z258" i="42"/>
  <c r="AC258" i="42" s="1"/>
  <c r="S25" i="2"/>
  <c r="T18" i="8"/>
  <c r="Z18" i="8"/>
  <c r="Y18" i="8"/>
  <c r="Z95" i="38"/>
  <c r="AC95" i="38" s="1"/>
  <c r="AF95" i="38"/>
  <c r="AG95" i="38" s="1"/>
  <c r="AH95" i="38" s="1"/>
  <c r="AF90" i="38"/>
  <c r="AG90" i="38" s="1"/>
  <c r="AH90" i="38" s="1"/>
  <c r="Z90" i="38"/>
  <c r="AC90" i="38" s="1"/>
  <c r="Y98" i="40"/>
  <c r="Y93" i="38"/>
  <c r="AF94" i="42"/>
  <c r="AG94" i="42" s="1"/>
  <c r="AH94" i="42" s="1"/>
  <c r="Z94" i="42"/>
  <c r="AC94" i="42" s="1"/>
  <c r="AC174" i="36"/>
  <c r="AE174" i="36" s="1"/>
  <c r="AF174" i="36" s="1"/>
  <c r="U174" i="36"/>
  <c r="AC182" i="36"/>
  <c r="AE182" i="36" s="1"/>
  <c r="AF182" i="36" s="1"/>
  <c r="U182" i="36"/>
  <c r="V182" i="36" s="1"/>
  <c r="AF235" i="38"/>
  <c r="AG235" i="38" s="1"/>
  <c r="AH235" i="38" s="1"/>
  <c r="Z235" i="38"/>
  <c r="AC235" i="38" s="1"/>
  <c r="AI235" i="38" s="1"/>
  <c r="AK247" i="38" s="1"/>
  <c r="AI254" i="43"/>
  <c r="AL254" i="43"/>
  <c r="AR246" i="38"/>
  <c r="AK246" i="38"/>
  <c r="AF227" i="43"/>
  <c r="AG227" i="43" s="1"/>
  <c r="AH227" i="43" s="1"/>
  <c r="Z227" i="43"/>
  <c r="AC227" i="43" s="1"/>
  <c r="AF230" i="41"/>
  <c r="AG230" i="41" s="1"/>
  <c r="AH230" i="41" s="1"/>
  <c r="Z230" i="41"/>
  <c r="AC230" i="41" s="1"/>
  <c r="AI222" i="40"/>
  <c r="AJ222" i="40" s="1"/>
  <c r="AL222" i="40"/>
  <c r="AC221" i="38"/>
  <c r="AI221" i="38" s="1"/>
  <c r="AI267" i="43"/>
  <c r="AF260" i="38"/>
  <c r="AG260" i="38" s="1"/>
  <c r="AH260" i="38" s="1"/>
  <c r="Z260" i="38"/>
  <c r="AC260" i="38" s="1"/>
  <c r="AI260" i="38" s="1"/>
  <c r="S21" i="17"/>
  <c r="AC134" i="36"/>
  <c r="AE134" i="36" s="1"/>
  <c r="AF134" i="36" s="1"/>
  <c r="U134" i="36"/>
  <c r="V134" i="36" s="1"/>
  <c r="AF240" i="42"/>
  <c r="AG240" i="42" s="1"/>
  <c r="AH240" i="42" s="1"/>
  <c r="Z240" i="42"/>
  <c r="AC240" i="42" s="1"/>
  <c r="Z255" i="40"/>
  <c r="AC255" i="40" s="1"/>
  <c r="AF255" i="40"/>
  <c r="AG255" i="40" s="1"/>
  <c r="AH255" i="40" s="1"/>
  <c r="AI253" i="40"/>
  <c r="AL253" i="40"/>
  <c r="AF146" i="41"/>
  <c r="AG146" i="41" s="1"/>
  <c r="AH146" i="41" s="1"/>
  <c r="Z146" i="41"/>
  <c r="AC146" i="41" s="1"/>
  <c r="AF140" i="41"/>
  <c r="AG140" i="41" s="1"/>
  <c r="AH140" i="41" s="1"/>
  <c r="Z140" i="41"/>
  <c r="AC140" i="41" s="1"/>
  <c r="Z144" i="43"/>
  <c r="AC144" i="43" s="1"/>
  <c r="AF144" i="43"/>
  <c r="AG144" i="43" s="1"/>
  <c r="AH144" i="43" s="1"/>
  <c r="Y137" i="40"/>
  <c r="Z142" i="40"/>
  <c r="AC142" i="40" s="1"/>
  <c r="AF142" i="40"/>
  <c r="AG142" i="40" s="1"/>
  <c r="AH142" i="40" s="1"/>
  <c r="Z140" i="42"/>
  <c r="AC140" i="42" s="1"/>
  <c r="AF140" i="42"/>
  <c r="AG140" i="42" s="1"/>
  <c r="AH140" i="42" s="1"/>
  <c r="Y143" i="43"/>
  <c r="AF145" i="43"/>
  <c r="AG145" i="43" s="1"/>
  <c r="AH145" i="43" s="1"/>
  <c r="Z145" i="43"/>
  <c r="AC145" i="43" s="1"/>
  <c r="Z20" i="43"/>
  <c r="AC20" i="43" s="1"/>
  <c r="AF20" i="43"/>
  <c r="AG20" i="43" s="1"/>
  <c r="AH20" i="43" s="1"/>
  <c r="AF18" i="38"/>
  <c r="AG18" i="38" s="1"/>
  <c r="AH18" i="38" s="1"/>
  <c r="Z18" i="38"/>
  <c r="AC18" i="38" s="1"/>
  <c r="Z17" i="40"/>
  <c r="AF17" i="40"/>
  <c r="AG17" i="40" s="1"/>
  <c r="AH17" i="40" s="1"/>
  <c r="AF21" i="42"/>
  <c r="AG21" i="42" s="1"/>
  <c r="AH21" i="42" s="1"/>
  <c r="Z21" i="42"/>
  <c r="AC21" i="42" s="1"/>
  <c r="AF24" i="40"/>
  <c r="AG24" i="40" s="1"/>
  <c r="AH24" i="40" s="1"/>
  <c r="Z24" i="40"/>
  <c r="AC24" i="40" s="1"/>
  <c r="Y28" i="38"/>
  <c r="Z26" i="42"/>
  <c r="AC26" i="42" s="1"/>
  <c r="AF28" i="43"/>
  <c r="AG28" i="43" s="1"/>
  <c r="AH28" i="43" s="1"/>
  <c r="Z28" i="43"/>
  <c r="AC28" i="43" s="1"/>
  <c r="AC183" i="36"/>
  <c r="U183" i="36"/>
  <c r="V183" i="36" s="1"/>
  <c r="AC52" i="36"/>
  <c r="AE52" i="36" s="1"/>
  <c r="AF52" i="36" s="1"/>
  <c r="U52" i="36"/>
  <c r="V52" i="36" s="1"/>
  <c r="AC151" i="36"/>
  <c r="AE151" i="36" s="1"/>
  <c r="AF151" i="36" s="1"/>
  <c r="U151" i="36"/>
  <c r="V151" i="36" s="1"/>
  <c r="AI244" i="42"/>
  <c r="T19" i="8"/>
  <c r="Y19" i="8"/>
  <c r="Z19" i="8"/>
  <c r="Z102" i="41"/>
  <c r="AC102" i="41" s="1"/>
  <c r="AF102" i="41"/>
  <c r="AG102" i="41" s="1"/>
  <c r="AH102" i="41" s="1"/>
  <c r="AF112" i="38"/>
  <c r="AG112" i="38" s="1"/>
  <c r="AH112" i="38" s="1"/>
  <c r="Z112" i="38"/>
  <c r="AC112" i="38" s="1"/>
  <c r="AF101" i="41"/>
  <c r="AG101" i="41" s="1"/>
  <c r="AH101" i="41" s="1"/>
  <c r="Z101" i="41"/>
  <c r="AF109" i="41"/>
  <c r="AG109" i="41" s="1"/>
  <c r="AH109" i="41" s="1"/>
  <c r="Z109" i="41"/>
  <c r="AC109" i="41" s="1"/>
  <c r="Z110" i="38"/>
  <c r="AC110" i="38" s="1"/>
  <c r="AF110" i="38"/>
  <c r="AG110" i="38" s="1"/>
  <c r="AH110" i="38" s="1"/>
  <c r="AF103" i="43"/>
  <c r="AG103" i="43" s="1"/>
  <c r="AH103" i="43" s="1"/>
  <c r="Z103" i="43"/>
  <c r="AC103" i="43" s="1"/>
  <c r="Z106" i="43"/>
  <c r="AC106" i="43" s="1"/>
  <c r="AF106" i="43"/>
  <c r="AG106" i="43" s="1"/>
  <c r="AH106" i="43" s="1"/>
  <c r="AC8" i="36"/>
  <c r="U8" i="36"/>
  <c r="V8" i="36" s="1"/>
  <c r="AC9" i="36"/>
  <c r="U9" i="36"/>
  <c r="V9" i="36" s="1"/>
  <c r="Y130" i="42"/>
  <c r="Y129" i="41"/>
  <c r="AF130" i="40"/>
  <c r="AG130" i="40" s="1"/>
  <c r="AH130" i="40" s="1"/>
  <c r="Z130" i="40"/>
  <c r="AC130" i="40" s="1"/>
  <c r="AF126" i="38"/>
  <c r="AG126" i="38" s="1"/>
  <c r="AH126" i="38" s="1"/>
  <c r="Z126" i="38"/>
  <c r="AC126" i="38" s="1"/>
  <c r="Y132" i="43"/>
  <c r="AF136" i="43"/>
  <c r="AG136" i="43" s="1"/>
  <c r="AH136" i="43" s="1"/>
  <c r="Z136" i="43"/>
  <c r="AC136" i="43" s="1"/>
  <c r="AI231" i="43"/>
  <c r="AJ231" i="43" s="1"/>
  <c r="AL231" i="43"/>
  <c r="AR229" i="38"/>
  <c r="S20" i="2"/>
  <c r="AC82" i="36"/>
  <c r="AE82" i="36" s="1"/>
  <c r="AF82" i="36" s="1"/>
  <c r="U82" i="36"/>
  <c r="V82" i="36" s="1"/>
  <c r="Y191" i="40"/>
  <c r="Y189" i="38"/>
  <c r="Z194" i="41"/>
  <c r="AC194" i="41" s="1"/>
  <c r="Z196" i="41"/>
  <c r="AC196" i="41" s="1"/>
  <c r="AF196" i="41"/>
  <c r="AG196" i="41" s="1"/>
  <c r="AH196" i="41" s="1"/>
  <c r="AF193" i="38"/>
  <c r="AG193" i="38" s="1"/>
  <c r="AH193" i="38" s="1"/>
  <c r="Z193" i="38"/>
  <c r="AC193" i="38" s="1"/>
  <c r="Y195" i="42"/>
  <c r="Y192" i="43"/>
  <c r="Y61" i="41"/>
  <c r="Y63" i="40"/>
  <c r="Y59" i="42"/>
  <c r="Z59" i="41"/>
  <c r="AC59" i="41" s="1"/>
  <c r="AF59" i="41"/>
  <c r="AG59" i="41" s="1"/>
  <c r="AH59" i="41" s="1"/>
  <c r="Z58" i="38"/>
  <c r="AC58" i="38" s="1"/>
  <c r="AF58" i="38"/>
  <c r="AG58" i="38" s="1"/>
  <c r="AH58" i="38" s="1"/>
  <c r="AF56" i="43"/>
  <c r="AG56" i="43" s="1"/>
  <c r="AH56" i="43" s="1"/>
  <c r="AF62" i="43"/>
  <c r="AG62" i="43" s="1"/>
  <c r="AH62" i="43" s="1"/>
  <c r="AC145" i="36"/>
  <c r="AE145" i="36" s="1"/>
  <c r="AF145" i="36" s="1"/>
  <c r="U145" i="36"/>
  <c r="V145" i="36" s="1"/>
  <c r="S15" i="17"/>
  <c r="S23" i="17"/>
  <c r="Z68" i="40"/>
  <c r="AC68" i="40" s="1"/>
  <c r="AF68" i="40"/>
  <c r="AG68" i="40" s="1"/>
  <c r="AH68" i="40" s="1"/>
  <c r="AF76" i="42"/>
  <c r="AG76" i="42" s="1"/>
  <c r="AH76" i="42" s="1"/>
  <c r="Z76" i="42"/>
  <c r="AC76" i="42" s="1"/>
  <c r="AF69" i="38"/>
  <c r="AG69" i="38" s="1"/>
  <c r="AH69" i="38" s="1"/>
  <c r="Z69" i="38"/>
  <c r="AC69" i="38" s="1"/>
  <c r="Y70" i="38"/>
  <c r="Y72" i="40"/>
  <c r="Z75" i="40"/>
  <c r="AC75" i="40" s="1"/>
  <c r="AF75" i="40"/>
  <c r="AG75" i="40" s="1"/>
  <c r="AH75" i="40" s="1"/>
  <c r="Y65" i="41"/>
  <c r="AF76" i="43"/>
  <c r="AG76" i="43" s="1"/>
  <c r="AH76" i="43" s="1"/>
  <c r="Z76" i="43"/>
  <c r="AC76" i="43" s="1"/>
  <c r="J280" i="36"/>
  <c r="Y116" i="40"/>
  <c r="AF119" i="42"/>
  <c r="AG119" i="42" s="1"/>
  <c r="AH119" i="42" s="1"/>
  <c r="Z119" i="42"/>
  <c r="AC119" i="42" s="1"/>
  <c r="Y121" i="38"/>
  <c r="AF117" i="40"/>
  <c r="AG117" i="40" s="1"/>
  <c r="AH117" i="40" s="1"/>
  <c r="Z117" i="40"/>
  <c r="AC117" i="40" s="1"/>
  <c r="AF121" i="42"/>
  <c r="AG121" i="42" s="1"/>
  <c r="AH121" i="42" s="1"/>
  <c r="Z121" i="42"/>
  <c r="AC121" i="42" s="1"/>
  <c r="Y115" i="41"/>
  <c r="AF122" i="43"/>
  <c r="Z122" i="43"/>
  <c r="AC122" i="43" s="1"/>
  <c r="V164" i="36"/>
  <c r="AF165" i="40"/>
  <c r="AG165" i="40" s="1"/>
  <c r="AH165" i="40" s="1"/>
  <c r="Z165" i="40"/>
  <c r="AC165" i="40" s="1"/>
  <c r="AF172" i="40"/>
  <c r="AG172" i="40" s="1"/>
  <c r="AH172" i="40" s="1"/>
  <c r="Z172" i="40"/>
  <c r="AC172" i="40" s="1"/>
  <c r="Y163" i="40"/>
  <c r="AF167" i="40"/>
  <c r="AG167" i="40" s="1"/>
  <c r="AH167" i="40" s="1"/>
  <c r="Z167" i="40"/>
  <c r="AC167" i="40" s="1"/>
  <c r="Y164" i="42"/>
  <c r="AF162" i="43"/>
  <c r="AG162" i="43" s="1"/>
  <c r="AH162" i="43" s="1"/>
  <c r="Z162" i="43"/>
  <c r="AC162" i="43" s="1"/>
  <c r="AF167" i="43"/>
  <c r="AG167" i="43" s="1"/>
  <c r="AH167" i="43" s="1"/>
  <c r="Z167" i="43"/>
  <c r="AC167" i="43" s="1"/>
  <c r="Y210" i="40"/>
  <c r="AF209" i="40"/>
  <c r="AG209" i="40" s="1"/>
  <c r="AH209" i="40" s="1"/>
  <c r="Z209" i="40"/>
  <c r="AF213" i="42"/>
  <c r="AG213" i="42" s="1"/>
  <c r="AH213" i="42" s="1"/>
  <c r="Z213" i="42"/>
  <c r="AC213" i="42" s="1"/>
  <c r="Y215" i="41"/>
  <c r="AF209" i="38"/>
  <c r="AG209" i="38" s="1"/>
  <c r="AH209" i="38" s="1"/>
  <c r="Z209" i="38"/>
  <c r="AC232" i="36"/>
  <c r="AE232" i="36" s="1"/>
  <c r="AF232" i="36" s="1"/>
  <c r="U232" i="36"/>
  <c r="V232" i="36" s="1"/>
  <c r="AF213" i="43"/>
  <c r="AG213" i="43" s="1"/>
  <c r="AH213" i="43" s="1"/>
  <c r="Z213" i="43"/>
  <c r="AC213" i="43" s="1"/>
  <c r="Z218" i="43"/>
  <c r="AC218" i="43" s="1"/>
  <c r="AF218" i="43"/>
  <c r="AG218" i="43" s="1"/>
  <c r="AH218" i="43" s="1"/>
  <c r="AF209" i="43"/>
  <c r="AG209" i="43" s="1"/>
  <c r="AH209" i="43" s="1"/>
  <c r="Z209" i="43"/>
  <c r="AC219" i="36"/>
  <c r="U219" i="36"/>
  <c r="V219" i="36" s="1"/>
  <c r="AC258" i="36"/>
  <c r="AE258" i="36" s="1"/>
  <c r="AF258" i="36" s="1"/>
  <c r="U258" i="36"/>
  <c r="V258" i="36" s="1"/>
  <c r="AF215" i="43"/>
  <c r="AG215" i="43" s="1"/>
  <c r="AH215" i="43" s="1"/>
  <c r="Z215" i="43"/>
  <c r="AC215" i="43" s="1"/>
  <c r="AC256" i="36"/>
  <c r="AE256" i="36" s="1"/>
  <c r="AF256" i="36" s="1"/>
  <c r="U256" i="36"/>
  <c r="V256" i="36" s="1"/>
  <c r="AC227" i="36"/>
  <c r="AE227" i="36" s="1"/>
  <c r="AF227" i="36" s="1"/>
  <c r="U227" i="36"/>
  <c r="V227" i="36" s="1"/>
  <c r="Z266" i="42"/>
  <c r="AC266" i="42" s="1"/>
  <c r="AF266" i="42"/>
  <c r="AG266" i="42" s="1"/>
  <c r="AH266" i="42" s="1"/>
  <c r="AK234" i="38"/>
  <c r="AR234" i="38"/>
  <c r="J274" i="36"/>
  <c r="Y51" i="40"/>
  <c r="Y48" i="40"/>
  <c r="Y47" i="43"/>
  <c r="Y46" i="40"/>
  <c r="Y52" i="43"/>
  <c r="Y153" i="42"/>
  <c r="Y159" i="38"/>
  <c r="Y155" i="42"/>
  <c r="Y156" i="38"/>
  <c r="Y154" i="43"/>
  <c r="AI255" i="41"/>
  <c r="AL255" i="41"/>
  <c r="AC71" i="36"/>
  <c r="AE71" i="36" s="1"/>
  <c r="AF71" i="36" s="1"/>
  <c r="U71" i="36"/>
  <c r="V71" i="36" s="1"/>
  <c r="AC114" i="36"/>
  <c r="AE114" i="36" s="1"/>
  <c r="AF114" i="36" s="1"/>
  <c r="U114" i="36"/>
  <c r="V114" i="36" s="1"/>
  <c r="AC165" i="36"/>
  <c r="AE165" i="36" s="1"/>
  <c r="AF165" i="36" s="1"/>
  <c r="U165" i="36"/>
  <c r="AC169" i="36"/>
  <c r="AE169" i="36" s="1"/>
  <c r="AF169" i="36" s="1"/>
  <c r="U169" i="36"/>
  <c r="V169" i="36" s="1"/>
  <c r="AC208" i="36"/>
  <c r="AE208" i="36" s="1"/>
  <c r="AF208" i="36" s="1"/>
  <c r="U208" i="36"/>
  <c r="AC210" i="36"/>
  <c r="AE210" i="36" s="1"/>
  <c r="AF210" i="36" s="1"/>
  <c r="U210" i="36"/>
  <c r="AF226" i="43"/>
  <c r="AG226" i="43" s="1"/>
  <c r="AH226" i="43" s="1"/>
  <c r="Z226" i="43"/>
  <c r="AC226" i="43" s="1"/>
  <c r="AI229" i="41"/>
  <c r="AJ229" i="41" s="1"/>
  <c r="AL229" i="41"/>
  <c r="AF266" i="41"/>
  <c r="AG266" i="41" s="1"/>
  <c r="AH266" i="41" s="1"/>
  <c r="Z266" i="41"/>
  <c r="AC266" i="41" s="1"/>
  <c r="AI244" i="43"/>
  <c r="AJ244" i="43" s="1"/>
  <c r="AR253" i="38"/>
  <c r="AK253" i="38"/>
  <c r="AF225" i="43"/>
  <c r="AG225" i="43" s="1"/>
  <c r="AH225" i="43" s="1"/>
  <c r="Z225" i="43"/>
  <c r="AC225" i="43" s="1"/>
  <c r="Z230" i="42"/>
  <c r="AC230" i="42" s="1"/>
  <c r="AF230" i="42"/>
  <c r="AG230" i="42" s="1"/>
  <c r="AH230" i="42" s="1"/>
  <c r="AL222" i="41"/>
  <c r="AF40" i="41"/>
  <c r="AG40" i="41" s="1"/>
  <c r="AH40" i="41" s="1"/>
  <c r="Y36" i="41"/>
  <c r="Z39" i="40"/>
  <c r="AC39" i="40" s="1"/>
  <c r="AF39" i="40"/>
  <c r="AG39" i="40" s="1"/>
  <c r="AH39" i="40" s="1"/>
  <c r="Z36" i="42"/>
  <c r="AC36" i="42" s="1"/>
  <c r="AF30" i="42"/>
  <c r="AG30" i="42" s="1"/>
  <c r="AH30" i="42" s="1"/>
  <c r="Z30" i="42"/>
  <c r="AC30" i="42" s="1"/>
  <c r="Y34" i="41"/>
  <c r="AF37" i="43"/>
  <c r="AG37" i="43" s="1"/>
  <c r="AH37" i="43" s="1"/>
  <c r="Z37" i="43"/>
  <c r="AC37" i="43" s="1"/>
  <c r="Z35" i="41"/>
  <c r="AC35" i="41" s="1"/>
  <c r="AF35" i="41"/>
  <c r="AG35" i="41" s="1"/>
  <c r="AH35" i="41" s="1"/>
  <c r="AF30" i="43"/>
  <c r="AG30" i="43" s="1"/>
  <c r="AH30" i="43" s="1"/>
  <c r="Z30" i="43"/>
  <c r="AC30" i="43" s="1"/>
  <c r="AC90" i="36"/>
  <c r="AE90" i="36" s="1"/>
  <c r="AF90" i="36" s="1"/>
  <c r="U90" i="36"/>
  <c r="V90" i="36" s="1"/>
  <c r="AC97" i="36"/>
  <c r="AE97" i="36" s="1"/>
  <c r="AF97" i="36" s="1"/>
  <c r="U97" i="36"/>
  <c r="V97" i="36" s="1"/>
  <c r="S12" i="17"/>
  <c r="AC108" i="36"/>
  <c r="AE108" i="36" s="1"/>
  <c r="AF108" i="36" s="1"/>
  <c r="U108" i="36"/>
  <c r="V108" i="36" s="1"/>
  <c r="AC198" i="36"/>
  <c r="AE198" i="36" s="1"/>
  <c r="AF198" i="36" s="1"/>
  <c r="U198" i="36"/>
  <c r="AC36" i="36"/>
  <c r="U36" i="36"/>
  <c r="V36" i="36" s="1"/>
  <c r="AC31" i="36"/>
  <c r="U31" i="36"/>
  <c r="V31" i="36" s="1"/>
  <c r="J287" i="36"/>
  <c r="Y203" i="40"/>
  <c r="Y208" i="42"/>
  <c r="Z205" i="42"/>
  <c r="AC205" i="42" s="1"/>
  <c r="Y202" i="38"/>
  <c r="AF207" i="41"/>
  <c r="AG207" i="41" s="1"/>
  <c r="AH207" i="41" s="1"/>
  <c r="AI246" i="42"/>
  <c r="AL246" i="42"/>
  <c r="T17" i="8"/>
  <c r="Z17" i="8"/>
  <c r="Y17" i="8"/>
  <c r="Y80" i="41"/>
  <c r="AF79" i="40"/>
  <c r="AG79" i="40" s="1"/>
  <c r="AH79" i="40" s="1"/>
  <c r="Z78" i="43"/>
  <c r="AC78" i="43" s="1"/>
  <c r="V174" i="36"/>
  <c r="Y183" i="40"/>
  <c r="Y183" i="38"/>
  <c r="Y180" i="40"/>
  <c r="Z183" i="41"/>
  <c r="AC183" i="41" s="1"/>
  <c r="Y177" i="41"/>
  <c r="Y175" i="43"/>
  <c r="Y173" i="43"/>
  <c r="AI232" i="43"/>
  <c r="AL232" i="43"/>
  <c r="Y293" i="41"/>
  <c r="AF6" i="41"/>
  <c r="AG6" i="41" s="1"/>
  <c r="AH6" i="41" s="1"/>
  <c r="Z6" i="41"/>
  <c r="AC6" i="41" s="1"/>
  <c r="AF7" i="41"/>
  <c r="AG7" i="41" s="1"/>
  <c r="AH7" i="41" s="1"/>
  <c r="Z7" i="41"/>
  <c r="AC7" i="41" s="1"/>
  <c r="AF9" i="40"/>
  <c r="AG9" i="40" s="1"/>
  <c r="AH9" i="40" s="1"/>
  <c r="Z9" i="40"/>
  <c r="AC9" i="40" s="1"/>
  <c r="AF7" i="38"/>
  <c r="AG7" i="38" s="1"/>
  <c r="AH7" i="38" s="1"/>
  <c r="Z7" i="38"/>
  <c r="AC7" i="38" s="1"/>
  <c r="Y7" i="40"/>
  <c r="Z14" i="40"/>
  <c r="AC14" i="40" s="1"/>
  <c r="AF14" i="40"/>
  <c r="AG14" i="40" s="1"/>
  <c r="AH14" i="40" s="1"/>
  <c r="Y7" i="42"/>
  <c r="AF15" i="40"/>
  <c r="AG15" i="40" s="1"/>
  <c r="AH15" i="40" s="1"/>
  <c r="Z15" i="40"/>
  <c r="AC15" i="40" s="1"/>
  <c r="AF13" i="42"/>
  <c r="AG13" i="42" s="1"/>
  <c r="AH13" i="42" s="1"/>
  <c r="Z13" i="42"/>
  <c r="AC13" i="42" s="1"/>
  <c r="Y11" i="38"/>
  <c r="Y5" i="40"/>
  <c r="AF8" i="42"/>
  <c r="AG8" i="42" s="1"/>
  <c r="AH8" i="42" s="1"/>
  <c r="Z8" i="42"/>
  <c r="AC8" i="42" s="1"/>
  <c r="Y13" i="43"/>
  <c r="Y15" i="43"/>
  <c r="AF9" i="43"/>
  <c r="AG9" i="43" s="1"/>
  <c r="AH9" i="43" s="1"/>
  <c r="Z9" i="43"/>
  <c r="AC9" i="43" s="1"/>
  <c r="AC48" i="36"/>
  <c r="AE48" i="36" s="1"/>
  <c r="AF48" i="36" s="1"/>
  <c r="U48" i="36"/>
  <c r="V48" i="36" s="1"/>
  <c r="AC50" i="36"/>
  <c r="AE50" i="36" s="1"/>
  <c r="AF50" i="36" s="1"/>
  <c r="U50" i="36"/>
  <c r="V50" i="36" s="1"/>
  <c r="AC49" i="36"/>
  <c r="AE49" i="36" s="1"/>
  <c r="AF49" i="36" s="1"/>
  <c r="U49" i="36"/>
  <c r="V49" i="36" s="1"/>
  <c r="AF262" i="43"/>
  <c r="AG262" i="43" s="1"/>
  <c r="AH262" i="43" s="1"/>
  <c r="Z262" i="43"/>
  <c r="AC262" i="43" s="1"/>
  <c r="AF266" i="38"/>
  <c r="AG266" i="38" s="1"/>
  <c r="AH266" i="38" s="1"/>
  <c r="Z266" i="38"/>
  <c r="AC266" i="38" s="1"/>
  <c r="AI266" i="38" s="1"/>
  <c r="Z265" i="38"/>
  <c r="AC265" i="38" s="1"/>
  <c r="AI265" i="38" s="1"/>
  <c r="AF265" i="38"/>
  <c r="AG265" i="38" s="1"/>
  <c r="AH265" i="38" s="1"/>
  <c r="AF259" i="40"/>
  <c r="AG259" i="40" s="1"/>
  <c r="AH259" i="40" s="1"/>
  <c r="Z259" i="40"/>
  <c r="AC259" i="40" s="1"/>
  <c r="J278" i="36"/>
  <c r="Y89" i="38"/>
  <c r="AF91" i="38"/>
  <c r="AG91" i="38" s="1"/>
  <c r="AH91" i="38" s="1"/>
  <c r="Z91" i="38"/>
  <c r="AC91" i="38" s="1"/>
  <c r="Y97" i="42"/>
  <c r="Z98" i="38"/>
  <c r="AC98" i="38" s="1"/>
  <c r="AF98" i="38"/>
  <c r="AG98" i="38" s="1"/>
  <c r="AH98" i="38" s="1"/>
  <c r="Y96" i="43"/>
  <c r="Y100" i="41"/>
  <c r="AF99" i="38"/>
  <c r="AG99" i="38" s="1"/>
  <c r="AH99" i="38" s="1"/>
  <c r="Z99" i="38"/>
  <c r="AC99" i="38" s="1"/>
  <c r="Y90" i="41"/>
  <c r="AF97" i="38"/>
  <c r="AG97" i="38" s="1"/>
  <c r="AH97" i="38" s="1"/>
  <c r="Z97" i="38"/>
  <c r="AC97" i="38" s="1"/>
  <c r="Y92" i="41"/>
  <c r="Z90" i="43"/>
  <c r="AC90" i="43" s="1"/>
  <c r="AF90" i="43"/>
  <c r="AG90" i="43" s="1"/>
  <c r="AH90" i="43" s="1"/>
  <c r="AC177" i="36"/>
  <c r="AE177" i="36" s="1"/>
  <c r="AF177" i="36" s="1"/>
  <c r="U177" i="36"/>
  <c r="V177" i="36" s="1"/>
  <c r="AC172" i="36"/>
  <c r="AE172" i="36" s="1"/>
  <c r="AF172" i="36" s="1"/>
  <c r="U172" i="36"/>
  <c r="AJ236" i="38"/>
  <c r="Z237" i="42"/>
  <c r="AC237" i="42" s="1"/>
  <c r="AF237" i="42"/>
  <c r="AG237" i="42" s="1"/>
  <c r="AH237" i="42" s="1"/>
  <c r="AI235" i="42"/>
  <c r="AJ235" i="42" s="1"/>
  <c r="Z242" i="40"/>
  <c r="AC242" i="40" s="1"/>
  <c r="AF242" i="40"/>
  <c r="AG242" i="40" s="1"/>
  <c r="AH242" i="40" s="1"/>
  <c r="AF242" i="38"/>
  <c r="AG242" i="38" s="1"/>
  <c r="AH242" i="38" s="1"/>
  <c r="Z242" i="38"/>
  <c r="AC242" i="38" s="1"/>
  <c r="AI242" i="38" s="1"/>
  <c r="AF248" i="43"/>
  <c r="AG248" i="43" s="1"/>
  <c r="AH248" i="43" s="1"/>
  <c r="Z248" i="43"/>
  <c r="AC248" i="43" s="1"/>
  <c r="AF247" i="41"/>
  <c r="AG247" i="41" s="1"/>
  <c r="AH247" i="41" s="1"/>
  <c r="Z247" i="41"/>
  <c r="AC247" i="41" s="1"/>
  <c r="AJ246" i="38"/>
  <c r="Z251" i="42"/>
  <c r="AC251" i="42" s="1"/>
  <c r="AF251" i="42"/>
  <c r="AG251" i="42" s="1"/>
  <c r="AH251" i="42" s="1"/>
  <c r="AK255" i="38"/>
  <c r="AR255" i="38"/>
  <c r="S11" i="17"/>
  <c r="S20" i="17"/>
  <c r="S28" i="17"/>
  <c r="AC221" i="43"/>
  <c r="AJ232" i="38"/>
  <c r="AJ230" i="38"/>
  <c r="Z224" i="42"/>
  <c r="AC224" i="42" s="1"/>
  <c r="AF224" i="42"/>
  <c r="AG224" i="42" s="1"/>
  <c r="AH224" i="42" s="1"/>
  <c r="AF229" i="40"/>
  <c r="AG229" i="40" s="1"/>
  <c r="AH229" i="40" s="1"/>
  <c r="Z229" i="40"/>
  <c r="AC229" i="40" s="1"/>
  <c r="AR227" i="38"/>
  <c r="Z267" i="42"/>
  <c r="AC267" i="42" s="1"/>
  <c r="AF267" i="42"/>
  <c r="AG267" i="42" s="1"/>
  <c r="AH267" i="42" s="1"/>
  <c r="AF263" i="40"/>
  <c r="AG263" i="40" s="1"/>
  <c r="AH263" i="40" s="1"/>
  <c r="Z263" i="40"/>
  <c r="AC263" i="40" s="1"/>
  <c r="AC127" i="36"/>
  <c r="AE127" i="36" s="1"/>
  <c r="AF127" i="36" s="1"/>
  <c r="U127" i="36"/>
  <c r="V127" i="36" s="1"/>
  <c r="AC123" i="36"/>
  <c r="U123" i="36"/>
  <c r="AC129" i="36"/>
  <c r="AE129" i="36" s="1"/>
  <c r="AF129" i="36" s="1"/>
  <c r="U129" i="36"/>
  <c r="V129" i="36" s="1"/>
  <c r="Z244" i="38"/>
  <c r="AC244" i="38" s="1"/>
  <c r="AI244" i="38" s="1"/>
  <c r="AF244" i="38"/>
  <c r="AG244" i="38" s="1"/>
  <c r="AH244" i="38" s="1"/>
  <c r="AI249" i="41"/>
  <c r="AJ249" i="41" s="1"/>
  <c r="AL249" i="41"/>
  <c r="S12" i="2"/>
  <c r="AF224" i="43"/>
  <c r="AG224" i="43" s="1"/>
  <c r="AH224" i="43" s="1"/>
  <c r="Z224" i="43"/>
  <c r="AC224" i="43" s="1"/>
  <c r="AR223" i="38"/>
  <c r="S22" i="2"/>
  <c r="S17" i="17"/>
  <c r="AF145" i="38"/>
  <c r="AG145" i="38" s="1"/>
  <c r="AH145" i="38" s="1"/>
  <c r="Z145" i="38"/>
  <c r="AC145" i="38" s="1"/>
  <c r="Z140" i="43"/>
  <c r="AC140" i="43" s="1"/>
  <c r="AF140" i="43"/>
  <c r="AG140" i="43" s="1"/>
  <c r="AH140" i="43" s="1"/>
  <c r="Y147" i="40"/>
  <c r="Z146" i="40"/>
  <c r="AC146" i="40" s="1"/>
  <c r="AF146" i="40"/>
  <c r="AG146" i="40" s="1"/>
  <c r="AH146" i="40" s="1"/>
  <c r="Y143" i="40"/>
  <c r="Y146" i="42"/>
  <c r="Y145" i="40"/>
  <c r="Y139" i="41"/>
  <c r="Y138" i="43"/>
  <c r="Y139" i="40"/>
  <c r="Y137" i="41"/>
  <c r="Z148" i="42"/>
  <c r="AC148" i="42" s="1"/>
  <c r="AF148" i="42"/>
  <c r="AG148" i="42" s="1"/>
  <c r="AH148" i="42" s="1"/>
  <c r="Y143" i="42"/>
  <c r="Y147" i="43"/>
  <c r="S18" i="17"/>
  <c r="Z12" i="8"/>
  <c r="T12" i="8"/>
  <c r="Y12" i="8"/>
  <c r="Y23" i="38"/>
  <c r="AF20" i="41"/>
  <c r="AG20" i="41" s="1"/>
  <c r="AH20" i="41" s="1"/>
  <c r="Z20" i="41"/>
  <c r="AC20" i="41" s="1"/>
  <c r="Z21" i="40"/>
  <c r="AC21" i="40" s="1"/>
  <c r="AF21" i="40"/>
  <c r="AG21" i="40" s="1"/>
  <c r="AH21" i="40" s="1"/>
  <c r="Y28" i="42"/>
  <c r="Y25" i="38"/>
  <c r="Y26" i="41"/>
  <c r="Y22" i="42"/>
  <c r="AF21" i="38"/>
  <c r="AG21" i="38" s="1"/>
  <c r="AH21" i="38" s="1"/>
  <c r="Z21" i="38"/>
  <c r="AC21" i="38" s="1"/>
  <c r="Y24" i="43"/>
  <c r="Z26" i="43"/>
  <c r="AC26" i="43" s="1"/>
  <c r="AF26" i="43"/>
  <c r="AG26" i="43" s="1"/>
  <c r="AH26" i="43" s="1"/>
  <c r="AC193" i="36"/>
  <c r="AE193" i="36" s="1"/>
  <c r="AF193" i="36" s="1"/>
  <c r="U193" i="36"/>
  <c r="AC187" i="36"/>
  <c r="AE187" i="36" s="1"/>
  <c r="AF187" i="36" s="1"/>
  <c r="U187" i="36"/>
  <c r="V187" i="36" s="1"/>
  <c r="AC192" i="36"/>
  <c r="AE192" i="36" s="1"/>
  <c r="AF192" i="36" s="1"/>
  <c r="U192" i="36"/>
  <c r="AC58" i="36"/>
  <c r="AE58" i="36" s="1"/>
  <c r="AF58" i="36" s="1"/>
  <c r="U58" i="36"/>
  <c r="V58" i="36" s="1"/>
  <c r="AC60" i="36"/>
  <c r="AE60" i="36" s="1"/>
  <c r="AF60" i="36" s="1"/>
  <c r="U60" i="36"/>
  <c r="V60" i="36" s="1"/>
  <c r="AC62" i="36"/>
  <c r="AE62" i="36" s="1"/>
  <c r="AF62" i="36" s="1"/>
  <c r="U62" i="36"/>
  <c r="V62" i="36" s="1"/>
  <c r="AC152" i="36"/>
  <c r="AE152" i="36" s="1"/>
  <c r="AF152" i="36" s="1"/>
  <c r="U152" i="36"/>
  <c r="V152" i="36" s="1"/>
  <c r="AC147" i="36"/>
  <c r="U147" i="36"/>
  <c r="AC150" i="36"/>
  <c r="AE150" i="36" s="1"/>
  <c r="AF150" i="36" s="1"/>
  <c r="U150" i="36"/>
  <c r="AI261" i="43"/>
  <c r="AI267" i="40"/>
  <c r="AI243" i="43"/>
  <c r="AL243" i="43"/>
  <c r="AI241" i="42"/>
  <c r="AL241" i="42"/>
  <c r="Y101" i="40"/>
  <c r="AF111" i="42"/>
  <c r="AG111" i="42" s="1"/>
  <c r="AH111" i="42" s="1"/>
  <c r="Z111" i="42"/>
  <c r="AC111" i="42" s="1"/>
  <c r="Y106" i="42"/>
  <c r="Z110" i="40"/>
  <c r="AC110" i="40" s="1"/>
  <c r="AF110" i="40"/>
  <c r="AG110" i="40" s="1"/>
  <c r="AH110" i="40" s="1"/>
  <c r="Y107" i="41"/>
  <c r="Y107" i="43"/>
  <c r="Y104" i="38"/>
  <c r="Y102" i="42"/>
  <c r="Y109" i="40"/>
  <c r="AF112" i="41"/>
  <c r="AG112" i="41" s="1"/>
  <c r="AH112" i="41" s="1"/>
  <c r="Z108" i="42"/>
  <c r="AC108" i="42" s="1"/>
  <c r="AF108" i="42"/>
  <c r="AG108" i="42" s="1"/>
  <c r="AH108" i="42" s="1"/>
  <c r="Z105" i="43"/>
  <c r="AC105" i="43" s="1"/>
  <c r="Y104" i="43"/>
  <c r="AF110" i="43"/>
  <c r="AG110" i="43" s="1"/>
  <c r="AH110" i="43" s="1"/>
  <c r="Z110" i="43"/>
  <c r="AC110" i="43" s="1"/>
  <c r="AR252" i="38"/>
  <c r="AK252" i="38"/>
  <c r="AC4" i="36"/>
  <c r="U4" i="36"/>
  <c r="V4" i="36" s="1"/>
  <c r="AC3" i="36"/>
  <c r="U3" i="36"/>
  <c r="AC13" i="36"/>
  <c r="U13" i="36"/>
  <c r="V13" i="36" s="1"/>
  <c r="J281" i="36"/>
  <c r="Y135" i="38"/>
  <c r="Y135" i="42"/>
  <c r="Y131" i="38"/>
  <c r="Y135" i="40"/>
  <c r="Y126" i="41"/>
  <c r="Y129" i="38"/>
  <c r="Y133" i="42"/>
  <c r="Y127" i="38"/>
  <c r="Y127" i="41"/>
  <c r="Y136" i="42"/>
  <c r="Y125" i="40"/>
  <c r="Y134" i="38"/>
  <c r="Y125" i="42"/>
  <c r="Y135" i="43"/>
  <c r="Y131" i="43"/>
  <c r="Y127" i="43"/>
  <c r="AI229" i="42"/>
  <c r="AL229" i="42"/>
  <c r="AJ229" i="38"/>
  <c r="AJ222" i="38"/>
  <c r="AC83" i="36"/>
  <c r="AE83" i="36" s="1"/>
  <c r="AF83" i="36" s="1"/>
  <c r="U83" i="36"/>
  <c r="V83" i="36" s="1"/>
  <c r="AC78" i="36"/>
  <c r="AE78" i="36" s="1"/>
  <c r="AF78" i="36" s="1"/>
  <c r="U78" i="36"/>
  <c r="V78" i="36" s="1"/>
  <c r="AC84" i="36"/>
  <c r="AE84" i="36" s="1"/>
  <c r="AF84" i="36" s="1"/>
  <c r="U84" i="36"/>
  <c r="V84" i="36" s="1"/>
  <c r="AC85" i="36"/>
  <c r="AE85" i="36" s="1"/>
  <c r="AF85" i="36" s="1"/>
  <c r="U85" i="36"/>
  <c r="V85" i="36" s="1"/>
  <c r="V192" i="36"/>
  <c r="Y189" i="40"/>
  <c r="Y195" i="38"/>
  <c r="Y194" i="38"/>
  <c r="Y189" i="43"/>
  <c r="Y190" i="38"/>
  <c r="Y193" i="41"/>
  <c r="Y187" i="40"/>
  <c r="Y186" i="41"/>
  <c r="Y187" i="38"/>
  <c r="Y190" i="41"/>
  <c r="Y187" i="42"/>
  <c r="Y188" i="38"/>
  <c r="Y188" i="41"/>
  <c r="Y191" i="43"/>
  <c r="Y193" i="43"/>
  <c r="Y57" i="38"/>
  <c r="Y63" i="43"/>
  <c r="Y53" i="42"/>
  <c r="Y54" i="41"/>
  <c r="Y62" i="41"/>
  <c r="Y60" i="40"/>
  <c r="Y63" i="41"/>
  <c r="Y59" i="38"/>
  <c r="Y55" i="41"/>
  <c r="Y53" i="38"/>
  <c r="Y59" i="40"/>
  <c r="Y62" i="42"/>
  <c r="Y64" i="43"/>
  <c r="Y60" i="43"/>
  <c r="Y58" i="43"/>
  <c r="AC135" i="36"/>
  <c r="U135" i="36"/>
  <c r="AC136" i="36"/>
  <c r="AE136" i="36" s="1"/>
  <c r="AF136" i="36" s="1"/>
  <c r="U136" i="36"/>
  <c r="V136" i="36" s="1"/>
  <c r="AC146" i="36"/>
  <c r="AE146" i="36" s="1"/>
  <c r="AF146" i="36" s="1"/>
  <c r="U146" i="36"/>
  <c r="V146" i="36" s="1"/>
  <c r="Z76" i="40"/>
  <c r="AC76" i="40" s="1"/>
  <c r="AF76" i="40"/>
  <c r="AG76" i="40" s="1"/>
  <c r="AH76" i="40" s="1"/>
  <c r="Y65" i="40"/>
  <c r="Y73" i="41"/>
  <c r="Y72" i="38"/>
  <c r="Y70" i="40"/>
  <c r="Y74" i="41"/>
  <c r="Y66" i="42"/>
  <c r="AF75" i="38"/>
  <c r="AG75" i="38" s="1"/>
  <c r="AH75" i="38" s="1"/>
  <c r="Z75" i="38"/>
  <c r="AC75" i="38" s="1"/>
  <c r="Y67" i="40"/>
  <c r="Z76" i="38"/>
  <c r="AC76" i="38" s="1"/>
  <c r="AF76" i="38"/>
  <c r="AG76" i="38" s="1"/>
  <c r="AH76" i="38" s="1"/>
  <c r="Y70" i="42"/>
  <c r="AF74" i="43"/>
  <c r="AG74" i="43" s="1"/>
  <c r="AH74" i="43" s="1"/>
  <c r="Z74" i="43"/>
  <c r="AC74" i="43" s="1"/>
  <c r="Y66" i="43"/>
  <c r="Y75" i="43"/>
  <c r="V112" i="36"/>
  <c r="Z120" i="38"/>
  <c r="AC120" i="38" s="1"/>
  <c r="AF120" i="38"/>
  <c r="AG120" i="38" s="1"/>
  <c r="AH120" i="38" s="1"/>
  <c r="Y117" i="38"/>
  <c r="Y118" i="40"/>
  <c r="Y123" i="42"/>
  <c r="AF120" i="42"/>
  <c r="AG120" i="42" s="1"/>
  <c r="AH120" i="42" s="1"/>
  <c r="Z120" i="42"/>
  <c r="AC120" i="42" s="1"/>
  <c r="Y120" i="40"/>
  <c r="Y120" i="41"/>
  <c r="Y124" i="43"/>
  <c r="AF115" i="43"/>
  <c r="Z115" i="43"/>
  <c r="AC115" i="43" s="1"/>
  <c r="AF161" i="40"/>
  <c r="AG161" i="40" s="1"/>
  <c r="AH161" i="40" s="1"/>
  <c r="Z161" i="40"/>
  <c r="Y168" i="41"/>
  <c r="Z162" i="40"/>
  <c r="AC162" i="40" s="1"/>
  <c r="AF162" i="40"/>
  <c r="AG162" i="40" s="1"/>
  <c r="AH162" i="40" s="1"/>
  <c r="Z168" i="42"/>
  <c r="AC168" i="42" s="1"/>
  <c r="AF168" i="42"/>
  <c r="AG168" i="42" s="1"/>
  <c r="AH168" i="42" s="1"/>
  <c r="Y165" i="38"/>
  <c r="Y171" i="42"/>
  <c r="Y163" i="38"/>
  <c r="Y163" i="41"/>
  <c r="Y169" i="40"/>
  <c r="Z167" i="41"/>
  <c r="AC167" i="41" s="1"/>
  <c r="AF167" i="41"/>
  <c r="AG167" i="41" s="1"/>
  <c r="AH167" i="41" s="1"/>
  <c r="Y161" i="42"/>
  <c r="Y164" i="43"/>
  <c r="AF163" i="43"/>
  <c r="AG163" i="43" s="1"/>
  <c r="AH163" i="43" s="1"/>
  <c r="Z163" i="43"/>
  <c r="AC163" i="43" s="1"/>
  <c r="Y171" i="43"/>
  <c r="V210" i="36"/>
  <c r="AC261" i="36"/>
  <c r="AE261" i="36" s="1"/>
  <c r="AF261" i="36" s="1"/>
  <c r="U261" i="36"/>
  <c r="V261" i="36" s="1"/>
  <c r="AC240" i="36"/>
  <c r="AE240" i="36" s="1"/>
  <c r="AF240" i="36" s="1"/>
  <c r="U240" i="36"/>
  <c r="V240" i="36" s="1"/>
  <c r="Y215" i="42"/>
  <c r="Y211" i="41"/>
  <c r="Y216" i="38"/>
  <c r="Y213" i="38"/>
  <c r="Y210" i="41"/>
  <c r="AC253" i="36"/>
  <c r="AE253" i="36" s="1"/>
  <c r="AF253" i="36" s="1"/>
  <c r="U253" i="36"/>
  <c r="V253" i="36" s="1"/>
  <c r="Y219" i="42"/>
  <c r="AC257" i="36"/>
  <c r="AE257" i="36" s="1"/>
  <c r="AF257" i="36" s="1"/>
  <c r="U257" i="36"/>
  <c r="V257" i="36" s="1"/>
  <c r="AC265" i="36"/>
  <c r="AE265" i="36" s="1"/>
  <c r="AF265" i="36" s="1"/>
  <c r="U265" i="36"/>
  <c r="V265" i="36" s="1"/>
  <c r="Y217" i="43"/>
  <c r="U242" i="36"/>
  <c r="V242" i="36" s="1"/>
  <c r="AC242" i="36"/>
  <c r="AE242" i="36" s="1"/>
  <c r="AF242" i="36" s="1"/>
  <c r="U220" i="36"/>
  <c r="V220" i="36" s="1"/>
  <c r="AC220" i="36"/>
  <c r="AE220" i="36" s="1"/>
  <c r="AF220" i="36" s="1"/>
  <c r="AC238" i="36"/>
  <c r="AE238" i="36" s="1"/>
  <c r="AF238" i="36" s="1"/>
  <c r="U238" i="36"/>
  <c r="V238" i="36" s="1"/>
  <c r="Y219" i="43"/>
  <c r="AC254" i="36"/>
  <c r="AE254" i="36" s="1"/>
  <c r="AF254" i="36" s="1"/>
  <c r="U254" i="36"/>
  <c r="V254" i="36" s="1"/>
  <c r="AC241" i="36"/>
  <c r="AE241" i="36" s="1"/>
  <c r="AF241" i="36" s="1"/>
  <c r="U241" i="36"/>
  <c r="V241" i="36" s="1"/>
  <c r="AC225" i="36"/>
  <c r="AE225" i="36" s="1"/>
  <c r="AF225" i="36" s="1"/>
  <c r="U225" i="36"/>
  <c r="V225" i="36" s="1"/>
  <c r="AC222" i="36"/>
  <c r="AE222" i="36" s="1"/>
  <c r="AF222" i="36" s="1"/>
  <c r="U222" i="36"/>
  <c r="V222" i="36" s="1"/>
  <c r="AC252" i="36"/>
  <c r="AE252" i="36" s="1"/>
  <c r="AF252" i="36" s="1"/>
  <c r="U252" i="36"/>
  <c r="V252" i="36" s="1"/>
  <c r="AC239" i="36"/>
  <c r="AE239" i="36" s="1"/>
  <c r="AF239" i="36" s="1"/>
  <c r="U239" i="36"/>
  <c r="V239" i="36" s="1"/>
  <c r="AF265" i="43"/>
  <c r="AG265" i="43" s="1"/>
  <c r="AH265" i="43" s="1"/>
  <c r="Z265" i="43"/>
  <c r="AC265" i="43" s="1"/>
  <c r="Z267" i="41"/>
  <c r="AC267" i="41" s="1"/>
  <c r="AF267" i="41"/>
  <c r="AG267" i="41" s="1"/>
  <c r="AH267" i="41" s="1"/>
  <c r="AF268" i="41"/>
  <c r="AG268" i="41" s="1"/>
  <c r="AH268" i="41" s="1"/>
  <c r="Z268" i="41"/>
  <c r="AC268" i="41" s="1"/>
  <c r="Y296" i="42"/>
  <c r="AF257" i="42"/>
  <c r="AG257" i="42" s="1"/>
  <c r="AH257" i="42" s="1"/>
  <c r="Z257" i="42"/>
  <c r="AI239" i="43"/>
  <c r="AJ239" i="43" s="1"/>
  <c r="AL239" i="43"/>
  <c r="AC233" i="41"/>
  <c r="AI238" i="41"/>
  <c r="AL238" i="41"/>
  <c r="AF243" i="42"/>
  <c r="AG243" i="42" s="1"/>
  <c r="AH243" i="42" s="1"/>
  <c r="Z243" i="42"/>
  <c r="AC243" i="42" s="1"/>
  <c r="AJ234" i="38"/>
  <c r="S26" i="17"/>
  <c r="Y51" i="41"/>
  <c r="Y51" i="38"/>
  <c r="Y45" i="42"/>
  <c r="Y43" i="42"/>
  <c r="Y47" i="40"/>
  <c r="Y45" i="40"/>
  <c r="Y45" i="41"/>
  <c r="Y52" i="40"/>
  <c r="Y46" i="41"/>
  <c r="Y41" i="41"/>
  <c r="Y52" i="42"/>
  <c r="Y44" i="38"/>
  <c r="Y52" i="41"/>
  <c r="Y51" i="43"/>
  <c r="Y151" i="40"/>
  <c r="Y160" i="40"/>
  <c r="Y153" i="40"/>
  <c r="Y156" i="42"/>
  <c r="Y159" i="41"/>
  <c r="Y155" i="38"/>
  <c r="Y151" i="41"/>
  <c r="Y150" i="40"/>
  <c r="Y158" i="38"/>
  <c r="Y154" i="42"/>
  <c r="Y158" i="40"/>
  <c r="Y158" i="41"/>
  <c r="Y151" i="42"/>
  <c r="Y158" i="43"/>
  <c r="Y150" i="43"/>
  <c r="Y156" i="43"/>
  <c r="AI247" i="43"/>
  <c r="AR247" i="43" s="1"/>
  <c r="AL247" i="43"/>
  <c r="AF256" i="38"/>
  <c r="AG256" i="38" s="1"/>
  <c r="AH256" i="38" s="1"/>
  <c r="Z256" i="38"/>
  <c r="AC256" i="38" s="1"/>
  <c r="AI256" i="38" s="1"/>
  <c r="AF248" i="38"/>
  <c r="AG248" i="38" s="1"/>
  <c r="AH248" i="38" s="1"/>
  <c r="Z248" i="38"/>
  <c r="AC248" i="38" s="1"/>
  <c r="AI248" i="38" s="1"/>
  <c r="AC245" i="40"/>
  <c r="AC72" i="36"/>
  <c r="AE72" i="36" s="1"/>
  <c r="AF72" i="36" s="1"/>
  <c r="U72" i="36"/>
  <c r="V72" i="36" s="1"/>
  <c r="AC64" i="36"/>
  <c r="AE64" i="36" s="1"/>
  <c r="AF64" i="36" s="1"/>
  <c r="U64" i="36"/>
  <c r="V64" i="36" s="1"/>
  <c r="AC73" i="36"/>
  <c r="AE73" i="36" s="1"/>
  <c r="AF73" i="36" s="1"/>
  <c r="U73" i="36"/>
  <c r="V73" i="36" s="1"/>
  <c r="AC117" i="36"/>
  <c r="AE117" i="36" s="1"/>
  <c r="AF117" i="36" s="1"/>
  <c r="U117" i="36"/>
  <c r="AC113" i="36"/>
  <c r="AE113" i="36" s="1"/>
  <c r="AF113" i="36" s="1"/>
  <c r="U113" i="36"/>
  <c r="V113" i="36" s="1"/>
  <c r="AC121" i="36"/>
  <c r="AE121" i="36" s="1"/>
  <c r="AF121" i="36" s="1"/>
  <c r="U121" i="36"/>
  <c r="V121" i="36" s="1"/>
  <c r="AC166" i="36"/>
  <c r="AE166" i="36" s="1"/>
  <c r="AF166" i="36" s="1"/>
  <c r="U166" i="36"/>
  <c r="V166" i="36" s="1"/>
  <c r="AC168" i="36"/>
  <c r="AE168" i="36" s="1"/>
  <c r="AF168" i="36" s="1"/>
  <c r="U168" i="36"/>
  <c r="V168" i="36" s="1"/>
  <c r="AC159" i="36"/>
  <c r="U159" i="36"/>
  <c r="AC212" i="36"/>
  <c r="AE212" i="36" s="1"/>
  <c r="AF212" i="36" s="1"/>
  <c r="U212" i="36"/>
  <c r="V212" i="36" s="1"/>
  <c r="AC211" i="36"/>
  <c r="AE211" i="36" s="1"/>
  <c r="AF211" i="36" s="1"/>
  <c r="U211" i="36"/>
  <c r="V211" i="36" s="1"/>
  <c r="AC216" i="36"/>
  <c r="AE216" i="36" s="1"/>
  <c r="AF216" i="36" s="1"/>
  <c r="U216" i="36"/>
  <c r="V216" i="36" s="1"/>
  <c r="AC217" i="36"/>
  <c r="AE217" i="36" s="1"/>
  <c r="AF217" i="36" s="1"/>
  <c r="U217" i="36"/>
  <c r="V217" i="36" s="1"/>
  <c r="AR231" i="38"/>
  <c r="AF227" i="42"/>
  <c r="AG227" i="42" s="1"/>
  <c r="AH227" i="42" s="1"/>
  <c r="Z227" i="42"/>
  <c r="AC227" i="42" s="1"/>
  <c r="AC24" i="36"/>
  <c r="U24" i="36"/>
  <c r="V24" i="36" s="1"/>
  <c r="AC18" i="36"/>
  <c r="U18" i="36"/>
  <c r="V18" i="36" s="1"/>
  <c r="AC21" i="36"/>
  <c r="U21" i="36"/>
  <c r="V21" i="36" s="1"/>
  <c r="AC25" i="36"/>
  <c r="U25" i="36"/>
  <c r="V25" i="36" s="1"/>
  <c r="AK259" i="38"/>
  <c r="AR259" i="38"/>
  <c r="AF264" i="41"/>
  <c r="AG264" i="41" s="1"/>
  <c r="AH264" i="41" s="1"/>
  <c r="Z264" i="41"/>
  <c r="AC264" i="41" s="1"/>
  <c r="S26" i="2"/>
  <c r="Y294" i="43"/>
  <c r="Z233" i="43"/>
  <c r="AF233" i="43"/>
  <c r="AG233" i="43" s="1"/>
  <c r="AH233" i="43" s="1"/>
  <c r="AI237" i="40"/>
  <c r="AL237" i="40"/>
  <c r="AI236" i="40"/>
  <c r="AL236" i="40"/>
  <c r="AR249" i="38"/>
  <c r="AK249" i="38"/>
  <c r="AR247" i="38"/>
  <c r="AF221" i="42"/>
  <c r="AG221" i="42" s="1"/>
  <c r="AH221" i="42" s="1"/>
  <c r="Z221" i="42"/>
  <c r="Y293" i="42"/>
  <c r="AC221" i="40"/>
  <c r="S18" i="2"/>
  <c r="Y30" i="40"/>
  <c r="Y29" i="43"/>
  <c r="Z34" i="38"/>
  <c r="AC34" i="38" s="1"/>
  <c r="AF34" i="38"/>
  <c r="AG34" i="38" s="1"/>
  <c r="AH34" i="38" s="1"/>
  <c r="AF39" i="42"/>
  <c r="AG39" i="42" s="1"/>
  <c r="AH39" i="42" s="1"/>
  <c r="Z39" i="42"/>
  <c r="AC39" i="42" s="1"/>
  <c r="Y31" i="40"/>
  <c r="Z35" i="43"/>
  <c r="AC35" i="43" s="1"/>
  <c r="AF35" i="43"/>
  <c r="AG35" i="43" s="1"/>
  <c r="AH35" i="43" s="1"/>
  <c r="Y38" i="38"/>
  <c r="Y36" i="43"/>
  <c r="Y38" i="40"/>
  <c r="AF39" i="41"/>
  <c r="AG39" i="41" s="1"/>
  <c r="AH39" i="41" s="1"/>
  <c r="Z39" i="41"/>
  <c r="AC39" i="41" s="1"/>
  <c r="Y35" i="42"/>
  <c r="Z33" i="40"/>
  <c r="AC33" i="40" s="1"/>
  <c r="AF33" i="40"/>
  <c r="AG33" i="40" s="1"/>
  <c r="AH33" i="40" s="1"/>
  <c r="AF32" i="38"/>
  <c r="AG32" i="38" s="1"/>
  <c r="AH32" i="38" s="1"/>
  <c r="Z32" i="38"/>
  <c r="AC32" i="38" s="1"/>
  <c r="Y30" i="41"/>
  <c r="S14" i="2"/>
  <c r="S22" i="17"/>
  <c r="AC89" i="36"/>
  <c r="AE89" i="36" s="1"/>
  <c r="AF89" i="36" s="1"/>
  <c r="U89" i="36"/>
  <c r="V89" i="36" s="1"/>
  <c r="AC98" i="36"/>
  <c r="AE98" i="36" s="1"/>
  <c r="AF98" i="36" s="1"/>
  <c r="U98" i="36"/>
  <c r="V98" i="36" s="1"/>
  <c r="AC93" i="36"/>
  <c r="AE93" i="36" s="1"/>
  <c r="AF93" i="36" s="1"/>
  <c r="U93" i="36"/>
  <c r="V93" i="36" s="1"/>
  <c r="AC100" i="36"/>
  <c r="AE100" i="36" s="1"/>
  <c r="AF100" i="36" s="1"/>
  <c r="U100" i="36"/>
  <c r="V100" i="36" s="1"/>
  <c r="AC106" i="36"/>
  <c r="AE106" i="36" s="1"/>
  <c r="AF106" i="36" s="1"/>
  <c r="U106" i="36"/>
  <c r="V106" i="36" s="1"/>
  <c r="AC103" i="36"/>
  <c r="AE103" i="36" s="1"/>
  <c r="AF103" i="36" s="1"/>
  <c r="U103" i="36"/>
  <c r="V103" i="36" s="1"/>
  <c r="AC195" i="36"/>
  <c r="U195" i="36"/>
  <c r="AC203" i="36"/>
  <c r="AE203" i="36" s="1"/>
  <c r="AF203" i="36" s="1"/>
  <c r="U203" i="36"/>
  <c r="V203" i="36" s="1"/>
  <c r="AC201" i="36"/>
  <c r="AE201" i="36" s="1"/>
  <c r="AF201" i="36" s="1"/>
  <c r="U201" i="36"/>
  <c r="AF268" i="43"/>
  <c r="AG268" i="43" s="1"/>
  <c r="AH268" i="43" s="1"/>
  <c r="Z268" i="43"/>
  <c r="AC268" i="43" s="1"/>
  <c r="AJ268" i="38"/>
  <c r="AR262" i="38"/>
  <c r="AK262" i="38"/>
  <c r="AJ243" i="38"/>
  <c r="AJ240" i="38"/>
  <c r="AI236" i="42"/>
  <c r="AJ236" i="42" s="1"/>
  <c r="AL236" i="42"/>
  <c r="AC30" i="36"/>
  <c r="U30" i="36"/>
  <c r="V30" i="36" s="1"/>
  <c r="AC34" i="36"/>
  <c r="U34" i="36"/>
  <c r="V34" i="36" s="1"/>
  <c r="AC32" i="36"/>
  <c r="U32" i="36"/>
  <c r="V32" i="36" s="1"/>
  <c r="Y198" i="40"/>
  <c r="Y204" i="40"/>
  <c r="Y199" i="40"/>
  <c r="T27" i="8"/>
  <c r="Y27" i="8"/>
  <c r="Z27" i="8"/>
  <c r="Y201" i="43"/>
  <c r="Y203" i="42"/>
  <c r="Y204" i="41"/>
  <c r="Y206" i="40"/>
  <c r="Y202" i="41"/>
  <c r="Y207" i="42"/>
  <c r="Y204" i="38"/>
  <c r="Y198" i="42"/>
  <c r="Y208" i="43"/>
  <c r="Y206" i="43"/>
  <c r="Y200" i="43"/>
  <c r="AC245" i="41"/>
  <c r="AI246" i="40"/>
  <c r="AL246" i="40"/>
  <c r="Y87" i="40"/>
  <c r="Y79" i="41"/>
  <c r="Y82" i="38"/>
  <c r="Y82" i="43"/>
  <c r="Y81" i="41"/>
  <c r="Y81" i="38"/>
  <c r="Y78" i="42"/>
  <c r="Y83" i="38"/>
  <c r="Y78" i="41"/>
  <c r="Y84" i="42"/>
  <c r="Y88" i="40"/>
  <c r="Y84" i="41"/>
  <c r="Y88" i="42"/>
  <c r="Y86" i="43"/>
  <c r="Y88" i="43"/>
  <c r="Y87" i="43"/>
  <c r="V172" i="36"/>
  <c r="Y177" i="40"/>
  <c r="Y180" i="38"/>
  <c r="Y176" i="43"/>
  <c r="Y184" i="38"/>
  <c r="T25" i="8"/>
  <c r="Y25" i="8"/>
  <c r="Z25" i="8"/>
  <c r="Y173" i="41"/>
  <c r="Y179" i="40"/>
  <c r="Y176" i="41"/>
  <c r="Y182" i="38"/>
  <c r="Y174" i="42"/>
  <c r="Y184" i="43"/>
  <c r="Y181" i="41"/>
  <c r="Y180" i="43"/>
  <c r="Y181" i="43"/>
  <c r="AI227" i="40"/>
  <c r="AL227" i="40"/>
  <c r="AI228" i="42"/>
  <c r="AL228" i="42"/>
  <c r="AI223" i="41"/>
  <c r="AJ223" i="41" s="1"/>
  <c r="AL223" i="41"/>
  <c r="AF6" i="38"/>
  <c r="AG6" i="38" s="1"/>
  <c r="AH6" i="38" s="1"/>
  <c r="Z6" i="38"/>
  <c r="AC6" i="38" s="1"/>
  <c r="AF14" i="41"/>
  <c r="AG14" i="41" s="1"/>
  <c r="AH14" i="41" s="1"/>
  <c r="Z14" i="41"/>
  <c r="AC14" i="41" s="1"/>
  <c r="AF10" i="43"/>
  <c r="AG10" i="43" s="1"/>
  <c r="AH10" i="43" s="1"/>
  <c r="Z10" i="43"/>
  <c r="AC10" i="43" s="1"/>
  <c r="AF5" i="41"/>
  <c r="Z5" i="41"/>
  <c r="AF16" i="43"/>
  <c r="AG16" i="43" s="1"/>
  <c r="AH16" i="43" s="1"/>
  <c r="Z16" i="43"/>
  <c r="AC16" i="43" s="1"/>
  <c r="AC44" i="36"/>
  <c r="AE44" i="36" s="1"/>
  <c r="AF44" i="36" s="1"/>
  <c r="U44" i="36"/>
  <c r="V44" i="36" s="1"/>
  <c r="AF261" i="41"/>
  <c r="AG261" i="41" s="1"/>
  <c r="AH261" i="41" s="1"/>
  <c r="Z261" i="41"/>
  <c r="AC261" i="41" s="1"/>
  <c r="AF265" i="41"/>
  <c r="AG265" i="41" s="1"/>
  <c r="AH265" i="41" s="1"/>
  <c r="Z265" i="41"/>
  <c r="AC265" i="41" s="1"/>
  <c r="Z96" i="42"/>
  <c r="AC96" i="42" s="1"/>
  <c r="AF96" i="42"/>
  <c r="AG96" i="42" s="1"/>
  <c r="AH96" i="42" s="1"/>
  <c r="AF100" i="43"/>
  <c r="AG100" i="43" s="1"/>
  <c r="AH100" i="43" s="1"/>
  <c r="Z100" i="43"/>
  <c r="AC100" i="43" s="1"/>
  <c r="AF96" i="40"/>
  <c r="AG96" i="40" s="1"/>
  <c r="AH96" i="40" s="1"/>
  <c r="Z96" i="40"/>
  <c r="AC96" i="40" s="1"/>
  <c r="AF97" i="40"/>
  <c r="AG97" i="40" s="1"/>
  <c r="AH97" i="40" s="1"/>
  <c r="Z97" i="40"/>
  <c r="AC97" i="40" s="1"/>
  <c r="AF91" i="40"/>
  <c r="AG91" i="40" s="1"/>
  <c r="AH91" i="40" s="1"/>
  <c r="Z91" i="40"/>
  <c r="AC91" i="40" s="1"/>
  <c r="Z99" i="42"/>
  <c r="AC99" i="42" s="1"/>
  <c r="AF99" i="42"/>
  <c r="AG99" i="42" s="1"/>
  <c r="AH99" i="42" s="1"/>
  <c r="AC178" i="36"/>
  <c r="AE178" i="36" s="1"/>
  <c r="AF178" i="36" s="1"/>
  <c r="U178" i="36"/>
  <c r="V178" i="36" s="1"/>
  <c r="AC181" i="36"/>
  <c r="AE181" i="36" s="1"/>
  <c r="AF181" i="36" s="1"/>
  <c r="U181" i="36"/>
  <c r="V181" i="36" s="1"/>
  <c r="Z242" i="42"/>
  <c r="AC242" i="42" s="1"/>
  <c r="AF242" i="42"/>
  <c r="AG242" i="42" s="1"/>
  <c r="AH242" i="42" s="1"/>
  <c r="AI244" i="41"/>
  <c r="AI248" i="41"/>
  <c r="AL248" i="41"/>
  <c r="AR254" i="38"/>
  <c r="AI250" i="40"/>
  <c r="AJ250" i="40" s="1"/>
  <c r="AL250" i="40"/>
  <c r="S24" i="17"/>
  <c r="AF228" i="43"/>
  <c r="AG228" i="43" s="1"/>
  <c r="AH228" i="43" s="1"/>
  <c r="Z228" i="43"/>
  <c r="AC228" i="43" s="1"/>
  <c r="Z223" i="40"/>
  <c r="AC223" i="40" s="1"/>
  <c r="AF223" i="40"/>
  <c r="AG223" i="40" s="1"/>
  <c r="AH223" i="40" s="1"/>
  <c r="AC133" i="36"/>
  <c r="AE133" i="36" s="1"/>
  <c r="AF133" i="36" s="1"/>
  <c r="U133" i="36"/>
  <c r="V133" i="36" s="1"/>
  <c r="AI252" i="40"/>
  <c r="AJ252" i="40" s="1"/>
  <c r="AL252" i="40"/>
  <c r="S15" i="2"/>
  <c r="AF144" i="40"/>
  <c r="AG144" i="40" s="1"/>
  <c r="AH144" i="40" s="1"/>
  <c r="Z144" i="40"/>
  <c r="AC144" i="40" s="1"/>
  <c r="Z142" i="41"/>
  <c r="AC142" i="41" s="1"/>
  <c r="AF142" i="41"/>
  <c r="AG142" i="41" s="1"/>
  <c r="AH142" i="41" s="1"/>
  <c r="AF141" i="40"/>
  <c r="AG141" i="40" s="1"/>
  <c r="AH141" i="40" s="1"/>
  <c r="Z141" i="40"/>
  <c r="AC141" i="40" s="1"/>
  <c r="Z148" i="41"/>
  <c r="AC148" i="41" s="1"/>
  <c r="Z137" i="38"/>
  <c r="AF137" i="38"/>
  <c r="AG137" i="38" s="1"/>
  <c r="AH137" i="38" s="1"/>
  <c r="Z147" i="41"/>
  <c r="AC147" i="41" s="1"/>
  <c r="AF147" i="41"/>
  <c r="AG147" i="41" s="1"/>
  <c r="AH147" i="41" s="1"/>
  <c r="AF141" i="42"/>
  <c r="AG141" i="42" s="1"/>
  <c r="AH141" i="42" s="1"/>
  <c r="Z141" i="42"/>
  <c r="AC141" i="42" s="1"/>
  <c r="AF25" i="42"/>
  <c r="AG25" i="42" s="1"/>
  <c r="AH25" i="42" s="1"/>
  <c r="Z25" i="42"/>
  <c r="AC25" i="42" s="1"/>
  <c r="AF22" i="38"/>
  <c r="AG22" i="38" s="1"/>
  <c r="AH22" i="38" s="1"/>
  <c r="Z22" i="38"/>
  <c r="AC22" i="38" s="1"/>
  <c r="AF17" i="43"/>
  <c r="AG17" i="43" s="1"/>
  <c r="AH17" i="43" s="1"/>
  <c r="Z17" i="43"/>
  <c r="AF25" i="40"/>
  <c r="AG25" i="40" s="1"/>
  <c r="AH25" i="40" s="1"/>
  <c r="Z25" i="40"/>
  <c r="AC25" i="40" s="1"/>
  <c r="AF19" i="41"/>
  <c r="AG19" i="41" s="1"/>
  <c r="AH19" i="41" s="1"/>
  <c r="Z19" i="41"/>
  <c r="AC19" i="41" s="1"/>
  <c r="Z24" i="41"/>
  <c r="AC24" i="41" s="1"/>
  <c r="AF24" i="41"/>
  <c r="AG24" i="41" s="1"/>
  <c r="AH24" i="41" s="1"/>
  <c r="AF21" i="43"/>
  <c r="AG21" i="43" s="1"/>
  <c r="AH21" i="43" s="1"/>
  <c r="Z21" i="43"/>
  <c r="AC21" i="43" s="1"/>
  <c r="AC189" i="36"/>
  <c r="AE189" i="36" s="1"/>
  <c r="AF189" i="36" s="1"/>
  <c r="U189" i="36"/>
  <c r="V189" i="36" s="1"/>
  <c r="AC190" i="36"/>
  <c r="AE190" i="36" s="1"/>
  <c r="AF190" i="36" s="1"/>
  <c r="U190" i="36"/>
  <c r="V190" i="36" s="1"/>
  <c r="AC53" i="36"/>
  <c r="AE53" i="36" s="1"/>
  <c r="AF53" i="36" s="1"/>
  <c r="U53" i="36"/>
  <c r="V53" i="36" s="1"/>
  <c r="AC154" i="36"/>
  <c r="AE154" i="36" s="1"/>
  <c r="AF154" i="36" s="1"/>
  <c r="U154" i="36"/>
  <c r="V154" i="36" s="1"/>
  <c r="AC158" i="36"/>
  <c r="AE158" i="36" s="1"/>
  <c r="AF158" i="36" s="1"/>
  <c r="U158" i="36"/>
  <c r="V158" i="36" s="1"/>
  <c r="Z107" i="38"/>
  <c r="AC107" i="38" s="1"/>
  <c r="AF107" i="38"/>
  <c r="AG107" i="38" s="1"/>
  <c r="AH107" i="38" s="1"/>
  <c r="AF103" i="38"/>
  <c r="AG103" i="38" s="1"/>
  <c r="AH103" i="38" s="1"/>
  <c r="Z103" i="38"/>
  <c r="AC103" i="38" s="1"/>
  <c r="AF108" i="38"/>
  <c r="AG108" i="38" s="1"/>
  <c r="AH108" i="38" s="1"/>
  <c r="Z105" i="40"/>
  <c r="AC105" i="40" s="1"/>
  <c r="AF105" i="40"/>
  <c r="AG105" i="40" s="1"/>
  <c r="AH105" i="40" s="1"/>
  <c r="AF105" i="41"/>
  <c r="AG105" i="41" s="1"/>
  <c r="AH105" i="41" s="1"/>
  <c r="Z105" i="41"/>
  <c r="AC105" i="41" s="1"/>
  <c r="AF109" i="43"/>
  <c r="AG109" i="43" s="1"/>
  <c r="AH109" i="43" s="1"/>
  <c r="Z109" i="43"/>
  <c r="AC109" i="43" s="1"/>
  <c r="AI252" i="41"/>
  <c r="AJ252" i="41" s="1"/>
  <c r="AL252" i="41"/>
  <c r="AC12" i="36"/>
  <c r="U12" i="36"/>
  <c r="V12" i="36" s="1"/>
  <c r="AC11" i="36"/>
  <c r="U11" i="36"/>
  <c r="V11" i="36" s="1"/>
  <c r="AC5" i="36"/>
  <c r="U5" i="36"/>
  <c r="V5" i="36" s="1"/>
  <c r="AF134" i="41"/>
  <c r="AG134" i="41" s="1"/>
  <c r="AH134" i="41" s="1"/>
  <c r="Y128" i="38"/>
  <c r="T21" i="8"/>
  <c r="Z21" i="8"/>
  <c r="Y21" i="8"/>
  <c r="Z136" i="41"/>
  <c r="AC136" i="41" s="1"/>
  <c r="AI232" i="42"/>
  <c r="AJ232" i="42" s="1"/>
  <c r="AL232" i="42"/>
  <c r="AC86" i="36"/>
  <c r="AE86" i="36" s="1"/>
  <c r="AF86" i="36" s="1"/>
  <c r="U86" i="36"/>
  <c r="V86" i="36" s="1"/>
  <c r="Y190" i="40"/>
  <c r="Y192" i="41"/>
  <c r="AF192" i="38"/>
  <c r="AG192" i="38" s="1"/>
  <c r="AH192" i="38" s="1"/>
  <c r="Y185" i="43"/>
  <c r="Y64" i="41"/>
  <c r="AF54" i="38"/>
  <c r="AG54" i="38" s="1"/>
  <c r="AH54" i="38" s="1"/>
  <c r="Y63" i="38"/>
  <c r="Y53" i="43"/>
  <c r="AC142" i="36"/>
  <c r="AE142" i="36" s="1"/>
  <c r="AF142" i="36" s="1"/>
  <c r="U142" i="36"/>
  <c r="V142" i="36" s="1"/>
  <c r="Z76" i="41"/>
  <c r="AC76" i="41" s="1"/>
  <c r="AF76" i="41"/>
  <c r="AG76" i="41" s="1"/>
  <c r="AH76" i="41" s="1"/>
  <c r="Z65" i="38"/>
  <c r="AF65" i="38"/>
  <c r="AG65" i="38" s="1"/>
  <c r="AH65" i="38" s="1"/>
  <c r="Z72" i="42"/>
  <c r="AC72" i="42" s="1"/>
  <c r="AF72" i="42"/>
  <c r="AG72" i="42" s="1"/>
  <c r="AH72" i="42" s="1"/>
  <c r="AF71" i="42"/>
  <c r="AG71" i="42" s="1"/>
  <c r="AH71" i="42" s="1"/>
  <c r="Z71" i="42"/>
  <c r="AC71" i="42" s="1"/>
  <c r="Z74" i="38"/>
  <c r="AC74" i="38" s="1"/>
  <c r="AF74" i="38"/>
  <c r="AG74" i="38" s="1"/>
  <c r="AH74" i="38" s="1"/>
  <c r="Z74" i="40"/>
  <c r="AC74" i="40" s="1"/>
  <c r="AF74" i="40"/>
  <c r="AG74" i="40" s="1"/>
  <c r="AH74" i="40" s="1"/>
  <c r="AF67" i="42"/>
  <c r="AG67" i="42" s="1"/>
  <c r="AH67" i="42" s="1"/>
  <c r="Z67" i="42"/>
  <c r="AC67" i="42" s="1"/>
  <c r="AF65" i="43"/>
  <c r="AG65" i="43" s="1"/>
  <c r="AH65" i="43" s="1"/>
  <c r="Z65" i="43"/>
  <c r="Z123" i="40"/>
  <c r="AC123" i="40" s="1"/>
  <c r="AF123" i="40"/>
  <c r="AG123" i="40" s="1"/>
  <c r="AH123" i="40" s="1"/>
  <c r="Z121" i="41"/>
  <c r="AC121" i="41" s="1"/>
  <c r="AF121" i="41"/>
  <c r="Z114" i="38"/>
  <c r="AC114" i="38" s="1"/>
  <c r="AF122" i="40"/>
  <c r="AG122" i="40" s="1"/>
  <c r="AH122" i="40" s="1"/>
  <c r="Z122" i="40"/>
  <c r="AC122" i="40" s="1"/>
  <c r="AF113" i="43"/>
  <c r="Z113" i="43"/>
  <c r="Z116" i="42"/>
  <c r="AC116" i="42" s="1"/>
  <c r="AF116" i="42"/>
  <c r="AG116" i="42" s="1"/>
  <c r="AH116" i="42" s="1"/>
  <c r="Z119" i="43"/>
  <c r="AC119" i="43" s="1"/>
  <c r="AF119" i="43"/>
  <c r="AF165" i="41"/>
  <c r="AG165" i="41" s="1"/>
  <c r="AH165" i="41" s="1"/>
  <c r="Z165" i="41"/>
  <c r="AC165" i="41" s="1"/>
  <c r="T24" i="8"/>
  <c r="Y24" i="8"/>
  <c r="Z24" i="8"/>
  <c r="Z161" i="38"/>
  <c r="AF161" i="38"/>
  <c r="AG161" i="38" s="1"/>
  <c r="AH161" i="38" s="1"/>
  <c r="AF168" i="40"/>
  <c r="AG168" i="40" s="1"/>
  <c r="AH168" i="40" s="1"/>
  <c r="Z168" i="40"/>
  <c r="AC168" i="40" s="1"/>
  <c r="AF165" i="42"/>
  <c r="AG165" i="42" s="1"/>
  <c r="AH165" i="42" s="1"/>
  <c r="Z165" i="42"/>
  <c r="AC165" i="42" s="1"/>
  <c r="AF164" i="41"/>
  <c r="AG164" i="41" s="1"/>
  <c r="AH164" i="41" s="1"/>
  <c r="Z164" i="41"/>
  <c r="AC164" i="41" s="1"/>
  <c r="AF170" i="43"/>
  <c r="AG170" i="43" s="1"/>
  <c r="AH170" i="43" s="1"/>
  <c r="AF216" i="40"/>
  <c r="AG216" i="40" s="1"/>
  <c r="AH216" i="40" s="1"/>
  <c r="Z216" i="40"/>
  <c r="AC216" i="40" s="1"/>
  <c r="Z214" i="41"/>
  <c r="AC214" i="41" s="1"/>
  <c r="AF214" i="41"/>
  <c r="AG214" i="41" s="1"/>
  <c r="AH214" i="41" s="1"/>
  <c r="AF218" i="38"/>
  <c r="AG218" i="38" s="1"/>
  <c r="AH218" i="38" s="1"/>
  <c r="Z218" i="38"/>
  <c r="AC218" i="38" s="1"/>
  <c r="AF216" i="42"/>
  <c r="AG216" i="42" s="1"/>
  <c r="AH216" i="42" s="1"/>
  <c r="Z216" i="42"/>
  <c r="AC216" i="42" s="1"/>
  <c r="Z212" i="38"/>
  <c r="AC212" i="38" s="1"/>
  <c r="AF212" i="38"/>
  <c r="AG212" i="38" s="1"/>
  <c r="AH212" i="38" s="1"/>
  <c r="AC228" i="36"/>
  <c r="AE228" i="36" s="1"/>
  <c r="AF228" i="36" s="1"/>
  <c r="U228" i="36"/>
  <c r="V228" i="36" s="1"/>
  <c r="AC255" i="36"/>
  <c r="U255" i="36"/>
  <c r="V255" i="36" s="1"/>
  <c r="AC226" i="36"/>
  <c r="AE226" i="36" s="1"/>
  <c r="AF226" i="36" s="1"/>
  <c r="U226" i="36"/>
  <c r="V226" i="36" s="1"/>
  <c r="AC251" i="36"/>
  <c r="AE251" i="36" s="1"/>
  <c r="AF251" i="36" s="1"/>
  <c r="U251" i="36"/>
  <c r="V251" i="36" s="1"/>
  <c r="AC262" i="36"/>
  <c r="AE262" i="36" s="1"/>
  <c r="AF262" i="36" s="1"/>
  <c r="U262" i="36"/>
  <c r="V262" i="36" s="1"/>
  <c r="Z220" i="43"/>
  <c r="AC220" i="43" s="1"/>
  <c r="AF220" i="43"/>
  <c r="AG220" i="43" s="1"/>
  <c r="AH220" i="43" s="1"/>
  <c r="AC221" i="36"/>
  <c r="AE221" i="36" s="1"/>
  <c r="AF221" i="36" s="1"/>
  <c r="U221" i="36"/>
  <c r="V221" i="36" s="1"/>
  <c r="Z258" i="38"/>
  <c r="AC258" i="38" s="1"/>
  <c r="AI258" i="38" s="1"/>
  <c r="AF258" i="38"/>
  <c r="AG258" i="38" s="1"/>
  <c r="AH258" i="38" s="1"/>
  <c r="Z260" i="41"/>
  <c r="AC260" i="41" s="1"/>
  <c r="AF260" i="41"/>
  <c r="AG260" i="41" s="1"/>
  <c r="AH260" i="41" s="1"/>
  <c r="Y46" i="43"/>
  <c r="AF50" i="40"/>
  <c r="AG50" i="40" s="1"/>
  <c r="AH50" i="40" s="1"/>
  <c r="V150" i="36"/>
  <c r="Y153" i="41"/>
  <c r="Z160" i="38"/>
  <c r="AC160" i="38" s="1"/>
  <c r="Y154" i="41"/>
  <c r="Z155" i="43"/>
  <c r="AC155" i="43" s="1"/>
  <c r="AF245" i="43"/>
  <c r="AG245" i="43" s="1"/>
  <c r="AH245" i="43" s="1"/>
  <c r="Z245" i="43"/>
  <c r="Y295" i="43"/>
  <c r="AI246" i="41"/>
  <c r="AJ246" i="41" s="1"/>
  <c r="AL246" i="41"/>
  <c r="Z249" i="42"/>
  <c r="AC249" i="42" s="1"/>
  <c r="AF249" i="42"/>
  <c r="AG249" i="42" s="1"/>
  <c r="AH249" i="42" s="1"/>
  <c r="AC68" i="36"/>
  <c r="AE68" i="36" s="1"/>
  <c r="AF68" i="36" s="1"/>
  <c r="U68" i="36"/>
  <c r="V68" i="36" s="1"/>
  <c r="AC65" i="36"/>
  <c r="AE65" i="36" s="1"/>
  <c r="AF65" i="36" s="1"/>
  <c r="U65" i="36"/>
  <c r="V65" i="36" s="1"/>
  <c r="AC122" i="36"/>
  <c r="AE122" i="36" s="1"/>
  <c r="AF122" i="36" s="1"/>
  <c r="U122" i="36"/>
  <c r="V122" i="36" s="1"/>
  <c r="AC111" i="36"/>
  <c r="U111" i="36"/>
  <c r="AC170" i="36"/>
  <c r="AE170" i="36" s="1"/>
  <c r="AF170" i="36" s="1"/>
  <c r="U170" i="36"/>
  <c r="V170" i="36" s="1"/>
  <c r="AC167" i="36"/>
  <c r="AE167" i="36" s="1"/>
  <c r="AF167" i="36" s="1"/>
  <c r="U167" i="36"/>
  <c r="AC215" i="36"/>
  <c r="AE215" i="36" s="1"/>
  <c r="AF215" i="36" s="1"/>
  <c r="U215" i="36"/>
  <c r="V215" i="36" s="1"/>
  <c r="AF230" i="43"/>
  <c r="AG230" i="43" s="1"/>
  <c r="AH230" i="43" s="1"/>
  <c r="Z230" i="43"/>
  <c r="AC230" i="43" s="1"/>
  <c r="Z232" i="41"/>
  <c r="AC232" i="41" s="1"/>
  <c r="AF232" i="41"/>
  <c r="AG232" i="41" s="1"/>
  <c r="AH232" i="41" s="1"/>
  <c r="AC16" i="36"/>
  <c r="U16" i="36"/>
  <c r="V16" i="36" s="1"/>
  <c r="AR264" i="38"/>
  <c r="AK264" i="38"/>
  <c r="AI239" i="42"/>
  <c r="AJ239" i="42" s="1"/>
  <c r="AL239" i="42"/>
  <c r="AK241" i="38"/>
  <c r="AR241" i="38"/>
  <c r="AJ225" i="38"/>
  <c r="AR225" i="38"/>
  <c r="Z40" i="40"/>
  <c r="AC40" i="40" s="1"/>
  <c r="Z38" i="41"/>
  <c r="AC38" i="41" s="1"/>
  <c r="AF38" i="41"/>
  <c r="AG38" i="41" s="1"/>
  <c r="AH38" i="41" s="1"/>
  <c r="Z35" i="40"/>
  <c r="AC35" i="40" s="1"/>
  <c r="AF35" i="40"/>
  <c r="AG35" i="40" s="1"/>
  <c r="AH35" i="40" s="1"/>
  <c r="AF34" i="43"/>
  <c r="AG34" i="43" s="1"/>
  <c r="AH34" i="43" s="1"/>
  <c r="Z34" i="43"/>
  <c r="AC34" i="43" s="1"/>
  <c r="AF37" i="41"/>
  <c r="AG37" i="41" s="1"/>
  <c r="AH37" i="41" s="1"/>
  <c r="Z37" i="41"/>
  <c r="AC37" i="41" s="1"/>
  <c r="Z32" i="43"/>
  <c r="AC32" i="43" s="1"/>
  <c r="AF32" i="43"/>
  <c r="AG32" i="43" s="1"/>
  <c r="AH32" i="43" s="1"/>
  <c r="AC95" i="36"/>
  <c r="AE95" i="36" s="1"/>
  <c r="AF95" i="36" s="1"/>
  <c r="U95" i="36"/>
  <c r="V95" i="36" s="1"/>
  <c r="AC92" i="36"/>
  <c r="AE92" i="36" s="1"/>
  <c r="AF92" i="36" s="1"/>
  <c r="U92" i="36"/>
  <c r="V92" i="36" s="1"/>
  <c r="AC110" i="36"/>
  <c r="AE110" i="36" s="1"/>
  <c r="AF110" i="36" s="1"/>
  <c r="U110" i="36"/>
  <c r="V110" i="36" s="1"/>
  <c r="AC200" i="36"/>
  <c r="AE200" i="36" s="1"/>
  <c r="AF200" i="36" s="1"/>
  <c r="U200" i="36"/>
  <c r="V200" i="36" s="1"/>
  <c r="AC196" i="36"/>
  <c r="AE196" i="36" s="1"/>
  <c r="AF196" i="36" s="1"/>
  <c r="U196" i="36"/>
  <c r="V196" i="36" s="1"/>
  <c r="Y296" i="43"/>
  <c r="AC33" i="36"/>
  <c r="U33" i="36"/>
  <c r="V33" i="36" s="1"/>
  <c r="Z200" i="40"/>
  <c r="AC200" i="40" s="1"/>
  <c r="Y206" i="41"/>
  <c r="Y205" i="41"/>
  <c r="AF199" i="43"/>
  <c r="AG199" i="43" s="1"/>
  <c r="AH199" i="43" s="1"/>
  <c r="AF78" i="38"/>
  <c r="AG78" i="38" s="1"/>
  <c r="AH78" i="38" s="1"/>
  <c r="Z78" i="38"/>
  <c r="AC78" i="38" s="1"/>
  <c r="AF86" i="41"/>
  <c r="AG86" i="41" s="1"/>
  <c r="AH86" i="41" s="1"/>
  <c r="Z86" i="41"/>
  <c r="AC86" i="41" s="1"/>
  <c r="Y84" i="38"/>
  <c r="Y81" i="40"/>
  <c r="Z82" i="41"/>
  <c r="AC82" i="41" s="1"/>
  <c r="V179" i="36"/>
  <c r="Z176" i="40"/>
  <c r="AC176" i="40" s="1"/>
  <c r="Y177" i="42"/>
  <c r="Y178" i="42"/>
  <c r="AF174" i="41"/>
  <c r="AG174" i="41" s="1"/>
  <c r="AH174" i="41" s="1"/>
  <c r="AC221" i="41"/>
  <c r="Y10" i="40"/>
  <c r="Z272" i="43"/>
  <c r="Z272" i="41"/>
  <c r="Y11" i="8"/>
  <c r="Z272" i="40"/>
  <c r="Z11" i="8"/>
  <c r="T11" i="8"/>
  <c r="Z272" i="42"/>
  <c r="Z272" i="38"/>
  <c r="AF11" i="42"/>
  <c r="AG11" i="42" s="1"/>
  <c r="AH11" i="42" s="1"/>
  <c r="Z11" i="42"/>
  <c r="AC11" i="42" s="1"/>
  <c r="AF10" i="41"/>
  <c r="AG10" i="41" s="1"/>
  <c r="AH10" i="41" s="1"/>
  <c r="Z10" i="41"/>
  <c r="AC10" i="41" s="1"/>
  <c r="Y12" i="38"/>
  <c r="AF6" i="43"/>
  <c r="AG6" i="43" s="1"/>
  <c r="AH6" i="43" s="1"/>
  <c r="Z6" i="43"/>
  <c r="AC6" i="43" s="1"/>
  <c r="AC45" i="36"/>
  <c r="AE45" i="36" s="1"/>
  <c r="AF45" i="36" s="1"/>
  <c r="U45" i="36"/>
  <c r="V45" i="36" s="1"/>
  <c r="Z263" i="41"/>
  <c r="AC263" i="41" s="1"/>
  <c r="AF263" i="41"/>
  <c r="AG263" i="41" s="1"/>
  <c r="AH263" i="41" s="1"/>
  <c r="S16" i="2"/>
  <c r="Y94" i="43"/>
  <c r="AF94" i="38"/>
  <c r="AG94" i="38" s="1"/>
  <c r="AH94" i="38" s="1"/>
  <c r="Z94" i="38"/>
  <c r="AC94" i="38" s="1"/>
  <c r="Y92" i="42"/>
  <c r="Y91" i="43"/>
  <c r="Y95" i="41"/>
  <c r="AC180" i="36"/>
  <c r="AE180" i="36" s="1"/>
  <c r="AF180" i="36" s="1"/>
  <c r="U180" i="36"/>
  <c r="V180" i="36" s="1"/>
  <c r="AI239" i="40"/>
  <c r="AJ239" i="40" s="1"/>
  <c r="AL239" i="40"/>
  <c r="Z239" i="41"/>
  <c r="AC239" i="41" s="1"/>
  <c r="AF239" i="41"/>
  <c r="AG239" i="41" s="1"/>
  <c r="AH239" i="41" s="1"/>
  <c r="AJ248" i="41"/>
  <c r="AJ254" i="38"/>
  <c r="AF231" i="41"/>
  <c r="AG231" i="41" s="1"/>
  <c r="AH231" i="41" s="1"/>
  <c r="Z231" i="41"/>
  <c r="AC231" i="41" s="1"/>
  <c r="AJ263" i="38"/>
  <c r="AC132" i="36"/>
  <c r="AE132" i="36" s="1"/>
  <c r="AF132" i="36" s="1"/>
  <c r="U132" i="36"/>
  <c r="V132" i="36" s="1"/>
  <c r="AC125" i="36"/>
  <c r="AE125" i="36" s="1"/>
  <c r="AF125" i="36" s="1"/>
  <c r="U125" i="36"/>
  <c r="AI238" i="42"/>
  <c r="AL238" i="42"/>
  <c r="AI252" i="43"/>
  <c r="AL252" i="43"/>
  <c r="AI222" i="43"/>
  <c r="AL222" i="43"/>
  <c r="Z226" i="38"/>
  <c r="AC226" i="38" s="1"/>
  <c r="AF226" i="38"/>
  <c r="AG226" i="38" s="1"/>
  <c r="AH226" i="38" s="1"/>
  <c r="J282" i="36"/>
  <c r="Z144" i="38"/>
  <c r="AC144" i="38" s="1"/>
  <c r="AF144" i="38"/>
  <c r="AG144" i="38" s="1"/>
  <c r="AH144" i="38" s="1"/>
  <c r="AF138" i="42"/>
  <c r="AG138" i="42" s="1"/>
  <c r="AH138" i="42" s="1"/>
  <c r="Z138" i="42"/>
  <c r="AC138" i="42" s="1"/>
  <c r="Z144" i="41"/>
  <c r="AC144" i="41" s="1"/>
  <c r="AF144" i="41"/>
  <c r="AG144" i="41" s="1"/>
  <c r="AH144" i="41" s="1"/>
  <c r="AF146" i="38"/>
  <c r="AG146" i="38" s="1"/>
  <c r="AH146" i="38" s="1"/>
  <c r="Z146" i="38"/>
  <c r="AC146" i="38" s="1"/>
  <c r="AF144" i="42"/>
  <c r="AG144" i="42" s="1"/>
  <c r="AH144" i="42" s="1"/>
  <c r="Z144" i="42"/>
  <c r="AC144" i="42" s="1"/>
  <c r="Z142" i="38"/>
  <c r="AC142" i="38" s="1"/>
  <c r="AF142" i="38"/>
  <c r="AG142" i="38" s="1"/>
  <c r="AH142" i="38" s="1"/>
  <c r="AF139" i="42"/>
  <c r="AG139" i="42" s="1"/>
  <c r="AH139" i="42" s="1"/>
  <c r="Z139" i="42"/>
  <c r="AC139" i="42" s="1"/>
  <c r="Y145" i="42"/>
  <c r="AF25" i="41"/>
  <c r="AG25" i="41" s="1"/>
  <c r="AH25" i="41" s="1"/>
  <c r="Z25" i="41"/>
  <c r="AC25" i="41" s="1"/>
  <c r="Z28" i="40"/>
  <c r="AC28" i="40" s="1"/>
  <c r="AF28" i="40"/>
  <c r="AG28" i="40" s="1"/>
  <c r="AH28" i="40" s="1"/>
  <c r="Y19" i="38"/>
  <c r="Y27" i="38"/>
  <c r="AF19" i="42"/>
  <c r="AG19" i="42" s="1"/>
  <c r="AH19" i="42" s="1"/>
  <c r="Z19" i="42"/>
  <c r="AC19" i="42" s="1"/>
  <c r="Z23" i="43"/>
  <c r="AC23" i="43" s="1"/>
  <c r="AF23" i="43"/>
  <c r="AG23" i="43" s="1"/>
  <c r="AH23" i="43" s="1"/>
  <c r="Y21" i="41"/>
  <c r="Y22" i="43"/>
  <c r="AC184" i="36"/>
  <c r="AE184" i="36" s="1"/>
  <c r="AF184" i="36" s="1"/>
  <c r="U184" i="36"/>
  <c r="AC185" i="36"/>
  <c r="AE185" i="36" s="1"/>
  <c r="AF185" i="36" s="1"/>
  <c r="U185" i="36"/>
  <c r="V185" i="36" s="1"/>
  <c r="AC55" i="36"/>
  <c r="AE55" i="36" s="1"/>
  <c r="AF55" i="36" s="1"/>
  <c r="U55" i="36"/>
  <c r="V55" i="36" s="1"/>
  <c r="AC54" i="36"/>
  <c r="AE54" i="36" s="1"/>
  <c r="AF54" i="36" s="1"/>
  <c r="U54" i="36"/>
  <c r="V54" i="36" s="1"/>
  <c r="AC149" i="36"/>
  <c r="AE149" i="36" s="1"/>
  <c r="AF149" i="36" s="1"/>
  <c r="U149" i="36"/>
  <c r="V149" i="36" s="1"/>
  <c r="AC157" i="36"/>
  <c r="AE157" i="36" s="1"/>
  <c r="AF157" i="36" s="1"/>
  <c r="U157" i="36"/>
  <c r="V157" i="36" s="1"/>
  <c r="AI258" i="43"/>
  <c r="AJ258" i="43" s="1"/>
  <c r="AI263" i="42"/>
  <c r="AL263" i="42"/>
  <c r="AI234" i="42"/>
  <c r="AL234" i="42"/>
  <c r="Y107" i="42"/>
  <c r="Z103" i="41"/>
  <c r="AC103" i="41" s="1"/>
  <c r="AF103" i="41"/>
  <c r="AG103" i="41" s="1"/>
  <c r="AH103" i="41" s="1"/>
  <c r="Z106" i="40"/>
  <c r="AC106" i="40" s="1"/>
  <c r="AF106" i="40"/>
  <c r="AG106" i="40" s="1"/>
  <c r="AH106" i="40" s="1"/>
  <c r="Y105" i="38"/>
  <c r="Z108" i="40"/>
  <c r="AC108" i="40" s="1"/>
  <c r="AF108" i="40"/>
  <c r="AG108" i="40" s="1"/>
  <c r="AH108" i="40" s="1"/>
  <c r="AF110" i="42"/>
  <c r="AG110" i="42" s="1"/>
  <c r="AH110" i="42" s="1"/>
  <c r="Z110" i="42"/>
  <c r="AC110" i="42" s="1"/>
  <c r="AF111" i="43"/>
  <c r="AG111" i="43" s="1"/>
  <c r="AH111" i="43" s="1"/>
  <c r="Z111" i="43"/>
  <c r="AC111" i="43" s="1"/>
  <c r="AI248" i="42"/>
  <c r="AI256" i="41"/>
  <c r="AJ256" i="41" s="1"/>
  <c r="AC6" i="36"/>
  <c r="U6" i="36"/>
  <c r="V6" i="36" s="1"/>
  <c r="AF131" i="40"/>
  <c r="AG131" i="40" s="1"/>
  <c r="AH131" i="40" s="1"/>
  <c r="Z131" i="40"/>
  <c r="AC131" i="40" s="1"/>
  <c r="Z134" i="40"/>
  <c r="AC134" i="40" s="1"/>
  <c r="AF126" i="40"/>
  <c r="AG126" i="40" s="1"/>
  <c r="AH126" i="40" s="1"/>
  <c r="Z126" i="40"/>
  <c r="AC126" i="40" s="1"/>
  <c r="Y128" i="41"/>
  <c r="Y128" i="43"/>
  <c r="AR222" i="38"/>
  <c r="S28" i="2"/>
  <c r="AC81" i="36"/>
  <c r="AE81" i="36" s="1"/>
  <c r="AF81" i="36" s="1"/>
  <c r="U81" i="36"/>
  <c r="V81" i="36" s="1"/>
  <c r="AC76" i="36"/>
  <c r="AE76" i="36" s="1"/>
  <c r="AF76" i="36" s="1"/>
  <c r="U76" i="36"/>
  <c r="V76" i="36" s="1"/>
  <c r="J286" i="36"/>
  <c r="AF195" i="40"/>
  <c r="AG195" i="40" s="1"/>
  <c r="AH195" i="40" s="1"/>
  <c r="Z195" i="40"/>
  <c r="AC195" i="40" s="1"/>
  <c r="AF189" i="41"/>
  <c r="AG189" i="41" s="1"/>
  <c r="AH189" i="41" s="1"/>
  <c r="Z189" i="41"/>
  <c r="AC189" i="41" s="1"/>
  <c r="AF186" i="43"/>
  <c r="AG186" i="43" s="1"/>
  <c r="AH186" i="43" s="1"/>
  <c r="AF193" i="40"/>
  <c r="AG193" i="40" s="1"/>
  <c r="AH193" i="40" s="1"/>
  <c r="Z193" i="40"/>
  <c r="AC193" i="40" s="1"/>
  <c r="Y185" i="41"/>
  <c r="Y190" i="43"/>
  <c r="Y60" i="42"/>
  <c r="Y64" i="40"/>
  <c r="Z61" i="40"/>
  <c r="AC61" i="40" s="1"/>
  <c r="AF64" i="38"/>
  <c r="AG64" i="38" s="1"/>
  <c r="AH64" i="38" s="1"/>
  <c r="Z64" i="38"/>
  <c r="AC64" i="38" s="1"/>
  <c r="Y61" i="38"/>
  <c r="Y54" i="40"/>
  <c r="Y58" i="41"/>
  <c r="AF61" i="43"/>
  <c r="AG61" i="43" s="1"/>
  <c r="AH61" i="43" s="1"/>
  <c r="Z61" i="43"/>
  <c r="AC61" i="43" s="1"/>
  <c r="AC140" i="36"/>
  <c r="AE140" i="36" s="1"/>
  <c r="AF140" i="36" s="1"/>
  <c r="U140" i="36"/>
  <c r="V140" i="36" s="1"/>
  <c r="AC138" i="36"/>
  <c r="AE138" i="36" s="1"/>
  <c r="AF138" i="36" s="1"/>
  <c r="U138" i="36"/>
  <c r="V138" i="36" s="1"/>
  <c r="J276" i="36"/>
  <c r="AF66" i="38"/>
  <c r="AG66" i="38" s="1"/>
  <c r="AH66" i="38" s="1"/>
  <c r="Z66" i="38"/>
  <c r="AC66" i="38" s="1"/>
  <c r="Y73" i="43"/>
  <c r="Y75" i="42"/>
  <c r="AF75" i="41"/>
  <c r="AG75" i="41" s="1"/>
  <c r="AH75" i="41" s="1"/>
  <c r="Z75" i="41"/>
  <c r="AC75" i="41" s="1"/>
  <c r="Z68" i="38"/>
  <c r="AC68" i="38" s="1"/>
  <c r="AF68" i="38"/>
  <c r="AG68" i="38" s="1"/>
  <c r="AH68" i="38" s="1"/>
  <c r="Y70" i="43"/>
  <c r="Z72" i="43"/>
  <c r="AC72" i="43" s="1"/>
  <c r="AF72" i="43"/>
  <c r="AG72" i="43" s="1"/>
  <c r="AH72" i="43" s="1"/>
  <c r="AF124" i="40"/>
  <c r="AG124" i="40" s="1"/>
  <c r="AH124" i="40" s="1"/>
  <c r="Z124" i="40"/>
  <c r="AC124" i="40" s="1"/>
  <c r="Z122" i="41"/>
  <c r="AC122" i="41" s="1"/>
  <c r="AF122" i="41"/>
  <c r="AF122" i="42"/>
  <c r="AG122" i="42" s="1"/>
  <c r="AH122" i="42" s="1"/>
  <c r="Z122" i="42"/>
  <c r="AC122" i="42" s="1"/>
  <c r="AF122" i="38"/>
  <c r="AG122" i="38" s="1"/>
  <c r="AH122" i="38" s="1"/>
  <c r="Z122" i="38"/>
  <c r="AC122" i="38" s="1"/>
  <c r="AF123" i="38"/>
  <c r="AG123" i="38" s="1"/>
  <c r="AH123" i="38" s="1"/>
  <c r="Z123" i="38"/>
  <c r="AC123" i="38" s="1"/>
  <c r="AF114" i="42"/>
  <c r="AG114" i="42" s="1"/>
  <c r="AH114" i="42" s="1"/>
  <c r="Z114" i="42"/>
  <c r="AC114" i="42" s="1"/>
  <c r="Y117" i="43"/>
  <c r="J284" i="36"/>
  <c r="Z171" i="40"/>
  <c r="AC171" i="40" s="1"/>
  <c r="AF171" i="40"/>
  <c r="AG171" i="40" s="1"/>
  <c r="AH171" i="40" s="1"/>
  <c r="AF171" i="38"/>
  <c r="AG171" i="38" s="1"/>
  <c r="AH171" i="38" s="1"/>
  <c r="Z171" i="38"/>
  <c r="AC171" i="38" s="1"/>
  <c r="AF170" i="41"/>
  <c r="AG170" i="41" s="1"/>
  <c r="AH170" i="41" s="1"/>
  <c r="Z170" i="41"/>
  <c r="AC170" i="41" s="1"/>
  <c r="AF170" i="38"/>
  <c r="AG170" i="38" s="1"/>
  <c r="AH170" i="38" s="1"/>
  <c r="Z170" i="38"/>
  <c r="AC170" i="38" s="1"/>
  <c r="AF172" i="41"/>
  <c r="AG172" i="41" s="1"/>
  <c r="AH172" i="41" s="1"/>
  <c r="Z172" i="41"/>
  <c r="AC172" i="41" s="1"/>
  <c r="AF169" i="41"/>
  <c r="AG169" i="41" s="1"/>
  <c r="AH169" i="41" s="1"/>
  <c r="Z169" i="41"/>
  <c r="AC169" i="41" s="1"/>
  <c r="Y172" i="38"/>
  <c r="AF166" i="43"/>
  <c r="AG166" i="43" s="1"/>
  <c r="AH166" i="43" s="1"/>
  <c r="Z166" i="43"/>
  <c r="AC166" i="43" s="1"/>
  <c r="Y217" i="40"/>
  <c r="AF212" i="42"/>
  <c r="AG212" i="42" s="1"/>
  <c r="AH212" i="42" s="1"/>
  <c r="Z212" i="42"/>
  <c r="AC212" i="42" s="1"/>
  <c r="Y215" i="38"/>
  <c r="AF213" i="41"/>
  <c r="AG213" i="41" s="1"/>
  <c r="AH213" i="41" s="1"/>
  <c r="Z213" i="41"/>
  <c r="AC213" i="41" s="1"/>
  <c r="Z220" i="38"/>
  <c r="AC220" i="38" s="1"/>
  <c r="AF220" i="38"/>
  <c r="AG220" i="38" s="1"/>
  <c r="AH220" i="38" s="1"/>
  <c r="U223" i="36"/>
  <c r="V223" i="36" s="1"/>
  <c r="AC223" i="36"/>
  <c r="AE223" i="36" s="1"/>
  <c r="AF223" i="36" s="1"/>
  <c r="AF214" i="43"/>
  <c r="AG214" i="43" s="1"/>
  <c r="AH214" i="43" s="1"/>
  <c r="Z214" i="43"/>
  <c r="AC214" i="43" s="1"/>
  <c r="U247" i="36"/>
  <c r="V247" i="36" s="1"/>
  <c r="AC247" i="36"/>
  <c r="AE247" i="36" s="1"/>
  <c r="AF247" i="36" s="1"/>
  <c r="Y211" i="43"/>
  <c r="AC245" i="36"/>
  <c r="AE245" i="36" s="1"/>
  <c r="AF245" i="36" s="1"/>
  <c r="U245" i="36"/>
  <c r="V245" i="36" s="1"/>
  <c r="AC229" i="36"/>
  <c r="AE229" i="36" s="1"/>
  <c r="AF229" i="36" s="1"/>
  <c r="U229" i="36"/>
  <c r="V229" i="36" s="1"/>
  <c r="AC243" i="36"/>
  <c r="U243" i="36"/>
  <c r="V243" i="36" s="1"/>
  <c r="Z267" i="38"/>
  <c r="AC267" i="38" s="1"/>
  <c r="AI267" i="38" s="1"/>
  <c r="AF267" i="38"/>
  <c r="AG267" i="38" s="1"/>
  <c r="AH267" i="38" s="1"/>
  <c r="Z258" i="41"/>
  <c r="AC258" i="41" s="1"/>
  <c r="AF258" i="41"/>
  <c r="AG258" i="41" s="1"/>
  <c r="AH258" i="41" s="1"/>
  <c r="Z236" i="43"/>
  <c r="AC236" i="43" s="1"/>
  <c r="AF236" i="43"/>
  <c r="AG236" i="43" s="1"/>
  <c r="AH236" i="43" s="1"/>
  <c r="Z242" i="41"/>
  <c r="AC242" i="41" s="1"/>
  <c r="AF242" i="41"/>
  <c r="AG242" i="41" s="1"/>
  <c r="AH242" i="41" s="1"/>
  <c r="AJ237" i="38"/>
  <c r="AJ238" i="43"/>
  <c r="Y46" i="38"/>
  <c r="AF42" i="38"/>
  <c r="AG42" i="38" s="1"/>
  <c r="AH42" i="38" s="1"/>
  <c r="Y50" i="38"/>
  <c r="Y49" i="41"/>
  <c r="Y49" i="43"/>
  <c r="J283" i="36"/>
  <c r="Y160" i="43"/>
  <c r="Z151" i="38"/>
  <c r="AC151" i="38" s="1"/>
  <c r="Y149" i="40"/>
  <c r="Y151" i="43"/>
  <c r="Y295" i="40"/>
  <c r="AC74" i="36"/>
  <c r="AE74" i="36" s="1"/>
  <c r="AF74" i="36" s="1"/>
  <c r="U74" i="36"/>
  <c r="V74" i="36" s="1"/>
  <c r="AC63" i="36"/>
  <c r="U63" i="36"/>
  <c r="AC116" i="36"/>
  <c r="AE116" i="36" s="1"/>
  <c r="AF116" i="36" s="1"/>
  <c r="U116" i="36"/>
  <c r="V116" i="36" s="1"/>
  <c r="AC118" i="36"/>
  <c r="AE118" i="36" s="1"/>
  <c r="AF118" i="36" s="1"/>
  <c r="U118" i="36"/>
  <c r="V118" i="36" s="1"/>
  <c r="AC162" i="36"/>
  <c r="AE162" i="36" s="1"/>
  <c r="AF162" i="36" s="1"/>
  <c r="U162" i="36"/>
  <c r="V162" i="36" s="1"/>
  <c r="AC214" i="36"/>
  <c r="AE214" i="36" s="1"/>
  <c r="AF214" i="36" s="1"/>
  <c r="U214" i="36"/>
  <c r="V214" i="36" s="1"/>
  <c r="AF225" i="40"/>
  <c r="AG225" i="40" s="1"/>
  <c r="AH225" i="40" s="1"/>
  <c r="Z225" i="40"/>
  <c r="AC225" i="40" s="1"/>
  <c r="AC22" i="36"/>
  <c r="U22" i="36"/>
  <c r="V22" i="36" s="1"/>
  <c r="AC19" i="36"/>
  <c r="U19" i="36"/>
  <c r="V19" i="36" s="1"/>
  <c r="AI255" i="42"/>
  <c r="AL255" i="42"/>
  <c r="AI250" i="43"/>
  <c r="AJ250" i="43" s="1"/>
  <c r="AL250" i="43"/>
  <c r="Y30" i="38"/>
  <c r="AF31" i="38"/>
  <c r="AG31" i="38" s="1"/>
  <c r="AH31" i="38" s="1"/>
  <c r="Z31" i="38"/>
  <c r="AC31" i="38" s="1"/>
  <c r="AF36" i="40"/>
  <c r="AG36" i="40" s="1"/>
  <c r="AH36" i="40" s="1"/>
  <c r="Z36" i="40"/>
  <c r="AC36" i="40" s="1"/>
  <c r="Y29" i="42"/>
  <c r="AF35" i="38"/>
  <c r="AG35" i="38" s="1"/>
  <c r="AH35" i="38" s="1"/>
  <c r="Z35" i="38"/>
  <c r="AC35" i="38" s="1"/>
  <c r="AF31" i="42"/>
  <c r="AG31" i="42" s="1"/>
  <c r="AH31" i="42" s="1"/>
  <c r="Z31" i="42"/>
  <c r="AC31" i="42" s="1"/>
  <c r="AC91" i="36"/>
  <c r="AE91" i="36" s="1"/>
  <c r="AF91" i="36" s="1"/>
  <c r="U91" i="36"/>
  <c r="V91" i="36" s="1"/>
  <c r="AC104" i="36"/>
  <c r="AE104" i="36" s="1"/>
  <c r="AF104" i="36" s="1"/>
  <c r="U104" i="36"/>
  <c r="V104" i="36" s="1"/>
  <c r="AC102" i="36"/>
  <c r="AE102" i="36" s="1"/>
  <c r="AF102" i="36" s="1"/>
  <c r="U102" i="36"/>
  <c r="V102" i="36" s="1"/>
  <c r="AC197" i="36"/>
  <c r="AE197" i="36" s="1"/>
  <c r="AF197" i="36" s="1"/>
  <c r="U197" i="36"/>
  <c r="V197" i="36" s="1"/>
  <c r="AK240" i="38"/>
  <c r="AR240" i="38"/>
  <c r="AC27" i="36"/>
  <c r="U27" i="36"/>
  <c r="AC29" i="36"/>
  <c r="U29" i="36"/>
  <c r="V29" i="36" s="1"/>
  <c r="V205" i="36"/>
  <c r="Y207" i="40"/>
  <c r="Y201" i="42"/>
  <c r="Y208" i="38"/>
  <c r="Y202" i="42"/>
  <c r="Y203" i="38"/>
  <c r="AF205" i="43"/>
  <c r="AG205" i="43" s="1"/>
  <c r="AH205" i="43" s="1"/>
  <c r="Y203" i="43"/>
  <c r="Y79" i="38"/>
  <c r="Y86" i="38"/>
  <c r="Y85" i="42"/>
  <c r="Z77" i="40"/>
  <c r="Y83" i="42"/>
  <c r="Y81" i="43"/>
  <c r="J285" i="36"/>
  <c r="Y181" i="42"/>
  <c r="Y179" i="42"/>
  <c r="Y174" i="38"/>
  <c r="Y183" i="43"/>
  <c r="Y178" i="40"/>
  <c r="Y183" i="42"/>
  <c r="AR224" i="38"/>
  <c r="J271" i="36"/>
  <c r="J267" i="36"/>
  <c r="Z5" i="38"/>
  <c r="AF5" i="38"/>
  <c r="Y12" i="42"/>
  <c r="Y15" i="42"/>
  <c r="Y16" i="38"/>
  <c r="AF6" i="40"/>
  <c r="AG6" i="40" s="1"/>
  <c r="AH6" i="40" s="1"/>
  <c r="Z6" i="40"/>
  <c r="AC6" i="40" s="1"/>
  <c r="Y8" i="40"/>
  <c r="Y9" i="41"/>
  <c r="Y9" i="38"/>
  <c r="Y11" i="41"/>
  <c r="Y14" i="42"/>
  <c r="Z13" i="40"/>
  <c r="AC13" i="40" s="1"/>
  <c r="AF13" i="40"/>
  <c r="AG13" i="40" s="1"/>
  <c r="AH13" i="40" s="1"/>
  <c r="Y13" i="41"/>
  <c r="AF10" i="42"/>
  <c r="AG10" i="42" s="1"/>
  <c r="AH10" i="42" s="1"/>
  <c r="Z10" i="42"/>
  <c r="AC10" i="42" s="1"/>
  <c r="AF8" i="43"/>
  <c r="AG8" i="43" s="1"/>
  <c r="AH8" i="43" s="1"/>
  <c r="Z8" i="43"/>
  <c r="AC8" i="43" s="1"/>
  <c r="Y14" i="43"/>
  <c r="Z5" i="43"/>
  <c r="AF5" i="43"/>
  <c r="AC47" i="36"/>
  <c r="AE47" i="36" s="1"/>
  <c r="AF47" i="36" s="1"/>
  <c r="U47" i="36"/>
  <c r="V47" i="36" s="1"/>
  <c r="AC42" i="36"/>
  <c r="AE42" i="36" s="1"/>
  <c r="AF42" i="36" s="1"/>
  <c r="U42" i="36"/>
  <c r="V42" i="36" s="1"/>
  <c r="AC43" i="36"/>
  <c r="AE43" i="36" s="1"/>
  <c r="AF43" i="36" s="1"/>
  <c r="U43" i="36"/>
  <c r="V43" i="36" s="1"/>
  <c r="AF260" i="43"/>
  <c r="AG260" i="43" s="1"/>
  <c r="AH260" i="43" s="1"/>
  <c r="Z260" i="43"/>
  <c r="AC260" i="43" s="1"/>
  <c r="Z260" i="42"/>
  <c r="AC260" i="42" s="1"/>
  <c r="AF260" i="42"/>
  <c r="AG260" i="42" s="1"/>
  <c r="AH260" i="42" s="1"/>
  <c r="Z266" i="40"/>
  <c r="AC266" i="40" s="1"/>
  <c r="AF266" i="40"/>
  <c r="AG266" i="40" s="1"/>
  <c r="AH266" i="40" s="1"/>
  <c r="AF265" i="40"/>
  <c r="AG265" i="40" s="1"/>
  <c r="AH265" i="40" s="1"/>
  <c r="Z265" i="40"/>
  <c r="AC265" i="40" s="1"/>
  <c r="S21" i="2"/>
  <c r="Y90" i="40"/>
  <c r="AF97" i="41"/>
  <c r="AG97" i="41" s="1"/>
  <c r="AH97" i="41" s="1"/>
  <c r="Y95" i="42"/>
  <c r="AF97" i="43"/>
  <c r="AG97" i="43" s="1"/>
  <c r="AH97" i="43" s="1"/>
  <c r="Z97" i="43"/>
  <c r="AC97" i="43" s="1"/>
  <c r="Z96" i="41"/>
  <c r="AC96" i="41" s="1"/>
  <c r="AF96" i="41"/>
  <c r="AG96" i="41" s="1"/>
  <c r="AH96" i="41" s="1"/>
  <c r="Y93" i="40"/>
  <c r="Y98" i="41"/>
  <c r="Z92" i="38"/>
  <c r="AC92" i="38" s="1"/>
  <c r="AF92" i="38"/>
  <c r="AG92" i="38" s="1"/>
  <c r="AH92" i="38" s="1"/>
  <c r="Y94" i="41"/>
  <c r="Y95" i="43"/>
  <c r="Y89" i="40"/>
  <c r="Y96" i="38"/>
  <c r="Y93" i="42"/>
  <c r="AC173" i="36"/>
  <c r="AE173" i="36" s="1"/>
  <c r="AF173" i="36" s="1"/>
  <c r="U173" i="36"/>
  <c r="V173" i="36" s="1"/>
  <c r="AC171" i="36"/>
  <c r="U171" i="36"/>
  <c r="AC176" i="36"/>
  <c r="AE176" i="36" s="1"/>
  <c r="AF176" i="36" s="1"/>
  <c r="U176" i="36"/>
  <c r="V176" i="36" s="1"/>
  <c r="AC175" i="36"/>
  <c r="AE175" i="36" s="1"/>
  <c r="AF175" i="36" s="1"/>
  <c r="U175" i="36"/>
  <c r="AI240" i="43"/>
  <c r="AJ240" i="43" s="1"/>
  <c r="AL240" i="43"/>
  <c r="AR236" i="38"/>
  <c r="AK236" i="38"/>
  <c r="AF243" i="41"/>
  <c r="AG243" i="41" s="1"/>
  <c r="AH243" i="41" s="1"/>
  <c r="Z243" i="41"/>
  <c r="AC243" i="41" s="1"/>
  <c r="AF233" i="38"/>
  <c r="AG233" i="38" s="1"/>
  <c r="AH233" i="38" s="1"/>
  <c r="Z233" i="38"/>
  <c r="Y294" i="38"/>
  <c r="AF251" i="43"/>
  <c r="AG251" i="43" s="1"/>
  <c r="AH251" i="43" s="1"/>
  <c r="Z251" i="43"/>
  <c r="AC251" i="43" s="1"/>
  <c r="AF247" i="40"/>
  <c r="AG247" i="40" s="1"/>
  <c r="AH247" i="40" s="1"/>
  <c r="Z247" i="40"/>
  <c r="AC247" i="40" s="1"/>
  <c r="Z254" i="42"/>
  <c r="AC254" i="42" s="1"/>
  <c r="AF254" i="42"/>
  <c r="AG254" i="42" s="1"/>
  <c r="AH254" i="42" s="1"/>
  <c r="Z248" i="40"/>
  <c r="AC248" i="40" s="1"/>
  <c r="AF248" i="40"/>
  <c r="AG248" i="40" s="1"/>
  <c r="AH248" i="40" s="1"/>
  <c r="AF253" i="43"/>
  <c r="AG253" i="43" s="1"/>
  <c r="AH253" i="43" s="1"/>
  <c r="Z253" i="43"/>
  <c r="AC253" i="43" s="1"/>
  <c r="Y293" i="43"/>
  <c r="AR232" i="38"/>
  <c r="AR230" i="38"/>
  <c r="AI222" i="42"/>
  <c r="AL222" i="42"/>
  <c r="AF232" i="40"/>
  <c r="AG232" i="40" s="1"/>
  <c r="AH232" i="40" s="1"/>
  <c r="Z232" i="40"/>
  <c r="AC232" i="40" s="1"/>
  <c r="AI268" i="40"/>
  <c r="AL268" i="40"/>
  <c r="AF258" i="40"/>
  <c r="AG258" i="40" s="1"/>
  <c r="AH258" i="40" s="1"/>
  <c r="Z258" i="40"/>
  <c r="AC258" i="40" s="1"/>
  <c r="S23" i="2"/>
  <c r="AC128" i="36"/>
  <c r="AE128" i="36" s="1"/>
  <c r="AF128" i="36" s="1"/>
  <c r="U128" i="36"/>
  <c r="V128" i="36" s="1"/>
  <c r="AC131" i="36"/>
  <c r="AE131" i="36" s="1"/>
  <c r="AF131" i="36" s="1"/>
  <c r="U131" i="36"/>
  <c r="V131" i="36" s="1"/>
  <c r="AC130" i="36"/>
  <c r="AE130" i="36" s="1"/>
  <c r="AF130" i="36" s="1"/>
  <c r="U130" i="36"/>
  <c r="V130" i="36" s="1"/>
  <c r="AI235" i="41"/>
  <c r="AJ235" i="41" s="1"/>
  <c r="AI234" i="41"/>
  <c r="AJ234" i="41" s="1"/>
  <c r="AL234" i="41"/>
  <c r="AC245" i="42"/>
  <c r="AI249" i="40"/>
  <c r="AL249" i="40"/>
  <c r="AI229" i="43"/>
  <c r="AL229" i="43"/>
  <c r="AI228" i="41"/>
  <c r="AJ228" i="41" s="1"/>
  <c r="AL228" i="41"/>
  <c r="V137" i="36"/>
  <c r="Y142" i="42"/>
  <c r="T22" i="8"/>
  <c r="Z22" i="8"/>
  <c r="Y22" i="8"/>
  <c r="Z141" i="38"/>
  <c r="AC141" i="38" s="1"/>
  <c r="AF141" i="38"/>
  <c r="AG141" i="38" s="1"/>
  <c r="AH141" i="38" s="1"/>
  <c r="AF140" i="38"/>
  <c r="AG140" i="38" s="1"/>
  <c r="AH140" i="38" s="1"/>
  <c r="Z140" i="38"/>
  <c r="AC140" i="38" s="1"/>
  <c r="AF147" i="38"/>
  <c r="AG147" i="38" s="1"/>
  <c r="AH147" i="38" s="1"/>
  <c r="Z147" i="38"/>
  <c r="AC147" i="38" s="1"/>
  <c r="Y148" i="43"/>
  <c r="Y143" i="38"/>
  <c r="Y286" i="38" s="1"/>
  <c r="Y143" i="41"/>
  <c r="AF146" i="43"/>
  <c r="AG146" i="43" s="1"/>
  <c r="AH146" i="43" s="1"/>
  <c r="Z146" i="43"/>
  <c r="AC146" i="43" s="1"/>
  <c r="Z139" i="38"/>
  <c r="AC139" i="38" s="1"/>
  <c r="AF139" i="38"/>
  <c r="AG139" i="38" s="1"/>
  <c r="AH139" i="38" s="1"/>
  <c r="Y141" i="41"/>
  <c r="Z142" i="43"/>
  <c r="AC142" i="43" s="1"/>
  <c r="AF142" i="43"/>
  <c r="AG142" i="43" s="1"/>
  <c r="AH142" i="43" s="1"/>
  <c r="AF147" i="42"/>
  <c r="AG147" i="42" s="1"/>
  <c r="AH147" i="42" s="1"/>
  <c r="Z147" i="42"/>
  <c r="AC147" i="42" s="1"/>
  <c r="Y137" i="42"/>
  <c r="Y139" i="43"/>
  <c r="J272" i="36"/>
  <c r="Y19" i="40"/>
  <c r="AF17" i="38"/>
  <c r="AG17" i="38" s="1"/>
  <c r="AH17" i="38" s="1"/>
  <c r="Y23" i="40"/>
  <c r="AF19" i="43"/>
  <c r="AG19" i="43" s="1"/>
  <c r="AH19" i="43" s="1"/>
  <c r="Z19" i="43"/>
  <c r="AC19" i="43" s="1"/>
  <c r="Y24" i="38"/>
  <c r="Y17" i="42"/>
  <c r="Y27" i="40"/>
  <c r="Z24" i="42"/>
  <c r="AC24" i="42" s="1"/>
  <c r="AF24" i="42"/>
  <c r="AG24" i="42" s="1"/>
  <c r="AH24" i="42" s="1"/>
  <c r="Y25" i="43"/>
  <c r="AC191" i="36"/>
  <c r="AE191" i="36" s="1"/>
  <c r="AF191" i="36" s="1"/>
  <c r="U191" i="36"/>
  <c r="V191" i="36" s="1"/>
  <c r="AC194" i="36"/>
  <c r="AE194" i="36" s="1"/>
  <c r="AF194" i="36" s="1"/>
  <c r="U194" i="36"/>
  <c r="V194" i="36" s="1"/>
  <c r="AC186" i="36"/>
  <c r="AE186" i="36" s="1"/>
  <c r="AF186" i="36" s="1"/>
  <c r="U186" i="36"/>
  <c r="V186" i="36" s="1"/>
  <c r="AC57" i="36"/>
  <c r="AE57" i="36" s="1"/>
  <c r="AF57" i="36" s="1"/>
  <c r="U57" i="36"/>
  <c r="V57" i="36" s="1"/>
  <c r="AC61" i="36"/>
  <c r="AE61" i="36" s="1"/>
  <c r="AF61" i="36" s="1"/>
  <c r="U61" i="36"/>
  <c r="V61" i="36" s="1"/>
  <c r="AC59" i="36"/>
  <c r="AE59" i="36" s="1"/>
  <c r="AF59" i="36" s="1"/>
  <c r="U59" i="36"/>
  <c r="V59" i="36" s="1"/>
  <c r="AC153" i="36"/>
  <c r="AE153" i="36" s="1"/>
  <c r="AF153" i="36" s="1"/>
  <c r="U153" i="36"/>
  <c r="V153" i="36" s="1"/>
  <c r="AC148" i="36"/>
  <c r="AE148" i="36" s="1"/>
  <c r="AF148" i="36" s="1"/>
  <c r="U148" i="36"/>
  <c r="V148" i="36" s="1"/>
  <c r="AC156" i="36"/>
  <c r="AE156" i="36" s="1"/>
  <c r="AF156" i="36" s="1"/>
  <c r="U156" i="36"/>
  <c r="V156" i="36" s="1"/>
  <c r="AJ261" i="40"/>
  <c r="AR238" i="38"/>
  <c r="AI236" i="41"/>
  <c r="AL236" i="41"/>
  <c r="AI244" i="40"/>
  <c r="Y111" i="38"/>
  <c r="AF103" i="40"/>
  <c r="AG103" i="40" s="1"/>
  <c r="AH103" i="40" s="1"/>
  <c r="Z103" i="40"/>
  <c r="AC103" i="40" s="1"/>
  <c r="AF112" i="40"/>
  <c r="AG112" i="40" s="1"/>
  <c r="AH112" i="40" s="1"/>
  <c r="Z112" i="40"/>
  <c r="AC112" i="40" s="1"/>
  <c r="Y104" i="40"/>
  <c r="AF112" i="42"/>
  <c r="AG112" i="42" s="1"/>
  <c r="AH112" i="42" s="1"/>
  <c r="Y101" i="42"/>
  <c r="AF102" i="40"/>
  <c r="AG102" i="40" s="1"/>
  <c r="AH102" i="40" s="1"/>
  <c r="Z102" i="40"/>
  <c r="AC102" i="40" s="1"/>
  <c r="Z104" i="41"/>
  <c r="AC104" i="41" s="1"/>
  <c r="AF104" i="41"/>
  <c r="AG104" i="41" s="1"/>
  <c r="AH104" i="41" s="1"/>
  <c r="Y103" i="42"/>
  <c r="AF109" i="38"/>
  <c r="AG109" i="38" s="1"/>
  <c r="AH109" i="38" s="1"/>
  <c r="Z109" i="38"/>
  <c r="AC109" i="38" s="1"/>
  <c r="AF110" i="41"/>
  <c r="AG110" i="41" s="1"/>
  <c r="AH110" i="41" s="1"/>
  <c r="Z110" i="41"/>
  <c r="AC110" i="41" s="1"/>
  <c r="Y109" i="42"/>
  <c r="Z101" i="43"/>
  <c r="AF101" i="43"/>
  <c r="AG101" i="43" s="1"/>
  <c r="AH101" i="43" s="1"/>
  <c r="Y108" i="43"/>
  <c r="AI246" i="43"/>
  <c r="AR246" i="43" s="1"/>
  <c r="AI252" i="42"/>
  <c r="AL252" i="42"/>
  <c r="AC14" i="36"/>
  <c r="U14" i="36"/>
  <c r="V14" i="36" s="1"/>
  <c r="AC7" i="36"/>
  <c r="U7" i="36"/>
  <c r="V7" i="36" s="1"/>
  <c r="V125" i="36"/>
  <c r="Y136" i="38"/>
  <c r="Y126" i="43"/>
  <c r="Y133" i="41"/>
  <c r="Y133" i="40"/>
  <c r="Y132" i="42"/>
  <c r="Y132" i="38"/>
  <c r="Y129" i="40"/>
  <c r="Y125" i="38"/>
  <c r="Y132" i="41"/>
  <c r="Y136" i="40"/>
  <c r="Y131" i="41"/>
  <c r="Y134" i="42"/>
  <c r="Y129" i="43"/>
  <c r="Y125" i="43"/>
  <c r="AI223" i="43"/>
  <c r="AR223" i="43" s="1"/>
  <c r="AL223" i="43"/>
  <c r="S17" i="2"/>
  <c r="S24" i="2"/>
  <c r="AC77" i="36"/>
  <c r="AE77" i="36" s="1"/>
  <c r="AF77" i="36" s="1"/>
  <c r="U77" i="36"/>
  <c r="V77" i="36" s="1"/>
  <c r="AC75" i="36"/>
  <c r="U75" i="36"/>
  <c r="AC79" i="36"/>
  <c r="AE79" i="36" s="1"/>
  <c r="AF79" i="36" s="1"/>
  <c r="U79" i="36"/>
  <c r="V79" i="36" s="1"/>
  <c r="V184" i="36"/>
  <c r="V193" i="36"/>
  <c r="Y188" i="40"/>
  <c r="Y188" i="42"/>
  <c r="Y193" i="42"/>
  <c r="Y192" i="40"/>
  <c r="Y191" i="41"/>
  <c r="Y190" i="42"/>
  <c r="Y196" i="40"/>
  <c r="Y185" i="42"/>
  <c r="Y191" i="38"/>
  <c r="Y187" i="41"/>
  <c r="Y194" i="43"/>
  <c r="Y196" i="38"/>
  <c r="Y196" i="42"/>
  <c r="Y188" i="43"/>
  <c r="Y187" i="43"/>
  <c r="Y56" i="38"/>
  <c r="Y55" i="40"/>
  <c r="Y56" i="40"/>
  <c r="Y54" i="42"/>
  <c r="Y57" i="42"/>
  <c r="Y62" i="40"/>
  <c r="Y53" i="41"/>
  <c r="T15" i="8"/>
  <c r="Z15" i="8"/>
  <c r="Y15" i="8"/>
  <c r="Y60" i="38"/>
  <c r="Y64" i="42"/>
  <c r="Y58" i="40"/>
  <c r="Y60" i="41"/>
  <c r="Y55" i="42"/>
  <c r="Y59" i="43"/>
  <c r="Y57" i="43"/>
  <c r="Y54" i="43"/>
  <c r="AC139" i="36"/>
  <c r="AE139" i="36" s="1"/>
  <c r="AF139" i="36" s="1"/>
  <c r="U139" i="36"/>
  <c r="V139" i="36" s="1"/>
  <c r="AC144" i="36"/>
  <c r="AE144" i="36" s="1"/>
  <c r="AF144" i="36" s="1"/>
  <c r="U144" i="36"/>
  <c r="V144" i="36" s="1"/>
  <c r="AC143" i="36"/>
  <c r="AE143" i="36" s="1"/>
  <c r="AF143" i="36" s="1"/>
  <c r="U143" i="36"/>
  <c r="V143" i="36" s="1"/>
  <c r="S19" i="17"/>
  <c r="S27" i="17"/>
  <c r="Y72" i="41"/>
  <c r="T16" i="8"/>
  <c r="Y16" i="8"/>
  <c r="Z16" i="8"/>
  <c r="AF74" i="42"/>
  <c r="AG74" i="42" s="1"/>
  <c r="AH74" i="42" s="1"/>
  <c r="Z74" i="42"/>
  <c r="AC74" i="42" s="1"/>
  <c r="Y67" i="41"/>
  <c r="Y67" i="38"/>
  <c r="AF71" i="41"/>
  <c r="AG71" i="41" s="1"/>
  <c r="AH71" i="41" s="1"/>
  <c r="Z71" i="41"/>
  <c r="AC71" i="41" s="1"/>
  <c r="AF67" i="43"/>
  <c r="AG67" i="43" s="1"/>
  <c r="AH67" i="43" s="1"/>
  <c r="Z67" i="43"/>
  <c r="AC67" i="43" s="1"/>
  <c r="AF71" i="38"/>
  <c r="AG71" i="38" s="1"/>
  <c r="AH71" i="38" s="1"/>
  <c r="Z71" i="38"/>
  <c r="AC71" i="38" s="1"/>
  <c r="Y68" i="42"/>
  <c r="Y73" i="38"/>
  <c r="Z68" i="41"/>
  <c r="AC68" i="41" s="1"/>
  <c r="Y73" i="42"/>
  <c r="Y71" i="43"/>
  <c r="V117" i="36"/>
  <c r="T20" i="8"/>
  <c r="Y20" i="8"/>
  <c r="Z20" i="8"/>
  <c r="Z114" i="41"/>
  <c r="AC114" i="41" s="1"/>
  <c r="AF114" i="41"/>
  <c r="Y113" i="38"/>
  <c r="Y115" i="40"/>
  <c r="Z113" i="40"/>
  <c r="AF113" i="40"/>
  <c r="AG113" i="40" s="1"/>
  <c r="AH113" i="40" s="1"/>
  <c r="Y113" i="41"/>
  <c r="Y115" i="42"/>
  <c r="Y115" i="38"/>
  <c r="AF119" i="41"/>
  <c r="Y119" i="40"/>
  <c r="AF124" i="38"/>
  <c r="AG124" i="38" s="1"/>
  <c r="AH124" i="38" s="1"/>
  <c r="Y114" i="43"/>
  <c r="Y120" i="43"/>
  <c r="AF121" i="43"/>
  <c r="Z121" i="43"/>
  <c r="AC121" i="43" s="1"/>
  <c r="V165" i="36"/>
  <c r="V167" i="36"/>
  <c r="Y167" i="38"/>
  <c r="AF168" i="43"/>
  <c r="AG168" i="43" s="1"/>
  <c r="AH168" i="43" s="1"/>
  <c r="Z168" i="43"/>
  <c r="AC168" i="43" s="1"/>
  <c r="Y162" i="42"/>
  <c r="AF164" i="40"/>
  <c r="AG164" i="40" s="1"/>
  <c r="AH164" i="40" s="1"/>
  <c r="Y163" i="42"/>
  <c r="Y168" i="38"/>
  <c r="AF172" i="42"/>
  <c r="AG172" i="42" s="1"/>
  <c r="AH172" i="42" s="1"/>
  <c r="Z172" i="42"/>
  <c r="AC172" i="42" s="1"/>
  <c r="AF162" i="38"/>
  <c r="AG162" i="38" s="1"/>
  <c r="AH162" i="38" s="1"/>
  <c r="AF166" i="42"/>
  <c r="AG166" i="42" s="1"/>
  <c r="AH166" i="42" s="1"/>
  <c r="Z166" i="42"/>
  <c r="AC166" i="42" s="1"/>
  <c r="Y169" i="38"/>
  <c r="Y165" i="43"/>
  <c r="Z169" i="43"/>
  <c r="AC169" i="43" s="1"/>
  <c r="V208" i="36"/>
  <c r="V207" i="36"/>
  <c r="J288" i="36"/>
  <c r="Y212" i="40"/>
  <c r="Z214" i="40"/>
  <c r="AC214" i="40" s="1"/>
  <c r="Y211" i="40"/>
  <c r="Y214" i="38"/>
  <c r="Y211" i="38"/>
  <c r="AC224" i="36"/>
  <c r="AE224" i="36" s="1"/>
  <c r="AF224" i="36" s="1"/>
  <c r="U224" i="36"/>
  <c r="V224" i="36" s="1"/>
  <c r="Y211" i="42"/>
  <c r="AF216" i="41"/>
  <c r="AG216" i="41" s="1"/>
  <c r="AH216" i="41" s="1"/>
  <c r="Z216" i="41"/>
  <c r="AC216" i="41" s="1"/>
  <c r="Y210" i="38"/>
  <c r="Y210" i="42"/>
  <c r="AF219" i="38"/>
  <c r="AG219" i="38" s="1"/>
  <c r="AH219" i="38" s="1"/>
  <c r="Z219" i="38"/>
  <c r="AC219" i="38" s="1"/>
  <c r="Y217" i="41"/>
  <c r="AC244" i="36"/>
  <c r="AE244" i="36" s="1"/>
  <c r="AF244" i="36" s="1"/>
  <c r="U244" i="36"/>
  <c r="V244" i="36" s="1"/>
  <c r="AC249" i="36"/>
  <c r="AE249" i="36" s="1"/>
  <c r="AF249" i="36" s="1"/>
  <c r="U249" i="36"/>
  <c r="V249" i="36" s="1"/>
  <c r="U263" i="36"/>
  <c r="V263" i="36" s="1"/>
  <c r="AC263" i="36"/>
  <c r="AE263" i="36" s="1"/>
  <c r="AF263" i="36" s="1"/>
  <c r="AC234" i="36"/>
  <c r="AE234" i="36" s="1"/>
  <c r="AF234" i="36" s="1"/>
  <c r="U234" i="36"/>
  <c r="V234" i="36" s="1"/>
  <c r="AC259" i="36"/>
  <c r="AE259" i="36" s="1"/>
  <c r="AF259" i="36" s="1"/>
  <c r="U259" i="36"/>
  <c r="V259" i="36" s="1"/>
  <c r="AC230" i="36"/>
  <c r="AE230" i="36" s="1"/>
  <c r="AF230" i="36" s="1"/>
  <c r="U230" i="36"/>
  <c r="V230" i="36" s="1"/>
  <c r="AC266" i="36"/>
  <c r="AE266" i="36" s="1"/>
  <c r="AF266" i="36" s="1"/>
  <c r="U266" i="36"/>
  <c r="V266" i="36" s="1"/>
  <c r="AC250" i="36"/>
  <c r="AE250" i="36" s="1"/>
  <c r="AF250" i="36" s="1"/>
  <c r="U250" i="36"/>
  <c r="V250" i="36" s="1"/>
  <c r="AC237" i="36"/>
  <c r="AE237" i="36" s="1"/>
  <c r="AF237" i="36" s="1"/>
  <c r="U237" i="36"/>
  <c r="V237" i="36" s="1"/>
  <c r="AF212" i="43"/>
  <c r="AG212" i="43" s="1"/>
  <c r="AH212" i="43" s="1"/>
  <c r="AC264" i="36"/>
  <c r="AE264" i="36" s="1"/>
  <c r="AF264" i="36" s="1"/>
  <c r="U264" i="36"/>
  <c r="V264" i="36" s="1"/>
  <c r="AC248" i="36"/>
  <c r="AE248" i="36" s="1"/>
  <c r="AF248" i="36" s="1"/>
  <c r="U248" i="36"/>
  <c r="V248" i="36" s="1"/>
  <c r="U235" i="36"/>
  <c r="V235" i="36" s="1"/>
  <c r="AC235" i="36"/>
  <c r="AE235" i="36" s="1"/>
  <c r="AF235" i="36" s="1"/>
  <c r="AF266" i="43"/>
  <c r="AG266" i="43" s="1"/>
  <c r="AH266" i="43" s="1"/>
  <c r="Z266" i="43"/>
  <c r="AC266" i="43" s="1"/>
  <c r="AF261" i="42"/>
  <c r="AG261" i="42" s="1"/>
  <c r="AH261" i="42" s="1"/>
  <c r="Z261" i="42"/>
  <c r="AC261" i="42" s="1"/>
  <c r="AF262" i="40"/>
  <c r="AG262" i="40" s="1"/>
  <c r="AH262" i="40" s="1"/>
  <c r="Z262" i="40"/>
  <c r="AC262" i="40" s="1"/>
  <c r="Y296" i="40"/>
  <c r="AF257" i="40"/>
  <c r="AG257" i="40" s="1"/>
  <c r="AH257" i="40" s="1"/>
  <c r="Z257" i="40"/>
  <c r="AI241" i="40"/>
  <c r="AL241" i="40"/>
  <c r="Y294" i="41"/>
  <c r="AF235" i="40"/>
  <c r="AG235" i="40" s="1"/>
  <c r="AH235" i="40" s="1"/>
  <c r="Z235" i="40"/>
  <c r="AC235" i="40" s="1"/>
  <c r="AI234" i="43"/>
  <c r="AJ234" i="43" s="1"/>
  <c r="AL234" i="43"/>
  <c r="AF234" i="40"/>
  <c r="AG234" i="40" s="1"/>
  <c r="AH234" i="40" s="1"/>
  <c r="Z234" i="40"/>
  <c r="AC234" i="40" s="1"/>
  <c r="AI240" i="40"/>
  <c r="AL240" i="40"/>
  <c r="Y50" i="42"/>
  <c r="Y44" i="41"/>
  <c r="T14" i="8"/>
  <c r="Z14" i="8"/>
  <c r="Y14" i="8"/>
  <c r="Y41" i="38"/>
  <c r="Y50" i="41"/>
  <c r="Y49" i="38"/>
  <c r="Y48" i="42"/>
  <c r="Y45" i="38"/>
  <c r="Y49" i="42"/>
  <c r="Y48" i="41"/>
  <c r="Y46" i="42"/>
  <c r="Y52" i="38"/>
  <c r="Y42" i="42"/>
  <c r="Y43" i="43"/>
  <c r="Y44" i="43"/>
  <c r="V155" i="36"/>
  <c r="Y150" i="38"/>
  <c r="Y154" i="38"/>
  <c r="Y149" i="38"/>
  <c r="T23" i="8"/>
  <c r="Y23" i="8"/>
  <c r="Z23" i="8"/>
  <c r="Y160" i="42"/>
  <c r="Y152" i="38"/>
  <c r="Y159" i="42"/>
  <c r="Y154" i="40"/>
  <c r="Y149" i="41"/>
  <c r="Y153" i="38"/>
  <c r="Y157" i="41"/>
  <c r="Y158" i="42"/>
  <c r="Y159" i="40"/>
  <c r="Y159" i="43"/>
  <c r="Y153" i="43"/>
  <c r="AF253" i="42"/>
  <c r="AG253" i="42" s="1"/>
  <c r="AH253" i="42" s="1"/>
  <c r="Z253" i="42"/>
  <c r="AC253" i="42" s="1"/>
  <c r="AF249" i="43"/>
  <c r="AG249" i="43" s="1"/>
  <c r="AH249" i="43" s="1"/>
  <c r="Z249" i="43"/>
  <c r="AC249" i="43" s="1"/>
  <c r="AI254" i="40"/>
  <c r="AL254" i="40"/>
  <c r="AF254" i="41"/>
  <c r="AG254" i="41" s="1"/>
  <c r="AH254" i="41" s="1"/>
  <c r="Z254" i="41"/>
  <c r="AC254" i="41" s="1"/>
  <c r="AI250" i="42"/>
  <c r="AL250" i="42"/>
  <c r="AC66" i="36"/>
  <c r="AE66" i="36" s="1"/>
  <c r="AF66" i="36" s="1"/>
  <c r="U66" i="36"/>
  <c r="V66" i="36" s="1"/>
  <c r="AC67" i="36"/>
  <c r="AE67" i="36" s="1"/>
  <c r="AF67" i="36" s="1"/>
  <c r="U67" i="36"/>
  <c r="V67" i="36" s="1"/>
  <c r="AC69" i="36"/>
  <c r="AE69" i="36" s="1"/>
  <c r="AF69" i="36" s="1"/>
  <c r="U69" i="36"/>
  <c r="V69" i="36" s="1"/>
  <c r="AC115" i="36"/>
  <c r="AE115" i="36" s="1"/>
  <c r="AF115" i="36" s="1"/>
  <c r="U115" i="36"/>
  <c r="V115" i="36" s="1"/>
  <c r="AC120" i="36"/>
  <c r="AE120" i="36" s="1"/>
  <c r="AF120" i="36" s="1"/>
  <c r="U120" i="36"/>
  <c r="V120" i="36" s="1"/>
  <c r="AC119" i="36"/>
  <c r="AE119" i="36" s="1"/>
  <c r="AF119" i="36" s="1"/>
  <c r="U119" i="36"/>
  <c r="V119" i="36" s="1"/>
  <c r="AC163" i="36"/>
  <c r="AE163" i="36" s="1"/>
  <c r="AF163" i="36" s="1"/>
  <c r="U163" i="36"/>
  <c r="V163" i="36" s="1"/>
  <c r="AC161" i="36"/>
  <c r="AE161" i="36" s="1"/>
  <c r="AF161" i="36" s="1"/>
  <c r="U161" i="36"/>
  <c r="V161" i="36" s="1"/>
  <c r="AC160" i="36"/>
  <c r="AE160" i="36" s="1"/>
  <c r="AF160" i="36" s="1"/>
  <c r="U160" i="36"/>
  <c r="V160" i="36" s="1"/>
  <c r="AC213" i="36"/>
  <c r="AE213" i="36" s="1"/>
  <c r="AF213" i="36" s="1"/>
  <c r="U213" i="36"/>
  <c r="V213" i="36" s="1"/>
  <c r="AC209" i="36"/>
  <c r="AE209" i="36" s="1"/>
  <c r="AF209" i="36" s="1"/>
  <c r="U209" i="36"/>
  <c r="V209" i="36" s="1"/>
  <c r="AI226" i="42"/>
  <c r="AR228" i="38"/>
  <c r="Z231" i="42"/>
  <c r="AC231" i="42" s="1"/>
  <c r="AF231" i="42"/>
  <c r="AG231" i="42" s="1"/>
  <c r="AH231" i="42" s="1"/>
  <c r="AF227" i="41"/>
  <c r="AG227" i="41" s="1"/>
  <c r="AH227" i="41" s="1"/>
  <c r="Z227" i="41"/>
  <c r="AC227" i="41" s="1"/>
  <c r="AC20" i="36"/>
  <c r="U20" i="36"/>
  <c r="V20" i="36" s="1"/>
  <c r="AC15" i="36"/>
  <c r="U15" i="36"/>
  <c r="AC23" i="36"/>
  <c r="U23" i="36"/>
  <c r="V23" i="36" s="1"/>
  <c r="AC26" i="36"/>
  <c r="U26" i="36"/>
  <c r="V26" i="36" s="1"/>
  <c r="AF259" i="43"/>
  <c r="AG259" i="43" s="1"/>
  <c r="AH259" i="43" s="1"/>
  <c r="Z259" i="43"/>
  <c r="AC259" i="43" s="1"/>
  <c r="AJ264" i="38"/>
  <c r="AJ239" i="38"/>
  <c r="AJ241" i="38"/>
  <c r="Z237" i="41"/>
  <c r="AC237" i="41" s="1"/>
  <c r="AF237" i="41"/>
  <c r="AG237" i="41" s="1"/>
  <c r="AH237" i="41" s="1"/>
  <c r="AC245" i="38"/>
  <c r="AI245" i="38" s="1"/>
  <c r="AJ251" i="38"/>
  <c r="AI230" i="40"/>
  <c r="AJ230" i="40" s="1"/>
  <c r="AL230" i="40"/>
  <c r="Y293" i="40"/>
  <c r="AF224" i="40"/>
  <c r="AG224" i="40" s="1"/>
  <c r="AH224" i="40" s="1"/>
  <c r="Z224" i="40"/>
  <c r="AC224" i="40" s="1"/>
  <c r="AF32" i="42"/>
  <c r="AG32" i="42" s="1"/>
  <c r="AH32" i="42" s="1"/>
  <c r="Y29" i="40"/>
  <c r="Z38" i="42"/>
  <c r="AC38" i="42" s="1"/>
  <c r="AF38" i="42"/>
  <c r="AG38" i="42" s="1"/>
  <c r="AH38" i="42" s="1"/>
  <c r="Y31" i="41"/>
  <c r="Y29" i="41"/>
  <c r="Y29" i="38"/>
  <c r="Z36" i="38"/>
  <c r="AC36" i="38" s="1"/>
  <c r="AF36" i="38"/>
  <c r="AG36" i="38" s="1"/>
  <c r="AH36" i="38" s="1"/>
  <c r="Y31" i="43"/>
  <c r="Z37" i="38"/>
  <c r="AC37" i="38" s="1"/>
  <c r="AF37" i="38"/>
  <c r="AG37" i="38" s="1"/>
  <c r="AH37" i="38" s="1"/>
  <c r="Y40" i="38"/>
  <c r="Y33" i="42"/>
  <c r="AF39" i="43"/>
  <c r="AG39" i="43" s="1"/>
  <c r="AH39" i="43" s="1"/>
  <c r="Z39" i="43"/>
  <c r="AC39" i="43" s="1"/>
  <c r="AC96" i="36"/>
  <c r="AE96" i="36" s="1"/>
  <c r="AF96" i="36" s="1"/>
  <c r="U96" i="36"/>
  <c r="V96" i="36" s="1"/>
  <c r="AC88" i="36"/>
  <c r="AE88" i="36" s="1"/>
  <c r="AF88" i="36" s="1"/>
  <c r="U88" i="36"/>
  <c r="V88" i="36" s="1"/>
  <c r="AC87" i="36"/>
  <c r="U87" i="36"/>
  <c r="S14" i="17"/>
  <c r="AC99" i="36"/>
  <c r="U99" i="36"/>
  <c r="AC107" i="36"/>
  <c r="AE107" i="36" s="1"/>
  <c r="AF107" i="36" s="1"/>
  <c r="U107" i="36"/>
  <c r="V107" i="36" s="1"/>
  <c r="AC105" i="36"/>
  <c r="AE105" i="36" s="1"/>
  <c r="AF105" i="36" s="1"/>
  <c r="U105" i="36"/>
  <c r="V105" i="36" s="1"/>
  <c r="AC199" i="36"/>
  <c r="AE199" i="36" s="1"/>
  <c r="AF199" i="36" s="1"/>
  <c r="U199" i="36"/>
  <c r="V199" i="36" s="1"/>
  <c r="AC206" i="36"/>
  <c r="AE206" i="36" s="1"/>
  <c r="AF206" i="36" s="1"/>
  <c r="U206" i="36"/>
  <c r="V206" i="36" s="1"/>
  <c r="AC204" i="36"/>
  <c r="AE204" i="36" s="1"/>
  <c r="AF204" i="36" s="1"/>
  <c r="U204" i="36"/>
  <c r="V204" i="36" s="1"/>
  <c r="AC202" i="36"/>
  <c r="AE202" i="36" s="1"/>
  <c r="AF202" i="36" s="1"/>
  <c r="U202" i="36"/>
  <c r="V202" i="36" s="1"/>
  <c r="AC257" i="43"/>
  <c r="AF257" i="41"/>
  <c r="AG257" i="41" s="1"/>
  <c r="AH257" i="41" s="1"/>
  <c r="Z257" i="41"/>
  <c r="Y296" i="41"/>
  <c r="AR268" i="38"/>
  <c r="AR243" i="38"/>
  <c r="AK243" i="38"/>
  <c r="AI243" i="40"/>
  <c r="AL243" i="40"/>
  <c r="AI241" i="41"/>
  <c r="AJ241" i="41" s="1"/>
  <c r="AL241" i="41"/>
  <c r="S11" i="2"/>
  <c r="AC35" i="36"/>
  <c r="U35" i="36"/>
  <c r="V35" i="36" s="1"/>
  <c r="AC28" i="36"/>
  <c r="U28" i="36"/>
  <c r="V28" i="36" s="1"/>
  <c r="AC37" i="36"/>
  <c r="U37" i="36"/>
  <c r="V37" i="36" s="1"/>
  <c r="V198" i="36"/>
  <c r="V201" i="36"/>
  <c r="Y201" i="40"/>
  <c r="Y202" i="40"/>
  <c r="Y197" i="38"/>
  <c r="Y200" i="38"/>
  <c r="Y206" i="38"/>
  <c r="Y205" i="38"/>
  <c r="Y199" i="38"/>
  <c r="Y203" i="41"/>
  <c r="Y205" i="40"/>
  <c r="Y198" i="41"/>
  <c r="Y208" i="40"/>
  <c r="Y201" i="41"/>
  <c r="Y204" i="42"/>
  <c r="Y197" i="43"/>
  <c r="Y202" i="43"/>
  <c r="Y207" i="43"/>
  <c r="Y295" i="41"/>
  <c r="AI251" i="41"/>
  <c r="AL251" i="41"/>
  <c r="AJ250" i="38"/>
  <c r="Y86" i="40"/>
  <c r="Y79" i="42"/>
  <c r="Y85" i="41"/>
  <c r="Y82" i="40"/>
  <c r="Y87" i="42"/>
  <c r="Y85" i="40"/>
  <c r="Y78" i="40"/>
  <c r="Y87" i="38"/>
  <c r="Y83" i="41"/>
  <c r="Y77" i="38"/>
  <c r="Y88" i="41"/>
  <c r="Y80" i="42"/>
  <c r="Y84" i="43"/>
  <c r="Y80" i="43"/>
  <c r="V175" i="36"/>
  <c r="Y174" i="40"/>
  <c r="Y175" i="40"/>
  <c r="Y178" i="41"/>
  <c r="Y182" i="40"/>
  <c r="Y180" i="41"/>
  <c r="Y184" i="40"/>
  <c r="Y182" i="41"/>
  <c r="Y181" i="40"/>
  <c r="Y184" i="41"/>
  <c r="Y175" i="41"/>
  <c r="Y180" i="42"/>
  <c r="Y178" i="38"/>
  <c r="Y173" i="42"/>
  <c r="Y173" i="40"/>
  <c r="Y174" i="43"/>
  <c r="Y182" i="43"/>
  <c r="AI223" i="42"/>
  <c r="AL223" i="42"/>
  <c r="Z182" i="42" l="1"/>
  <c r="AC182" i="42" s="1"/>
  <c r="Z135" i="41"/>
  <c r="AC135" i="41" s="1"/>
  <c r="Z178" i="43"/>
  <c r="AC178" i="43" s="1"/>
  <c r="Z68" i="43"/>
  <c r="AC68" i="43" s="1"/>
  <c r="AL68" i="43" s="1"/>
  <c r="AF214" i="42"/>
  <c r="AG214" i="42" s="1"/>
  <c r="AH214" i="42" s="1"/>
  <c r="Z157" i="43"/>
  <c r="AC157" i="43" s="1"/>
  <c r="AF198" i="43"/>
  <c r="AG198" i="43" s="1"/>
  <c r="AH198" i="43" s="1"/>
  <c r="AF41" i="40"/>
  <c r="AG41" i="40" s="1"/>
  <c r="AH41" i="40" s="1"/>
  <c r="Z185" i="40"/>
  <c r="AJ252" i="43"/>
  <c r="Z50" i="43"/>
  <c r="AC50" i="43" s="1"/>
  <c r="Z149" i="43"/>
  <c r="AC149" i="43" s="1"/>
  <c r="Z112" i="43"/>
  <c r="AC112" i="43" s="1"/>
  <c r="Z118" i="42"/>
  <c r="AC118" i="42" s="1"/>
  <c r="Z218" i="41"/>
  <c r="AC218" i="41" s="1"/>
  <c r="AF89" i="43"/>
  <c r="AG89" i="43" s="1"/>
  <c r="AH89" i="43" s="1"/>
  <c r="AF83" i="40"/>
  <c r="AG83" i="40" s="1"/>
  <c r="AH83" i="40" s="1"/>
  <c r="AF127" i="40"/>
  <c r="AG127" i="40" s="1"/>
  <c r="AH127" i="40" s="1"/>
  <c r="Z132" i="40"/>
  <c r="AC132" i="40" s="1"/>
  <c r="AF95" i="40"/>
  <c r="AG95" i="40" s="1"/>
  <c r="AH95" i="40" s="1"/>
  <c r="Z84" i="40"/>
  <c r="AC84" i="40" s="1"/>
  <c r="AI84" i="40" s="1"/>
  <c r="AF166" i="40"/>
  <c r="AG166" i="40" s="1"/>
  <c r="AH166" i="40" s="1"/>
  <c r="Z219" i="40"/>
  <c r="AC219" i="40" s="1"/>
  <c r="AF80" i="40"/>
  <c r="AG80" i="40" s="1"/>
  <c r="AH80" i="40" s="1"/>
  <c r="Z186" i="40"/>
  <c r="AC186" i="40" s="1"/>
  <c r="AI186" i="40" s="1"/>
  <c r="Z114" i="40"/>
  <c r="AC114" i="40" s="1"/>
  <c r="AI114" i="40" s="1"/>
  <c r="AJ267" i="38"/>
  <c r="AI225" i="42"/>
  <c r="AR225" i="42" s="1"/>
  <c r="Z90" i="42"/>
  <c r="AC90" i="42" s="1"/>
  <c r="AF218" i="42"/>
  <c r="AG218" i="42" s="1"/>
  <c r="AH218" i="42" s="1"/>
  <c r="AL262" i="42"/>
  <c r="Z128" i="42"/>
  <c r="AC128" i="42" s="1"/>
  <c r="AI128" i="42" s="1"/>
  <c r="AF6" i="42"/>
  <c r="AG6" i="42" s="1"/>
  <c r="AH6" i="42" s="1"/>
  <c r="Z20" i="42"/>
  <c r="AC20" i="42" s="1"/>
  <c r="AF5" i="42"/>
  <c r="AG5" i="42" s="1"/>
  <c r="AH5" i="42" s="1"/>
  <c r="Z18" i="41"/>
  <c r="AC18" i="41" s="1"/>
  <c r="AF194" i="42"/>
  <c r="AG194" i="42" s="1"/>
  <c r="AH194" i="42" s="1"/>
  <c r="AF89" i="41"/>
  <c r="AG89" i="41" s="1"/>
  <c r="AH89" i="41" s="1"/>
  <c r="AI231" i="40"/>
  <c r="AJ231" i="40" s="1"/>
  <c r="AF99" i="40"/>
  <c r="AG99" i="40" s="1"/>
  <c r="AH99" i="40" s="1"/>
  <c r="AF199" i="41"/>
  <c r="AG199" i="41" s="1"/>
  <c r="AH199" i="41" s="1"/>
  <c r="AF41" i="43"/>
  <c r="AG41" i="43" s="1"/>
  <c r="AH41" i="43" s="1"/>
  <c r="AF63" i="42"/>
  <c r="AG63" i="42" s="1"/>
  <c r="AH63" i="42" s="1"/>
  <c r="AJ262" i="42"/>
  <c r="AF217" i="38"/>
  <c r="AG217" i="38" s="1"/>
  <c r="AH217" i="38" s="1"/>
  <c r="Z101" i="38"/>
  <c r="AF38" i="43"/>
  <c r="AG38" i="43" s="1"/>
  <c r="AH38" i="43" s="1"/>
  <c r="AF157" i="42"/>
  <c r="AG157" i="42" s="1"/>
  <c r="AH157" i="42" s="1"/>
  <c r="Z157" i="38"/>
  <c r="AC157" i="38" s="1"/>
  <c r="Z66" i="41"/>
  <c r="AC66" i="41" s="1"/>
  <c r="AL66" i="41" s="1"/>
  <c r="Z105" i="42"/>
  <c r="AC105" i="42" s="1"/>
  <c r="AI105" i="42" s="1"/>
  <c r="AJ105" i="42" s="1"/>
  <c r="Z81" i="42"/>
  <c r="AC81" i="42" s="1"/>
  <c r="Z208" i="41"/>
  <c r="AC208" i="41" s="1"/>
  <c r="Z70" i="41"/>
  <c r="AC70" i="41" s="1"/>
  <c r="AI70" i="41" s="1"/>
  <c r="AJ70" i="41" s="1"/>
  <c r="Z140" i="40"/>
  <c r="AC140" i="40" s="1"/>
  <c r="AF33" i="43"/>
  <c r="AG33" i="43" s="1"/>
  <c r="AH33" i="43" s="1"/>
  <c r="AL235" i="41"/>
  <c r="Z34" i="42"/>
  <c r="AC34" i="42" s="1"/>
  <c r="AF45" i="43"/>
  <c r="AG45" i="43" s="1"/>
  <c r="AH45" i="43" s="1"/>
  <c r="AF57" i="41"/>
  <c r="AG57" i="41" s="1"/>
  <c r="AH57" i="41" s="1"/>
  <c r="AL235" i="42"/>
  <c r="AF44" i="40"/>
  <c r="AG44" i="40" s="1"/>
  <c r="AH44" i="40" s="1"/>
  <c r="AF100" i="40"/>
  <c r="AG100" i="40" s="1"/>
  <c r="AH100" i="40" s="1"/>
  <c r="Z16" i="42"/>
  <c r="AC16" i="42" s="1"/>
  <c r="AF162" i="41"/>
  <c r="AG162" i="41" s="1"/>
  <c r="AH162" i="41" s="1"/>
  <c r="Z170" i="42"/>
  <c r="AC170" i="42" s="1"/>
  <c r="AL170" i="42" s="1"/>
  <c r="Z85" i="38"/>
  <c r="AC85" i="38" s="1"/>
  <c r="AI85" i="38" s="1"/>
  <c r="AJ85" i="38" s="1"/>
  <c r="AF157" i="40"/>
  <c r="AG157" i="40" s="1"/>
  <c r="AH157" i="40" s="1"/>
  <c r="Z42" i="43"/>
  <c r="AC42" i="43" s="1"/>
  <c r="AL42" i="43" s="1"/>
  <c r="Z213" i="40"/>
  <c r="AC213" i="40" s="1"/>
  <c r="Z55" i="43"/>
  <c r="AC55" i="43" s="1"/>
  <c r="AI55" i="43" s="1"/>
  <c r="AJ55" i="43" s="1"/>
  <c r="Z195" i="43"/>
  <c r="AC195" i="43" s="1"/>
  <c r="AI195" i="43" s="1"/>
  <c r="AJ261" i="38"/>
  <c r="Z40" i="43"/>
  <c r="AC40" i="43" s="1"/>
  <c r="AF118" i="41"/>
  <c r="AG118" i="41" s="1"/>
  <c r="AH118" i="41" s="1"/>
  <c r="Z220" i="41"/>
  <c r="AC220" i="41" s="1"/>
  <c r="Z160" i="41"/>
  <c r="AC160" i="41" s="1"/>
  <c r="Z48" i="43"/>
  <c r="AC48" i="43" s="1"/>
  <c r="AI48" i="43" s="1"/>
  <c r="Z43" i="38"/>
  <c r="AC43" i="38" s="1"/>
  <c r="AI43" i="38" s="1"/>
  <c r="AJ43" i="38" s="1"/>
  <c r="AK261" i="38"/>
  <c r="AF77" i="41"/>
  <c r="AG77" i="41" s="1"/>
  <c r="AH77" i="41" s="1"/>
  <c r="Z199" i="42"/>
  <c r="AC199" i="42" s="1"/>
  <c r="Z155" i="40"/>
  <c r="AC155" i="40" s="1"/>
  <c r="AI155" i="40" s="1"/>
  <c r="AF93" i="43"/>
  <c r="AG93" i="43" s="1"/>
  <c r="AH93" i="43" s="1"/>
  <c r="Z39" i="38"/>
  <c r="AC39" i="38" s="1"/>
  <c r="AF42" i="41"/>
  <c r="AG42" i="41" s="1"/>
  <c r="AH42" i="41" s="1"/>
  <c r="AF47" i="38"/>
  <c r="AG47" i="38" s="1"/>
  <c r="AH47" i="38" s="1"/>
  <c r="AF61" i="42"/>
  <c r="AG61" i="42" s="1"/>
  <c r="AH61" i="42" s="1"/>
  <c r="AF53" i="40"/>
  <c r="AG53" i="40" s="1"/>
  <c r="AH53" i="40" s="1"/>
  <c r="AF189" i="42"/>
  <c r="AG189" i="42" s="1"/>
  <c r="AH189" i="42" s="1"/>
  <c r="AF116" i="38"/>
  <c r="AG116" i="38" s="1"/>
  <c r="AH116" i="38" s="1"/>
  <c r="Z23" i="41"/>
  <c r="AC23" i="41" s="1"/>
  <c r="Z176" i="38"/>
  <c r="AC176" i="38" s="1"/>
  <c r="Z88" i="38"/>
  <c r="AC88" i="38" s="1"/>
  <c r="Z10" i="38"/>
  <c r="AC10" i="38" s="1"/>
  <c r="AL10" i="43" s="1"/>
  <c r="Z176" i="42"/>
  <c r="AC176" i="42" s="1"/>
  <c r="AI176" i="42" s="1"/>
  <c r="Z152" i="43"/>
  <c r="AC152" i="43" s="1"/>
  <c r="AF71" i="40"/>
  <c r="AG71" i="40" s="1"/>
  <c r="AH71" i="40" s="1"/>
  <c r="AF56" i="42"/>
  <c r="AG56" i="42" s="1"/>
  <c r="AH56" i="42" s="1"/>
  <c r="AL261" i="43"/>
  <c r="Z44" i="42"/>
  <c r="AC44" i="42" s="1"/>
  <c r="Z27" i="41"/>
  <c r="AC27" i="41" s="1"/>
  <c r="AF155" i="41"/>
  <c r="AG155" i="41" s="1"/>
  <c r="AH155" i="41" s="1"/>
  <c r="Z155" i="41"/>
  <c r="AC155" i="41" s="1"/>
  <c r="Z43" i="40"/>
  <c r="AC43" i="40" s="1"/>
  <c r="AI43" i="40" s="1"/>
  <c r="AF43" i="40"/>
  <c r="AG43" i="40" s="1"/>
  <c r="AH43" i="40" s="1"/>
  <c r="AF104" i="42"/>
  <c r="AG104" i="42" s="1"/>
  <c r="AH104" i="42" s="1"/>
  <c r="Z104" i="42"/>
  <c r="AC104" i="42" s="1"/>
  <c r="AI104" i="42" s="1"/>
  <c r="AF33" i="38"/>
  <c r="AG33" i="38" s="1"/>
  <c r="AH33" i="38" s="1"/>
  <c r="Z33" i="38"/>
  <c r="AC33" i="38" s="1"/>
  <c r="Z150" i="41"/>
  <c r="AC150" i="41" s="1"/>
  <c r="AF150" i="41"/>
  <c r="AG150" i="41" s="1"/>
  <c r="AH150" i="41" s="1"/>
  <c r="Z47" i="41"/>
  <c r="AC47" i="41" s="1"/>
  <c r="AF47" i="41"/>
  <c r="AG47" i="41" s="1"/>
  <c r="AH47" i="41" s="1"/>
  <c r="AF20" i="40"/>
  <c r="AG20" i="40" s="1"/>
  <c r="AH20" i="40" s="1"/>
  <c r="Z20" i="40"/>
  <c r="AC20" i="40" s="1"/>
  <c r="AF200" i="41"/>
  <c r="AG200" i="41" s="1"/>
  <c r="AH200" i="41" s="1"/>
  <c r="Z200" i="41"/>
  <c r="AC200" i="41" s="1"/>
  <c r="Z118" i="38"/>
  <c r="AC118" i="38" s="1"/>
  <c r="AL118" i="41" s="1"/>
  <c r="AF118" i="38"/>
  <c r="AG118" i="38" s="1"/>
  <c r="AH118" i="38" s="1"/>
  <c r="Z65" i="42"/>
  <c r="AF65" i="42"/>
  <c r="AG65" i="42" s="1"/>
  <c r="AH65" i="42" s="1"/>
  <c r="AH109" i="44"/>
  <c r="AI109" i="44" s="1"/>
  <c r="AH170" i="44"/>
  <c r="Z169" i="42"/>
  <c r="AC169" i="42" s="1"/>
  <c r="AF7" i="43"/>
  <c r="AG7" i="43" s="1"/>
  <c r="AH7" i="43" s="1"/>
  <c r="AF133" i="43"/>
  <c r="AG133" i="43" s="1"/>
  <c r="AH133" i="43" s="1"/>
  <c r="AH205" i="44"/>
  <c r="AH199" i="44"/>
  <c r="AH163" i="44"/>
  <c r="AH66" i="44"/>
  <c r="AI66" i="44" s="1"/>
  <c r="AH95" i="44"/>
  <c r="AH128" i="44"/>
  <c r="AB125" i="44"/>
  <c r="Z136" i="44"/>
  <c r="Y285" i="44"/>
  <c r="AH174" i="44"/>
  <c r="Y276" i="44"/>
  <c r="AB17" i="44"/>
  <c r="Z28" i="44"/>
  <c r="AH188" i="44"/>
  <c r="AH135" i="44"/>
  <c r="AH154" i="44"/>
  <c r="AH107" i="44"/>
  <c r="AH139" i="44"/>
  <c r="AH189" i="44"/>
  <c r="AH93" i="44"/>
  <c r="Z130" i="41"/>
  <c r="AC130" i="41" s="1"/>
  <c r="AL130" i="41" s="1"/>
  <c r="AF130" i="41"/>
  <c r="AG130" i="41" s="1"/>
  <c r="AH130" i="41" s="1"/>
  <c r="AF141" i="43"/>
  <c r="AG141" i="43" s="1"/>
  <c r="AH141" i="43" s="1"/>
  <c r="Z141" i="43"/>
  <c r="AC141" i="43" s="1"/>
  <c r="AF156" i="41"/>
  <c r="AG156" i="41" s="1"/>
  <c r="AH156" i="41" s="1"/>
  <c r="Z156" i="41"/>
  <c r="AC156" i="41" s="1"/>
  <c r="AI156" i="41" s="1"/>
  <c r="AF152" i="41"/>
  <c r="AG152" i="41" s="1"/>
  <c r="AH152" i="41" s="1"/>
  <c r="Z152" i="41"/>
  <c r="AC152" i="41" s="1"/>
  <c r="AI152" i="41" s="1"/>
  <c r="AF48" i="38"/>
  <c r="AG48" i="38" s="1"/>
  <c r="AH48" i="38" s="1"/>
  <c r="Z48" i="38"/>
  <c r="AC48" i="38" s="1"/>
  <c r="AI48" i="38" s="1"/>
  <c r="AF49" i="40"/>
  <c r="AG49" i="40" s="1"/>
  <c r="AH49" i="40" s="1"/>
  <c r="Z49" i="40"/>
  <c r="AC49" i="40" s="1"/>
  <c r="AI49" i="40" s="1"/>
  <c r="AF170" i="40"/>
  <c r="AG170" i="40" s="1"/>
  <c r="AH170" i="40" s="1"/>
  <c r="Z170" i="40"/>
  <c r="AC170" i="40" s="1"/>
  <c r="AL170" i="40" s="1"/>
  <c r="Z73" i="40"/>
  <c r="AC73" i="40" s="1"/>
  <c r="AF73" i="40"/>
  <c r="AG73" i="40" s="1"/>
  <c r="AH73" i="40" s="1"/>
  <c r="Z32" i="41"/>
  <c r="AC32" i="41" s="1"/>
  <c r="AF32" i="41"/>
  <c r="AG32" i="41" s="1"/>
  <c r="AH32" i="41" s="1"/>
  <c r="AF111" i="41"/>
  <c r="AG111" i="41" s="1"/>
  <c r="AH111" i="41" s="1"/>
  <c r="Z111" i="41"/>
  <c r="AC111" i="41" s="1"/>
  <c r="AI111" i="41" s="1"/>
  <c r="AF22" i="41"/>
  <c r="AG22" i="41" s="1"/>
  <c r="AH22" i="41" s="1"/>
  <c r="Z22" i="41"/>
  <c r="AC22" i="41" s="1"/>
  <c r="AI22" i="41" s="1"/>
  <c r="Z98" i="42"/>
  <c r="AC98" i="42" s="1"/>
  <c r="AI98" i="42" s="1"/>
  <c r="AF98" i="42"/>
  <c r="AG98" i="42" s="1"/>
  <c r="AH98" i="42" s="1"/>
  <c r="AI264" i="42"/>
  <c r="AK264" i="42" s="1"/>
  <c r="AL264" i="42"/>
  <c r="Z92" i="43"/>
  <c r="AC92" i="43" s="1"/>
  <c r="AI92" i="43" s="1"/>
  <c r="AF92" i="43"/>
  <c r="AG92" i="43" s="1"/>
  <c r="AH92" i="43" s="1"/>
  <c r="Z87" i="41"/>
  <c r="AC87" i="41" s="1"/>
  <c r="AI87" i="41" s="1"/>
  <c r="AJ87" i="41" s="1"/>
  <c r="AF87" i="41"/>
  <c r="AG87" i="41" s="1"/>
  <c r="AH87" i="41" s="1"/>
  <c r="AF37" i="42"/>
  <c r="AG37" i="42" s="1"/>
  <c r="AH37" i="42" s="1"/>
  <c r="Z37" i="42"/>
  <c r="AC37" i="42" s="1"/>
  <c r="AL37" i="42" s="1"/>
  <c r="AH108" i="44"/>
  <c r="AH14" i="44"/>
  <c r="AF220" i="42"/>
  <c r="AG220" i="42" s="1"/>
  <c r="AH220" i="42" s="1"/>
  <c r="AF117" i="41"/>
  <c r="AG117" i="41" s="1"/>
  <c r="AH117" i="41" s="1"/>
  <c r="AJ265" i="42"/>
  <c r="AF152" i="42"/>
  <c r="AG152" i="42" s="1"/>
  <c r="AH152" i="42" s="1"/>
  <c r="AI226" i="38"/>
  <c r="AK238" i="38" s="1"/>
  <c r="AL226" i="42"/>
  <c r="Z186" i="38"/>
  <c r="AC186" i="38" s="1"/>
  <c r="AF148" i="40"/>
  <c r="AG148" i="40" s="1"/>
  <c r="AH148" i="40" s="1"/>
  <c r="Z116" i="43"/>
  <c r="AC116" i="43" s="1"/>
  <c r="Z175" i="38"/>
  <c r="AC175" i="38" s="1"/>
  <c r="AI175" i="38" s="1"/>
  <c r="AJ175" i="38" s="1"/>
  <c r="AR237" i="43"/>
  <c r="AJ237" i="43"/>
  <c r="Z220" i="40"/>
  <c r="AC220" i="40" s="1"/>
  <c r="AI220" i="40" s="1"/>
  <c r="AF117" i="42"/>
  <c r="AG117" i="42" s="1"/>
  <c r="AH117" i="42" s="1"/>
  <c r="AH104" i="44"/>
  <c r="AH105" i="44"/>
  <c r="AH177" i="44"/>
  <c r="AH48" i="44"/>
  <c r="AH24" i="44"/>
  <c r="AI24" i="44" s="1"/>
  <c r="AH147" i="44"/>
  <c r="AH187" i="44"/>
  <c r="AH200" i="44"/>
  <c r="AI200" i="44" s="1"/>
  <c r="AH164" i="44"/>
  <c r="AI164" i="44" s="1"/>
  <c r="Z172" i="44"/>
  <c r="Y288" i="44"/>
  <c r="AB161" i="44"/>
  <c r="AH75" i="44"/>
  <c r="AB65" i="44"/>
  <c r="Z76" i="44"/>
  <c r="Y280" i="44"/>
  <c r="AH91" i="44"/>
  <c r="AH58" i="44"/>
  <c r="AF69" i="40"/>
  <c r="AG69" i="40" s="1"/>
  <c r="AH69" i="40" s="1"/>
  <c r="Z69" i="40"/>
  <c r="AC69" i="40" s="1"/>
  <c r="AI69" i="40" s="1"/>
  <c r="Z43" i="41"/>
  <c r="AC43" i="41" s="1"/>
  <c r="AI43" i="41" s="1"/>
  <c r="AJ43" i="41" s="1"/>
  <c r="AF126" i="42"/>
  <c r="AG126" i="42" s="1"/>
  <c r="AH126" i="42" s="1"/>
  <c r="AF198" i="38"/>
  <c r="AG198" i="38" s="1"/>
  <c r="AH198" i="38" s="1"/>
  <c r="AF62" i="38"/>
  <c r="AG62" i="38" s="1"/>
  <c r="AH62" i="38" s="1"/>
  <c r="AF194" i="40"/>
  <c r="AG194" i="40" s="1"/>
  <c r="AH194" i="40" s="1"/>
  <c r="AF218" i="40"/>
  <c r="AG218" i="40" s="1"/>
  <c r="AH218" i="40" s="1"/>
  <c r="Z99" i="41"/>
  <c r="AC99" i="41" s="1"/>
  <c r="AI99" i="41" s="1"/>
  <c r="AF161" i="41"/>
  <c r="AG161" i="41" s="1"/>
  <c r="AH161" i="41" s="1"/>
  <c r="Z56" i="41"/>
  <c r="AC56" i="41" s="1"/>
  <c r="AI56" i="41" s="1"/>
  <c r="AJ56" i="41" s="1"/>
  <c r="AH176" i="44"/>
  <c r="AH50" i="44"/>
  <c r="AH140" i="44"/>
  <c r="AI140" i="44" s="1"/>
  <c r="AH141" i="44"/>
  <c r="AH122" i="44"/>
  <c r="AH186" i="44"/>
  <c r="AH208" i="44"/>
  <c r="AH198" i="44"/>
  <c r="AH166" i="44"/>
  <c r="AH67" i="44"/>
  <c r="AB149" i="44"/>
  <c r="Z160" i="44"/>
  <c r="Y287" i="44"/>
  <c r="AH39" i="44"/>
  <c r="AH102" i="44"/>
  <c r="AI102" i="44" s="1"/>
  <c r="AH69" i="44"/>
  <c r="AI69" i="44" s="1"/>
  <c r="AH126" i="44"/>
  <c r="AI126" i="44" s="1"/>
  <c r="AH56" i="44"/>
  <c r="AB173" i="44"/>
  <c r="Z184" i="44"/>
  <c r="Y289" i="44"/>
  <c r="AH52" i="44"/>
  <c r="AH23" i="44"/>
  <c r="Y276" i="38"/>
  <c r="AH214" i="44"/>
  <c r="AH86" i="44"/>
  <c r="AH44" i="44"/>
  <c r="AI44" i="44" s="1"/>
  <c r="AH146" i="44"/>
  <c r="AH116" i="44"/>
  <c r="AH121" i="44"/>
  <c r="AI121" i="44" s="1"/>
  <c r="Z196" i="44"/>
  <c r="AB185" i="44"/>
  <c r="Y290" i="44"/>
  <c r="AQ233" i="44"/>
  <c r="AJ233" i="44"/>
  <c r="AH167" i="44"/>
  <c r="AH169" i="44"/>
  <c r="AH7" i="44"/>
  <c r="AH15" i="44"/>
  <c r="AI15" i="44" s="1"/>
  <c r="AH94" i="44"/>
  <c r="AI94" i="44" s="1"/>
  <c r="AH132" i="44"/>
  <c r="AH129" i="44"/>
  <c r="AH151" i="44"/>
  <c r="AI151" i="44" s="1"/>
  <c r="AH34" i="44"/>
  <c r="AH37" i="44"/>
  <c r="AI37" i="44" s="1"/>
  <c r="AH190" i="44"/>
  <c r="AI190" i="44" s="1"/>
  <c r="AH207" i="44"/>
  <c r="AH62" i="44"/>
  <c r="AH215" i="44"/>
  <c r="AH181" i="44"/>
  <c r="AH19" i="44"/>
  <c r="AH123" i="44"/>
  <c r="AI123" i="44" s="1"/>
  <c r="AH117" i="44"/>
  <c r="AH191" i="44"/>
  <c r="AH76" i="44"/>
  <c r="AH11" i="44"/>
  <c r="AI11" i="44" s="1"/>
  <c r="AH54" i="44"/>
  <c r="AH64" i="44"/>
  <c r="AH134" i="44"/>
  <c r="AI134" i="44" s="1"/>
  <c r="AH158" i="44"/>
  <c r="AH38" i="44"/>
  <c r="AH33" i="44"/>
  <c r="AH220" i="44"/>
  <c r="AI220" i="44" s="1"/>
  <c r="AH218" i="44"/>
  <c r="AH182" i="44"/>
  <c r="AI182" i="44" s="1"/>
  <c r="AH82" i="44"/>
  <c r="AH145" i="44"/>
  <c r="AB113" i="44"/>
  <c r="Z124" i="44"/>
  <c r="Y284" i="44"/>
  <c r="AI233" i="44"/>
  <c r="AH202" i="44"/>
  <c r="AH111" i="44"/>
  <c r="AI111" i="44" s="1"/>
  <c r="AB209" i="44"/>
  <c r="Y292" i="44"/>
  <c r="Z220" i="44"/>
  <c r="AJ245" i="44"/>
  <c r="AQ245" i="44"/>
  <c r="AH88" i="44"/>
  <c r="AH47" i="44"/>
  <c r="AH18" i="44"/>
  <c r="AH28" i="44"/>
  <c r="AH119" i="44"/>
  <c r="AH193" i="44"/>
  <c r="AH206" i="44"/>
  <c r="AH172" i="44"/>
  <c r="Z16" i="44"/>
  <c r="Y275" i="44"/>
  <c r="AB5" i="44"/>
  <c r="Y271" i="44"/>
  <c r="Y273" i="44" s="1"/>
  <c r="AH57" i="44"/>
  <c r="AH133" i="44"/>
  <c r="AH31" i="44"/>
  <c r="Y277" i="44"/>
  <c r="Z40" i="44"/>
  <c r="AB29" i="44"/>
  <c r="AH27" i="44"/>
  <c r="AI27" i="44" s="1"/>
  <c r="AH171" i="44"/>
  <c r="AI171" i="44" s="1"/>
  <c r="AH131" i="44"/>
  <c r="AI131" i="44" s="1"/>
  <c r="AH35" i="44"/>
  <c r="Y292" i="41"/>
  <c r="AJ244" i="38"/>
  <c r="Y275" i="43"/>
  <c r="AJ235" i="38"/>
  <c r="Z219" i="41"/>
  <c r="AC219" i="41" s="1"/>
  <c r="AI219" i="41" s="1"/>
  <c r="AJ219" i="41" s="1"/>
  <c r="AH103" i="44"/>
  <c r="AI103" i="44" s="1"/>
  <c r="AH217" i="44"/>
  <c r="AI217" i="44" s="1"/>
  <c r="AH184" i="44"/>
  <c r="AH81" i="44"/>
  <c r="AH26" i="44"/>
  <c r="AI26" i="44" s="1"/>
  <c r="AH25" i="44"/>
  <c r="AI257" i="44"/>
  <c r="AQ257" i="44"/>
  <c r="AJ257" i="44"/>
  <c r="AH203" i="44"/>
  <c r="AH72" i="44"/>
  <c r="AI7" i="44"/>
  <c r="AH99" i="44"/>
  <c r="AI99" i="44" s="1"/>
  <c r="Y282" i="44"/>
  <c r="Z100" i="44"/>
  <c r="AB89" i="44"/>
  <c r="AH55" i="44"/>
  <c r="Y279" i="44"/>
  <c r="AB53" i="44"/>
  <c r="Z64" i="44"/>
  <c r="AH127" i="44"/>
  <c r="AH156" i="44"/>
  <c r="AH61" i="44"/>
  <c r="AH219" i="44"/>
  <c r="AH178" i="44"/>
  <c r="AH84" i="44"/>
  <c r="AH21" i="44"/>
  <c r="AH142" i="44"/>
  <c r="AI142" i="44" s="1"/>
  <c r="AH118" i="44"/>
  <c r="AH196" i="44"/>
  <c r="AH162" i="44"/>
  <c r="AH9" i="44"/>
  <c r="AI9" i="44" s="1"/>
  <c r="AH90" i="44"/>
  <c r="AH59" i="44"/>
  <c r="AI59" i="44" s="1"/>
  <c r="AI82" i="44"/>
  <c r="AH46" i="44"/>
  <c r="AH22" i="44"/>
  <c r="AH144" i="44"/>
  <c r="AB197" i="44"/>
  <c r="Z208" i="44"/>
  <c r="Y291" i="44"/>
  <c r="AI202" i="44"/>
  <c r="AH74" i="44"/>
  <c r="AH98" i="44"/>
  <c r="AH136" i="44"/>
  <c r="AH150" i="44"/>
  <c r="Y283" i="44"/>
  <c r="AB101" i="44"/>
  <c r="Z112" i="44"/>
  <c r="AH210" i="44"/>
  <c r="AH180" i="44"/>
  <c r="AH78" i="44"/>
  <c r="AH143" i="44"/>
  <c r="AI143" i="44" s="1"/>
  <c r="AH114" i="44"/>
  <c r="AH201" i="44"/>
  <c r="AI172" i="44"/>
  <c r="AH70" i="44"/>
  <c r="AI70" i="44" s="1"/>
  <c r="AH10" i="44"/>
  <c r="AF5" i="44"/>
  <c r="AG5" i="44" s="1"/>
  <c r="AE272" i="44"/>
  <c r="AB274" i="44" s="1"/>
  <c r="AH97" i="44"/>
  <c r="AH63" i="44"/>
  <c r="AI63" i="44" s="1"/>
  <c r="AH130" i="44"/>
  <c r="AH159" i="44"/>
  <c r="AI159" i="44" s="1"/>
  <c r="AH36" i="44"/>
  <c r="AH85" i="44"/>
  <c r="AH12" i="44"/>
  <c r="AI35" i="44"/>
  <c r="Y286" i="43"/>
  <c r="AH212" i="44"/>
  <c r="AH179" i="44"/>
  <c r="AI179" i="44" s="1"/>
  <c r="AH80" i="44"/>
  <c r="AH49" i="44"/>
  <c r="AH20" i="44"/>
  <c r="AI20" i="44" s="1"/>
  <c r="AH195" i="44"/>
  <c r="AI198" i="44"/>
  <c r="AI166" i="44"/>
  <c r="AH73" i="44"/>
  <c r="AH16" i="44"/>
  <c r="AH60" i="44"/>
  <c r="AH115" i="44"/>
  <c r="AI115" i="44" s="1"/>
  <c r="AH165" i="44"/>
  <c r="AH13" i="44"/>
  <c r="AH30" i="44"/>
  <c r="AH110" i="44"/>
  <c r="AH213" i="44"/>
  <c r="AH79" i="44"/>
  <c r="AB77" i="44"/>
  <c r="Z88" i="44"/>
  <c r="Y281" i="44"/>
  <c r="AH43" i="44"/>
  <c r="AB41" i="44"/>
  <c r="Z52" i="44"/>
  <c r="Y278" i="44"/>
  <c r="AI147" i="44"/>
  <c r="Y286" i="44"/>
  <c r="AB137" i="44"/>
  <c r="Z148" i="44"/>
  <c r="AH194" i="44"/>
  <c r="AH204" i="44"/>
  <c r="AH168" i="44"/>
  <c r="AH71" i="44"/>
  <c r="AH6" i="44"/>
  <c r="AH100" i="44"/>
  <c r="AH152" i="44"/>
  <c r="AI152" i="44" s="1"/>
  <c r="AH157" i="44"/>
  <c r="AH32" i="44"/>
  <c r="AH112" i="44"/>
  <c r="AH216" i="44"/>
  <c r="AI174" i="44"/>
  <c r="AH183" i="44"/>
  <c r="AH87" i="44"/>
  <c r="AH45" i="44"/>
  <c r="AH120" i="44"/>
  <c r="AI120" i="44" s="1"/>
  <c r="AI170" i="44"/>
  <c r="AI14" i="44"/>
  <c r="AH92" i="44"/>
  <c r="AH160" i="44"/>
  <c r="AI160" i="44" s="1"/>
  <c r="AH40" i="44"/>
  <c r="AH106" i="44"/>
  <c r="AI106" i="44" s="1"/>
  <c r="AH211" i="44"/>
  <c r="AH175" i="44"/>
  <c r="AH83" i="44"/>
  <c r="AH42" i="44"/>
  <c r="AI52" i="44"/>
  <c r="AH148" i="44"/>
  <c r="AH138" i="44"/>
  <c r="AH124" i="44"/>
  <c r="AH192" i="44"/>
  <c r="AI192" i="44" s="1"/>
  <c r="AH8" i="44"/>
  <c r="AH96" i="44"/>
  <c r="AI130" i="44"/>
  <c r="AH153" i="44"/>
  <c r="AH51" i="44"/>
  <c r="AI51" i="44" s="1"/>
  <c r="AH68" i="44"/>
  <c r="AH155" i="44"/>
  <c r="AG116" i="43"/>
  <c r="AH116" i="43" s="1"/>
  <c r="AG122" i="43"/>
  <c r="AH122" i="43" s="1"/>
  <c r="AG121" i="43"/>
  <c r="AH121" i="43" s="1"/>
  <c r="AG114" i="41"/>
  <c r="AH114" i="41" s="1"/>
  <c r="AG113" i="43"/>
  <c r="AH113" i="43" s="1"/>
  <c r="AG124" i="41"/>
  <c r="AH124" i="41" s="1"/>
  <c r="AG122" i="41"/>
  <c r="AH122" i="41" s="1"/>
  <c r="AG119" i="43"/>
  <c r="AH119" i="43" s="1"/>
  <c r="AG121" i="41"/>
  <c r="AH121" i="41" s="1"/>
  <c r="AG116" i="41"/>
  <c r="AH116" i="41" s="1"/>
  <c r="AG119" i="41"/>
  <c r="AH119" i="41" s="1"/>
  <c r="AG123" i="43"/>
  <c r="AH123" i="43" s="1"/>
  <c r="AG115" i="43"/>
  <c r="AH115" i="43" s="1"/>
  <c r="Z26" i="40"/>
  <c r="AC26" i="40" s="1"/>
  <c r="AI26" i="40" s="1"/>
  <c r="AF18" i="43"/>
  <c r="AG18" i="43" s="1"/>
  <c r="AH18" i="43" s="1"/>
  <c r="Z206" i="42"/>
  <c r="AC206" i="42" s="1"/>
  <c r="AI206" i="42" s="1"/>
  <c r="AF217" i="42"/>
  <c r="AG217" i="42" s="1"/>
  <c r="AH217" i="42" s="1"/>
  <c r="AF47" i="42"/>
  <c r="AG47" i="42" s="1"/>
  <c r="AH47" i="42" s="1"/>
  <c r="Z51" i="42"/>
  <c r="AC51" i="42" s="1"/>
  <c r="AI51" i="42" s="1"/>
  <c r="AJ51" i="42" s="1"/>
  <c r="Z23" i="42"/>
  <c r="AC23" i="42" s="1"/>
  <c r="AF129" i="42"/>
  <c r="AG129" i="42" s="1"/>
  <c r="AH129" i="42" s="1"/>
  <c r="Z184" i="42"/>
  <c r="AC184" i="42" s="1"/>
  <c r="AI184" i="42" s="1"/>
  <c r="AF149" i="42"/>
  <c r="AG149" i="42" s="1"/>
  <c r="AH149" i="42" s="1"/>
  <c r="AF167" i="42"/>
  <c r="AG167" i="42" s="1"/>
  <c r="AH167" i="42" s="1"/>
  <c r="Z209" i="42"/>
  <c r="Y284" i="42"/>
  <c r="AJ264" i="42"/>
  <c r="AF113" i="42"/>
  <c r="AG113" i="42" s="1"/>
  <c r="AH113" i="42" s="1"/>
  <c r="Z69" i="43"/>
  <c r="AC69" i="43" s="1"/>
  <c r="AI69" i="43" s="1"/>
  <c r="AR69" i="43" s="1"/>
  <c r="Y276" i="40"/>
  <c r="AF41" i="42"/>
  <c r="AG41" i="42" s="1"/>
  <c r="AH41" i="42" s="1"/>
  <c r="Z77" i="43"/>
  <c r="AC77" i="43" s="1"/>
  <c r="AF197" i="42"/>
  <c r="AG197" i="42" s="1"/>
  <c r="AH197" i="42" s="1"/>
  <c r="Z150" i="42"/>
  <c r="AC150" i="42" s="1"/>
  <c r="AJ258" i="38"/>
  <c r="Z210" i="43"/>
  <c r="AC210" i="43" s="1"/>
  <c r="AF118" i="43"/>
  <c r="AF186" i="42"/>
  <c r="AG186" i="42" s="1"/>
  <c r="AH186" i="42" s="1"/>
  <c r="Z134" i="43"/>
  <c r="AC134" i="43" s="1"/>
  <c r="AI134" i="43" s="1"/>
  <c r="AF127" i="42"/>
  <c r="AG127" i="42" s="1"/>
  <c r="AH127" i="42" s="1"/>
  <c r="AF215" i="40"/>
  <c r="AG215" i="40" s="1"/>
  <c r="AH215" i="40" s="1"/>
  <c r="Y288" i="38"/>
  <c r="AL267" i="40"/>
  <c r="AF17" i="41"/>
  <c r="AG17" i="41" s="1"/>
  <c r="AH17" i="41" s="1"/>
  <c r="AA232" i="38"/>
  <c r="AF14" i="38"/>
  <c r="AG14" i="38" s="1"/>
  <c r="AH14" i="38" s="1"/>
  <c r="AL226" i="40"/>
  <c r="Z128" i="40"/>
  <c r="AC128" i="40" s="1"/>
  <c r="AI128" i="40" s="1"/>
  <c r="AA268" i="43"/>
  <c r="Y292" i="40"/>
  <c r="AF171" i="41"/>
  <c r="AG171" i="41" s="1"/>
  <c r="AH171" i="41" s="1"/>
  <c r="AF92" i="40"/>
  <c r="AG92" i="40" s="1"/>
  <c r="AH92" i="40" s="1"/>
  <c r="AF91" i="42"/>
  <c r="AG91" i="42" s="1"/>
  <c r="AH91" i="42" s="1"/>
  <c r="Z12" i="41"/>
  <c r="AC12" i="41" s="1"/>
  <c r="AA256" i="41"/>
  <c r="AF123" i="41"/>
  <c r="AF79" i="43"/>
  <c r="AG79" i="43" s="1"/>
  <c r="AH79" i="43" s="1"/>
  <c r="AF86" i="42"/>
  <c r="AG86" i="42" s="1"/>
  <c r="AH86" i="42" s="1"/>
  <c r="Z85" i="43"/>
  <c r="AC85" i="43" s="1"/>
  <c r="AI85" i="43" s="1"/>
  <c r="AF192" i="42"/>
  <c r="AG192" i="42" s="1"/>
  <c r="AH192" i="42" s="1"/>
  <c r="AL259" i="42"/>
  <c r="AL265" i="42"/>
  <c r="Y283" i="38"/>
  <c r="Z28" i="41"/>
  <c r="AC28" i="41" s="1"/>
  <c r="Y275" i="38"/>
  <c r="AJ247" i="43"/>
  <c r="Y282" i="43"/>
  <c r="Y278" i="40"/>
  <c r="Y206" i="36"/>
  <c r="Z206" i="36" s="1"/>
  <c r="AI206" i="36"/>
  <c r="Y131" i="36"/>
  <c r="Z131" i="36" s="1"/>
  <c r="AI131" i="36"/>
  <c r="Y162" i="36"/>
  <c r="Z162" i="36" s="1"/>
  <c r="AI162" i="36"/>
  <c r="Y116" i="36"/>
  <c r="Z116" i="36" s="1"/>
  <c r="AI116" i="36"/>
  <c r="Y132" i="36"/>
  <c r="Z132" i="36" s="1"/>
  <c r="AI132" i="36"/>
  <c r="AI200" i="36"/>
  <c r="Y200" i="36"/>
  <c r="Z200" i="36" s="1"/>
  <c r="Y190" i="36"/>
  <c r="Z190" i="36" s="1"/>
  <c r="AI190" i="36"/>
  <c r="Y203" i="36"/>
  <c r="Z203" i="36" s="1"/>
  <c r="AI203" i="36"/>
  <c r="AI217" i="36"/>
  <c r="Y217" i="36"/>
  <c r="Z217" i="36" s="1"/>
  <c r="Y211" i="36"/>
  <c r="Z211" i="36" s="1"/>
  <c r="AI211" i="36"/>
  <c r="Y166" i="36"/>
  <c r="Z166" i="36" s="1"/>
  <c r="AI166" i="36"/>
  <c r="AI146" i="36"/>
  <c r="Y146" i="36"/>
  <c r="Z146" i="36" s="1"/>
  <c r="Y187" i="36"/>
  <c r="Z187" i="36" s="1"/>
  <c r="AI187" i="36"/>
  <c r="AI209" i="36"/>
  <c r="Y209" i="36"/>
  <c r="Z209" i="36" s="1"/>
  <c r="Y160" i="36"/>
  <c r="Z160" i="36" s="1"/>
  <c r="AI160" i="36"/>
  <c r="Y163" i="36"/>
  <c r="Z163" i="36" s="1"/>
  <c r="AI163" i="36"/>
  <c r="Y143" i="36"/>
  <c r="Z143" i="36" s="1"/>
  <c r="AI143" i="36"/>
  <c r="AI139" i="36"/>
  <c r="Y139" i="36"/>
  <c r="Z139" i="36" s="1"/>
  <c r="AI194" i="36"/>
  <c r="Y194" i="36"/>
  <c r="Z194" i="36" s="1"/>
  <c r="Y138" i="36"/>
  <c r="Z138" i="36" s="1"/>
  <c r="AI138" i="36"/>
  <c r="AI157" i="36"/>
  <c r="Y157" i="36"/>
  <c r="Z157" i="36" s="1"/>
  <c r="Y185" i="36"/>
  <c r="Z185" i="36" s="1"/>
  <c r="AI185" i="36"/>
  <c r="Y142" i="36"/>
  <c r="Z142" i="36" s="1"/>
  <c r="AI142" i="36"/>
  <c r="Y133" i="36"/>
  <c r="Z133" i="36" s="1"/>
  <c r="AI133" i="36"/>
  <c r="Y177" i="36"/>
  <c r="Z177" i="36" s="1"/>
  <c r="AI177" i="36"/>
  <c r="AI134" i="36"/>
  <c r="Y134" i="36"/>
  <c r="Z134" i="36" s="1"/>
  <c r="Y204" i="36"/>
  <c r="Z204" i="36" s="1"/>
  <c r="AI204" i="36"/>
  <c r="Y199" i="36"/>
  <c r="Z199" i="36" s="1"/>
  <c r="AI199" i="36"/>
  <c r="Y130" i="36"/>
  <c r="Z130" i="36" s="1"/>
  <c r="AI130" i="36"/>
  <c r="AI128" i="36"/>
  <c r="Y128" i="36"/>
  <c r="Z128" i="36" s="1"/>
  <c r="Y214" i="36"/>
  <c r="Z214" i="36" s="1"/>
  <c r="AI214" i="36"/>
  <c r="Y118" i="36"/>
  <c r="Z118" i="36" s="1"/>
  <c r="AI118" i="36"/>
  <c r="AI196" i="36"/>
  <c r="Y196" i="36"/>
  <c r="Z196" i="36" s="1"/>
  <c r="Y158" i="36"/>
  <c r="Z158" i="36" s="1"/>
  <c r="AI158" i="36"/>
  <c r="Y189" i="36"/>
  <c r="Z189" i="36" s="1"/>
  <c r="AI189" i="36"/>
  <c r="Y181" i="36"/>
  <c r="Z181" i="36" s="1"/>
  <c r="AI181" i="36"/>
  <c r="AI212" i="36"/>
  <c r="Y212" i="36"/>
  <c r="Z212" i="36" s="1"/>
  <c r="Y168" i="36"/>
  <c r="Z168" i="36" s="1"/>
  <c r="AI168" i="36"/>
  <c r="Y121" i="36"/>
  <c r="Z121" i="36" s="1"/>
  <c r="AI121" i="36"/>
  <c r="Y152" i="36"/>
  <c r="Z152" i="36" s="1"/>
  <c r="AI152" i="36"/>
  <c r="AI169" i="36"/>
  <c r="Y169" i="36"/>
  <c r="Z169" i="36" s="1"/>
  <c r="AI114" i="36"/>
  <c r="Y114" i="36"/>
  <c r="Z114" i="36" s="1"/>
  <c r="Y151" i="36"/>
  <c r="Z151" i="36" s="1"/>
  <c r="AI151" i="36"/>
  <c r="V286" i="36"/>
  <c r="W194" i="36"/>
  <c r="Y183" i="36"/>
  <c r="Z183" i="36" s="1"/>
  <c r="AI183" i="36"/>
  <c r="AI182" i="36"/>
  <c r="Y182" i="36"/>
  <c r="Z182" i="36" s="1"/>
  <c r="Y213" i="36"/>
  <c r="Z213" i="36" s="1"/>
  <c r="AI213" i="36"/>
  <c r="AI161" i="36"/>
  <c r="Y161" i="36"/>
  <c r="Z161" i="36" s="1"/>
  <c r="AI119" i="36"/>
  <c r="Y119" i="36"/>
  <c r="Z119" i="36" s="1"/>
  <c r="Y115" i="36"/>
  <c r="Z115" i="36" s="1"/>
  <c r="AI115" i="36"/>
  <c r="AI144" i="36"/>
  <c r="Y144" i="36"/>
  <c r="Z144" i="36" s="1"/>
  <c r="Y156" i="36"/>
  <c r="Z156" i="36" s="1"/>
  <c r="AI156" i="36"/>
  <c r="Y186" i="36"/>
  <c r="Z186" i="36" s="1"/>
  <c r="AI186" i="36"/>
  <c r="Y191" i="36"/>
  <c r="Z191" i="36" s="1"/>
  <c r="AI191" i="36"/>
  <c r="AI176" i="36"/>
  <c r="Y176" i="36"/>
  <c r="Z176" i="36" s="1"/>
  <c r="Y197" i="36"/>
  <c r="Z197" i="36" s="1"/>
  <c r="AI197" i="36"/>
  <c r="AI140" i="36"/>
  <c r="Y140" i="36"/>
  <c r="Z140" i="36" s="1"/>
  <c r="Y215" i="36"/>
  <c r="Z215" i="36" s="1"/>
  <c r="AI215" i="36"/>
  <c r="Y170" i="36"/>
  <c r="Z170" i="36" s="1"/>
  <c r="AI170" i="36"/>
  <c r="AI122" i="36"/>
  <c r="Y122" i="36"/>
  <c r="Z122" i="36" s="1"/>
  <c r="AI218" i="36"/>
  <c r="Y218" i="36"/>
  <c r="Z218" i="36" s="1"/>
  <c r="AI188" i="36"/>
  <c r="Y188" i="36"/>
  <c r="Z188" i="36" s="1"/>
  <c r="Y126" i="36"/>
  <c r="Z126" i="36" s="1"/>
  <c r="AI126" i="36"/>
  <c r="Z180" i="42"/>
  <c r="AC180" i="42" s="1"/>
  <c r="AF180" i="42"/>
  <c r="AG180" i="42" s="1"/>
  <c r="AH180" i="42" s="1"/>
  <c r="Z182" i="41"/>
  <c r="AC182" i="41" s="1"/>
  <c r="AF182" i="41"/>
  <c r="AG182" i="41" s="1"/>
  <c r="AH182" i="41" s="1"/>
  <c r="Y175" i="36"/>
  <c r="Z175" i="36" s="1"/>
  <c r="AI175" i="36"/>
  <c r="AF87" i="38"/>
  <c r="AG87" i="38" s="1"/>
  <c r="AH87" i="38" s="1"/>
  <c r="Z87" i="38"/>
  <c r="AC87" i="38" s="1"/>
  <c r="AF205" i="40"/>
  <c r="AG205" i="40" s="1"/>
  <c r="AH205" i="40" s="1"/>
  <c r="Z205" i="40"/>
  <c r="AC205" i="40" s="1"/>
  <c r="AF201" i="40"/>
  <c r="AG201" i="40" s="1"/>
  <c r="AH201" i="40" s="1"/>
  <c r="Z201" i="40"/>
  <c r="AC201" i="40" s="1"/>
  <c r="Y35" i="36"/>
  <c r="Z35" i="36" s="1"/>
  <c r="AI35" i="36"/>
  <c r="Z29" i="41"/>
  <c r="AF29" i="41"/>
  <c r="AG29" i="41" s="1"/>
  <c r="AH29" i="41" s="1"/>
  <c r="Y277" i="41"/>
  <c r="AF29" i="40"/>
  <c r="AG29" i="40" s="1"/>
  <c r="AH29" i="40" s="1"/>
  <c r="Z29" i="40"/>
  <c r="Y277" i="40"/>
  <c r="AI26" i="36"/>
  <c r="Y26" i="36"/>
  <c r="Z26" i="36" s="1"/>
  <c r="U272" i="36"/>
  <c r="V15" i="36"/>
  <c r="Z153" i="38"/>
  <c r="AC153" i="38" s="1"/>
  <c r="AF153" i="38"/>
  <c r="AG153" i="38" s="1"/>
  <c r="AH153" i="38" s="1"/>
  <c r="Z150" i="38"/>
  <c r="AC150" i="38" s="1"/>
  <c r="AF150" i="38"/>
  <c r="AG150" i="38" s="1"/>
  <c r="AH150" i="38" s="1"/>
  <c r="AF46" i="42"/>
  <c r="AG46" i="42" s="1"/>
  <c r="AH46" i="42" s="1"/>
  <c r="Z46" i="42"/>
  <c r="AC46" i="42" s="1"/>
  <c r="AF44" i="41"/>
  <c r="AG44" i="41" s="1"/>
  <c r="AH44" i="41" s="1"/>
  <c r="Z44" i="41"/>
  <c r="AC44" i="41" s="1"/>
  <c r="AI235" i="40"/>
  <c r="AL235" i="40"/>
  <c r="Y235" i="36"/>
  <c r="Z235" i="36" s="1"/>
  <c r="AI235" i="36"/>
  <c r="AI216" i="41"/>
  <c r="AJ216" i="41" s="1"/>
  <c r="AI217" i="38"/>
  <c r="AJ217" i="38" s="1"/>
  <c r="AI162" i="38"/>
  <c r="AJ162" i="38" s="1"/>
  <c r="AF163" i="42"/>
  <c r="AG163" i="42" s="1"/>
  <c r="AH163" i="42" s="1"/>
  <c r="Z163" i="42"/>
  <c r="AC163" i="42" s="1"/>
  <c r="AF167" i="38"/>
  <c r="AG167" i="38" s="1"/>
  <c r="AH167" i="38" s="1"/>
  <c r="Z167" i="38"/>
  <c r="AC167" i="38" s="1"/>
  <c r="AL167" i="41" s="1"/>
  <c r="AI68" i="41"/>
  <c r="AJ68" i="41" s="1"/>
  <c r="AL68" i="41"/>
  <c r="Z64" i="42"/>
  <c r="AC64" i="42" s="1"/>
  <c r="AF64" i="42"/>
  <c r="AG64" i="42" s="1"/>
  <c r="AH64" i="42" s="1"/>
  <c r="AF57" i="42"/>
  <c r="AG57" i="42" s="1"/>
  <c r="AH57" i="42" s="1"/>
  <c r="Z57" i="42"/>
  <c r="AC57" i="42" s="1"/>
  <c r="AF196" i="38"/>
  <c r="AG196" i="38" s="1"/>
  <c r="AH196" i="38" s="1"/>
  <c r="Z196" i="38"/>
  <c r="AC196" i="38" s="1"/>
  <c r="AL196" i="43" s="1"/>
  <c r="AF192" i="40"/>
  <c r="AG192" i="40" s="1"/>
  <c r="AH192" i="40" s="1"/>
  <c r="Z192" i="40"/>
  <c r="AC192" i="40" s="1"/>
  <c r="Y193" i="36"/>
  <c r="Z193" i="36" s="1"/>
  <c r="AI193" i="36"/>
  <c r="Z134" i="42"/>
  <c r="AC134" i="42" s="1"/>
  <c r="AF134" i="42"/>
  <c r="AG134" i="42" s="1"/>
  <c r="AH134" i="42" s="1"/>
  <c r="AF133" i="40"/>
  <c r="AG133" i="40" s="1"/>
  <c r="AH133" i="40" s="1"/>
  <c r="Z133" i="40"/>
  <c r="AC133" i="40" s="1"/>
  <c r="AC101" i="43"/>
  <c r="AI104" i="41"/>
  <c r="AJ104" i="41" s="1"/>
  <c r="AI103" i="40"/>
  <c r="AL103" i="40"/>
  <c r="Y59" i="36"/>
  <c r="Z59" i="36" s="1"/>
  <c r="AI59" i="36"/>
  <c r="AF17" i="42"/>
  <c r="AG17" i="42" s="1"/>
  <c r="AH17" i="42" s="1"/>
  <c r="Z17" i="42"/>
  <c r="Y276" i="42"/>
  <c r="AI147" i="42"/>
  <c r="AL147" i="42"/>
  <c r="AF141" i="41"/>
  <c r="AG141" i="41" s="1"/>
  <c r="AH141" i="41" s="1"/>
  <c r="Z141" i="41"/>
  <c r="AC141" i="41" s="1"/>
  <c r="AI245" i="42"/>
  <c r="AL245" i="42"/>
  <c r="AR268" i="40"/>
  <c r="AJ222" i="42"/>
  <c r="AR222" i="42"/>
  <c r="AI247" i="40"/>
  <c r="AL247" i="40"/>
  <c r="AL92" i="43"/>
  <c r="Z203" i="43"/>
  <c r="AC203" i="43" s="1"/>
  <c r="AF203" i="43"/>
  <c r="AG203" i="43" s="1"/>
  <c r="AH203" i="43" s="1"/>
  <c r="Z202" i="42"/>
  <c r="AC202" i="42" s="1"/>
  <c r="AF202" i="42"/>
  <c r="AG202" i="42" s="1"/>
  <c r="AH202" i="42" s="1"/>
  <c r="AI102" i="36"/>
  <c r="Y102" i="36"/>
  <c r="Z102" i="36" s="1"/>
  <c r="AI35" i="38"/>
  <c r="AF160" i="43"/>
  <c r="AG160" i="43" s="1"/>
  <c r="AH160" i="43" s="1"/>
  <c r="Z160" i="43"/>
  <c r="AC160" i="43" s="1"/>
  <c r="AI242" i="41"/>
  <c r="AJ242" i="41" s="1"/>
  <c r="AL242" i="41"/>
  <c r="AI166" i="43"/>
  <c r="AL166" i="43"/>
  <c r="AI68" i="38"/>
  <c r="AF73" i="43"/>
  <c r="AG73" i="43" s="1"/>
  <c r="AH73" i="43" s="1"/>
  <c r="Z73" i="43"/>
  <c r="AC73" i="43" s="1"/>
  <c r="AI76" i="36"/>
  <c r="Y76" i="36"/>
  <c r="Z76" i="36" s="1"/>
  <c r="AF128" i="43"/>
  <c r="AG128" i="43" s="1"/>
  <c r="AH128" i="43" s="1"/>
  <c r="Z128" i="43"/>
  <c r="AC128" i="43" s="1"/>
  <c r="AF107" i="42"/>
  <c r="AG107" i="42" s="1"/>
  <c r="AH107" i="42" s="1"/>
  <c r="Z107" i="42"/>
  <c r="AC107" i="42" s="1"/>
  <c r="AF22" i="43"/>
  <c r="AG22" i="43" s="1"/>
  <c r="AH22" i="43" s="1"/>
  <c r="Z22" i="43"/>
  <c r="AC22" i="43" s="1"/>
  <c r="AI19" i="42"/>
  <c r="AF145" i="42"/>
  <c r="AG145" i="42" s="1"/>
  <c r="AH145" i="42" s="1"/>
  <c r="Z145" i="42"/>
  <c r="AC145" i="42" s="1"/>
  <c r="AR222" i="43"/>
  <c r="AI6" i="43"/>
  <c r="AJ6" i="43" s="1"/>
  <c r="AL6" i="43"/>
  <c r="AI11" i="42"/>
  <c r="Z293" i="41"/>
  <c r="AA293" i="41" s="1"/>
  <c r="AI78" i="38"/>
  <c r="AI33" i="36"/>
  <c r="Y33" i="36"/>
  <c r="Z33" i="36" s="1"/>
  <c r="Y110" i="36"/>
  <c r="Z110" i="36" s="1"/>
  <c r="AI110" i="36"/>
  <c r="AI39" i="38"/>
  <c r="AJ39" i="38" s="1"/>
  <c r="Y68" i="36"/>
  <c r="Z68" i="36" s="1"/>
  <c r="AI68" i="36"/>
  <c r="AI47" i="41"/>
  <c r="AL47" i="41"/>
  <c r="AI255" i="36"/>
  <c r="W266" i="36"/>
  <c r="Y255" i="36"/>
  <c r="Z255" i="36" s="1"/>
  <c r="AI218" i="41"/>
  <c r="AJ218" i="41" s="1"/>
  <c r="AL218" i="41"/>
  <c r="AI216" i="40"/>
  <c r="AK228" i="40" s="1"/>
  <c r="AI165" i="42"/>
  <c r="AC53" i="40"/>
  <c r="Z190" i="40"/>
  <c r="AC190" i="40" s="1"/>
  <c r="AF190" i="40"/>
  <c r="AG190" i="40" s="1"/>
  <c r="AH190" i="40" s="1"/>
  <c r="AF128" i="38"/>
  <c r="AG128" i="38" s="1"/>
  <c r="AH128" i="38" s="1"/>
  <c r="Z128" i="38"/>
  <c r="AC128" i="38" s="1"/>
  <c r="AI12" i="36"/>
  <c r="Y12" i="36"/>
  <c r="Z12" i="36" s="1"/>
  <c r="AJ246" i="43"/>
  <c r="AI25" i="40"/>
  <c r="AI148" i="40"/>
  <c r="AL148" i="40"/>
  <c r="AI223" i="40"/>
  <c r="AJ223" i="40" s="1"/>
  <c r="AL223" i="40"/>
  <c r="AR244" i="41"/>
  <c r="AI97" i="40"/>
  <c r="AL97" i="40"/>
  <c r="AI265" i="41"/>
  <c r="AJ265" i="41" s="1"/>
  <c r="AL265" i="41"/>
  <c r="AI16" i="43"/>
  <c r="AG5" i="41"/>
  <c r="AH5" i="41" s="1"/>
  <c r="AR227" i="40"/>
  <c r="AF176" i="41"/>
  <c r="AG176" i="41" s="1"/>
  <c r="AH176" i="41" s="1"/>
  <c r="Z176" i="41"/>
  <c r="AC176" i="41" s="1"/>
  <c r="AF176" i="43"/>
  <c r="AG176" i="43" s="1"/>
  <c r="AH176" i="43" s="1"/>
  <c r="Z176" i="43"/>
  <c r="AC176" i="43" s="1"/>
  <c r="Y172" i="36"/>
  <c r="Z172" i="36" s="1"/>
  <c r="AI172" i="36"/>
  <c r="Z84" i="42"/>
  <c r="AC84" i="42" s="1"/>
  <c r="AF84" i="42"/>
  <c r="AG84" i="42" s="1"/>
  <c r="AH84" i="42" s="1"/>
  <c r="AF79" i="41"/>
  <c r="AG79" i="41" s="1"/>
  <c r="AH79" i="41" s="1"/>
  <c r="Z79" i="41"/>
  <c r="AC79" i="41" s="1"/>
  <c r="Z206" i="43"/>
  <c r="AC206" i="43" s="1"/>
  <c r="AF206" i="43"/>
  <c r="AG206" i="43" s="1"/>
  <c r="AH206" i="43" s="1"/>
  <c r="Z203" i="42"/>
  <c r="AC203" i="42" s="1"/>
  <c r="AF203" i="42"/>
  <c r="AG203" i="42" s="1"/>
  <c r="AH203" i="42" s="1"/>
  <c r="AI32" i="36"/>
  <c r="Y32" i="36"/>
  <c r="Z32" i="36" s="1"/>
  <c r="AI268" i="43"/>
  <c r="AL268" i="43"/>
  <c r="AI103" i="36"/>
  <c r="Y103" i="36"/>
  <c r="Z103" i="36" s="1"/>
  <c r="Y98" i="36"/>
  <c r="Z98" i="36" s="1"/>
  <c r="AI98" i="36"/>
  <c r="Z30" i="41"/>
  <c r="AC30" i="41" s="1"/>
  <c r="AF30" i="41"/>
  <c r="AG30" i="41" s="1"/>
  <c r="AH30" i="41" s="1"/>
  <c r="Z38" i="40"/>
  <c r="AC38" i="40" s="1"/>
  <c r="AF38" i="40"/>
  <c r="AG38" i="40" s="1"/>
  <c r="AH38" i="40" s="1"/>
  <c r="Z293" i="40"/>
  <c r="AA293" i="40" s="1"/>
  <c r="AC221" i="42"/>
  <c r="AA232" i="42"/>
  <c r="Z293" i="42"/>
  <c r="AA293" i="42" s="1"/>
  <c r="AR236" i="40"/>
  <c r="AD170" i="36"/>
  <c r="AE159" i="36"/>
  <c r="AF159" i="36" s="1"/>
  <c r="AI245" i="40"/>
  <c r="AL245" i="40"/>
  <c r="Z156" i="43"/>
  <c r="AC156" i="43" s="1"/>
  <c r="AF156" i="43"/>
  <c r="AG156" i="43" s="1"/>
  <c r="AH156" i="43" s="1"/>
  <c r="AF150" i="40"/>
  <c r="AG150" i="40" s="1"/>
  <c r="AH150" i="40" s="1"/>
  <c r="Z150" i="40"/>
  <c r="AC150" i="40" s="1"/>
  <c r="Z52" i="41"/>
  <c r="AC52" i="41" s="1"/>
  <c r="AF52" i="41"/>
  <c r="AG52" i="41" s="1"/>
  <c r="AH52" i="41" s="1"/>
  <c r="Z51" i="41"/>
  <c r="AC51" i="41" s="1"/>
  <c r="AF51" i="41"/>
  <c r="AG51" i="41" s="1"/>
  <c r="AH51" i="41" s="1"/>
  <c r="AR238" i="41"/>
  <c r="AI239" i="36"/>
  <c r="Y239" i="36"/>
  <c r="Z239" i="36" s="1"/>
  <c r="AI241" i="36"/>
  <c r="Y241" i="36"/>
  <c r="Z241" i="36" s="1"/>
  <c r="Y220" i="36"/>
  <c r="Z220" i="36" s="1"/>
  <c r="AI220" i="36"/>
  <c r="Y240" i="36"/>
  <c r="Z240" i="36" s="1"/>
  <c r="AI240" i="36"/>
  <c r="AI219" i="40"/>
  <c r="AK231" i="40" s="1"/>
  <c r="AL219" i="40"/>
  <c r="Y210" i="36"/>
  <c r="Z210" i="36" s="1"/>
  <c r="AI210" i="36"/>
  <c r="Z169" i="40"/>
  <c r="AC169" i="40" s="1"/>
  <c r="AF169" i="40"/>
  <c r="AG169" i="40" s="1"/>
  <c r="AH169" i="40" s="1"/>
  <c r="AI168" i="42"/>
  <c r="AJ168" i="42" s="1"/>
  <c r="AF124" i="43"/>
  <c r="Z124" i="43"/>
  <c r="AC124" i="43" s="1"/>
  <c r="Z120" i="40"/>
  <c r="AC120" i="40" s="1"/>
  <c r="AF120" i="40"/>
  <c r="AG120" i="40" s="1"/>
  <c r="AH120" i="40" s="1"/>
  <c r="AI112" i="36"/>
  <c r="Y112" i="36"/>
  <c r="Z112" i="36" s="1"/>
  <c r="AF67" i="40"/>
  <c r="AG67" i="40" s="1"/>
  <c r="AH67" i="40" s="1"/>
  <c r="Z67" i="40"/>
  <c r="AC67" i="40" s="1"/>
  <c r="AF72" i="38"/>
  <c r="AG72" i="38" s="1"/>
  <c r="AH72" i="38" s="1"/>
  <c r="Z72" i="38"/>
  <c r="AC72" i="38" s="1"/>
  <c r="AF53" i="38"/>
  <c r="AG53" i="38" s="1"/>
  <c r="AH53" i="38" s="1"/>
  <c r="Z53" i="38"/>
  <c r="Y279" i="38"/>
  <c r="AF63" i="43"/>
  <c r="AG63" i="43" s="1"/>
  <c r="AH63" i="43" s="1"/>
  <c r="Z63" i="43"/>
  <c r="AC63" i="43" s="1"/>
  <c r="AF187" i="38"/>
  <c r="AG187" i="38" s="1"/>
  <c r="AH187" i="38" s="1"/>
  <c r="Z187" i="38"/>
  <c r="AC187" i="38" s="1"/>
  <c r="Z189" i="40"/>
  <c r="AC189" i="40" s="1"/>
  <c r="AF189" i="40"/>
  <c r="AG189" i="40" s="1"/>
  <c r="AH189" i="40" s="1"/>
  <c r="Y78" i="36"/>
  <c r="Z78" i="36" s="1"/>
  <c r="AI78" i="36"/>
  <c r="Z125" i="42"/>
  <c r="AF125" i="42"/>
  <c r="AG125" i="42" s="1"/>
  <c r="AH125" i="42" s="1"/>
  <c r="Y285" i="42"/>
  <c r="AF126" i="41"/>
  <c r="AG126" i="41" s="1"/>
  <c r="AH126" i="41" s="1"/>
  <c r="Z126" i="41"/>
  <c r="AC126" i="41" s="1"/>
  <c r="AI4" i="36"/>
  <c r="Y4" i="36"/>
  <c r="Z4" i="36" s="1"/>
  <c r="AI110" i="40"/>
  <c r="AL110" i="40"/>
  <c r="AF101" i="40"/>
  <c r="AG101" i="40" s="1"/>
  <c r="AH101" i="40" s="1"/>
  <c r="Z101" i="40"/>
  <c r="Y283" i="40"/>
  <c r="AR261" i="43"/>
  <c r="AI62" i="36"/>
  <c r="Y62" i="36"/>
  <c r="Z62" i="36" s="1"/>
  <c r="AI58" i="36"/>
  <c r="Y58" i="36"/>
  <c r="Z58" i="36" s="1"/>
  <c r="AI148" i="42"/>
  <c r="AL148" i="42"/>
  <c r="Z139" i="41"/>
  <c r="AC139" i="41" s="1"/>
  <c r="AF139" i="41"/>
  <c r="AG139" i="41" s="1"/>
  <c r="AH139" i="41" s="1"/>
  <c r="AI140" i="43"/>
  <c r="AJ140" i="43" s="1"/>
  <c r="AL140" i="43"/>
  <c r="AI136" i="36"/>
  <c r="Y136" i="36"/>
  <c r="Z136" i="36" s="1"/>
  <c r="AI267" i="42"/>
  <c r="AJ267" i="42" s="1"/>
  <c r="AL267" i="42"/>
  <c r="AI221" i="43"/>
  <c r="AL221" i="43"/>
  <c r="AR242" i="38"/>
  <c r="AK242" i="38"/>
  <c r="Z92" i="41"/>
  <c r="AC92" i="41" s="1"/>
  <c r="AF92" i="41"/>
  <c r="AG92" i="41" s="1"/>
  <c r="AH92" i="41" s="1"/>
  <c r="AI99" i="38"/>
  <c r="AJ99" i="38" s="1"/>
  <c r="AI91" i="38"/>
  <c r="AJ91" i="38" s="1"/>
  <c r="AI259" i="40"/>
  <c r="AL259" i="40"/>
  <c r="Y49" i="36"/>
  <c r="Z49" i="36" s="1"/>
  <c r="AI49" i="36"/>
  <c r="Z15" i="43"/>
  <c r="AC15" i="43" s="1"/>
  <c r="AF15" i="43"/>
  <c r="AG15" i="43" s="1"/>
  <c r="AH15" i="43" s="1"/>
  <c r="AI15" i="40"/>
  <c r="AL15" i="40"/>
  <c r="AI9" i="40"/>
  <c r="AJ9" i="40" s="1"/>
  <c r="AI183" i="41"/>
  <c r="AF183" i="40"/>
  <c r="AG183" i="40" s="1"/>
  <c r="AH183" i="40" s="1"/>
  <c r="Z183" i="40"/>
  <c r="AC183" i="40" s="1"/>
  <c r="Z202" i="38"/>
  <c r="AC202" i="38" s="1"/>
  <c r="AF202" i="38"/>
  <c r="AG202" i="38" s="1"/>
  <c r="AH202" i="38" s="1"/>
  <c r="AI108" i="36"/>
  <c r="Y108" i="36"/>
  <c r="Z108" i="36" s="1"/>
  <c r="AI30" i="43"/>
  <c r="AJ30" i="43" s="1"/>
  <c r="AF155" i="42"/>
  <c r="AG155" i="42" s="1"/>
  <c r="AH155" i="42" s="1"/>
  <c r="Z155" i="42"/>
  <c r="AC155" i="42" s="1"/>
  <c r="Z153" i="42"/>
  <c r="AC153" i="42" s="1"/>
  <c r="AF153" i="42"/>
  <c r="AG153" i="42" s="1"/>
  <c r="AH153" i="42" s="1"/>
  <c r="Y227" i="36"/>
  <c r="Z227" i="36" s="1"/>
  <c r="AI227" i="36"/>
  <c r="AI215" i="43"/>
  <c r="AJ215" i="43" s="1"/>
  <c r="Y232" i="36"/>
  <c r="Z232" i="36" s="1"/>
  <c r="AI232" i="36"/>
  <c r="Z163" i="40"/>
  <c r="AC163" i="40" s="1"/>
  <c r="AF163" i="40"/>
  <c r="AG163" i="40" s="1"/>
  <c r="AH163" i="40" s="1"/>
  <c r="AI121" i="42"/>
  <c r="Z121" i="38"/>
  <c r="AC121" i="38" s="1"/>
  <c r="AL121" i="43" s="1"/>
  <c r="AF121" i="38"/>
  <c r="AG121" i="38" s="1"/>
  <c r="AH121" i="38" s="1"/>
  <c r="AF65" i="41"/>
  <c r="AG65" i="41" s="1"/>
  <c r="AH65" i="41" s="1"/>
  <c r="Z65" i="41"/>
  <c r="Y280" i="41"/>
  <c r="AF70" i="38"/>
  <c r="AG70" i="38" s="1"/>
  <c r="AH70" i="38" s="1"/>
  <c r="Z70" i="38"/>
  <c r="AC70" i="38" s="1"/>
  <c r="AI56" i="43"/>
  <c r="AF192" i="43"/>
  <c r="AG192" i="43" s="1"/>
  <c r="AH192" i="43" s="1"/>
  <c r="Z192" i="43"/>
  <c r="AC192" i="43" s="1"/>
  <c r="AF189" i="38"/>
  <c r="AG189" i="38" s="1"/>
  <c r="AH189" i="38" s="1"/>
  <c r="Z189" i="38"/>
  <c r="AC189" i="38" s="1"/>
  <c r="AL189" i="41" s="1"/>
  <c r="AI130" i="40"/>
  <c r="AJ130" i="40" s="1"/>
  <c r="AL130" i="40"/>
  <c r="AI8" i="36"/>
  <c r="Y8" i="36"/>
  <c r="Z8" i="36" s="1"/>
  <c r="AI109" i="41"/>
  <c r="AL109" i="41"/>
  <c r="AI102" i="41"/>
  <c r="AJ102" i="41" s="1"/>
  <c r="AL102" i="41"/>
  <c r="AJ261" i="43"/>
  <c r="AI144" i="43"/>
  <c r="AL144" i="43"/>
  <c r="AR267" i="43"/>
  <c r="AK267" i="43"/>
  <c r="AI227" i="43"/>
  <c r="AL227" i="43"/>
  <c r="AI95" i="40"/>
  <c r="AL95" i="40"/>
  <c r="AI16" i="40"/>
  <c r="AI14" i="38"/>
  <c r="AI177" i="43"/>
  <c r="AJ177" i="43" s="1"/>
  <c r="AL177" i="43"/>
  <c r="AI181" i="38"/>
  <c r="Y173" i="36"/>
  <c r="Z173" i="36" s="1"/>
  <c r="AI173" i="36"/>
  <c r="Z77" i="42"/>
  <c r="AF77" i="42"/>
  <c r="AG77" i="42" s="1"/>
  <c r="AH77" i="42" s="1"/>
  <c r="Y281" i="42"/>
  <c r="AI204" i="43"/>
  <c r="AJ204" i="43" s="1"/>
  <c r="AF197" i="41"/>
  <c r="AG197" i="41" s="1"/>
  <c r="AH197" i="41" s="1"/>
  <c r="Z197" i="41"/>
  <c r="Y291" i="41"/>
  <c r="AR255" i="43"/>
  <c r="AK255" i="43"/>
  <c r="AR262" i="41"/>
  <c r="AK262" i="41"/>
  <c r="AR228" i="40"/>
  <c r="AE207" i="36"/>
  <c r="AF207" i="36" s="1"/>
  <c r="AD218" i="36"/>
  <c r="AC41" i="43"/>
  <c r="AI213" i="40"/>
  <c r="AJ213" i="40" s="1"/>
  <c r="AI166" i="38"/>
  <c r="AI66" i="40"/>
  <c r="AJ66" i="40" s="1"/>
  <c r="AL66" i="40"/>
  <c r="AI63" i="42"/>
  <c r="AI192" i="42"/>
  <c r="AL192" i="42"/>
  <c r="AI133" i="43"/>
  <c r="AR133" i="43" s="1"/>
  <c r="AL133" i="43"/>
  <c r="AI130" i="38"/>
  <c r="AJ130" i="38" s="1"/>
  <c r="Y10" i="36"/>
  <c r="Z10" i="36" s="1"/>
  <c r="AI10" i="36"/>
  <c r="AI102" i="43"/>
  <c r="AJ102" i="43" s="1"/>
  <c r="AL102" i="43"/>
  <c r="AI106" i="38"/>
  <c r="U275" i="36"/>
  <c r="V51" i="36"/>
  <c r="AI22" i="40"/>
  <c r="AJ22" i="40" s="1"/>
  <c r="AL22" i="40"/>
  <c r="AI256" i="40"/>
  <c r="AK268" i="40" s="1"/>
  <c r="AL256" i="40"/>
  <c r="AI12" i="40"/>
  <c r="AJ12" i="40" s="1"/>
  <c r="AF173" i="40"/>
  <c r="AG173" i="40" s="1"/>
  <c r="AH173" i="40" s="1"/>
  <c r="Y289" i="40"/>
  <c r="Z173" i="40"/>
  <c r="Z184" i="40"/>
  <c r="AC184" i="40" s="1"/>
  <c r="AF184" i="40"/>
  <c r="AG184" i="40" s="1"/>
  <c r="AH184" i="40" s="1"/>
  <c r="AI180" i="36"/>
  <c r="Y180" i="36"/>
  <c r="Z180" i="36" s="1"/>
  <c r="AF88" i="41"/>
  <c r="AG88" i="41" s="1"/>
  <c r="AH88" i="41" s="1"/>
  <c r="Z88" i="41"/>
  <c r="AC88" i="41" s="1"/>
  <c r="Z85" i="41"/>
  <c r="AC85" i="41" s="1"/>
  <c r="AF85" i="41"/>
  <c r="AG85" i="41" s="1"/>
  <c r="AH85" i="41" s="1"/>
  <c r="Z207" i="43"/>
  <c r="AC207" i="43" s="1"/>
  <c r="AF207" i="43"/>
  <c r="AG207" i="43" s="1"/>
  <c r="AH207" i="43" s="1"/>
  <c r="Z203" i="41"/>
  <c r="AC203" i="41" s="1"/>
  <c r="AF203" i="41"/>
  <c r="AG203" i="41" s="1"/>
  <c r="AH203" i="41" s="1"/>
  <c r="Y201" i="36"/>
  <c r="Z201" i="36" s="1"/>
  <c r="AI201" i="36"/>
  <c r="AI37" i="38"/>
  <c r="AR37" i="38" s="1"/>
  <c r="AI237" i="41"/>
  <c r="AK249" i="41" s="1"/>
  <c r="AL237" i="41"/>
  <c r="AR226" i="42"/>
  <c r="Z159" i="40"/>
  <c r="AC159" i="40" s="1"/>
  <c r="AF159" i="40"/>
  <c r="AG159" i="40" s="1"/>
  <c r="AH159" i="40" s="1"/>
  <c r="Z160" i="42"/>
  <c r="AC160" i="42" s="1"/>
  <c r="AF160" i="42"/>
  <c r="AG160" i="42" s="1"/>
  <c r="AH160" i="42" s="1"/>
  <c r="AF43" i="43"/>
  <c r="AG43" i="43" s="1"/>
  <c r="AH43" i="43" s="1"/>
  <c r="Z43" i="43"/>
  <c r="AC43" i="43" s="1"/>
  <c r="AF49" i="38"/>
  <c r="AG49" i="38" s="1"/>
  <c r="AH49" i="38" s="1"/>
  <c r="Z49" i="38"/>
  <c r="AC49" i="38" s="1"/>
  <c r="AI262" i="40"/>
  <c r="AL262" i="40"/>
  <c r="Y248" i="36"/>
  <c r="Z248" i="36" s="1"/>
  <c r="AI248" i="36"/>
  <c r="AI212" i="43"/>
  <c r="AJ212" i="43" s="1"/>
  <c r="AL212" i="43"/>
  <c r="AI230" i="36"/>
  <c r="Y230" i="36"/>
  <c r="Z230" i="36" s="1"/>
  <c r="Y249" i="36"/>
  <c r="Z249" i="36" s="1"/>
  <c r="AI249" i="36"/>
  <c r="AF211" i="38"/>
  <c r="AG211" i="38" s="1"/>
  <c r="AH211" i="38" s="1"/>
  <c r="Z211" i="38"/>
  <c r="AC211" i="38" s="1"/>
  <c r="AI166" i="42"/>
  <c r="AL166" i="42"/>
  <c r="AI164" i="40"/>
  <c r="AJ164" i="40" s="1"/>
  <c r="AL164" i="40"/>
  <c r="Z162" i="42"/>
  <c r="AC162" i="42" s="1"/>
  <c r="AF162" i="42"/>
  <c r="AG162" i="42" s="1"/>
  <c r="AH162" i="42" s="1"/>
  <c r="Y167" i="36"/>
  <c r="Z167" i="36" s="1"/>
  <c r="AI167" i="36"/>
  <c r="AC113" i="42"/>
  <c r="Z115" i="42"/>
  <c r="AC115" i="42" s="1"/>
  <c r="AF115" i="42"/>
  <c r="AG115" i="42" s="1"/>
  <c r="AH115" i="42" s="1"/>
  <c r="AI114" i="41"/>
  <c r="AL114" i="41"/>
  <c r="Y117" i="36"/>
  <c r="Z117" i="36" s="1"/>
  <c r="AI117" i="36"/>
  <c r="AF73" i="38"/>
  <c r="AG73" i="38" s="1"/>
  <c r="AH73" i="38" s="1"/>
  <c r="Z73" i="38"/>
  <c r="AC73" i="38" s="1"/>
  <c r="Z67" i="38"/>
  <c r="AC67" i="38" s="1"/>
  <c r="AL67" i="42" s="1"/>
  <c r="AF67" i="38"/>
  <c r="AG67" i="38" s="1"/>
  <c r="AH67" i="38" s="1"/>
  <c r="Z60" i="38"/>
  <c r="AC60" i="38" s="1"/>
  <c r="AF60" i="38"/>
  <c r="AG60" i="38" s="1"/>
  <c r="AH60" i="38" s="1"/>
  <c r="Z187" i="43"/>
  <c r="AC187" i="43" s="1"/>
  <c r="AF187" i="43"/>
  <c r="AG187" i="43" s="1"/>
  <c r="AH187" i="43" s="1"/>
  <c r="Z196" i="40"/>
  <c r="AC196" i="40" s="1"/>
  <c r="AF196" i="40"/>
  <c r="AG196" i="40" s="1"/>
  <c r="AH196" i="40" s="1"/>
  <c r="AI184" i="36"/>
  <c r="Y184" i="36"/>
  <c r="Z184" i="36" s="1"/>
  <c r="AF131" i="41"/>
  <c r="AG131" i="41" s="1"/>
  <c r="AH131" i="41" s="1"/>
  <c r="Z131" i="41"/>
  <c r="AC131" i="41" s="1"/>
  <c r="AF133" i="41"/>
  <c r="AG133" i="41" s="1"/>
  <c r="AH133" i="41" s="1"/>
  <c r="Z133" i="41"/>
  <c r="AC133" i="41" s="1"/>
  <c r="AI125" i="36"/>
  <c r="Y125" i="36"/>
  <c r="Z125" i="36" s="1"/>
  <c r="AI102" i="40"/>
  <c r="AL102" i="40"/>
  <c r="AF104" i="40"/>
  <c r="AG104" i="40" s="1"/>
  <c r="AH104" i="40" s="1"/>
  <c r="Z104" i="40"/>
  <c r="AC104" i="40" s="1"/>
  <c r="AI18" i="43"/>
  <c r="AR18" i="43" s="1"/>
  <c r="AL18" i="43"/>
  <c r="AF143" i="41"/>
  <c r="AG143" i="41" s="1"/>
  <c r="AH143" i="41" s="1"/>
  <c r="Z143" i="41"/>
  <c r="AC143" i="41" s="1"/>
  <c r="AI141" i="38"/>
  <c r="Y137" i="36"/>
  <c r="Z137" i="36" s="1"/>
  <c r="AI137" i="36"/>
  <c r="AI232" i="40"/>
  <c r="AK244" i="40" s="1"/>
  <c r="AL232" i="40"/>
  <c r="Z294" i="38"/>
  <c r="AA294" i="38" s="1"/>
  <c r="AC233" i="38"/>
  <c r="AI233" i="38" s="1"/>
  <c r="AJ233" i="38" s="1"/>
  <c r="AA244" i="38"/>
  <c r="AI92" i="40"/>
  <c r="AL92" i="40"/>
  <c r="AI266" i="40"/>
  <c r="AL266" i="40"/>
  <c r="AG5" i="38"/>
  <c r="AH5" i="38" s="1"/>
  <c r="Z179" i="42"/>
  <c r="AC179" i="42" s="1"/>
  <c r="AF179" i="42"/>
  <c r="AG179" i="42" s="1"/>
  <c r="AH179" i="42" s="1"/>
  <c r="AC77" i="40"/>
  <c r="Z207" i="40"/>
  <c r="AC207" i="40" s="1"/>
  <c r="AF207" i="40"/>
  <c r="AG207" i="40" s="1"/>
  <c r="AH207" i="40" s="1"/>
  <c r="V27" i="36"/>
  <c r="U273" i="36"/>
  <c r="AI31" i="38"/>
  <c r="AI225" i="40"/>
  <c r="AJ225" i="40" s="1"/>
  <c r="AL225" i="40"/>
  <c r="AI74" i="36"/>
  <c r="Y74" i="36"/>
  <c r="Z74" i="36" s="1"/>
  <c r="Z149" i="40"/>
  <c r="AF149" i="40"/>
  <c r="AG149" i="40" s="1"/>
  <c r="AH149" i="40" s="1"/>
  <c r="Y287" i="40"/>
  <c r="AC41" i="42"/>
  <c r="Y229" i="36"/>
  <c r="Z229" i="36" s="1"/>
  <c r="AI229" i="36"/>
  <c r="AI214" i="42"/>
  <c r="AJ214" i="42" s="1"/>
  <c r="AF217" i="40"/>
  <c r="AG217" i="40" s="1"/>
  <c r="AH217" i="40" s="1"/>
  <c r="Z217" i="40"/>
  <c r="AC217" i="40" s="1"/>
  <c r="AI172" i="41"/>
  <c r="AI170" i="41"/>
  <c r="AL170" i="41"/>
  <c r="AI114" i="42"/>
  <c r="AJ114" i="42" s="1"/>
  <c r="AL114" i="42"/>
  <c r="AI122" i="38"/>
  <c r="AJ122" i="38" s="1"/>
  <c r="AI124" i="40"/>
  <c r="AL124" i="40"/>
  <c r="AI66" i="38"/>
  <c r="AJ66" i="38" s="1"/>
  <c r="AF128" i="41"/>
  <c r="AG128" i="41" s="1"/>
  <c r="AH128" i="41" s="1"/>
  <c r="Z128" i="41"/>
  <c r="AC128" i="41" s="1"/>
  <c r="AI139" i="42"/>
  <c r="AL139" i="42"/>
  <c r="AR238" i="42"/>
  <c r="AK238" i="42"/>
  <c r="Y282" i="41"/>
  <c r="AI221" i="41"/>
  <c r="AL221" i="41"/>
  <c r="AF177" i="42"/>
  <c r="AG177" i="42" s="1"/>
  <c r="AH177" i="42" s="1"/>
  <c r="Z177" i="42"/>
  <c r="AC177" i="42" s="1"/>
  <c r="AK246" i="41"/>
  <c r="AR246" i="41"/>
  <c r="AI157" i="38"/>
  <c r="AJ157" i="38" s="1"/>
  <c r="AI160" i="38"/>
  <c r="AI220" i="43"/>
  <c r="AR220" i="43" s="1"/>
  <c r="AL220" i="43"/>
  <c r="AD266" i="36"/>
  <c r="AE255" i="36"/>
  <c r="AF255" i="36" s="1"/>
  <c r="AJ165" i="42"/>
  <c r="AL116" i="42"/>
  <c r="AI116" i="42"/>
  <c r="AJ116" i="42" s="1"/>
  <c r="AI122" i="40"/>
  <c r="AL122" i="40"/>
  <c r="AI67" i="42"/>
  <c r="AC65" i="38"/>
  <c r="AI189" i="42"/>
  <c r="AI192" i="38"/>
  <c r="AI109" i="43"/>
  <c r="AL109" i="43"/>
  <c r="AJ25" i="40"/>
  <c r="AI141" i="42"/>
  <c r="AL141" i="42"/>
  <c r="AI148" i="41"/>
  <c r="AL148" i="41"/>
  <c r="AI142" i="41"/>
  <c r="AL142" i="41"/>
  <c r="AF184" i="43"/>
  <c r="AG184" i="43" s="1"/>
  <c r="AH184" i="43" s="1"/>
  <c r="Z184" i="43"/>
  <c r="AC184" i="43" s="1"/>
  <c r="AF180" i="38"/>
  <c r="AG180" i="38" s="1"/>
  <c r="AH180" i="38" s="1"/>
  <c r="Z180" i="38"/>
  <c r="AC180" i="38" s="1"/>
  <c r="Z78" i="41"/>
  <c r="AC78" i="41" s="1"/>
  <c r="AF78" i="41"/>
  <c r="AG78" i="41" s="1"/>
  <c r="AH78" i="41" s="1"/>
  <c r="AF87" i="40"/>
  <c r="AG87" i="40" s="1"/>
  <c r="AH87" i="40" s="1"/>
  <c r="Z87" i="40"/>
  <c r="AC87" i="40" s="1"/>
  <c r="Z295" i="41"/>
  <c r="AA295" i="41" s="1"/>
  <c r="AF202" i="41"/>
  <c r="AG202" i="41" s="1"/>
  <c r="AH202" i="41" s="1"/>
  <c r="Z202" i="41"/>
  <c r="AC202" i="41" s="1"/>
  <c r="Z35" i="42"/>
  <c r="AC35" i="42" s="1"/>
  <c r="AF35" i="42"/>
  <c r="AG35" i="42" s="1"/>
  <c r="AH35" i="42" s="1"/>
  <c r="AI34" i="38"/>
  <c r="AR34" i="38" s="1"/>
  <c r="AI264" i="41"/>
  <c r="AL264" i="41"/>
  <c r="AI18" i="36"/>
  <c r="Y18" i="36"/>
  <c r="Z18" i="36" s="1"/>
  <c r="Y64" i="36"/>
  <c r="Z64" i="36" s="1"/>
  <c r="AI64" i="36"/>
  <c r="AR248" i="38"/>
  <c r="AK248" i="38"/>
  <c r="Z150" i="43"/>
  <c r="AC150" i="43" s="1"/>
  <c r="AF150" i="43"/>
  <c r="AG150" i="43" s="1"/>
  <c r="AH150" i="43" s="1"/>
  <c r="AF151" i="41"/>
  <c r="AG151" i="41" s="1"/>
  <c r="AH151" i="41" s="1"/>
  <c r="Z151" i="41"/>
  <c r="AC151" i="41" s="1"/>
  <c r="Z44" i="38"/>
  <c r="AC44" i="38" s="1"/>
  <c r="AL44" i="42" s="1"/>
  <c r="AF44" i="38"/>
  <c r="AG44" i="38" s="1"/>
  <c r="AH44" i="38" s="1"/>
  <c r="Z43" i="42"/>
  <c r="AC43" i="42" s="1"/>
  <c r="AF43" i="42"/>
  <c r="AG43" i="42" s="1"/>
  <c r="AH43" i="42" s="1"/>
  <c r="AI243" i="42"/>
  <c r="AK255" i="42" s="1"/>
  <c r="AL243" i="42"/>
  <c r="AF210" i="41"/>
  <c r="AG210" i="41" s="1"/>
  <c r="AH210" i="41" s="1"/>
  <c r="Z210" i="41"/>
  <c r="AC210" i="41" s="1"/>
  <c r="AF216" i="38"/>
  <c r="AG216" i="38" s="1"/>
  <c r="AH216" i="38" s="1"/>
  <c r="Z216" i="38"/>
  <c r="AC216" i="38" s="1"/>
  <c r="AL216" i="43" s="1"/>
  <c r="Z171" i="43"/>
  <c r="AC171" i="43" s="1"/>
  <c r="AF171" i="43"/>
  <c r="AG171" i="43" s="1"/>
  <c r="AH171" i="43" s="1"/>
  <c r="AF163" i="41"/>
  <c r="AG163" i="41" s="1"/>
  <c r="AH163" i="41" s="1"/>
  <c r="Z163" i="41"/>
  <c r="AC163" i="41" s="1"/>
  <c r="AF123" i="42"/>
  <c r="AG123" i="42" s="1"/>
  <c r="AH123" i="42" s="1"/>
  <c r="Z123" i="42"/>
  <c r="AC123" i="42" s="1"/>
  <c r="Z75" i="43"/>
  <c r="AC75" i="43" s="1"/>
  <c r="AF75" i="43"/>
  <c r="AG75" i="43" s="1"/>
  <c r="AH75" i="43" s="1"/>
  <c r="AI66" i="41"/>
  <c r="AF73" i="41"/>
  <c r="AG73" i="41" s="1"/>
  <c r="AH73" i="41" s="1"/>
  <c r="Z73" i="41"/>
  <c r="AC73" i="41" s="1"/>
  <c r="U282" i="36"/>
  <c r="V135" i="36"/>
  <c r="AF55" i="41"/>
  <c r="AG55" i="41" s="1"/>
  <c r="AH55" i="41" s="1"/>
  <c r="Z55" i="41"/>
  <c r="AC55" i="41" s="1"/>
  <c r="AF57" i="38"/>
  <c r="AG57" i="38" s="1"/>
  <c r="AH57" i="38" s="1"/>
  <c r="Z57" i="38"/>
  <c r="AC57" i="38" s="1"/>
  <c r="AL57" i="40" s="1"/>
  <c r="AF186" i="41"/>
  <c r="AG186" i="41" s="1"/>
  <c r="AH186" i="41" s="1"/>
  <c r="Z186" i="41"/>
  <c r="AC186" i="41" s="1"/>
  <c r="Y192" i="36"/>
  <c r="Z192" i="36" s="1"/>
  <c r="AI192" i="36"/>
  <c r="AF134" i="38"/>
  <c r="AG134" i="38" s="1"/>
  <c r="AH134" i="38" s="1"/>
  <c r="Z134" i="38"/>
  <c r="AC134" i="38" s="1"/>
  <c r="AL134" i="40" s="1"/>
  <c r="Z127" i="38"/>
  <c r="AC127" i="38" s="1"/>
  <c r="AF127" i="38"/>
  <c r="AG127" i="38" s="1"/>
  <c r="AH127" i="38" s="1"/>
  <c r="AI110" i="43"/>
  <c r="AJ110" i="43" s="1"/>
  <c r="AL110" i="43"/>
  <c r="AI112" i="41"/>
  <c r="AR112" i="41" s="1"/>
  <c r="AL112" i="41"/>
  <c r="AE147" i="36"/>
  <c r="AF147" i="36" s="1"/>
  <c r="AD158" i="36"/>
  <c r="AI26" i="43"/>
  <c r="AJ26" i="43" s="1"/>
  <c r="AL26" i="43"/>
  <c r="AF22" i="42"/>
  <c r="AG22" i="42" s="1"/>
  <c r="AH22" i="42" s="1"/>
  <c r="Z22" i="42"/>
  <c r="AC22" i="42" s="1"/>
  <c r="AF147" i="43"/>
  <c r="AG147" i="43" s="1"/>
  <c r="AH147" i="43" s="1"/>
  <c r="Z147" i="43"/>
  <c r="AC147" i="43" s="1"/>
  <c r="AF145" i="40"/>
  <c r="AG145" i="40" s="1"/>
  <c r="AH145" i="40" s="1"/>
  <c r="Z145" i="40"/>
  <c r="AC145" i="40" s="1"/>
  <c r="AI145" i="38"/>
  <c r="AJ145" i="38" s="1"/>
  <c r="U281" i="36"/>
  <c r="V123" i="36"/>
  <c r="AR235" i="42"/>
  <c r="AK235" i="42"/>
  <c r="AI97" i="38"/>
  <c r="AI90" i="42"/>
  <c r="AL90" i="42"/>
  <c r="AJ266" i="38"/>
  <c r="AF183" i="38"/>
  <c r="AG183" i="38" s="1"/>
  <c r="AH183" i="38" s="1"/>
  <c r="Z183" i="38"/>
  <c r="AC183" i="38" s="1"/>
  <c r="AL183" i="41" s="1"/>
  <c r="AI174" i="36"/>
  <c r="Y174" i="36"/>
  <c r="Z174" i="36" s="1"/>
  <c r="AI205" i="42"/>
  <c r="AI31" i="36"/>
  <c r="Y31" i="36"/>
  <c r="Z31" i="36" s="1"/>
  <c r="AF36" i="41"/>
  <c r="AG36" i="41" s="1"/>
  <c r="AH36" i="41" s="1"/>
  <c r="Z36" i="41"/>
  <c r="AC36" i="41" s="1"/>
  <c r="AR222" i="41"/>
  <c r="AL244" i="43"/>
  <c r="AR255" i="41"/>
  <c r="Y287" i="43"/>
  <c r="AE219" i="36"/>
  <c r="AF219" i="36" s="1"/>
  <c r="AD230" i="36"/>
  <c r="Z164" i="42"/>
  <c r="AC164" i="42" s="1"/>
  <c r="AF164" i="42"/>
  <c r="AG164" i="42" s="1"/>
  <c r="AH164" i="42" s="1"/>
  <c r="AI170" i="42"/>
  <c r="AI122" i="43"/>
  <c r="AJ122" i="43" s="1"/>
  <c r="AL122" i="43"/>
  <c r="AI119" i="42"/>
  <c r="AJ119" i="42" s="1"/>
  <c r="AL119" i="42"/>
  <c r="AI113" i="36"/>
  <c r="Y113" i="36"/>
  <c r="Z113" i="36" s="1"/>
  <c r="AI69" i="38"/>
  <c r="AI62" i="43"/>
  <c r="AL62" i="43"/>
  <c r="AF59" i="42"/>
  <c r="AG59" i="42" s="1"/>
  <c r="AH59" i="42" s="1"/>
  <c r="Z59" i="42"/>
  <c r="AC59" i="42" s="1"/>
  <c r="Z195" i="42"/>
  <c r="AC195" i="42" s="1"/>
  <c r="AF195" i="42"/>
  <c r="AG195" i="42" s="1"/>
  <c r="AH195" i="42" s="1"/>
  <c r="Z132" i="43"/>
  <c r="AC132" i="43" s="1"/>
  <c r="AF132" i="43"/>
  <c r="AG132" i="43" s="1"/>
  <c r="AH132" i="43" s="1"/>
  <c r="AI112" i="38"/>
  <c r="AJ112" i="38" s="1"/>
  <c r="AL244" i="42"/>
  <c r="AC17" i="40"/>
  <c r="AF143" i="43"/>
  <c r="AG143" i="43" s="1"/>
  <c r="AH143" i="43" s="1"/>
  <c r="Z143" i="43"/>
  <c r="AC143" i="43" s="1"/>
  <c r="AI140" i="41"/>
  <c r="AL140" i="41"/>
  <c r="Y145" i="36"/>
  <c r="Z145" i="36" s="1"/>
  <c r="AI145" i="36"/>
  <c r="AK260" i="38"/>
  <c r="AR260" i="38"/>
  <c r="AJ227" i="43"/>
  <c r="AL98" i="42"/>
  <c r="Y40" i="36"/>
  <c r="Z40" i="36" s="1"/>
  <c r="AI40" i="36"/>
  <c r="AI178" i="43"/>
  <c r="AK259" i="42"/>
  <c r="AR247" i="42"/>
  <c r="AK247" i="42"/>
  <c r="Y291" i="40"/>
  <c r="AF197" i="40"/>
  <c r="AG197" i="40" s="1"/>
  <c r="AH197" i="40" s="1"/>
  <c r="Z197" i="40"/>
  <c r="AI101" i="36"/>
  <c r="Y101" i="36"/>
  <c r="Z101" i="36" s="1"/>
  <c r="AI33" i="38"/>
  <c r="AI226" i="41"/>
  <c r="AL226" i="41"/>
  <c r="Y70" i="36"/>
  <c r="Z70" i="36" s="1"/>
  <c r="AI70" i="36"/>
  <c r="AK250" i="41"/>
  <c r="AR250" i="41"/>
  <c r="Y154" i="36"/>
  <c r="Z154" i="36" s="1"/>
  <c r="AI154" i="36"/>
  <c r="Y246" i="36"/>
  <c r="Z246" i="36" s="1"/>
  <c r="AI246" i="36"/>
  <c r="Y236" i="36"/>
  <c r="Z236" i="36" s="1"/>
  <c r="AI236" i="36"/>
  <c r="AI166" i="40"/>
  <c r="AL166" i="40"/>
  <c r="AI121" i="40"/>
  <c r="AI117" i="42"/>
  <c r="AI57" i="40"/>
  <c r="AC185" i="38"/>
  <c r="AI102" i="38"/>
  <c r="AJ102" i="38" s="1"/>
  <c r="AE51" i="36"/>
  <c r="AF51" i="36" s="1"/>
  <c r="AD62" i="36"/>
  <c r="AI18" i="40"/>
  <c r="AL18" i="40"/>
  <c r="AI138" i="40"/>
  <c r="AL138" i="40"/>
  <c r="AK238" i="40"/>
  <c r="AR238" i="40"/>
  <c r="AJ223" i="42"/>
  <c r="AR223" i="42"/>
  <c r="AF173" i="42"/>
  <c r="AG173" i="42" s="1"/>
  <c r="AH173" i="42" s="1"/>
  <c r="Y289" i="42"/>
  <c r="Z173" i="42"/>
  <c r="AF184" i="41"/>
  <c r="AG184" i="41" s="1"/>
  <c r="AH184" i="41" s="1"/>
  <c r="Z184" i="41"/>
  <c r="AC184" i="41" s="1"/>
  <c r="AF180" i="41"/>
  <c r="AG180" i="41" s="1"/>
  <c r="AH180" i="41" s="1"/>
  <c r="Z180" i="41"/>
  <c r="AC180" i="41" s="1"/>
  <c r="AF174" i="40"/>
  <c r="AG174" i="40" s="1"/>
  <c r="AH174" i="40" s="1"/>
  <c r="Z174" i="40"/>
  <c r="AC174" i="40" s="1"/>
  <c r="AF80" i="43"/>
  <c r="AG80" i="43" s="1"/>
  <c r="AH80" i="43" s="1"/>
  <c r="Z80" i="43"/>
  <c r="AC80" i="43" s="1"/>
  <c r="AF77" i="38"/>
  <c r="AG77" i="38" s="1"/>
  <c r="AH77" i="38" s="1"/>
  <c r="Z77" i="38"/>
  <c r="Y281" i="38"/>
  <c r="AF85" i="40"/>
  <c r="AG85" i="40" s="1"/>
  <c r="AH85" i="40" s="1"/>
  <c r="Z85" i="40"/>
  <c r="AC85" i="40" s="1"/>
  <c r="AF79" i="42"/>
  <c r="AG79" i="42" s="1"/>
  <c r="AH79" i="42" s="1"/>
  <c r="Z79" i="42"/>
  <c r="AC79" i="42" s="1"/>
  <c r="AR251" i="41"/>
  <c r="Z202" i="43"/>
  <c r="AC202" i="43" s="1"/>
  <c r="AF202" i="43"/>
  <c r="AG202" i="43" s="1"/>
  <c r="AH202" i="43" s="1"/>
  <c r="Z208" i="40"/>
  <c r="AC208" i="40" s="1"/>
  <c r="AF208" i="40"/>
  <c r="AG208" i="40" s="1"/>
  <c r="AH208" i="40" s="1"/>
  <c r="Z199" i="38"/>
  <c r="AC199" i="38" s="1"/>
  <c r="AL199" i="41" s="1"/>
  <c r="AF199" i="38"/>
  <c r="AG199" i="38" s="1"/>
  <c r="AH199" i="38" s="1"/>
  <c r="Z197" i="38"/>
  <c r="Y291" i="38"/>
  <c r="AF197" i="38"/>
  <c r="AG197" i="38" s="1"/>
  <c r="AH197" i="38" s="1"/>
  <c r="AI198" i="36"/>
  <c r="Y198" i="36"/>
  <c r="Z198" i="36" s="1"/>
  <c r="AI28" i="36"/>
  <c r="Y28" i="36"/>
  <c r="Z28" i="36" s="1"/>
  <c r="Y105" i="36"/>
  <c r="Z105" i="36" s="1"/>
  <c r="AI105" i="36"/>
  <c r="V99" i="36"/>
  <c r="U279" i="36"/>
  <c r="U278" i="36"/>
  <c r="V87" i="36"/>
  <c r="Y96" i="36"/>
  <c r="Z96" i="36" s="1"/>
  <c r="AI96" i="36"/>
  <c r="Z33" i="42"/>
  <c r="AC33" i="42" s="1"/>
  <c r="AF33" i="42"/>
  <c r="AG33" i="42" s="1"/>
  <c r="AH33" i="42" s="1"/>
  <c r="Z31" i="43"/>
  <c r="AC31" i="43" s="1"/>
  <c r="AF31" i="43"/>
  <c r="AG31" i="43" s="1"/>
  <c r="AH31" i="43" s="1"/>
  <c r="AI36" i="38"/>
  <c r="AI32" i="42"/>
  <c r="AJ32" i="42" s="1"/>
  <c r="AL32" i="42"/>
  <c r="AA256" i="38"/>
  <c r="AI259" i="43"/>
  <c r="AL259" i="43"/>
  <c r="Y23" i="36"/>
  <c r="Z23" i="36" s="1"/>
  <c r="AI23" i="36"/>
  <c r="AI20" i="36"/>
  <c r="Y20" i="36"/>
  <c r="Z20" i="36" s="1"/>
  <c r="Y69" i="36"/>
  <c r="Z69" i="36" s="1"/>
  <c r="AI69" i="36"/>
  <c r="Y66" i="36"/>
  <c r="Z66" i="36" s="1"/>
  <c r="AI66" i="36"/>
  <c r="AR254" i="40"/>
  <c r="AF158" i="42"/>
  <c r="AG158" i="42" s="1"/>
  <c r="AH158" i="42" s="1"/>
  <c r="Z158" i="42"/>
  <c r="AC158" i="42" s="1"/>
  <c r="AF154" i="40"/>
  <c r="AG154" i="40" s="1"/>
  <c r="AH154" i="40" s="1"/>
  <c r="Z154" i="40"/>
  <c r="AC154" i="40" s="1"/>
  <c r="AF149" i="38"/>
  <c r="AG149" i="38" s="1"/>
  <c r="AH149" i="38" s="1"/>
  <c r="Z149" i="38"/>
  <c r="Y287" i="38"/>
  <c r="AI155" i="36"/>
  <c r="Y155" i="36"/>
  <c r="Z155" i="36" s="1"/>
  <c r="AF42" i="42"/>
  <c r="AG42" i="42" s="1"/>
  <c r="AH42" i="42" s="1"/>
  <c r="Z42" i="42"/>
  <c r="AC42" i="42" s="1"/>
  <c r="AF49" i="42"/>
  <c r="AG49" i="42" s="1"/>
  <c r="AH49" i="42" s="1"/>
  <c r="Z49" i="42"/>
  <c r="AC49" i="42" s="1"/>
  <c r="Z50" i="41"/>
  <c r="AC50" i="41" s="1"/>
  <c r="AF50" i="41"/>
  <c r="AG50" i="41" s="1"/>
  <c r="AH50" i="41" s="1"/>
  <c r="AC257" i="40"/>
  <c r="Z296" i="40"/>
  <c r="AA296" i="40" s="1"/>
  <c r="AA268" i="40"/>
  <c r="Z210" i="42"/>
  <c r="AC210" i="42" s="1"/>
  <c r="AF210" i="42"/>
  <c r="AG210" i="42" s="1"/>
  <c r="AH210" i="42" s="1"/>
  <c r="Z211" i="42"/>
  <c r="AC211" i="42" s="1"/>
  <c r="AF211" i="42"/>
  <c r="AG211" i="42" s="1"/>
  <c r="AH211" i="42" s="1"/>
  <c r="Z214" i="38"/>
  <c r="AC214" i="38" s="1"/>
  <c r="AL214" i="41" s="1"/>
  <c r="AF214" i="38"/>
  <c r="AG214" i="38" s="1"/>
  <c r="AH214" i="38" s="1"/>
  <c r="AI214" i="40"/>
  <c r="AK226" i="40" s="1"/>
  <c r="AL214" i="40"/>
  <c r="W218" i="36"/>
  <c r="AI207" i="36"/>
  <c r="V288" i="36"/>
  <c r="Y207" i="36"/>
  <c r="Z207" i="36" s="1"/>
  <c r="AI169" i="43"/>
  <c r="AR169" i="43" s="1"/>
  <c r="AI168" i="43"/>
  <c r="AJ168" i="43" s="1"/>
  <c r="AI165" i="36"/>
  <c r="Y165" i="36"/>
  <c r="Z165" i="36" s="1"/>
  <c r="AF120" i="43"/>
  <c r="Z120" i="43"/>
  <c r="AC120" i="43" s="1"/>
  <c r="AF113" i="41"/>
  <c r="Z113" i="41"/>
  <c r="Y284" i="41"/>
  <c r="Z115" i="40"/>
  <c r="AC115" i="40" s="1"/>
  <c r="AF115" i="40"/>
  <c r="AG115" i="40" s="1"/>
  <c r="AH115" i="40" s="1"/>
  <c r="AI117" i="41"/>
  <c r="AF73" i="42"/>
  <c r="AG73" i="42" s="1"/>
  <c r="AH73" i="42" s="1"/>
  <c r="Z73" i="42"/>
  <c r="AC73" i="42" s="1"/>
  <c r="Z68" i="42"/>
  <c r="AC68" i="42" s="1"/>
  <c r="AF68" i="42"/>
  <c r="AG68" i="42" s="1"/>
  <c r="AH68" i="42" s="1"/>
  <c r="Z67" i="41"/>
  <c r="AC67" i="41" s="1"/>
  <c r="AF67" i="41"/>
  <c r="AG67" i="41" s="1"/>
  <c r="AH67" i="41" s="1"/>
  <c r="AI73" i="40"/>
  <c r="AF54" i="43"/>
  <c r="AG54" i="43" s="1"/>
  <c r="AH54" i="43" s="1"/>
  <c r="Z54" i="43"/>
  <c r="AC54" i="43" s="1"/>
  <c r="Z60" i="41"/>
  <c r="AC60" i="41" s="1"/>
  <c r="AF60" i="41"/>
  <c r="AG60" i="41" s="1"/>
  <c r="AH60" i="41" s="1"/>
  <c r="AF53" i="41"/>
  <c r="AG53" i="41" s="1"/>
  <c r="AH53" i="41" s="1"/>
  <c r="Z53" i="41"/>
  <c r="Y279" i="41"/>
  <c r="AF56" i="40"/>
  <c r="AG56" i="40" s="1"/>
  <c r="AH56" i="40" s="1"/>
  <c r="Z56" i="40"/>
  <c r="AC56" i="40" s="1"/>
  <c r="Z188" i="43"/>
  <c r="AC188" i="43" s="1"/>
  <c r="AF188" i="43"/>
  <c r="AG188" i="43" s="1"/>
  <c r="AH188" i="43" s="1"/>
  <c r="Z187" i="41"/>
  <c r="AC187" i="41" s="1"/>
  <c r="AF187" i="41"/>
  <c r="AG187" i="41" s="1"/>
  <c r="AH187" i="41" s="1"/>
  <c r="Z190" i="42"/>
  <c r="AC190" i="42" s="1"/>
  <c r="AF190" i="42"/>
  <c r="AG190" i="42" s="1"/>
  <c r="AH190" i="42" s="1"/>
  <c r="AF188" i="42"/>
  <c r="AG188" i="42" s="1"/>
  <c r="AH188" i="42" s="1"/>
  <c r="Z188" i="42"/>
  <c r="AC188" i="42" s="1"/>
  <c r="AE75" i="36"/>
  <c r="AF75" i="36" s="1"/>
  <c r="AD86" i="36"/>
  <c r="AF125" i="43"/>
  <c r="AG125" i="43" s="1"/>
  <c r="AH125" i="43" s="1"/>
  <c r="Y285" i="43"/>
  <c r="Z125" i="43"/>
  <c r="Z136" i="40"/>
  <c r="AC136" i="40" s="1"/>
  <c r="AF136" i="40"/>
  <c r="AG136" i="40" s="1"/>
  <c r="AH136" i="40" s="1"/>
  <c r="AF132" i="38"/>
  <c r="AG132" i="38" s="1"/>
  <c r="AH132" i="38" s="1"/>
  <c r="Z132" i="38"/>
  <c r="AC132" i="38" s="1"/>
  <c r="AL132" i="40" s="1"/>
  <c r="AF126" i="43"/>
  <c r="AG126" i="43" s="1"/>
  <c r="AH126" i="43" s="1"/>
  <c r="Z126" i="43"/>
  <c r="AC126" i="43" s="1"/>
  <c r="Y124" i="36"/>
  <c r="Z124" i="36" s="1"/>
  <c r="AI124" i="36"/>
  <c r="AI110" i="41"/>
  <c r="AL110" i="41"/>
  <c r="Z103" i="42"/>
  <c r="AC103" i="42" s="1"/>
  <c r="AF103" i="42"/>
  <c r="AG103" i="42" s="1"/>
  <c r="AH103" i="42" s="1"/>
  <c r="AC101" i="38"/>
  <c r="AI112" i="40"/>
  <c r="AL112" i="40"/>
  <c r="Z111" i="38"/>
  <c r="AC111" i="38" s="1"/>
  <c r="AF111" i="38"/>
  <c r="AG111" i="38" s="1"/>
  <c r="AH111" i="38" s="1"/>
  <c r="AK236" i="41"/>
  <c r="AR236" i="41"/>
  <c r="Y61" i="36"/>
  <c r="Z61" i="36" s="1"/>
  <c r="AI61" i="36"/>
  <c r="AF25" i="43"/>
  <c r="AG25" i="43" s="1"/>
  <c r="AH25" i="43" s="1"/>
  <c r="Z25" i="43"/>
  <c r="AC25" i="43" s="1"/>
  <c r="AL20" i="40"/>
  <c r="AF23" i="40"/>
  <c r="AG23" i="40" s="1"/>
  <c r="AH23" i="40" s="1"/>
  <c r="Z23" i="40"/>
  <c r="AC23" i="40" s="1"/>
  <c r="AF139" i="43"/>
  <c r="AG139" i="43" s="1"/>
  <c r="AH139" i="43" s="1"/>
  <c r="Z139" i="43"/>
  <c r="AC139" i="43" s="1"/>
  <c r="AI139" i="38"/>
  <c r="AJ139" i="38" s="1"/>
  <c r="AF143" i="38"/>
  <c r="AG143" i="38" s="1"/>
  <c r="AH143" i="38" s="1"/>
  <c r="Z143" i="38"/>
  <c r="AC143" i="38" s="1"/>
  <c r="AI140" i="38"/>
  <c r="AJ140" i="38" s="1"/>
  <c r="AF142" i="42"/>
  <c r="AG142" i="42" s="1"/>
  <c r="AH142" i="42" s="1"/>
  <c r="Z142" i="42"/>
  <c r="AC142" i="42" s="1"/>
  <c r="AA256" i="42"/>
  <c r="AR234" i="41"/>
  <c r="AK234" i="41"/>
  <c r="AJ232" i="40"/>
  <c r="AI253" i="43"/>
  <c r="AJ253" i="43" s="1"/>
  <c r="AL253" i="43"/>
  <c r="AI251" i="43"/>
  <c r="AL251" i="43"/>
  <c r="AR240" i="43"/>
  <c r="AF96" i="38"/>
  <c r="AG96" i="38" s="1"/>
  <c r="AH96" i="38" s="1"/>
  <c r="Z96" i="38"/>
  <c r="AC96" i="38" s="1"/>
  <c r="Z98" i="41"/>
  <c r="AC98" i="41" s="1"/>
  <c r="AF98" i="41"/>
  <c r="AG98" i="41" s="1"/>
  <c r="AH98" i="41" s="1"/>
  <c r="AI97" i="43"/>
  <c r="AJ97" i="43" s="1"/>
  <c r="AL97" i="43"/>
  <c r="AI97" i="41"/>
  <c r="AL97" i="41"/>
  <c r="AI265" i="40"/>
  <c r="AJ265" i="40" s="1"/>
  <c r="AL265" i="40"/>
  <c r="AI43" i="36"/>
  <c r="Y43" i="36"/>
  <c r="Z43" i="36" s="1"/>
  <c r="Y47" i="36"/>
  <c r="Z47" i="36" s="1"/>
  <c r="AI47" i="36"/>
  <c r="AC5" i="43"/>
  <c r="AI10" i="42"/>
  <c r="AI13" i="40"/>
  <c r="AL13" i="40"/>
  <c r="AF9" i="41"/>
  <c r="AG9" i="41" s="1"/>
  <c r="AH9" i="41" s="1"/>
  <c r="Z9" i="41"/>
  <c r="AC9" i="41" s="1"/>
  <c r="AF16" i="38"/>
  <c r="AG16" i="38" s="1"/>
  <c r="AH16" i="38" s="1"/>
  <c r="Z16" i="38"/>
  <c r="AC16" i="38" s="1"/>
  <c r="AL16" i="40" s="1"/>
  <c r="AF178" i="40"/>
  <c r="AG178" i="40" s="1"/>
  <c r="AH178" i="40" s="1"/>
  <c r="Z178" i="40"/>
  <c r="AC178" i="40" s="1"/>
  <c r="Z181" i="42"/>
  <c r="AC181" i="42" s="1"/>
  <c r="AF181" i="42"/>
  <c r="AG181" i="42" s="1"/>
  <c r="AH181" i="42" s="1"/>
  <c r="Z83" i="42"/>
  <c r="AC83" i="42" s="1"/>
  <c r="AF83" i="42"/>
  <c r="AG83" i="42" s="1"/>
  <c r="AH83" i="42" s="1"/>
  <c r="Y281" i="41"/>
  <c r="Z86" i="38"/>
  <c r="AC86" i="38" s="1"/>
  <c r="AL86" i="41" s="1"/>
  <c r="AF86" i="38"/>
  <c r="AG86" i="38" s="1"/>
  <c r="AH86" i="38" s="1"/>
  <c r="AI205" i="43"/>
  <c r="Z201" i="42"/>
  <c r="AC201" i="42" s="1"/>
  <c r="AF201" i="42"/>
  <c r="AG201" i="42" s="1"/>
  <c r="AH201" i="42" s="1"/>
  <c r="Y205" i="36"/>
  <c r="Z205" i="36" s="1"/>
  <c r="AI205" i="36"/>
  <c r="AD38" i="36"/>
  <c r="Y104" i="36"/>
  <c r="Z104" i="36" s="1"/>
  <c r="AI104" i="36"/>
  <c r="AI31" i="42"/>
  <c r="AJ31" i="42" s="1"/>
  <c r="AL31" i="42"/>
  <c r="Z29" i="42"/>
  <c r="Y277" i="42"/>
  <c r="AF29" i="42"/>
  <c r="AG29" i="42" s="1"/>
  <c r="AH29" i="42" s="1"/>
  <c r="AJ31" i="38"/>
  <c r="AR255" i="42"/>
  <c r="AF151" i="43"/>
  <c r="AG151" i="43" s="1"/>
  <c r="AH151" i="43" s="1"/>
  <c r="Z151" i="43"/>
  <c r="AC151" i="43" s="1"/>
  <c r="AI151" i="38"/>
  <c r="Z49" i="41"/>
  <c r="AC49" i="41" s="1"/>
  <c r="AF49" i="41"/>
  <c r="AG49" i="41" s="1"/>
  <c r="AH49" i="41" s="1"/>
  <c r="Z46" i="38"/>
  <c r="AC46" i="38" s="1"/>
  <c r="AF46" i="38"/>
  <c r="AG46" i="38" s="1"/>
  <c r="AH46" i="38" s="1"/>
  <c r="AI236" i="43"/>
  <c r="AJ236" i="43" s="1"/>
  <c r="AL236" i="43"/>
  <c r="AK267" i="38"/>
  <c r="AR267" i="38"/>
  <c r="AI213" i="41"/>
  <c r="AK225" i="41" s="1"/>
  <c r="AF215" i="38"/>
  <c r="AG215" i="38" s="1"/>
  <c r="AH215" i="38" s="1"/>
  <c r="Z215" i="38"/>
  <c r="AC215" i="38" s="1"/>
  <c r="AL215" i="40" s="1"/>
  <c r="Z172" i="38"/>
  <c r="AC172" i="38" s="1"/>
  <c r="AL172" i="42" s="1"/>
  <c r="AF172" i="38"/>
  <c r="AG172" i="38" s="1"/>
  <c r="AH172" i="38" s="1"/>
  <c r="AJ172" i="41"/>
  <c r="AI171" i="40"/>
  <c r="AL171" i="40"/>
  <c r="AI122" i="41"/>
  <c r="AL122" i="41"/>
  <c r="AF70" i="43"/>
  <c r="AG70" i="43" s="1"/>
  <c r="AH70" i="43" s="1"/>
  <c r="Z70" i="43"/>
  <c r="AC70" i="43" s="1"/>
  <c r="AF54" i="40"/>
  <c r="AG54" i="40" s="1"/>
  <c r="AH54" i="40" s="1"/>
  <c r="Z54" i="40"/>
  <c r="AC54" i="40" s="1"/>
  <c r="AF190" i="43"/>
  <c r="AG190" i="43" s="1"/>
  <c r="AH190" i="43" s="1"/>
  <c r="Z190" i="43"/>
  <c r="AC190" i="43" s="1"/>
  <c r="AI193" i="40"/>
  <c r="AJ193" i="40" s="1"/>
  <c r="AL193" i="40"/>
  <c r="AI189" i="41"/>
  <c r="AC185" i="40"/>
  <c r="AI81" i="36"/>
  <c r="Y81" i="36"/>
  <c r="Z81" i="36" s="1"/>
  <c r="AI126" i="40"/>
  <c r="AL126" i="40"/>
  <c r="AR256" i="41"/>
  <c r="AK256" i="41"/>
  <c r="AI108" i="40"/>
  <c r="AJ108" i="40" s="1"/>
  <c r="AL108" i="40"/>
  <c r="AJ234" i="42"/>
  <c r="AR234" i="42"/>
  <c r="AK234" i="42"/>
  <c r="AL258" i="43"/>
  <c r="AI55" i="36"/>
  <c r="Y55" i="36"/>
  <c r="Z55" i="36" s="1"/>
  <c r="AH55" i="36" s="1"/>
  <c r="AF27" i="38"/>
  <c r="AG27" i="38" s="1"/>
  <c r="AH27" i="38" s="1"/>
  <c r="Z27" i="38"/>
  <c r="AC27" i="38" s="1"/>
  <c r="AL27" i="42" s="1"/>
  <c r="AI25" i="41"/>
  <c r="AI144" i="41"/>
  <c r="AL144" i="41"/>
  <c r="AI144" i="38"/>
  <c r="AJ144" i="38" s="1"/>
  <c r="AF92" i="42"/>
  <c r="AG92" i="42" s="1"/>
  <c r="AH92" i="42" s="1"/>
  <c r="Z92" i="42"/>
  <c r="AC92" i="42" s="1"/>
  <c r="Y45" i="36"/>
  <c r="Z45" i="36" s="1"/>
  <c r="AI45" i="36"/>
  <c r="AF12" i="38"/>
  <c r="AG12" i="38" s="1"/>
  <c r="AH12" i="38" s="1"/>
  <c r="Z12" i="38"/>
  <c r="AC12" i="38" s="1"/>
  <c r="AL12" i="43" s="1"/>
  <c r="AI174" i="41"/>
  <c r="AF178" i="42"/>
  <c r="AG178" i="42" s="1"/>
  <c r="AH178" i="42" s="1"/>
  <c r="Z178" i="42"/>
  <c r="AC178" i="42" s="1"/>
  <c r="AI176" i="40"/>
  <c r="AL176" i="40"/>
  <c r="AF81" i="40"/>
  <c r="AG81" i="40" s="1"/>
  <c r="AH81" i="40" s="1"/>
  <c r="Z81" i="40"/>
  <c r="AC81" i="40" s="1"/>
  <c r="AI86" i="41"/>
  <c r="AJ86" i="41" s="1"/>
  <c r="AJ251" i="41"/>
  <c r="AI200" i="41"/>
  <c r="AC197" i="42"/>
  <c r="AI200" i="40"/>
  <c r="AI92" i="36"/>
  <c r="Y92" i="36"/>
  <c r="Z92" i="36" s="1"/>
  <c r="AI34" i="43"/>
  <c r="AL34" i="43"/>
  <c r="AI40" i="40"/>
  <c r="AJ255" i="42"/>
  <c r="AR239" i="42"/>
  <c r="Y16" i="36"/>
  <c r="Z16" i="36" s="1"/>
  <c r="AI16" i="36"/>
  <c r="AI230" i="43"/>
  <c r="AR230" i="43" s="1"/>
  <c r="AL230" i="43"/>
  <c r="U280" i="36"/>
  <c r="V111" i="36"/>
  <c r="Y65" i="36"/>
  <c r="Z65" i="36" s="1"/>
  <c r="AI65" i="36"/>
  <c r="AC149" i="42"/>
  <c r="AI42" i="41"/>
  <c r="AL42" i="41"/>
  <c r="AI50" i="40"/>
  <c r="AI47" i="38"/>
  <c r="AI221" i="36"/>
  <c r="Y221" i="36"/>
  <c r="Z221" i="36" s="1"/>
  <c r="Y262" i="36"/>
  <c r="Z262" i="36" s="1"/>
  <c r="AI262" i="36"/>
  <c r="Y226" i="36"/>
  <c r="Z226" i="36" s="1"/>
  <c r="AI226" i="36"/>
  <c r="Y228" i="36"/>
  <c r="Z228" i="36" s="1"/>
  <c r="AI228" i="36"/>
  <c r="AI216" i="42"/>
  <c r="AK228" i="42" s="1"/>
  <c r="AI164" i="41"/>
  <c r="AL164" i="41"/>
  <c r="AI168" i="40"/>
  <c r="AJ168" i="40" s="1"/>
  <c r="AC113" i="43"/>
  <c r="AI121" i="41"/>
  <c r="Y280" i="43"/>
  <c r="AI74" i="38"/>
  <c r="AI72" i="42"/>
  <c r="AL72" i="42"/>
  <c r="Y279" i="43"/>
  <c r="AF53" i="43"/>
  <c r="AG53" i="43" s="1"/>
  <c r="AH53" i="43" s="1"/>
  <c r="Z53" i="43"/>
  <c r="AI57" i="41"/>
  <c r="Y279" i="40"/>
  <c r="AJ192" i="38"/>
  <c r="AI186" i="42"/>
  <c r="AL186" i="42"/>
  <c r="AR232" i="42"/>
  <c r="AI132" i="40"/>
  <c r="AI134" i="41"/>
  <c r="Y11" i="36"/>
  <c r="Z11" i="36" s="1"/>
  <c r="AI11" i="36"/>
  <c r="AJ109" i="43"/>
  <c r="AI105" i="40"/>
  <c r="AJ105" i="40" s="1"/>
  <c r="AI108" i="38"/>
  <c r="AJ108" i="38" s="1"/>
  <c r="AI107" i="38"/>
  <c r="AI21" i="43"/>
  <c r="AJ21" i="43" s="1"/>
  <c r="AL21" i="43"/>
  <c r="AI19" i="41"/>
  <c r="AJ19" i="41" s="1"/>
  <c r="AC17" i="43"/>
  <c r="AI141" i="40"/>
  <c r="AJ141" i="40" s="1"/>
  <c r="AL141" i="40"/>
  <c r="AI144" i="40"/>
  <c r="AL144" i="40"/>
  <c r="AR231" i="40"/>
  <c r="AJ268" i="40"/>
  <c r="AK250" i="40"/>
  <c r="AR250" i="40"/>
  <c r="AR248" i="41"/>
  <c r="AK248" i="41"/>
  <c r="AI91" i="40"/>
  <c r="AL91" i="40"/>
  <c r="AI96" i="40"/>
  <c r="AJ96" i="40" s="1"/>
  <c r="AI261" i="41"/>
  <c r="AL261" i="41"/>
  <c r="AI7" i="43"/>
  <c r="AL7" i="43"/>
  <c r="Y275" i="41"/>
  <c r="AJ228" i="42"/>
  <c r="AR228" i="42"/>
  <c r="Z181" i="43"/>
  <c r="AC181" i="43" s="1"/>
  <c r="AF181" i="43"/>
  <c r="AG181" i="43" s="1"/>
  <c r="AH181" i="43" s="1"/>
  <c r="AF174" i="42"/>
  <c r="AG174" i="42" s="1"/>
  <c r="AH174" i="42" s="1"/>
  <c r="Z174" i="42"/>
  <c r="AC174" i="42" s="1"/>
  <c r="Z173" i="41"/>
  <c r="Y289" i="41"/>
  <c r="AF173" i="41"/>
  <c r="AG173" i="41" s="1"/>
  <c r="AH173" i="41" s="1"/>
  <c r="Z177" i="40"/>
  <c r="AC177" i="40" s="1"/>
  <c r="AF177" i="40"/>
  <c r="AG177" i="40" s="1"/>
  <c r="AH177" i="40" s="1"/>
  <c r="Z87" i="43"/>
  <c r="AC87" i="43" s="1"/>
  <c r="AF87" i="43"/>
  <c r="AG87" i="43" s="1"/>
  <c r="AH87" i="43" s="1"/>
  <c r="Z84" i="41"/>
  <c r="AC84" i="41" s="1"/>
  <c r="AF84" i="41"/>
  <c r="AG84" i="41" s="1"/>
  <c r="AH84" i="41" s="1"/>
  <c r="Z83" i="38"/>
  <c r="AC83" i="38" s="1"/>
  <c r="AL83" i="40" s="1"/>
  <c r="AF83" i="38"/>
  <c r="AG83" i="38" s="1"/>
  <c r="AH83" i="38" s="1"/>
  <c r="AF82" i="43"/>
  <c r="AG82" i="43" s="1"/>
  <c r="AH82" i="43" s="1"/>
  <c r="Z82" i="43"/>
  <c r="AC82" i="43" s="1"/>
  <c r="AI245" i="41"/>
  <c r="AL245" i="41"/>
  <c r="AF198" i="42"/>
  <c r="AG198" i="42" s="1"/>
  <c r="AH198" i="42" s="1"/>
  <c r="Z198" i="42"/>
  <c r="AC198" i="42" s="1"/>
  <c r="AF206" i="40"/>
  <c r="AG206" i="40" s="1"/>
  <c r="AH206" i="40" s="1"/>
  <c r="Z206" i="40"/>
  <c r="AC206" i="40" s="1"/>
  <c r="Z199" i="40"/>
  <c r="AC199" i="40" s="1"/>
  <c r="AF199" i="40"/>
  <c r="AG199" i="40" s="1"/>
  <c r="AH199" i="40" s="1"/>
  <c r="AI34" i="36"/>
  <c r="Y34" i="36"/>
  <c r="Z34" i="36" s="1"/>
  <c r="Z294" i="40"/>
  <c r="AA294" i="40" s="1"/>
  <c r="U287" i="36"/>
  <c r="V195" i="36"/>
  <c r="AI106" i="36"/>
  <c r="Y106" i="36"/>
  <c r="Z106" i="36" s="1"/>
  <c r="AI93" i="36"/>
  <c r="Y93" i="36"/>
  <c r="Z93" i="36" s="1"/>
  <c r="Y89" i="36"/>
  <c r="Z89" i="36" s="1"/>
  <c r="AI89" i="36"/>
  <c r="AI39" i="41"/>
  <c r="AL39" i="41"/>
  <c r="Z38" i="38"/>
  <c r="AC38" i="38" s="1"/>
  <c r="AL38" i="43" s="1"/>
  <c r="AF38" i="38"/>
  <c r="AG38" i="38" s="1"/>
  <c r="AH38" i="38" s="1"/>
  <c r="AI39" i="42"/>
  <c r="AJ39" i="42" s="1"/>
  <c r="AL39" i="42"/>
  <c r="Z29" i="43"/>
  <c r="Y277" i="43"/>
  <c r="AF29" i="43"/>
  <c r="AG29" i="43" s="1"/>
  <c r="AH29" i="43" s="1"/>
  <c r="AJ222" i="41"/>
  <c r="AJ226" i="42"/>
  <c r="AA256" i="40"/>
  <c r="AJ248" i="38"/>
  <c r="AF158" i="43"/>
  <c r="AG158" i="43" s="1"/>
  <c r="AH158" i="43" s="1"/>
  <c r="Z158" i="43"/>
  <c r="AC158" i="43" s="1"/>
  <c r="Z154" i="42"/>
  <c r="AC154" i="42" s="1"/>
  <c r="AF154" i="42"/>
  <c r="AG154" i="42" s="1"/>
  <c r="AH154" i="42" s="1"/>
  <c r="Z155" i="38"/>
  <c r="AC155" i="38" s="1"/>
  <c r="AL155" i="40" s="1"/>
  <c r="AF155" i="38"/>
  <c r="AG155" i="38" s="1"/>
  <c r="AH155" i="38" s="1"/>
  <c r="Z160" i="40"/>
  <c r="AC160" i="40" s="1"/>
  <c r="AF160" i="40"/>
  <c r="AG160" i="40" s="1"/>
  <c r="AH160" i="40" s="1"/>
  <c r="AF52" i="42"/>
  <c r="AG52" i="42" s="1"/>
  <c r="AH52" i="42" s="1"/>
  <c r="Z52" i="42"/>
  <c r="AC52" i="42" s="1"/>
  <c r="Z45" i="41"/>
  <c r="AC45" i="41" s="1"/>
  <c r="AF45" i="41"/>
  <c r="AG45" i="41" s="1"/>
  <c r="AH45" i="41" s="1"/>
  <c r="AF45" i="42"/>
  <c r="AG45" i="42" s="1"/>
  <c r="AH45" i="42" s="1"/>
  <c r="Z45" i="42"/>
  <c r="AC45" i="42" s="1"/>
  <c r="AI233" i="41"/>
  <c r="AL233" i="41"/>
  <c r="AR239" i="43"/>
  <c r="AK239" i="43"/>
  <c r="AI268" i="41"/>
  <c r="AL268" i="41"/>
  <c r="AI265" i="43"/>
  <c r="AJ265" i="43" s="1"/>
  <c r="AL265" i="43"/>
  <c r="Y252" i="36"/>
  <c r="Z252" i="36" s="1"/>
  <c r="AI252" i="36"/>
  <c r="Y225" i="36"/>
  <c r="Z225" i="36" s="1"/>
  <c r="AI225" i="36"/>
  <c r="Y254" i="36"/>
  <c r="Z254" i="36" s="1"/>
  <c r="AI254" i="36"/>
  <c r="AI242" i="36"/>
  <c r="Y242" i="36"/>
  <c r="Z242" i="36" s="1"/>
  <c r="AI257" i="36"/>
  <c r="Y257" i="36"/>
  <c r="Z257" i="36" s="1"/>
  <c r="Z213" i="38"/>
  <c r="AC213" i="38" s="1"/>
  <c r="AF213" i="38"/>
  <c r="AG213" i="38" s="1"/>
  <c r="AH213" i="38" s="1"/>
  <c r="AF211" i="41"/>
  <c r="AG211" i="41" s="1"/>
  <c r="AH211" i="41" s="1"/>
  <c r="Z211" i="41"/>
  <c r="AC211" i="41" s="1"/>
  <c r="Y261" i="36"/>
  <c r="Z261" i="36" s="1"/>
  <c r="AI261" i="36"/>
  <c r="AI163" i="43"/>
  <c r="Z163" i="38"/>
  <c r="AC163" i="38" s="1"/>
  <c r="AL163" i="43" s="1"/>
  <c r="AF163" i="38"/>
  <c r="AG163" i="38" s="1"/>
  <c r="AH163" i="38" s="1"/>
  <c r="AI162" i="41"/>
  <c r="AJ162" i="41" s="1"/>
  <c r="AL162" i="41"/>
  <c r="AI162" i="40"/>
  <c r="AL162" i="40"/>
  <c r="Y288" i="40"/>
  <c r="AI123" i="41"/>
  <c r="AL123" i="41"/>
  <c r="AL114" i="40"/>
  <c r="AF118" i="40"/>
  <c r="AG118" i="40" s="1"/>
  <c r="AH118" i="40" s="1"/>
  <c r="Z118" i="40"/>
  <c r="AC118" i="40" s="1"/>
  <c r="AF66" i="43"/>
  <c r="AG66" i="43" s="1"/>
  <c r="AH66" i="43" s="1"/>
  <c r="Z66" i="43"/>
  <c r="AC66" i="43" s="1"/>
  <c r="Z74" i="41"/>
  <c r="AC74" i="41" s="1"/>
  <c r="AF74" i="41"/>
  <c r="AG74" i="41" s="1"/>
  <c r="AH74" i="41" s="1"/>
  <c r="Z65" i="40"/>
  <c r="Y280" i="40"/>
  <c r="AF65" i="40"/>
  <c r="AG65" i="40" s="1"/>
  <c r="AH65" i="40" s="1"/>
  <c r="AE135" i="36"/>
  <c r="AF135" i="36" s="1"/>
  <c r="AD146" i="36"/>
  <c r="AF62" i="42"/>
  <c r="AG62" i="42" s="1"/>
  <c r="AH62" i="42" s="1"/>
  <c r="Z62" i="42"/>
  <c r="AC62" i="42" s="1"/>
  <c r="AF59" i="38"/>
  <c r="AG59" i="38" s="1"/>
  <c r="AH59" i="38" s="1"/>
  <c r="Z59" i="38"/>
  <c r="AC59" i="38" s="1"/>
  <c r="AF54" i="41"/>
  <c r="AG54" i="41" s="1"/>
  <c r="AH54" i="41" s="1"/>
  <c r="Z54" i="41"/>
  <c r="AC54" i="41" s="1"/>
  <c r="AF193" i="43"/>
  <c r="AG193" i="43" s="1"/>
  <c r="AH193" i="43" s="1"/>
  <c r="Z193" i="43"/>
  <c r="AC193" i="43" s="1"/>
  <c r="AF187" i="42"/>
  <c r="AG187" i="42" s="1"/>
  <c r="AH187" i="42" s="1"/>
  <c r="Z187" i="42"/>
  <c r="AC187" i="42" s="1"/>
  <c r="Z187" i="40"/>
  <c r="AC187" i="40" s="1"/>
  <c r="AF187" i="40"/>
  <c r="AG187" i="40" s="1"/>
  <c r="AH187" i="40" s="1"/>
  <c r="AF194" i="38"/>
  <c r="AG194" i="38" s="1"/>
  <c r="AH194" i="38" s="1"/>
  <c r="Z194" i="38"/>
  <c r="AC194" i="38" s="1"/>
  <c r="AL194" i="41" s="1"/>
  <c r="AI84" i="36"/>
  <c r="Y84" i="36"/>
  <c r="Z84" i="36" s="1"/>
  <c r="Y83" i="36"/>
  <c r="Z83" i="36" s="1"/>
  <c r="AI83" i="36"/>
  <c r="AF131" i="43"/>
  <c r="AG131" i="43" s="1"/>
  <c r="AH131" i="43" s="1"/>
  <c r="Z131" i="43"/>
  <c r="AC131" i="43" s="1"/>
  <c r="Z125" i="40"/>
  <c r="AF125" i="40"/>
  <c r="AG125" i="40" s="1"/>
  <c r="AH125" i="40" s="1"/>
  <c r="Y285" i="40"/>
  <c r="Z133" i="42"/>
  <c r="AC133" i="42" s="1"/>
  <c r="AF133" i="42"/>
  <c r="AG133" i="42" s="1"/>
  <c r="AH133" i="42" s="1"/>
  <c r="AF131" i="38"/>
  <c r="AG131" i="38" s="1"/>
  <c r="AH131" i="38" s="1"/>
  <c r="Z131" i="38"/>
  <c r="AC131" i="38" s="1"/>
  <c r="U271" i="36"/>
  <c r="V3" i="36"/>
  <c r="Z109" i="40"/>
  <c r="AC109" i="40" s="1"/>
  <c r="AF109" i="40"/>
  <c r="AG109" i="40" s="1"/>
  <c r="AH109" i="40" s="1"/>
  <c r="Z107" i="41"/>
  <c r="AC107" i="41" s="1"/>
  <c r="AF107" i="41"/>
  <c r="AG107" i="41" s="1"/>
  <c r="AH107" i="41" s="1"/>
  <c r="AI111" i="42"/>
  <c r="AJ241" i="42"/>
  <c r="AK241" i="42"/>
  <c r="AR241" i="42"/>
  <c r="AR267" i="40"/>
  <c r="AI60" i="36"/>
  <c r="Y60" i="36"/>
  <c r="Z60" i="36" s="1"/>
  <c r="AF24" i="43"/>
  <c r="AG24" i="43" s="1"/>
  <c r="AH24" i="43" s="1"/>
  <c r="Z24" i="43"/>
  <c r="AC24" i="43" s="1"/>
  <c r="AL26" i="40"/>
  <c r="AF26" i="41"/>
  <c r="AG26" i="41" s="1"/>
  <c r="AH26" i="41" s="1"/>
  <c r="Z26" i="41"/>
  <c r="AC26" i="41" s="1"/>
  <c r="AI21" i="40"/>
  <c r="AJ21" i="40" s="1"/>
  <c r="AL21" i="40"/>
  <c r="AF23" i="38"/>
  <c r="AG23" i="38" s="1"/>
  <c r="AH23" i="38" s="1"/>
  <c r="Z23" i="38"/>
  <c r="AC23" i="38" s="1"/>
  <c r="AF143" i="42"/>
  <c r="AG143" i="42" s="1"/>
  <c r="AH143" i="42" s="1"/>
  <c r="Z143" i="42"/>
  <c r="AC143" i="42" s="1"/>
  <c r="AF139" i="40"/>
  <c r="AG139" i="40" s="1"/>
  <c r="AH139" i="40" s="1"/>
  <c r="Z139" i="40"/>
  <c r="AC139" i="40" s="1"/>
  <c r="Z146" i="42"/>
  <c r="AC146" i="42" s="1"/>
  <c r="AF146" i="42"/>
  <c r="AG146" i="42" s="1"/>
  <c r="AH146" i="42" s="1"/>
  <c r="Z147" i="40"/>
  <c r="AC147" i="40" s="1"/>
  <c r="AF147" i="40"/>
  <c r="AG147" i="40" s="1"/>
  <c r="AH147" i="40" s="1"/>
  <c r="AR249" i="41"/>
  <c r="AE123" i="36"/>
  <c r="AF123" i="36" s="1"/>
  <c r="AD134" i="36"/>
  <c r="Z293" i="43"/>
  <c r="AA293" i="43" s="1"/>
  <c r="AI251" i="42"/>
  <c r="AL251" i="42"/>
  <c r="AI248" i="43"/>
  <c r="AJ248" i="43" s="1"/>
  <c r="AL248" i="43"/>
  <c r="AF96" i="43"/>
  <c r="AG96" i="43" s="1"/>
  <c r="AH96" i="43" s="1"/>
  <c r="Z96" i="43"/>
  <c r="AC96" i="43" s="1"/>
  <c r="AL99" i="41"/>
  <c r="Z89" i="38"/>
  <c r="AF89" i="38"/>
  <c r="AG89" i="38" s="1"/>
  <c r="AH89" i="38" s="1"/>
  <c r="Y282" i="38"/>
  <c r="AJ265" i="38"/>
  <c r="AI262" i="43"/>
  <c r="AJ262" i="43" s="1"/>
  <c r="AL262" i="43"/>
  <c r="Y50" i="36"/>
  <c r="Z50" i="36" s="1"/>
  <c r="AI50" i="36"/>
  <c r="AI9" i="43"/>
  <c r="AI8" i="42"/>
  <c r="AL8" i="42"/>
  <c r="AI13" i="42"/>
  <c r="AL13" i="42"/>
  <c r="AF7" i="42"/>
  <c r="AG7" i="42" s="1"/>
  <c r="AH7" i="42" s="1"/>
  <c r="Z7" i="42"/>
  <c r="AC7" i="42" s="1"/>
  <c r="AI7" i="38"/>
  <c r="AJ7" i="38" s="1"/>
  <c r="AI7" i="41"/>
  <c r="AJ7" i="41" s="1"/>
  <c r="AL7" i="41"/>
  <c r="AJ227" i="40"/>
  <c r="Z175" i="43"/>
  <c r="AC175" i="43" s="1"/>
  <c r="AF175" i="43"/>
  <c r="AG175" i="43" s="1"/>
  <c r="AH175" i="43" s="1"/>
  <c r="AI176" i="38"/>
  <c r="AJ176" i="38" s="1"/>
  <c r="AI88" i="38"/>
  <c r="AJ88" i="38" s="1"/>
  <c r="AJ246" i="42"/>
  <c r="AR246" i="42"/>
  <c r="AK246" i="42"/>
  <c r="AF203" i="40"/>
  <c r="AG203" i="40" s="1"/>
  <c r="AH203" i="40" s="1"/>
  <c r="Z203" i="40"/>
  <c r="AC203" i="40" s="1"/>
  <c r="AI90" i="36"/>
  <c r="Y90" i="36"/>
  <c r="Z90" i="36" s="1"/>
  <c r="AF34" i="41"/>
  <c r="AG34" i="41" s="1"/>
  <c r="AH34" i="41" s="1"/>
  <c r="Z34" i="41"/>
  <c r="AC34" i="41" s="1"/>
  <c r="AI36" i="42"/>
  <c r="AL36" i="42"/>
  <c r="AI40" i="41"/>
  <c r="AJ40" i="41" s="1"/>
  <c r="AR244" i="43"/>
  <c r="AK244" i="43"/>
  <c r="AK262" i="42"/>
  <c r="AR262" i="42"/>
  <c r="AI226" i="43"/>
  <c r="AJ226" i="43" s="1"/>
  <c r="AL226" i="43"/>
  <c r="AI71" i="36"/>
  <c r="Y71" i="36"/>
  <c r="Z71" i="36" s="1"/>
  <c r="AJ250" i="41"/>
  <c r="Z154" i="43"/>
  <c r="AC154" i="43" s="1"/>
  <c r="AF154" i="43"/>
  <c r="AG154" i="43" s="1"/>
  <c r="AH154" i="43" s="1"/>
  <c r="Z52" i="43"/>
  <c r="AC52" i="43" s="1"/>
  <c r="AF52" i="43"/>
  <c r="AG52" i="43" s="1"/>
  <c r="AH52" i="43" s="1"/>
  <c r="Z47" i="43"/>
  <c r="AC47" i="43" s="1"/>
  <c r="AF47" i="43"/>
  <c r="AG47" i="43" s="1"/>
  <c r="AH47" i="43" s="1"/>
  <c r="AI256" i="36"/>
  <c r="Y256" i="36"/>
  <c r="Z256" i="36" s="1"/>
  <c r="AI258" i="36"/>
  <c r="Y258" i="36"/>
  <c r="Z258" i="36" s="1"/>
  <c r="AC209" i="43"/>
  <c r="AI218" i="43"/>
  <c r="AJ218" i="43" s="1"/>
  <c r="AL218" i="43"/>
  <c r="AI213" i="43"/>
  <c r="AC209" i="38"/>
  <c r="AI213" i="42"/>
  <c r="AI167" i="40"/>
  <c r="AJ167" i="40" s="1"/>
  <c r="AI117" i="40"/>
  <c r="AR117" i="40" s="1"/>
  <c r="AI76" i="43"/>
  <c r="AJ76" i="43" s="1"/>
  <c r="AL76" i="43"/>
  <c r="AI75" i="40"/>
  <c r="AJ75" i="40" s="1"/>
  <c r="AL75" i="40"/>
  <c r="AI68" i="40"/>
  <c r="AL68" i="40"/>
  <c r="AI58" i="38"/>
  <c r="AR58" i="38" s="1"/>
  <c r="Z63" i="40"/>
  <c r="AC63" i="40" s="1"/>
  <c r="AF63" i="40"/>
  <c r="AG63" i="40" s="1"/>
  <c r="AH63" i="40" s="1"/>
  <c r="AI193" i="38"/>
  <c r="AJ193" i="38" s="1"/>
  <c r="AI194" i="41"/>
  <c r="AJ194" i="41" s="1"/>
  <c r="AR231" i="43"/>
  <c r="AI126" i="38"/>
  <c r="AI135" i="41"/>
  <c r="Z129" i="41"/>
  <c r="AC129" i="41" s="1"/>
  <c r="AF129" i="41"/>
  <c r="AG129" i="41" s="1"/>
  <c r="AH129" i="41" s="1"/>
  <c r="AI9" i="36"/>
  <c r="Y9" i="36"/>
  <c r="Z9" i="36" s="1"/>
  <c r="AC101" i="41"/>
  <c r="AJ244" i="42"/>
  <c r="AR244" i="42"/>
  <c r="AK244" i="42"/>
  <c r="AE183" i="36"/>
  <c r="AF183" i="36" s="1"/>
  <c r="AD194" i="36"/>
  <c r="AI21" i="42"/>
  <c r="AL21" i="42"/>
  <c r="AI20" i="43"/>
  <c r="AJ20" i="43" s="1"/>
  <c r="AL20" i="43"/>
  <c r="Z137" i="40"/>
  <c r="AF137" i="40"/>
  <c r="AG137" i="40" s="1"/>
  <c r="AH137" i="40" s="1"/>
  <c r="Y286" i="40"/>
  <c r="AI240" i="42"/>
  <c r="AJ240" i="42" s="1"/>
  <c r="AL240" i="42"/>
  <c r="AJ260" i="38"/>
  <c r="Z293" i="38"/>
  <c r="AA293" i="38" s="1"/>
  <c r="AI230" i="41"/>
  <c r="AL230" i="41"/>
  <c r="AJ238" i="40"/>
  <c r="AF98" i="40"/>
  <c r="AG98" i="40" s="1"/>
  <c r="AH98" i="40" s="1"/>
  <c r="Z98" i="40"/>
  <c r="AC98" i="40" s="1"/>
  <c r="AI95" i="38"/>
  <c r="AI16" i="41"/>
  <c r="AI8" i="38"/>
  <c r="AJ8" i="38" s="1"/>
  <c r="AI6" i="42"/>
  <c r="AJ6" i="42" s="1"/>
  <c r="AL6" i="42"/>
  <c r="AJ178" i="43"/>
  <c r="AI179" i="41"/>
  <c r="AR179" i="41" s="1"/>
  <c r="AL179" i="41"/>
  <c r="AI179" i="38"/>
  <c r="AL256" i="43"/>
  <c r="Z200" i="42"/>
  <c r="AC200" i="42" s="1"/>
  <c r="AF200" i="42"/>
  <c r="AG200" i="42" s="1"/>
  <c r="AH200" i="42" s="1"/>
  <c r="AJ264" i="40"/>
  <c r="AK264" i="40"/>
  <c r="AR264" i="40"/>
  <c r="AI40" i="42"/>
  <c r="AI157" i="40"/>
  <c r="AL157" i="40"/>
  <c r="AI44" i="42"/>
  <c r="AI50" i="43"/>
  <c r="AJ50" i="43" s="1"/>
  <c r="AC233" i="42"/>
  <c r="AA244" i="42"/>
  <c r="Z294" i="42"/>
  <c r="AA294" i="42" s="1"/>
  <c r="AI268" i="42"/>
  <c r="AL268" i="42"/>
  <c r="AI218" i="42"/>
  <c r="AL218" i="42"/>
  <c r="AI212" i="41"/>
  <c r="AL212" i="41"/>
  <c r="AI172" i="43"/>
  <c r="AL172" i="43"/>
  <c r="Y288" i="41"/>
  <c r="AI166" i="41"/>
  <c r="AL166" i="41"/>
  <c r="AL123" i="43"/>
  <c r="AI123" i="43"/>
  <c r="AI71" i="40"/>
  <c r="AJ71" i="40" s="1"/>
  <c r="AL71" i="40"/>
  <c r="AF195" i="41"/>
  <c r="AG195" i="41" s="1"/>
  <c r="AH195" i="41" s="1"/>
  <c r="Z195" i="41"/>
  <c r="AC195" i="41" s="1"/>
  <c r="AI196" i="43"/>
  <c r="AJ196" i="43" s="1"/>
  <c r="Y290" i="38"/>
  <c r="AI80" i="36"/>
  <c r="Y80" i="36"/>
  <c r="Z80" i="36" s="1"/>
  <c r="Z131" i="42"/>
  <c r="AC131" i="42" s="1"/>
  <c r="AF131" i="42"/>
  <c r="AG131" i="42" s="1"/>
  <c r="AH131" i="42" s="1"/>
  <c r="AI112" i="43"/>
  <c r="AL112" i="43"/>
  <c r="AI111" i="40"/>
  <c r="AI108" i="41"/>
  <c r="AJ108" i="41" s="1"/>
  <c r="AL108" i="41"/>
  <c r="Y56" i="36"/>
  <c r="Z56" i="36" s="1"/>
  <c r="AH56" i="36" s="1"/>
  <c r="AI56" i="36"/>
  <c r="AI27" i="41"/>
  <c r="AJ27" i="41" s="1"/>
  <c r="AL141" i="43"/>
  <c r="AI140" i="40"/>
  <c r="AL140" i="40"/>
  <c r="AJ138" i="40"/>
  <c r="AL242" i="43"/>
  <c r="AI263" i="43"/>
  <c r="AR263" i="43" s="1"/>
  <c r="AL263" i="43"/>
  <c r="AI256" i="42"/>
  <c r="AL256" i="42"/>
  <c r="AL235" i="43"/>
  <c r="AI99" i="43"/>
  <c r="AL99" i="43"/>
  <c r="AI98" i="43"/>
  <c r="AL98" i="43"/>
  <c r="AI100" i="42"/>
  <c r="AL100" i="42"/>
  <c r="AI264" i="43"/>
  <c r="AJ264" i="43" s="1"/>
  <c r="AL264" i="43"/>
  <c r="Y41" i="36"/>
  <c r="Z41" i="36" s="1"/>
  <c r="AI41" i="36"/>
  <c r="AI9" i="42"/>
  <c r="AI8" i="41"/>
  <c r="AL8" i="41"/>
  <c r="Z174" i="43"/>
  <c r="AC174" i="43" s="1"/>
  <c r="AF174" i="43"/>
  <c r="AG174" i="43" s="1"/>
  <c r="AH174" i="43" s="1"/>
  <c r="AF178" i="41"/>
  <c r="AG178" i="41" s="1"/>
  <c r="AH178" i="41" s="1"/>
  <c r="Z178" i="41"/>
  <c r="AC178" i="41" s="1"/>
  <c r="AF80" i="42"/>
  <c r="AG80" i="42" s="1"/>
  <c r="AH80" i="42" s="1"/>
  <c r="Z80" i="42"/>
  <c r="AC80" i="42" s="1"/>
  <c r="Z82" i="40"/>
  <c r="AC82" i="40" s="1"/>
  <c r="AF82" i="40"/>
  <c r="AG82" i="40" s="1"/>
  <c r="AH82" i="40" s="1"/>
  <c r="Z204" i="42"/>
  <c r="AC204" i="42" s="1"/>
  <c r="AF204" i="42"/>
  <c r="AG204" i="42" s="1"/>
  <c r="AH204" i="42" s="1"/>
  <c r="Z206" i="38"/>
  <c r="AC206" i="38" s="1"/>
  <c r="AF206" i="38"/>
  <c r="AG206" i="38" s="1"/>
  <c r="AH206" i="38" s="1"/>
  <c r="AI37" i="36"/>
  <c r="Y37" i="36"/>
  <c r="Z37" i="36" s="1"/>
  <c r="AI107" i="36"/>
  <c r="Y107" i="36"/>
  <c r="Z107" i="36" s="1"/>
  <c r="AI88" i="36"/>
  <c r="Y88" i="36"/>
  <c r="Z88" i="36" s="1"/>
  <c r="AI39" i="43"/>
  <c r="AJ39" i="43" s="1"/>
  <c r="AL39" i="43"/>
  <c r="AI32" i="41"/>
  <c r="AL32" i="41"/>
  <c r="AI40" i="43"/>
  <c r="AI227" i="41"/>
  <c r="AJ227" i="41" s="1"/>
  <c r="AL227" i="41"/>
  <c r="AI67" i="36"/>
  <c r="Y67" i="36"/>
  <c r="Z67" i="36" s="1"/>
  <c r="Z159" i="43"/>
  <c r="AC159" i="43" s="1"/>
  <c r="AF159" i="43"/>
  <c r="AG159" i="43" s="1"/>
  <c r="AH159" i="43" s="1"/>
  <c r="AF152" i="38"/>
  <c r="AG152" i="38" s="1"/>
  <c r="AH152" i="38" s="1"/>
  <c r="Z152" i="38"/>
  <c r="AC152" i="38" s="1"/>
  <c r="AF44" i="43"/>
  <c r="AG44" i="43" s="1"/>
  <c r="AH44" i="43" s="1"/>
  <c r="Z44" i="43"/>
  <c r="AC44" i="43" s="1"/>
  <c r="AF48" i="42"/>
  <c r="AG48" i="42" s="1"/>
  <c r="AH48" i="42" s="1"/>
  <c r="Z48" i="42"/>
  <c r="AC48" i="42" s="1"/>
  <c r="AI234" i="40"/>
  <c r="AK246" i="40" s="1"/>
  <c r="AL234" i="40"/>
  <c r="AR241" i="40"/>
  <c r="AI263" i="36"/>
  <c r="Y263" i="36"/>
  <c r="Z263" i="36" s="1"/>
  <c r="AI219" i="38"/>
  <c r="AF212" i="40"/>
  <c r="AG212" i="40" s="1"/>
  <c r="AH212" i="40" s="1"/>
  <c r="Z212" i="40"/>
  <c r="AC212" i="40" s="1"/>
  <c r="Y208" i="36"/>
  <c r="Z208" i="36" s="1"/>
  <c r="AI208" i="36"/>
  <c r="AF169" i="38"/>
  <c r="AG169" i="38" s="1"/>
  <c r="AH169" i="38" s="1"/>
  <c r="Z169" i="38"/>
  <c r="AC169" i="38" s="1"/>
  <c r="AL169" i="43" s="1"/>
  <c r="AI121" i="43"/>
  <c r="Z115" i="38"/>
  <c r="AC115" i="38" s="1"/>
  <c r="AL115" i="43" s="1"/>
  <c r="AF115" i="38"/>
  <c r="AG115" i="38" s="1"/>
  <c r="AH115" i="38" s="1"/>
  <c r="AJ114" i="41"/>
  <c r="Y120" i="36"/>
  <c r="Z120" i="36" s="1"/>
  <c r="AI120" i="36"/>
  <c r="AL69" i="43"/>
  <c r="Z59" i="43"/>
  <c r="AC59" i="43" s="1"/>
  <c r="AF59" i="43"/>
  <c r="AG59" i="43" s="1"/>
  <c r="AH59" i="43" s="1"/>
  <c r="AF56" i="38"/>
  <c r="AG56" i="38" s="1"/>
  <c r="AH56" i="38" s="1"/>
  <c r="Z56" i="38"/>
  <c r="AC56" i="38" s="1"/>
  <c r="Z185" i="42"/>
  <c r="Y290" i="42"/>
  <c r="AF185" i="42"/>
  <c r="AG185" i="42" s="1"/>
  <c r="AH185" i="42" s="1"/>
  <c r="Z125" i="38"/>
  <c r="Y285" i="38"/>
  <c r="AF125" i="38"/>
  <c r="AG125" i="38" s="1"/>
  <c r="AH125" i="38" s="1"/>
  <c r="Y129" i="36"/>
  <c r="Z129" i="36" s="1"/>
  <c r="AI129" i="36"/>
  <c r="AJ252" i="42"/>
  <c r="AR252" i="42"/>
  <c r="AI109" i="38"/>
  <c r="AJ109" i="38" s="1"/>
  <c r="AI112" i="42"/>
  <c r="AL112" i="42"/>
  <c r="AR244" i="40"/>
  <c r="Y148" i="36"/>
  <c r="Z148" i="36" s="1"/>
  <c r="AI148" i="36"/>
  <c r="Y57" i="36"/>
  <c r="Z57" i="36" s="1"/>
  <c r="AI57" i="36"/>
  <c r="AI24" i="42"/>
  <c r="AR24" i="42" s="1"/>
  <c r="AI19" i="43"/>
  <c r="AJ19" i="43" s="1"/>
  <c r="AI20" i="42"/>
  <c r="AR20" i="42" s="1"/>
  <c r="AL20" i="42"/>
  <c r="AF19" i="40"/>
  <c r="AG19" i="40" s="1"/>
  <c r="AH19" i="40" s="1"/>
  <c r="Z19" i="40"/>
  <c r="AC19" i="40" s="1"/>
  <c r="AI147" i="38"/>
  <c r="AJ147" i="38" s="1"/>
  <c r="AR235" i="41"/>
  <c r="AK235" i="41"/>
  <c r="AD182" i="36"/>
  <c r="AE171" i="36"/>
  <c r="AF171" i="36" s="1"/>
  <c r="AF95" i="43"/>
  <c r="AG95" i="43" s="1"/>
  <c r="AH95" i="43" s="1"/>
  <c r="Z95" i="43"/>
  <c r="AC95" i="43" s="1"/>
  <c r="AF95" i="42"/>
  <c r="AG95" i="42" s="1"/>
  <c r="AH95" i="42" s="1"/>
  <c r="Z95" i="42"/>
  <c r="AC95" i="42" s="1"/>
  <c r="AI260" i="43"/>
  <c r="AL260" i="43"/>
  <c r="AI42" i="36"/>
  <c r="Y42" i="36"/>
  <c r="Z42" i="36" s="1"/>
  <c r="AI8" i="43"/>
  <c r="AL8" i="43"/>
  <c r="Z13" i="41"/>
  <c r="AC13" i="41" s="1"/>
  <c r="AF13" i="41"/>
  <c r="AG13" i="41" s="1"/>
  <c r="AH13" i="41" s="1"/>
  <c r="AF11" i="41"/>
  <c r="AG11" i="41" s="1"/>
  <c r="AH11" i="41" s="1"/>
  <c r="Z11" i="41"/>
  <c r="AC11" i="41" s="1"/>
  <c r="AI6" i="40"/>
  <c r="AL6" i="40"/>
  <c r="Z12" i="42"/>
  <c r="AC12" i="42" s="1"/>
  <c r="AF12" i="42"/>
  <c r="AG12" i="42" s="1"/>
  <c r="AH12" i="42" s="1"/>
  <c r="AF174" i="38"/>
  <c r="AG174" i="38" s="1"/>
  <c r="AH174" i="38" s="1"/>
  <c r="Z174" i="38"/>
  <c r="AC174" i="38" s="1"/>
  <c r="Y178" i="36"/>
  <c r="Z178" i="36" s="1"/>
  <c r="AI178" i="36"/>
  <c r="AC77" i="41"/>
  <c r="AI91" i="36"/>
  <c r="Y91" i="36"/>
  <c r="Z91" i="36" s="1"/>
  <c r="AR250" i="43"/>
  <c r="AK250" i="43"/>
  <c r="AE63" i="36"/>
  <c r="AF63" i="36" s="1"/>
  <c r="AD74" i="36"/>
  <c r="AF49" i="43"/>
  <c r="AG49" i="43" s="1"/>
  <c r="AH49" i="43" s="1"/>
  <c r="Z49" i="43"/>
  <c r="AC49" i="43" s="1"/>
  <c r="Y278" i="42"/>
  <c r="AI258" i="41"/>
  <c r="AJ258" i="41" s="1"/>
  <c r="AL258" i="41"/>
  <c r="AE243" i="36"/>
  <c r="AF243" i="36" s="1"/>
  <c r="AD254" i="36"/>
  <c r="AI214" i="43"/>
  <c r="Z117" i="43"/>
  <c r="AC117" i="43" s="1"/>
  <c r="AF117" i="43"/>
  <c r="AI64" i="38"/>
  <c r="Z64" i="40"/>
  <c r="AC64" i="40" s="1"/>
  <c r="AF64" i="40"/>
  <c r="AG64" i="40" s="1"/>
  <c r="AH64" i="40" s="1"/>
  <c r="AI186" i="43"/>
  <c r="AJ186" i="43" s="1"/>
  <c r="AL186" i="43"/>
  <c r="AI127" i="40"/>
  <c r="AL127" i="40"/>
  <c r="AI131" i="40"/>
  <c r="AL131" i="40"/>
  <c r="AJ248" i="42"/>
  <c r="AK248" i="42"/>
  <c r="AR248" i="42"/>
  <c r="Y54" i="36"/>
  <c r="Z54" i="36" s="1"/>
  <c r="AI54" i="36"/>
  <c r="AI142" i="38"/>
  <c r="AJ142" i="38" s="1"/>
  <c r="AF91" i="43"/>
  <c r="AG91" i="43" s="1"/>
  <c r="AH91" i="43" s="1"/>
  <c r="Z91" i="43"/>
  <c r="AC91" i="43" s="1"/>
  <c r="Y179" i="36"/>
  <c r="Z179" i="36" s="1"/>
  <c r="AI179" i="36"/>
  <c r="AI199" i="43"/>
  <c r="Y291" i="42"/>
  <c r="AF206" i="41"/>
  <c r="AG206" i="41" s="1"/>
  <c r="AH206" i="41" s="1"/>
  <c r="Z206" i="41"/>
  <c r="AC206" i="41" s="1"/>
  <c r="AI95" i="36"/>
  <c r="Y95" i="36"/>
  <c r="Z95" i="36" s="1"/>
  <c r="AI37" i="41"/>
  <c r="AL37" i="41"/>
  <c r="AI34" i="42"/>
  <c r="AL34" i="42"/>
  <c r="AI150" i="36"/>
  <c r="Y150" i="36"/>
  <c r="Z150" i="36" s="1"/>
  <c r="Y251" i="36"/>
  <c r="Z251" i="36" s="1"/>
  <c r="AI251" i="36"/>
  <c r="AI218" i="38"/>
  <c r="AJ218" i="38" s="1"/>
  <c r="AI170" i="43"/>
  <c r="AL170" i="43"/>
  <c r="AI123" i="40"/>
  <c r="AJ123" i="40" s="1"/>
  <c r="AL123" i="40"/>
  <c r="AI74" i="40"/>
  <c r="AL74" i="40"/>
  <c r="AI54" i="38"/>
  <c r="Y290" i="43"/>
  <c r="Z185" i="43"/>
  <c r="AF185" i="43"/>
  <c r="AG185" i="43" s="1"/>
  <c r="AH185" i="43" s="1"/>
  <c r="AI194" i="40"/>
  <c r="AI5" i="36"/>
  <c r="Y5" i="36"/>
  <c r="Z5" i="36" s="1"/>
  <c r="Y53" i="36"/>
  <c r="Z53" i="36" s="1"/>
  <c r="AI53" i="36"/>
  <c r="AI147" i="41"/>
  <c r="AJ147" i="41" s="1"/>
  <c r="AL147" i="41"/>
  <c r="AI100" i="43"/>
  <c r="AJ100" i="43" s="1"/>
  <c r="AL100" i="43"/>
  <c r="AI44" i="36"/>
  <c r="Y44" i="36"/>
  <c r="Z44" i="36" s="1"/>
  <c r="AR223" i="41"/>
  <c r="AF181" i="41"/>
  <c r="AG181" i="41" s="1"/>
  <c r="AH181" i="41" s="1"/>
  <c r="Z181" i="41"/>
  <c r="AC181" i="41" s="1"/>
  <c r="Z86" i="43"/>
  <c r="AC86" i="43" s="1"/>
  <c r="AF86" i="43"/>
  <c r="AG86" i="43" s="1"/>
  <c r="AH86" i="43" s="1"/>
  <c r="Z81" i="38"/>
  <c r="AC81" i="38" s="1"/>
  <c r="AF81" i="38"/>
  <c r="AG81" i="38" s="1"/>
  <c r="AH81" i="38" s="1"/>
  <c r="AF207" i="42"/>
  <c r="AG207" i="42" s="1"/>
  <c r="AH207" i="42" s="1"/>
  <c r="Z207" i="42"/>
  <c r="AC207" i="42" s="1"/>
  <c r="AF198" i="40"/>
  <c r="AG198" i="40" s="1"/>
  <c r="AH198" i="40" s="1"/>
  <c r="Z198" i="40"/>
  <c r="AC198" i="40" s="1"/>
  <c r="Y30" i="36"/>
  <c r="Z30" i="36" s="1"/>
  <c r="AI30" i="36"/>
  <c r="Y100" i="36"/>
  <c r="Z100" i="36" s="1"/>
  <c r="AI100" i="36"/>
  <c r="AI33" i="40"/>
  <c r="AR33" i="40" s="1"/>
  <c r="AL33" i="40"/>
  <c r="AI35" i="43"/>
  <c r="AJ35" i="43" s="1"/>
  <c r="AL35" i="43"/>
  <c r="AR256" i="38"/>
  <c r="AK256" i="38"/>
  <c r="Z158" i="41"/>
  <c r="AC158" i="41" s="1"/>
  <c r="AF158" i="41"/>
  <c r="AG158" i="41" s="1"/>
  <c r="AH158" i="41" s="1"/>
  <c r="AF156" i="42"/>
  <c r="AG156" i="42" s="1"/>
  <c r="AH156" i="42" s="1"/>
  <c r="Z156" i="42"/>
  <c r="AC156" i="42" s="1"/>
  <c r="AF46" i="41"/>
  <c r="AG46" i="41" s="1"/>
  <c r="AH46" i="41" s="1"/>
  <c r="Z46" i="41"/>
  <c r="AC46" i="41" s="1"/>
  <c r="AF47" i="40"/>
  <c r="AG47" i="40" s="1"/>
  <c r="AH47" i="40" s="1"/>
  <c r="Z47" i="40"/>
  <c r="AC47" i="40" s="1"/>
  <c r="AJ241" i="40"/>
  <c r="Y222" i="36"/>
  <c r="Z222" i="36" s="1"/>
  <c r="AI222" i="36"/>
  <c r="AF219" i="43"/>
  <c r="AG219" i="43" s="1"/>
  <c r="AH219" i="43" s="1"/>
  <c r="Z219" i="43"/>
  <c r="AC219" i="43" s="1"/>
  <c r="AI265" i="36"/>
  <c r="Y265" i="36"/>
  <c r="Z265" i="36" s="1"/>
  <c r="Z219" i="42"/>
  <c r="AC219" i="42" s="1"/>
  <c r="AF219" i="42"/>
  <c r="AG219" i="42" s="1"/>
  <c r="AH219" i="42" s="1"/>
  <c r="AI217" i="42"/>
  <c r="AJ217" i="42" s="1"/>
  <c r="AL217" i="42"/>
  <c r="AI218" i="40"/>
  <c r="AK230" i="40" s="1"/>
  <c r="AL218" i="40"/>
  <c r="Z164" i="43"/>
  <c r="AC164" i="43" s="1"/>
  <c r="AF164" i="43"/>
  <c r="AG164" i="43" s="1"/>
  <c r="AH164" i="43" s="1"/>
  <c r="AF165" i="38"/>
  <c r="AG165" i="38" s="1"/>
  <c r="AH165" i="38" s="1"/>
  <c r="Z165" i="38"/>
  <c r="AC165" i="38" s="1"/>
  <c r="AL165" i="41" s="1"/>
  <c r="AI115" i="43"/>
  <c r="AJ115" i="43" s="1"/>
  <c r="AI76" i="40"/>
  <c r="AL76" i="40"/>
  <c r="AF60" i="43"/>
  <c r="AG60" i="43" s="1"/>
  <c r="AH60" i="43" s="1"/>
  <c r="Z60" i="43"/>
  <c r="AC60" i="43" s="1"/>
  <c r="Z60" i="40"/>
  <c r="AC60" i="40" s="1"/>
  <c r="AF60" i="40"/>
  <c r="AG60" i="40" s="1"/>
  <c r="AH60" i="40" s="1"/>
  <c r="AF188" i="41"/>
  <c r="AG188" i="41" s="1"/>
  <c r="AH188" i="41" s="1"/>
  <c r="Z188" i="41"/>
  <c r="AC188" i="41" s="1"/>
  <c r="Z190" i="38"/>
  <c r="AC190" i="38" s="1"/>
  <c r="AF190" i="38"/>
  <c r="AG190" i="38" s="1"/>
  <c r="AH190" i="38" s="1"/>
  <c r="Y85" i="36"/>
  <c r="Z85" i="36" s="1"/>
  <c r="AI85" i="36"/>
  <c r="Z127" i="41"/>
  <c r="AC127" i="41" s="1"/>
  <c r="AF127" i="41"/>
  <c r="AG127" i="41" s="1"/>
  <c r="AH127" i="41" s="1"/>
  <c r="AF135" i="38"/>
  <c r="AG135" i="38" s="1"/>
  <c r="AH135" i="38" s="1"/>
  <c r="Z135" i="38"/>
  <c r="AC135" i="38" s="1"/>
  <c r="Y13" i="36"/>
  <c r="Z13" i="36" s="1"/>
  <c r="AI13" i="36"/>
  <c r="AI105" i="43"/>
  <c r="AF104" i="38"/>
  <c r="AG104" i="38" s="1"/>
  <c r="AH104" i="38" s="1"/>
  <c r="Z104" i="38"/>
  <c r="AC104" i="38" s="1"/>
  <c r="AL104" i="41" s="1"/>
  <c r="AR243" i="43"/>
  <c r="AK243" i="43"/>
  <c r="U283" i="36"/>
  <c r="V147" i="36"/>
  <c r="V283" i="36" s="1"/>
  <c r="AF28" i="42"/>
  <c r="AG28" i="42" s="1"/>
  <c r="AH28" i="42" s="1"/>
  <c r="Z28" i="42"/>
  <c r="AC28" i="42" s="1"/>
  <c r="AI20" i="41"/>
  <c r="AL20" i="41"/>
  <c r="AI229" i="40"/>
  <c r="AL229" i="40"/>
  <c r="AI247" i="41"/>
  <c r="AL247" i="41"/>
  <c r="AI99" i="40"/>
  <c r="AL99" i="40"/>
  <c r="AI98" i="38"/>
  <c r="AJ98" i="38" s="1"/>
  <c r="AK266" i="38"/>
  <c r="AR266" i="38"/>
  <c r="AI48" i="36"/>
  <c r="Y48" i="36"/>
  <c r="Z48" i="36" s="1"/>
  <c r="AF5" i="40"/>
  <c r="Y275" i="40"/>
  <c r="Z5" i="40"/>
  <c r="AI14" i="40"/>
  <c r="AJ14" i="40" s="1"/>
  <c r="AL14" i="40"/>
  <c r="AI6" i="41"/>
  <c r="AJ6" i="41" s="1"/>
  <c r="AL6" i="41"/>
  <c r="AR232" i="43"/>
  <c r="AF180" i="40"/>
  <c r="AG180" i="40" s="1"/>
  <c r="AH180" i="40" s="1"/>
  <c r="Z180" i="40"/>
  <c r="AC180" i="40" s="1"/>
  <c r="AI78" i="43"/>
  <c r="AJ78" i="43" s="1"/>
  <c r="AL78" i="43"/>
  <c r="AI79" i="40"/>
  <c r="AJ79" i="40" s="1"/>
  <c r="Z80" i="41"/>
  <c r="AC80" i="41" s="1"/>
  <c r="AF80" i="41"/>
  <c r="AG80" i="41" s="1"/>
  <c r="AH80" i="41" s="1"/>
  <c r="Y97" i="36"/>
  <c r="Z97" i="36" s="1"/>
  <c r="AI97" i="36"/>
  <c r="AI37" i="43"/>
  <c r="AL37" i="43"/>
  <c r="AI39" i="40"/>
  <c r="AL39" i="40"/>
  <c r="AI225" i="43"/>
  <c r="AJ225" i="43" s="1"/>
  <c r="AL225" i="43"/>
  <c r="AF51" i="40"/>
  <c r="AG51" i="40" s="1"/>
  <c r="AH51" i="40" s="1"/>
  <c r="Z51" i="40"/>
  <c r="AC51" i="40" s="1"/>
  <c r="AJ238" i="41"/>
  <c r="Y219" i="36"/>
  <c r="Z219" i="36" s="1"/>
  <c r="W230" i="36"/>
  <c r="AI219" i="36"/>
  <c r="Y292" i="42"/>
  <c r="AC209" i="40"/>
  <c r="AI216" i="36"/>
  <c r="Y216" i="36"/>
  <c r="Z216" i="36" s="1"/>
  <c r="AI164" i="36"/>
  <c r="Y164" i="36"/>
  <c r="Z164" i="36" s="1"/>
  <c r="AI59" i="41"/>
  <c r="AJ59" i="41" s="1"/>
  <c r="AI103" i="43"/>
  <c r="AL103" i="43"/>
  <c r="AI24" i="40"/>
  <c r="AI177" i="38"/>
  <c r="AI82" i="42"/>
  <c r="AJ82" i="42" s="1"/>
  <c r="AI207" i="38"/>
  <c r="AI38" i="36"/>
  <c r="Y38" i="36"/>
  <c r="Z38" i="36" s="1"/>
  <c r="AK241" i="43"/>
  <c r="AR241" i="43"/>
  <c r="AR224" i="41"/>
  <c r="AI152" i="43"/>
  <c r="AJ152" i="43" s="1"/>
  <c r="AF152" i="40"/>
  <c r="AG152" i="40" s="1"/>
  <c r="AH152" i="40" s="1"/>
  <c r="Z152" i="40"/>
  <c r="AC152" i="40" s="1"/>
  <c r="AI44" i="40"/>
  <c r="Y231" i="36"/>
  <c r="Z231" i="36" s="1"/>
  <c r="AI231" i="36"/>
  <c r="W242" i="36"/>
  <c r="AI216" i="43"/>
  <c r="Y288" i="43"/>
  <c r="AI116" i="41"/>
  <c r="AJ116" i="41" s="1"/>
  <c r="AL116" i="41"/>
  <c r="AI107" i="40"/>
  <c r="AL107" i="40"/>
  <c r="AI27" i="42"/>
  <c r="AI145" i="41"/>
  <c r="AJ145" i="41" s="1"/>
  <c r="AL145" i="41"/>
  <c r="AI138" i="38"/>
  <c r="AJ138" i="38" s="1"/>
  <c r="Y141" i="36"/>
  <c r="Z141" i="36" s="1"/>
  <c r="AI141" i="36"/>
  <c r="AI91" i="41"/>
  <c r="AL91" i="41"/>
  <c r="AI100" i="38"/>
  <c r="AJ100" i="38" s="1"/>
  <c r="Y282" i="42"/>
  <c r="AI94" i="40"/>
  <c r="AL94" i="40"/>
  <c r="V39" i="36"/>
  <c r="U274" i="36"/>
  <c r="AI11" i="43"/>
  <c r="AI15" i="41"/>
  <c r="AL15" i="41"/>
  <c r="AF175" i="41"/>
  <c r="AG175" i="41" s="1"/>
  <c r="AH175" i="41" s="1"/>
  <c r="Z175" i="41"/>
  <c r="AC175" i="41" s="1"/>
  <c r="AF175" i="40"/>
  <c r="AG175" i="40" s="1"/>
  <c r="AH175" i="40" s="1"/>
  <c r="Z175" i="40"/>
  <c r="AC175" i="40" s="1"/>
  <c r="Z78" i="40"/>
  <c r="AC78" i="40" s="1"/>
  <c r="AF78" i="40"/>
  <c r="AG78" i="40" s="1"/>
  <c r="AH78" i="40" s="1"/>
  <c r="AF201" i="41"/>
  <c r="AG201" i="41" s="1"/>
  <c r="AH201" i="41" s="1"/>
  <c r="Z201" i="41"/>
  <c r="AC201" i="41" s="1"/>
  <c r="AF200" i="38"/>
  <c r="AG200" i="38" s="1"/>
  <c r="AH200" i="38" s="1"/>
  <c r="Z200" i="38"/>
  <c r="AC200" i="38" s="1"/>
  <c r="AL200" i="41" s="1"/>
  <c r="AK241" i="41"/>
  <c r="AR241" i="41"/>
  <c r="AC257" i="41"/>
  <c r="AA268" i="41"/>
  <c r="Z296" i="41"/>
  <c r="AA296" i="41" s="1"/>
  <c r="AI257" i="43"/>
  <c r="AJ36" i="38"/>
  <c r="AI33" i="43"/>
  <c r="AL33" i="43"/>
  <c r="AJ245" i="38"/>
  <c r="AR245" i="38"/>
  <c r="AD26" i="36"/>
  <c r="AK250" i="42"/>
  <c r="AR250" i="42"/>
  <c r="AI253" i="42"/>
  <c r="AJ253" i="42" s="1"/>
  <c r="AL253" i="42"/>
  <c r="Z149" i="41"/>
  <c r="AF149" i="41"/>
  <c r="AG149" i="41" s="1"/>
  <c r="AH149" i="41" s="1"/>
  <c r="Y287" i="41"/>
  <c r="Y149" i="36"/>
  <c r="Z149" i="36" s="1"/>
  <c r="AI149" i="36"/>
  <c r="AF48" i="41"/>
  <c r="AG48" i="41" s="1"/>
  <c r="AH48" i="41" s="1"/>
  <c r="Z48" i="41"/>
  <c r="AC48" i="41" s="1"/>
  <c r="Z50" i="42"/>
  <c r="AC50" i="42" s="1"/>
  <c r="AF50" i="42"/>
  <c r="AG50" i="42" s="1"/>
  <c r="AH50" i="42" s="1"/>
  <c r="AI266" i="43"/>
  <c r="AR266" i="43" s="1"/>
  <c r="AL266" i="43"/>
  <c r="Y250" i="36"/>
  <c r="Z250" i="36" s="1"/>
  <c r="AI250" i="36"/>
  <c r="Y234" i="36"/>
  <c r="Z234" i="36" s="1"/>
  <c r="AI234" i="36"/>
  <c r="AI220" i="42"/>
  <c r="AK232" i="42" s="1"/>
  <c r="AL220" i="42"/>
  <c r="Z211" i="40"/>
  <c r="AC211" i="40" s="1"/>
  <c r="AF211" i="40"/>
  <c r="AG211" i="40" s="1"/>
  <c r="AH211" i="40" s="1"/>
  <c r="AI172" i="42"/>
  <c r="AJ172" i="42" s="1"/>
  <c r="Z119" i="40"/>
  <c r="AC119" i="40" s="1"/>
  <c r="AF119" i="40"/>
  <c r="AG119" i="40" s="1"/>
  <c r="AH119" i="40" s="1"/>
  <c r="AC113" i="40"/>
  <c r="AI67" i="43"/>
  <c r="AF55" i="42"/>
  <c r="AG55" i="42" s="1"/>
  <c r="AH55" i="42" s="1"/>
  <c r="Z55" i="42"/>
  <c r="AC55" i="42" s="1"/>
  <c r="Z54" i="42"/>
  <c r="AC54" i="42" s="1"/>
  <c r="AF54" i="42"/>
  <c r="AG54" i="42" s="1"/>
  <c r="AH54" i="42" s="1"/>
  <c r="Z194" i="43"/>
  <c r="AC194" i="43" s="1"/>
  <c r="AF194" i="43"/>
  <c r="AG194" i="43" s="1"/>
  <c r="AH194" i="43" s="1"/>
  <c r="AF193" i="42"/>
  <c r="AG193" i="42" s="1"/>
  <c r="AH193" i="42" s="1"/>
  <c r="Z193" i="42"/>
  <c r="AC193" i="42" s="1"/>
  <c r="V75" i="36"/>
  <c r="U277" i="36"/>
  <c r="AF129" i="40"/>
  <c r="AG129" i="40" s="1"/>
  <c r="AH129" i="40" s="1"/>
  <c r="Z129" i="40"/>
  <c r="AC129" i="40" s="1"/>
  <c r="Y14" i="36"/>
  <c r="Z14" i="36" s="1"/>
  <c r="AI14" i="36"/>
  <c r="AF108" i="43"/>
  <c r="AG108" i="43" s="1"/>
  <c r="AH108" i="43" s="1"/>
  <c r="Z108" i="43"/>
  <c r="AC108" i="43" s="1"/>
  <c r="Z109" i="42"/>
  <c r="AC109" i="42" s="1"/>
  <c r="AF109" i="42"/>
  <c r="AG109" i="42" s="1"/>
  <c r="AH109" i="42" s="1"/>
  <c r="AI28" i="41"/>
  <c r="AL23" i="42"/>
  <c r="AR229" i="43"/>
  <c r="AR249" i="40"/>
  <c r="AK249" i="40"/>
  <c r="AI258" i="40"/>
  <c r="AL258" i="40"/>
  <c r="AI248" i="40"/>
  <c r="AL248" i="40"/>
  <c r="AI243" i="41"/>
  <c r="AJ243" i="41" s="1"/>
  <c r="AL243" i="41"/>
  <c r="AF93" i="42"/>
  <c r="AG93" i="42" s="1"/>
  <c r="AH93" i="42" s="1"/>
  <c r="Z93" i="42"/>
  <c r="AC93" i="42" s="1"/>
  <c r="Z94" i="41"/>
  <c r="AC94" i="41" s="1"/>
  <c r="AF94" i="41"/>
  <c r="AG94" i="41" s="1"/>
  <c r="AH94" i="41" s="1"/>
  <c r="AI96" i="41"/>
  <c r="AJ96" i="41" s="1"/>
  <c r="AJ260" i="43"/>
  <c r="AG5" i="43"/>
  <c r="AH5" i="43" s="1"/>
  <c r="Z9" i="38"/>
  <c r="AC9" i="38" s="1"/>
  <c r="AL9" i="43" s="1"/>
  <c r="AF9" i="38"/>
  <c r="AG9" i="38" s="1"/>
  <c r="AH9" i="38" s="1"/>
  <c r="Z183" i="42"/>
  <c r="AC183" i="42" s="1"/>
  <c r="AF183" i="42"/>
  <c r="AG183" i="42" s="1"/>
  <c r="AH183" i="42" s="1"/>
  <c r="AF81" i="43"/>
  <c r="AG81" i="43" s="1"/>
  <c r="AH81" i="43" s="1"/>
  <c r="Z81" i="43"/>
  <c r="AC81" i="43" s="1"/>
  <c r="Z85" i="42"/>
  <c r="AC85" i="42" s="1"/>
  <c r="AF85" i="42"/>
  <c r="AG85" i="42" s="1"/>
  <c r="AH85" i="42" s="1"/>
  <c r="AF208" i="38"/>
  <c r="AG208" i="38" s="1"/>
  <c r="AH208" i="38" s="1"/>
  <c r="Z208" i="38"/>
  <c r="AC208" i="38" s="1"/>
  <c r="AI38" i="43"/>
  <c r="AJ38" i="43" s="1"/>
  <c r="AI19" i="36"/>
  <c r="Y19" i="36"/>
  <c r="Z19" i="36" s="1"/>
  <c r="AI157" i="42"/>
  <c r="AL157" i="42"/>
  <c r="AI42" i="38"/>
  <c r="AF211" i="43"/>
  <c r="AG211" i="43" s="1"/>
  <c r="AH211" i="43" s="1"/>
  <c r="Z211" i="43"/>
  <c r="AC211" i="43" s="1"/>
  <c r="AI220" i="38"/>
  <c r="AJ166" i="43"/>
  <c r="AI72" i="43"/>
  <c r="AR72" i="43" s="1"/>
  <c r="AI75" i="41"/>
  <c r="AL75" i="41"/>
  <c r="AC65" i="42"/>
  <c r="Z58" i="41"/>
  <c r="AC58" i="41" s="1"/>
  <c r="AF58" i="41"/>
  <c r="AG58" i="41" s="1"/>
  <c r="AH58" i="41" s="1"/>
  <c r="AF60" i="42"/>
  <c r="AG60" i="42" s="1"/>
  <c r="AH60" i="42" s="1"/>
  <c r="Z60" i="42"/>
  <c r="AC60" i="42" s="1"/>
  <c r="AI194" i="42"/>
  <c r="AL194" i="42"/>
  <c r="Y290" i="40"/>
  <c r="AJ127" i="40"/>
  <c r="AI126" i="42"/>
  <c r="AL126" i="42"/>
  <c r="AL256" i="41"/>
  <c r="AI111" i="43"/>
  <c r="AI106" i="40"/>
  <c r="AJ106" i="40" s="1"/>
  <c r="AL106" i="40"/>
  <c r="AJ263" i="42"/>
  <c r="AR263" i="42"/>
  <c r="AF21" i="41"/>
  <c r="AG21" i="41" s="1"/>
  <c r="AH21" i="41" s="1"/>
  <c r="Z21" i="41"/>
  <c r="AC21" i="41" s="1"/>
  <c r="AI28" i="40"/>
  <c r="AI144" i="42"/>
  <c r="AL144" i="42"/>
  <c r="AI239" i="41"/>
  <c r="AL239" i="41"/>
  <c r="AI93" i="43"/>
  <c r="AF94" i="43"/>
  <c r="AG94" i="43" s="1"/>
  <c r="AH94" i="43" s="1"/>
  <c r="Z94" i="43"/>
  <c r="AC94" i="43" s="1"/>
  <c r="AI263" i="41"/>
  <c r="AJ263" i="41" s="1"/>
  <c r="AL263" i="41"/>
  <c r="AC5" i="42"/>
  <c r="AI82" i="41"/>
  <c r="AI198" i="38"/>
  <c r="AJ198" i="38" s="1"/>
  <c r="AI35" i="40"/>
  <c r="AR35" i="40" s="1"/>
  <c r="AL35" i="40"/>
  <c r="AI232" i="41"/>
  <c r="AL232" i="41"/>
  <c r="AI157" i="43"/>
  <c r="AL157" i="43"/>
  <c r="Y287" i="42"/>
  <c r="AI45" i="43"/>
  <c r="AJ45" i="43" s="1"/>
  <c r="AK258" i="38"/>
  <c r="AR258" i="38"/>
  <c r="AC161" i="38"/>
  <c r="AI118" i="43"/>
  <c r="Z63" i="38"/>
  <c r="AC63" i="38" s="1"/>
  <c r="AL63" i="42" s="1"/>
  <c r="AF63" i="38"/>
  <c r="AG63" i="38" s="1"/>
  <c r="AH63" i="38" s="1"/>
  <c r="AI62" i="38"/>
  <c r="AI127" i="42"/>
  <c r="AL127" i="42"/>
  <c r="AI24" i="41"/>
  <c r="AI22" i="38"/>
  <c r="AR252" i="40"/>
  <c r="AK252" i="40"/>
  <c r="AI228" i="43"/>
  <c r="AJ228" i="43" s="1"/>
  <c r="AL228" i="43"/>
  <c r="AI91" i="42"/>
  <c r="AL91" i="42"/>
  <c r="AI99" i="42"/>
  <c r="AL99" i="42"/>
  <c r="AI10" i="43"/>
  <c r="AI6" i="38"/>
  <c r="AJ6" i="38" s="1"/>
  <c r="AJ232" i="43"/>
  <c r="AF179" i="40"/>
  <c r="AG179" i="40" s="1"/>
  <c r="AH179" i="40" s="1"/>
  <c r="Z179" i="40"/>
  <c r="AC179" i="40" s="1"/>
  <c r="Z88" i="42"/>
  <c r="AC88" i="42" s="1"/>
  <c r="AF88" i="42"/>
  <c r="AG88" i="42" s="1"/>
  <c r="AH88" i="42" s="1"/>
  <c r="Z81" i="41"/>
  <c r="AC81" i="41" s="1"/>
  <c r="AF81" i="41"/>
  <c r="AG81" i="41" s="1"/>
  <c r="AH81" i="41" s="1"/>
  <c r="AF208" i="43"/>
  <c r="AG208" i="43" s="1"/>
  <c r="AH208" i="43" s="1"/>
  <c r="Z208" i="43"/>
  <c r="AC208" i="43" s="1"/>
  <c r="Z201" i="43"/>
  <c r="AC201" i="43" s="1"/>
  <c r="AF201" i="43"/>
  <c r="AG201" i="43" s="1"/>
  <c r="AH201" i="43" s="1"/>
  <c r="AA244" i="40"/>
  <c r="AJ268" i="43"/>
  <c r="AI32" i="38"/>
  <c r="AJ32" i="38" s="1"/>
  <c r="Z36" i="43"/>
  <c r="AC36" i="43" s="1"/>
  <c r="AF36" i="43"/>
  <c r="AG36" i="43" s="1"/>
  <c r="AH36" i="43" s="1"/>
  <c r="AF31" i="40"/>
  <c r="AG31" i="40" s="1"/>
  <c r="AH31" i="40" s="1"/>
  <c r="Z31" i="40"/>
  <c r="AC31" i="40" s="1"/>
  <c r="AI221" i="40"/>
  <c r="AL221" i="40"/>
  <c r="AA244" i="43"/>
  <c r="AC233" i="43"/>
  <c r="Z294" i="43"/>
  <c r="AA294" i="43" s="1"/>
  <c r="Y25" i="36"/>
  <c r="Z25" i="36" s="1"/>
  <c r="AI25" i="36"/>
  <c r="AI227" i="42"/>
  <c r="AR227" i="42" s="1"/>
  <c r="AL227" i="42"/>
  <c r="AJ250" i="42"/>
  <c r="AJ256" i="38"/>
  <c r="AF158" i="40"/>
  <c r="AG158" i="40" s="1"/>
  <c r="AH158" i="40" s="1"/>
  <c r="Z158" i="40"/>
  <c r="AC158" i="40" s="1"/>
  <c r="AF153" i="40"/>
  <c r="AG153" i="40" s="1"/>
  <c r="AH153" i="40" s="1"/>
  <c r="Z153" i="40"/>
  <c r="AC153" i="40" s="1"/>
  <c r="Y153" i="36"/>
  <c r="Z153" i="36" s="1"/>
  <c r="AI153" i="36"/>
  <c r="AF52" i="40"/>
  <c r="AG52" i="40" s="1"/>
  <c r="AH52" i="40" s="1"/>
  <c r="Z52" i="40"/>
  <c r="AC52" i="40" s="1"/>
  <c r="AA244" i="41"/>
  <c r="AI267" i="41"/>
  <c r="AL267" i="41"/>
  <c r="AI238" i="36"/>
  <c r="Y238" i="36"/>
  <c r="Z238" i="36" s="1"/>
  <c r="Y288" i="42"/>
  <c r="AF161" i="42"/>
  <c r="AG161" i="42" s="1"/>
  <c r="AH161" i="42" s="1"/>
  <c r="Z161" i="42"/>
  <c r="AI167" i="42"/>
  <c r="AR167" i="42" s="1"/>
  <c r="AI120" i="42"/>
  <c r="AL120" i="42"/>
  <c r="AI120" i="38"/>
  <c r="AJ120" i="38" s="1"/>
  <c r="AF70" i="42"/>
  <c r="AG70" i="42" s="1"/>
  <c r="AH70" i="42" s="1"/>
  <c r="Z70" i="42"/>
  <c r="AC70" i="42" s="1"/>
  <c r="AF66" i="42"/>
  <c r="AG66" i="42" s="1"/>
  <c r="AH66" i="42" s="1"/>
  <c r="Z66" i="42"/>
  <c r="AC66" i="42" s="1"/>
  <c r="AF64" i="43"/>
  <c r="AG64" i="43" s="1"/>
  <c r="AH64" i="43" s="1"/>
  <c r="Z64" i="43"/>
  <c r="AC64" i="43" s="1"/>
  <c r="AF62" i="41"/>
  <c r="AG62" i="41" s="1"/>
  <c r="AH62" i="41" s="1"/>
  <c r="Z62" i="41"/>
  <c r="AC62" i="41" s="1"/>
  <c r="AF188" i="38"/>
  <c r="AG188" i="38" s="1"/>
  <c r="AH188" i="38" s="1"/>
  <c r="Z188" i="38"/>
  <c r="AC188" i="38" s="1"/>
  <c r="AF189" i="43"/>
  <c r="AG189" i="43" s="1"/>
  <c r="AH189" i="43" s="1"/>
  <c r="Z189" i="43"/>
  <c r="AC189" i="43" s="1"/>
  <c r="Z127" i="43"/>
  <c r="AC127" i="43" s="1"/>
  <c r="AF127" i="43"/>
  <c r="AG127" i="43" s="1"/>
  <c r="AH127" i="43" s="1"/>
  <c r="Z135" i="40"/>
  <c r="AC135" i="40" s="1"/>
  <c r="AF135" i="40"/>
  <c r="AG135" i="40" s="1"/>
  <c r="AH135" i="40" s="1"/>
  <c r="Z107" i="43"/>
  <c r="AC107" i="43" s="1"/>
  <c r="AF107" i="43"/>
  <c r="AG107" i="43" s="1"/>
  <c r="AH107" i="43" s="1"/>
  <c r="Z106" i="42"/>
  <c r="AC106" i="42" s="1"/>
  <c r="AF106" i="42"/>
  <c r="AG106" i="42" s="1"/>
  <c r="AH106" i="42" s="1"/>
  <c r="Y276" i="41"/>
  <c r="Z137" i="41"/>
  <c r="AF137" i="41"/>
  <c r="AG137" i="41" s="1"/>
  <c r="AH137" i="41" s="1"/>
  <c r="Y286" i="41"/>
  <c r="AI146" i="40"/>
  <c r="AL146" i="40"/>
  <c r="AI224" i="43"/>
  <c r="AJ224" i="43" s="1"/>
  <c r="AL224" i="43"/>
  <c r="AK244" i="38"/>
  <c r="AR244" i="38"/>
  <c r="AI263" i="40"/>
  <c r="AL263" i="40"/>
  <c r="AJ267" i="43"/>
  <c r="AJ242" i="38"/>
  <c r="AF100" i="41"/>
  <c r="AG100" i="41" s="1"/>
  <c r="AH100" i="41" s="1"/>
  <c r="Z100" i="41"/>
  <c r="AC100" i="41" s="1"/>
  <c r="AF97" i="42"/>
  <c r="AG97" i="42" s="1"/>
  <c r="AH97" i="42" s="1"/>
  <c r="Z97" i="42"/>
  <c r="AC97" i="42" s="1"/>
  <c r="AF13" i="43"/>
  <c r="AG13" i="43" s="1"/>
  <c r="AH13" i="43" s="1"/>
  <c r="Z13" i="43"/>
  <c r="AC13" i="43" s="1"/>
  <c r="Z11" i="38"/>
  <c r="AC11" i="38" s="1"/>
  <c r="AL11" i="42" s="1"/>
  <c r="AF11" i="38"/>
  <c r="AG11" i="38" s="1"/>
  <c r="AH11" i="38" s="1"/>
  <c r="AF7" i="40"/>
  <c r="AG7" i="40" s="1"/>
  <c r="AH7" i="40" s="1"/>
  <c r="Z7" i="40"/>
  <c r="AC7" i="40" s="1"/>
  <c r="AF173" i="43"/>
  <c r="AG173" i="43" s="1"/>
  <c r="AH173" i="43" s="1"/>
  <c r="Z173" i="43"/>
  <c r="Y289" i="43"/>
  <c r="AI198" i="43"/>
  <c r="AL198" i="43"/>
  <c r="AF208" i="42"/>
  <c r="AG208" i="42" s="1"/>
  <c r="AH208" i="42" s="1"/>
  <c r="Z208" i="42"/>
  <c r="AC208" i="42" s="1"/>
  <c r="AR229" i="41"/>
  <c r="AI160" i="41"/>
  <c r="AL160" i="41"/>
  <c r="AI47" i="42"/>
  <c r="AL47" i="42"/>
  <c r="AF215" i="41"/>
  <c r="AG215" i="41" s="1"/>
  <c r="AH215" i="41" s="1"/>
  <c r="Z215" i="41"/>
  <c r="AC215" i="41" s="1"/>
  <c r="AI167" i="43"/>
  <c r="AJ167" i="43" s="1"/>
  <c r="AI172" i="40"/>
  <c r="AJ172" i="40" s="1"/>
  <c r="AJ58" i="38"/>
  <c r="AI196" i="41"/>
  <c r="AJ196" i="41" s="1"/>
  <c r="Z191" i="40"/>
  <c r="AC191" i="40" s="1"/>
  <c r="AF191" i="40"/>
  <c r="AG191" i="40" s="1"/>
  <c r="AH191" i="40" s="1"/>
  <c r="U286" i="36"/>
  <c r="AI26" i="42"/>
  <c r="AJ26" i="42" s="1"/>
  <c r="AL26" i="42"/>
  <c r="AI142" i="40"/>
  <c r="AL142" i="40"/>
  <c r="AI255" i="40"/>
  <c r="AL255" i="40"/>
  <c r="AR222" i="40"/>
  <c r="AR254" i="43"/>
  <c r="AK254" i="43"/>
  <c r="AI94" i="42"/>
  <c r="AL94" i="42"/>
  <c r="AJ95" i="38"/>
  <c r="AI260" i="40"/>
  <c r="AL260" i="40"/>
  <c r="AJ16" i="41"/>
  <c r="AJ179" i="38"/>
  <c r="Y289" i="38"/>
  <c r="AJ207" i="38"/>
  <c r="Y94" i="36"/>
  <c r="Z94" i="36" s="1"/>
  <c r="AI94" i="36"/>
  <c r="AI33" i="41"/>
  <c r="AL33" i="41"/>
  <c r="AI17" i="36"/>
  <c r="Y17" i="36"/>
  <c r="Z17" i="36" s="1"/>
  <c r="AI156" i="40"/>
  <c r="AC41" i="40"/>
  <c r="AI260" i="36"/>
  <c r="Y260" i="36"/>
  <c r="Z260" i="36" s="1"/>
  <c r="AI164" i="38"/>
  <c r="AI124" i="41"/>
  <c r="AL124" i="41"/>
  <c r="AI68" i="43"/>
  <c r="AR68" i="43" s="1"/>
  <c r="AI69" i="42"/>
  <c r="AJ69" i="42" s="1"/>
  <c r="AL69" i="42"/>
  <c r="AL70" i="41"/>
  <c r="AR226" i="40"/>
  <c r="AI130" i="43"/>
  <c r="AJ130" i="43" s="1"/>
  <c r="AL130" i="43"/>
  <c r="AF125" i="41"/>
  <c r="AG125" i="41" s="1"/>
  <c r="AH125" i="41" s="1"/>
  <c r="Z125" i="41"/>
  <c r="Y285" i="41"/>
  <c r="AJ244" i="40"/>
  <c r="AJ259" i="42"/>
  <c r="AR259" i="42"/>
  <c r="AI26" i="38"/>
  <c r="AC137" i="43"/>
  <c r="AI148" i="38"/>
  <c r="AC89" i="42"/>
  <c r="AI93" i="41"/>
  <c r="Z296" i="38"/>
  <c r="AA296" i="38" s="1"/>
  <c r="AC257" i="38"/>
  <c r="AI257" i="38" s="1"/>
  <c r="AJ257" i="38" s="1"/>
  <c r="AA268" i="38"/>
  <c r="AE39" i="36"/>
  <c r="AF39" i="36" s="1"/>
  <c r="AD50" i="36"/>
  <c r="AI11" i="40"/>
  <c r="AL11" i="40"/>
  <c r="AF182" i="43"/>
  <c r="AG182" i="43" s="1"/>
  <c r="AH182" i="43" s="1"/>
  <c r="Z182" i="43"/>
  <c r="AC182" i="43" s="1"/>
  <c r="Z178" i="38"/>
  <c r="AC178" i="38" s="1"/>
  <c r="AF178" i="38"/>
  <c r="AG178" i="38" s="1"/>
  <c r="AH178" i="38" s="1"/>
  <c r="AF181" i="40"/>
  <c r="AG181" i="40" s="1"/>
  <c r="AH181" i="40" s="1"/>
  <c r="Z181" i="40"/>
  <c r="AC181" i="40" s="1"/>
  <c r="AF182" i="40"/>
  <c r="AG182" i="40" s="1"/>
  <c r="AH182" i="40" s="1"/>
  <c r="Z182" i="40"/>
  <c r="AC182" i="40" s="1"/>
  <c r="AF84" i="43"/>
  <c r="AG84" i="43" s="1"/>
  <c r="AH84" i="43" s="1"/>
  <c r="Z84" i="43"/>
  <c r="AC84" i="43" s="1"/>
  <c r="Z83" i="41"/>
  <c r="AC83" i="41" s="1"/>
  <c r="AF83" i="41"/>
  <c r="AG83" i="41" s="1"/>
  <c r="AH83" i="41" s="1"/>
  <c r="AF87" i="42"/>
  <c r="AG87" i="42" s="1"/>
  <c r="AH87" i="42" s="1"/>
  <c r="Z87" i="42"/>
  <c r="AC87" i="42" s="1"/>
  <c r="Z86" i="40"/>
  <c r="AC86" i="40" s="1"/>
  <c r="AF86" i="40"/>
  <c r="AG86" i="40" s="1"/>
  <c r="AH86" i="40" s="1"/>
  <c r="AJ247" i="42"/>
  <c r="AF197" i="43"/>
  <c r="AG197" i="43" s="1"/>
  <c r="AH197" i="43" s="1"/>
  <c r="Z197" i="43"/>
  <c r="Y291" i="43"/>
  <c r="AF198" i="41"/>
  <c r="AG198" i="41" s="1"/>
  <c r="AH198" i="41" s="1"/>
  <c r="Z198" i="41"/>
  <c r="AC198" i="41" s="1"/>
  <c r="AF205" i="38"/>
  <c r="AG205" i="38" s="1"/>
  <c r="AH205" i="38" s="1"/>
  <c r="Z205" i="38"/>
  <c r="AC205" i="38" s="1"/>
  <c r="AL205" i="42" s="1"/>
  <c r="AF202" i="40"/>
  <c r="AG202" i="40" s="1"/>
  <c r="AH202" i="40" s="1"/>
  <c r="Z202" i="40"/>
  <c r="AC202" i="40" s="1"/>
  <c r="AI202" i="36"/>
  <c r="Y202" i="36"/>
  <c r="Z202" i="36" s="1"/>
  <c r="AJ243" i="40"/>
  <c r="AR243" i="40"/>
  <c r="AK243" i="40"/>
  <c r="AK268" i="38"/>
  <c r="Z296" i="43"/>
  <c r="AA296" i="43" s="1"/>
  <c r="AE99" i="36"/>
  <c r="AF99" i="36" s="1"/>
  <c r="AD110" i="36"/>
  <c r="AE87" i="36"/>
  <c r="AF87" i="36" s="1"/>
  <c r="AD98" i="36"/>
  <c r="AF40" i="38"/>
  <c r="AG40" i="38" s="1"/>
  <c r="AH40" i="38" s="1"/>
  <c r="Z40" i="38"/>
  <c r="AC40" i="38" s="1"/>
  <c r="AF29" i="38"/>
  <c r="AG29" i="38" s="1"/>
  <c r="AH29" i="38" s="1"/>
  <c r="Z29" i="38"/>
  <c r="Y277" i="38"/>
  <c r="AF31" i="41"/>
  <c r="AG31" i="41" s="1"/>
  <c r="AH31" i="41" s="1"/>
  <c r="Z31" i="41"/>
  <c r="AC31" i="41" s="1"/>
  <c r="AI38" i="42"/>
  <c r="AR38" i="42" s="1"/>
  <c r="AL38" i="42"/>
  <c r="AI224" i="40"/>
  <c r="AK236" i="40" s="1"/>
  <c r="AL224" i="40"/>
  <c r="AR230" i="40"/>
  <c r="Z295" i="38"/>
  <c r="AA295" i="38" s="1"/>
  <c r="AJ259" i="43"/>
  <c r="AI231" i="42"/>
  <c r="AJ231" i="42" s="1"/>
  <c r="AL231" i="42"/>
  <c r="AI254" i="41"/>
  <c r="AL254" i="41"/>
  <c r="AI249" i="43"/>
  <c r="AK261" i="43" s="1"/>
  <c r="AL249" i="43"/>
  <c r="Z153" i="43"/>
  <c r="AC153" i="43" s="1"/>
  <c r="AF153" i="43"/>
  <c r="AG153" i="43" s="1"/>
  <c r="AH153" i="43" s="1"/>
  <c r="AF157" i="41"/>
  <c r="AG157" i="41" s="1"/>
  <c r="AH157" i="41" s="1"/>
  <c r="Z157" i="41"/>
  <c r="AC157" i="41" s="1"/>
  <c r="Z159" i="42"/>
  <c r="AC159" i="42" s="1"/>
  <c r="AF159" i="42"/>
  <c r="AG159" i="42" s="1"/>
  <c r="AH159" i="42" s="1"/>
  <c r="Z154" i="38"/>
  <c r="AC154" i="38" s="1"/>
  <c r="AF154" i="38"/>
  <c r="AG154" i="38" s="1"/>
  <c r="AH154" i="38" s="1"/>
  <c r="AF52" i="38"/>
  <c r="AG52" i="38" s="1"/>
  <c r="AH52" i="38" s="1"/>
  <c r="Z52" i="38"/>
  <c r="AC52" i="38" s="1"/>
  <c r="Z45" i="38"/>
  <c r="AC45" i="38" s="1"/>
  <c r="AL45" i="43" s="1"/>
  <c r="AF45" i="38"/>
  <c r="AG45" i="38" s="1"/>
  <c r="AH45" i="38" s="1"/>
  <c r="Z41" i="38"/>
  <c r="AF41" i="38"/>
  <c r="AG41" i="38" s="1"/>
  <c r="AH41" i="38" s="1"/>
  <c r="Y278" i="38"/>
  <c r="AK240" i="40"/>
  <c r="AR240" i="40"/>
  <c r="AK246" i="43"/>
  <c r="AK234" i="43"/>
  <c r="AR234" i="43"/>
  <c r="AI261" i="42"/>
  <c r="AJ261" i="42" s="1"/>
  <c r="AL261" i="42"/>
  <c r="Y264" i="36"/>
  <c r="Z264" i="36" s="1"/>
  <c r="AI264" i="36"/>
  <c r="Y237" i="36"/>
  <c r="Z237" i="36" s="1"/>
  <c r="AI237" i="36"/>
  <c r="Y266" i="36"/>
  <c r="Z266" i="36" s="1"/>
  <c r="AI266" i="36"/>
  <c r="AI259" i="36"/>
  <c r="Y259" i="36"/>
  <c r="Z259" i="36" s="1"/>
  <c r="AI244" i="36"/>
  <c r="Y244" i="36"/>
  <c r="Z244" i="36" s="1"/>
  <c r="AF217" i="41"/>
  <c r="AG217" i="41" s="1"/>
  <c r="AH217" i="41" s="1"/>
  <c r="Z217" i="41"/>
  <c r="AC217" i="41" s="1"/>
  <c r="Z210" i="38"/>
  <c r="AC210" i="38" s="1"/>
  <c r="AF210" i="38"/>
  <c r="AG210" i="38" s="1"/>
  <c r="AH210" i="38" s="1"/>
  <c r="Y224" i="36"/>
  <c r="Z224" i="36" s="1"/>
  <c r="AI224" i="36"/>
  <c r="AF165" i="43"/>
  <c r="AG165" i="43" s="1"/>
  <c r="AH165" i="43" s="1"/>
  <c r="Z165" i="43"/>
  <c r="AC165" i="43" s="1"/>
  <c r="AI171" i="41"/>
  <c r="AL171" i="41"/>
  <c r="Z168" i="38"/>
  <c r="AC168" i="38" s="1"/>
  <c r="AL168" i="43" s="1"/>
  <c r="AF168" i="38"/>
  <c r="AG168" i="38" s="1"/>
  <c r="AH168" i="38" s="1"/>
  <c r="AF114" i="43"/>
  <c r="Z114" i="43"/>
  <c r="AC114" i="43" s="1"/>
  <c r="AI124" i="38"/>
  <c r="AJ124" i="38" s="1"/>
  <c r="AL119" i="41"/>
  <c r="AI119" i="41"/>
  <c r="Y284" i="40"/>
  <c r="Z113" i="38"/>
  <c r="Y284" i="38"/>
  <c r="AF113" i="38"/>
  <c r="AG113" i="38" s="1"/>
  <c r="AH113" i="38" s="1"/>
  <c r="AF71" i="43"/>
  <c r="AG71" i="43" s="1"/>
  <c r="AH71" i="43" s="1"/>
  <c r="Z71" i="43"/>
  <c r="AC71" i="43" s="1"/>
  <c r="AI71" i="38"/>
  <c r="AI71" i="41"/>
  <c r="AL71" i="41"/>
  <c r="AI74" i="42"/>
  <c r="AL74" i="42"/>
  <c r="AF72" i="41"/>
  <c r="AG72" i="41" s="1"/>
  <c r="AH72" i="41" s="1"/>
  <c r="Z72" i="41"/>
  <c r="AC72" i="41" s="1"/>
  <c r="Z57" i="43"/>
  <c r="AC57" i="43" s="1"/>
  <c r="AF57" i="43"/>
  <c r="AG57" i="43" s="1"/>
  <c r="AH57" i="43" s="1"/>
  <c r="AF58" i="40"/>
  <c r="AG58" i="40" s="1"/>
  <c r="AH58" i="40" s="1"/>
  <c r="Z58" i="40"/>
  <c r="AC58" i="40" s="1"/>
  <c r="AF62" i="40"/>
  <c r="AG62" i="40" s="1"/>
  <c r="AH62" i="40" s="1"/>
  <c r="Z62" i="40"/>
  <c r="AC62" i="40" s="1"/>
  <c r="AF55" i="40"/>
  <c r="AG55" i="40" s="1"/>
  <c r="AH55" i="40" s="1"/>
  <c r="Z55" i="40"/>
  <c r="AC55" i="40" s="1"/>
  <c r="AF196" i="42"/>
  <c r="AG196" i="42" s="1"/>
  <c r="AH196" i="42" s="1"/>
  <c r="Z196" i="42"/>
  <c r="AC196" i="42" s="1"/>
  <c r="AF191" i="38"/>
  <c r="AG191" i="38" s="1"/>
  <c r="AH191" i="38" s="1"/>
  <c r="Z191" i="38"/>
  <c r="AC191" i="38" s="1"/>
  <c r="AF191" i="41"/>
  <c r="AG191" i="41" s="1"/>
  <c r="AH191" i="41" s="1"/>
  <c r="Z191" i="41"/>
  <c r="AC191" i="41" s="1"/>
  <c r="Z188" i="40"/>
  <c r="AC188" i="40" s="1"/>
  <c r="AF188" i="40"/>
  <c r="AG188" i="40" s="1"/>
  <c r="AH188" i="40" s="1"/>
  <c r="Y79" i="36"/>
  <c r="Z79" i="36" s="1"/>
  <c r="AI79" i="36"/>
  <c r="AI77" i="36"/>
  <c r="Y77" i="36"/>
  <c r="Z77" i="36" s="1"/>
  <c r="AF129" i="43"/>
  <c r="AG129" i="43" s="1"/>
  <c r="AH129" i="43" s="1"/>
  <c r="Z129" i="43"/>
  <c r="AC129" i="43" s="1"/>
  <c r="AF132" i="41"/>
  <c r="AG132" i="41" s="1"/>
  <c r="AH132" i="41" s="1"/>
  <c r="Z132" i="41"/>
  <c r="AC132" i="41" s="1"/>
  <c r="AF132" i="42"/>
  <c r="AG132" i="42" s="1"/>
  <c r="AH132" i="42" s="1"/>
  <c r="Z132" i="42"/>
  <c r="AC132" i="42" s="1"/>
  <c r="AF136" i="38"/>
  <c r="AG136" i="38" s="1"/>
  <c r="AH136" i="38" s="1"/>
  <c r="Z136" i="38"/>
  <c r="AC136" i="38" s="1"/>
  <c r="AL136" i="41" s="1"/>
  <c r="Y7" i="36"/>
  <c r="Z7" i="36" s="1"/>
  <c r="AI7" i="36"/>
  <c r="Y283" i="43"/>
  <c r="AF101" i="42"/>
  <c r="AG101" i="42" s="1"/>
  <c r="AH101" i="42" s="1"/>
  <c r="Z101" i="42"/>
  <c r="Y283" i="42"/>
  <c r="AL244" i="40"/>
  <c r="Z27" i="40"/>
  <c r="AC27" i="40" s="1"/>
  <c r="AF27" i="40"/>
  <c r="AG27" i="40" s="1"/>
  <c r="AH27" i="40" s="1"/>
  <c r="AF24" i="38"/>
  <c r="AG24" i="38" s="1"/>
  <c r="AH24" i="38" s="1"/>
  <c r="Z24" i="38"/>
  <c r="AC24" i="38" s="1"/>
  <c r="AL24" i="40" s="1"/>
  <c r="AC17" i="38"/>
  <c r="Y286" i="42"/>
  <c r="Z137" i="42"/>
  <c r="AF137" i="42"/>
  <c r="AG137" i="42" s="1"/>
  <c r="AH137" i="42" s="1"/>
  <c r="AI142" i="43"/>
  <c r="AL142" i="43"/>
  <c r="AI146" i="43"/>
  <c r="AJ146" i="43" s="1"/>
  <c r="AL146" i="43"/>
  <c r="Z148" i="43"/>
  <c r="AC148" i="43" s="1"/>
  <c r="AF148" i="43"/>
  <c r="AG148" i="43" s="1"/>
  <c r="AH148" i="43" s="1"/>
  <c r="AR228" i="41"/>
  <c r="Z295" i="42"/>
  <c r="AA295" i="42" s="1"/>
  <c r="AI254" i="42"/>
  <c r="AJ254" i="42" s="1"/>
  <c r="AL254" i="42"/>
  <c r="AJ251" i="43"/>
  <c r="AJ244" i="41"/>
  <c r="U285" i="36"/>
  <c r="V171" i="36"/>
  <c r="AF89" i="40"/>
  <c r="AG89" i="40" s="1"/>
  <c r="AH89" i="40" s="1"/>
  <c r="Z89" i="40"/>
  <c r="Y282" i="40"/>
  <c r="AI92" i="38"/>
  <c r="Z93" i="40"/>
  <c r="AC93" i="40" s="1"/>
  <c r="AF93" i="40"/>
  <c r="AG93" i="40" s="1"/>
  <c r="AH93" i="40" s="1"/>
  <c r="Z90" i="40"/>
  <c r="AC90" i="40" s="1"/>
  <c r="AF90" i="40"/>
  <c r="AG90" i="40" s="1"/>
  <c r="AH90" i="40" s="1"/>
  <c r="AI260" i="42"/>
  <c r="AJ260" i="42" s="1"/>
  <c r="AL260" i="42"/>
  <c r="Z14" i="43"/>
  <c r="AC14" i="43" s="1"/>
  <c r="AF14" i="43"/>
  <c r="AG14" i="43" s="1"/>
  <c r="AH14" i="43" s="1"/>
  <c r="AF14" i="42"/>
  <c r="AG14" i="42" s="1"/>
  <c r="AH14" i="42" s="1"/>
  <c r="Z14" i="42"/>
  <c r="AC14" i="42" s="1"/>
  <c r="AF8" i="40"/>
  <c r="AG8" i="40" s="1"/>
  <c r="AH8" i="40" s="1"/>
  <c r="Z8" i="40"/>
  <c r="AC8" i="40" s="1"/>
  <c r="AF15" i="42"/>
  <c r="AG15" i="42" s="1"/>
  <c r="AH15" i="42" s="1"/>
  <c r="Z15" i="42"/>
  <c r="AC15" i="42" s="1"/>
  <c r="AC5" i="38"/>
  <c r="AF183" i="43"/>
  <c r="AG183" i="43" s="1"/>
  <c r="AH183" i="43" s="1"/>
  <c r="Z183" i="43"/>
  <c r="AC183" i="43" s="1"/>
  <c r="Y281" i="40"/>
  <c r="Z79" i="38"/>
  <c r="AC79" i="38" s="1"/>
  <c r="AL79" i="43" s="1"/>
  <c r="AF79" i="38"/>
  <c r="AG79" i="38" s="1"/>
  <c r="AH79" i="38" s="1"/>
  <c r="AF203" i="38"/>
  <c r="AG203" i="38" s="1"/>
  <c r="AH203" i="38" s="1"/>
  <c r="Z203" i="38"/>
  <c r="AC203" i="38" s="1"/>
  <c r="AI199" i="42"/>
  <c r="AI29" i="36"/>
  <c r="Y29" i="36"/>
  <c r="Z29" i="36" s="1"/>
  <c r="AI36" i="40"/>
  <c r="AJ36" i="40" s="1"/>
  <c r="AL36" i="40"/>
  <c r="Z30" i="38"/>
  <c r="AC30" i="38" s="1"/>
  <c r="AL30" i="42" s="1"/>
  <c r="AF30" i="38"/>
  <c r="AG30" i="38" s="1"/>
  <c r="AH30" i="38" s="1"/>
  <c r="AJ236" i="40"/>
  <c r="Y22" i="36"/>
  <c r="Z22" i="36" s="1"/>
  <c r="AI22" i="36"/>
  <c r="U276" i="36"/>
  <c r="V63" i="36"/>
  <c r="AI152" i="42"/>
  <c r="AJ151" i="38"/>
  <c r="AF50" i="38"/>
  <c r="AG50" i="38" s="1"/>
  <c r="AH50" i="38" s="1"/>
  <c r="Z50" i="38"/>
  <c r="AC50" i="38" s="1"/>
  <c r="Y243" i="36"/>
  <c r="Z243" i="36" s="1"/>
  <c r="W254" i="36"/>
  <c r="AI243" i="36"/>
  <c r="AI245" i="36"/>
  <c r="Y245" i="36"/>
  <c r="Z245" i="36" s="1"/>
  <c r="Y247" i="36"/>
  <c r="Z247" i="36" s="1"/>
  <c r="AI247" i="36"/>
  <c r="AI223" i="36"/>
  <c r="Y223" i="36"/>
  <c r="Z223" i="36" s="1"/>
  <c r="AJ213" i="41"/>
  <c r="AI212" i="42"/>
  <c r="AL212" i="42"/>
  <c r="AI169" i="41"/>
  <c r="AI170" i="38"/>
  <c r="AJ170" i="38" s="1"/>
  <c r="AI171" i="38"/>
  <c r="AI123" i="38"/>
  <c r="AI122" i="42"/>
  <c r="AL122" i="42"/>
  <c r="AI118" i="42"/>
  <c r="AJ118" i="42" s="1"/>
  <c r="AJ68" i="38"/>
  <c r="Z75" i="42"/>
  <c r="AC75" i="42" s="1"/>
  <c r="AF75" i="42"/>
  <c r="AG75" i="42" s="1"/>
  <c r="AH75" i="42" s="1"/>
  <c r="Y280" i="42"/>
  <c r="AI61" i="43"/>
  <c r="Z61" i="38"/>
  <c r="AC61" i="38" s="1"/>
  <c r="AL61" i="43" s="1"/>
  <c r="AF61" i="38"/>
  <c r="AG61" i="38" s="1"/>
  <c r="AH61" i="38" s="1"/>
  <c r="AI61" i="40"/>
  <c r="AF185" i="41"/>
  <c r="AG185" i="41" s="1"/>
  <c r="AH185" i="41" s="1"/>
  <c r="Y290" i="41"/>
  <c r="Z185" i="41"/>
  <c r="AI195" i="40"/>
  <c r="AI129" i="42"/>
  <c r="AI134" i="40"/>
  <c r="AI6" i="36"/>
  <c r="Y6" i="36"/>
  <c r="Z6" i="36" s="1"/>
  <c r="AL248" i="42"/>
  <c r="AI110" i="42"/>
  <c r="AL110" i="42"/>
  <c r="AF105" i="38"/>
  <c r="AG105" i="38" s="1"/>
  <c r="AH105" i="38" s="1"/>
  <c r="Z105" i="38"/>
  <c r="AC105" i="38" s="1"/>
  <c r="AI103" i="41"/>
  <c r="AR103" i="41" s="1"/>
  <c r="AL103" i="41"/>
  <c r="AJ243" i="43"/>
  <c r="AK258" i="43"/>
  <c r="AR258" i="43"/>
  <c r="AI23" i="43"/>
  <c r="AF19" i="38"/>
  <c r="AG19" i="38" s="1"/>
  <c r="AH19" i="38" s="1"/>
  <c r="Z19" i="38"/>
  <c r="AC19" i="38" s="1"/>
  <c r="AL19" i="43" s="1"/>
  <c r="AI146" i="38"/>
  <c r="AJ146" i="38" s="1"/>
  <c r="AI138" i="42"/>
  <c r="AL138" i="42"/>
  <c r="AR252" i="43"/>
  <c r="AK252" i="43"/>
  <c r="AI231" i="41"/>
  <c r="AL231" i="41"/>
  <c r="AR239" i="40"/>
  <c r="AK239" i="40"/>
  <c r="AF95" i="41"/>
  <c r="AG95" i="41" s="1"/>
  <c r="AH95" i="41" s="1"/>
  <c r="Z95" i="41"/>
  <c r="AC95" i="41" s="1"/>
  <c r="AC89" i="41"/>
  <c r="AI94" i="38"/>
  <c r="AJ94" i="38" s="1"/>
  <c r="AI10" i="41"/>
  <c r="AL10" i="41"/>
  <c r="Y275" i="42"/>
  <c r="AF10" i="40"/>
  <c r="AG10" i="40" s="1"/>
  <c r="AH10" i="40" s="1"/>
  <c r="Z10" i="40"/>
  <c r="AC10" i="40" s="1"/>
  <c r="AA232" i="41"/>
  <c r="AI182" i="42"/>
  <c r="Y281" i="43"/>
  <c r="AF84" i="38"/>
  <c r="AG84" i="38" s="1"/>
  <c r="AH84" i="38" s="1"/>
  <c r="Z84" i="38"/>
  <c r="AC84" i="38" s="1"/>
  <c r="AJ200" i="41"/>
  <c r="Z205" i="41"/>
  <c r="AC205" i="41" s="1"/>
  <c r="AF205" i="41"/>
  <c r="AG205" i="41" s="1"/>
  <c r="AH205" i="41" s="1"/>
  <c r="AI32" i="43"/>
  <c r="AJ32" i="43" s="1"/>
  <c r="AL32" i="43"/>
  <c r="AI38" i="41"/>
  <c r="AJ38" i="41" s="1"/>
  <c r="AJ40" i="40"/>
  <c r="AE111" i="36"/>
  <c r="AF111" i="36" s="1"/>
  <c r="AD122" i="36"/>
  <c r="AI249" i="42"/>
  <c r="AL249" i="42"/>
  <c r="Z295" i="43"/>
  <c r="AA295" i="43" s="1"/>
  <c r="AA256" i="43"/>
  <c r="AC245" i="43"/>
  <c r="AI155" i="43"/>
  <c r="AJ155" i="43" s="1"/>
  <c r="Z154" i="41"/>
  <c r="AC154" i="41" s="1"/>
  <c r="AF154" i="41"/>
  <c r="AG154" i="41" s="1"/>
  <c r="AH154" i="41" s="1"/>
  <c r="Z153" i="41"/>
  <c r="AC153" i="41" s="1"/>
  <c r="AF153" i="41"/>
  <c r="AG153" i="41" s="1"/>
  <c r="AH153" i="41" s="1"/>
  <c r="Z46" i="43"/>
  <c r="AC46" i="43" s="1"/>
  <c r="AF46" i="43"/>
  <c r="AG46" i="43" s="1"/>
  <c r="AH46" i="43" s="1"/>
  <c r="AI260" i="41"/>
  <c r="AL260" i="41"/>
  <c r="AI212" i="38"/>
  <c r="AI214" i="41"/>
  <c r="AI165" i="41"/>
  <c r="AJ165" i="41" s="1"/>
  <c r="AI119" i="43"/>
  <c r="AL119" i="43"/>
  <c r="AI118" i="41"/>
  <c r="Y284" i="43"/>
  <c r="AI114" i="38"/>
  <c r="AC65" i="43"/>
  <c r="AI71" i="42"/>
  <c r="AJ71" i="42" s="1"/>
  <c r="AL71" i="42"/>
  <c r="Y280" i="38"/>
  <c r="AI76" i="41"/>
  <c r="AJ76" i="41" s="1"/>
  <c r="AL76" i="41"/>
  <c r="AI61" i="42"/>
  <c r="AF64" i="41"/>
  <c r="AG64" i="41" s="1"/>
  <c r="AH64" i="41" s="1"/>
  <c r="Z64" i="41"/>
  <c r="AC64" i="41" s="1"/>
  <c r="AI186" i="38"/>
  <c r="AF192" i="41"/>
  <c r="AG192" i="41" s="1"/>
  <c r="AH192" i="41" s="1"/>
  <c r="Z192" i="41"/>
  <c r="AC192" i="41" s="1"/>
  <c r="AI86" i="36"/>
  <c r="Y86" i="36"/>
  <c r="Z86" i="36" s="1"/>
  <c r="AJ223" i="43"/>
  <c r="AI136" i="41"/>
  <c r="AJ132" i="40"/>
  <c r="AR252" i="41"/>
  <c r="AK252" i="41"/>
  <c r="AI105" i="41"/>
  <c r="AJ105" i="41" s="1"/>
  <c r="AI103" i="38"/>
  <c r="AJ103" i="38" s="1"/>
  <c r="AJ236" i="41"/>
  <c r="Y276" i="43"/>
  <c r="AI25" i="42"/>
  <c r="AC137" i="38"/>
  <c r="AA148" i="38"/>
  <c r="AJ222" i="43"/>
  <c r="AJ238" i="42"/>
  <c r="AK254" i="38"/>
  <c r="AL244" i="41"/>
  <c r="AI242" i="42"/>
  <c r="AL242" i="42"/>
  <c r="AI100" i="40"/>
  <c r="AL100" i="40"/>
  <c r="AI96" i="42"/>
  <c r="AR96" i="42" s="1"/>
  <c r="AL96" i="42"/>
  <c r="AJ261" i="41"/>
  <c r="AC5" i="41"/>
  <c r="AI14" i="41"/>
  <c r="AL14" i="41"/>
  <c r="AF180" i="43"/>
  <c r="AG180" i="43" s="1"/>
  <c r="AH180" i="43" s="1"/>
  <c r="Z180" i="43"/>
  <c r="AC180" i="43" s="1"/>
  <c r="Z182" i="38"/>
  <c r="AC182" i="38" s="1"/>
  <c r="AL182" i="42" s="1"/>
  <c r="AF182" i="38"/>
  <c r="AG182" i="38" s="1"/>
  <c r="AH182" i="38" s="1"/>
  <c r="AF184" i="38"/>
  <c r="AG184" i="38" s="1"/>
  <c r="AH184" i="38" s="1"/>
  <c r="Z184" i="38"/>
  <c r="AC184" i="38" s="1"/>
  <c r="Z88" i="43"/>
  <c r="AC88" i="43" s="1"/>
  <c r="AF88" i="43"/>
  <c r="AG88" i="43" s="1"/>
  <c r="AH88" i="43" s="1"/>
  <c r="Z88" i="40"/>
  <c r="AC88" i="40" s="1"/>
  <c r="AF88" i="40"/>
  <c r="AG88" i="40" s="1"/>
  <c r="AH88" i="40" s="1"/>
  <c r="Z78" i="42"/>
  <c r="AC78" i="42" s="1"/>
  <c r="AF78" i="42"/>
  <c r="AG78" i="42" s="1"/>
  <c r="AH78" i="42" s="1"/>
  <c r="Z82" i="38"/>
  <c r="AC82" i="38" s="1"/>
  <c r="AL82" i="41" s="1"/>
  <c r="AF82" i="38"/>
  <c r="AG82" i="38" s="1"/>
  <c r="AH82" i="38" s="1"/>
  <c r="AJ246" i="40"/>
  <c r="AR246" i="40"/>
  <c r="AF200" i="43"/>
  <c r="AG200" i="43" s="1"/>
  <c r="AH200" i="43" s="1"/>
  <c r="Z200" i="43"/>
  <c r="AC200" i="43" s="1"/>
  <c r="AF204" i="38"/>
  <c r="AG204" i="38" s="1"/>
  <c r="AH204" i="38" s="1"/>
  <c r="Z204" i="38"/>
  <c r="AC204" i="38" s="1"/>
  <c r="AL204" i="43" s="1"/>
  <c r="Z204" i="41"/>
  <c r="AC204" i="41" s="1"/>
  <c r="AF204" i="41"/>
  <c r="AG204" i="41" s="1"/>
  <c r="AH204" i="41" s="1"/>
  <c r="Z204" i="40"/>
  <c r="AC204" i="40" s="1"/>
  <c r="AF204" i="40"/>
  <c r="AG204" i="40" s="1"/>
  <c r="AH204" i="40" s="1"/>
  <c r="AR236" i="42"/>
  <c r="AI233" i="40"/>
  <c r="AD206" i="36"/>
  <c r="AE195" i="36"/>
  <c r="AF195" i="36" s="1"/>
  <c r="AF30" i="40"/>
  <c r="AG30" i="40" s="1"/>
  <c r="AH30" i="40" s="1"/>
  <c r="Z30" i="40"/>
  <c r="AC30" i="40" s="1"/>
  <c r="AA232" i="40"/>
  <c r="AJ237" i="40"/>
  <c r="AR237" i="40"/>
  <c r="AI21" i="36"/>
  <c r="Y21" i="36"/>
  <c r="Z21" i="36" s="1"/>
  <c r="AI24" i="36"/>
  <c r="Y24" i="36"/>
  <c r="Z24" i="36" s="1"/>
  <c r="U284" i="36"/>
  <c r="V159" i="36"/>
  <c r="Y73" i="36"/>
  <c r="Z73" i="36" s="1"/>
  <c r="AI73" i="36"/>
  <c r="AI72" i="36"/>
  <c r="Y72" i="36"/>
  <c r="Z72" i="36" s="1"/>
  <c r="Z295" i="40"/>
  <c r="AA295" i="40" s="1"/>
  <c r="AJ254" i="40"/>
  <c r="AF151" i="42"/>
  <c r="AG151" i="42" s="1"/>
  <c r="AH151" i="42" s="1"/>
  <c r="Z151" i="42"/>
  <c r="AC151" i="42" s="1"/>
  <c r="Z158" i="38"/>
  <c r="AC158" i="38" s="1"/>
  <c r="AF158" i="38"/>
  <c r="AG158" i="38" s="1"/>
  <c r="AH158" i="38" s="1"/>
  <c r="AF159" i="41"/>
  <c r="AG159" i="41" s="1"/>
  <c r="AH159" i="41" s="1"/>
  <c r="Z159" i="41"/>
  <c r="AC159" i="41" s="1"/>
  <c r="AF151" i="40"/>
  <c r="AG151" i="40" s="1"/>
  <c r="AH151" i="40" s="1"/>
  <c r="Z151" i="40"/>
  <c r="AC151" i="40" s="1"/>
  <c r="Z51" i="43"/>
  <c r="AC51" i="43" s="1"/>
  <c r="AF51" i="43"/>
  <c r="AG51" i="43" s="1"/>
  <c r="AH51" i="43" s="1"/>
  <c r="Z41" i="41"/>
  <c r="Y278" i="41"/>
  <c r="AF41" i="41"/>
  <c r="AG41" i="41" s="1"/>
  <c r="AH41" i="41" s="1"/>
  <c r="AF45" i="40"/>
  <c r="AG45" i="40" s="1"/>
  <c r="AH45" i="40" s="1"/>
  <c r="Z45" i="40"/>
  <c r="AC45" i="40" s="1"/>
  <c r="AF51" i="38"/>
  <c r="AG51" i="38" s="1"/>
  <c r="AH51" i="38" s="1"/>
  <c r="Z51" i="38"/>
  <c r="AC51" i="38" s="1"/>
  <c r="AJ240" i="40"/>
  <c r="Z294" i="41"/>
  <c r="AA294" i="41" s="1"/>
  <c r="AC257" i="42"/>
  <c r="AA268" i="42"/>
  <c r="Z296" i="42"/>
  <c r="AA296" i="42" s="1"/>
  <c r="Z217" i="43"/>
  <c r="AC217" i="43" s="1"/>
  <c r="AF217" i="43"/>
  <c r="AG217" i="43" s="1"/>
  <c r="AH217" i="43" s="1"/>
  <c r="Y253" i="36"/>
  <c r="Z253" i="36" s="1"/>
  <c r="AI253" i="36"/>
  <c r="AF215" i="42"/>
  <c r="AG215" i="42" s="1"/>
  <c r="AH215" i="42" s="1"/>
  <c r="Z215" i="42"/>
  <c r="AC215" i="42" s="1"/>
  <c r="AI215" i="40"/>
  <c r="AK227" i="40" s="1"/>
  <c r="AI167" i="41"/>
  <c r="AJ167" i="41" s="1"/>
  <c r="AF171" i="42"/>
  <c r="AG171" i="42" s="1"/>
  <c r="AH171" i="42" s="1"/>
  <c r="Z171" i="42"/>
  <c r="AC171" i="42" s="1"/>
  <c r="Z168" i="41"/>
  <c r="AC168" i="41" s="1"/>
  <c r="AF168" i="41"/>
  <c r="AG168" i="41" s="1"/>
  <c r="AH168" i="41" s="1"/>
  <c r="AC161" i="40"/>
  <c r="AL116" i="43"/>
  <c r="AI116" i="38"/>
  <c r="AF120" i="41"/>
  <c r="Z120" i="41"/>
  <c r="AC120" i="41" s="1"/>
  <c r="AF117" i="38"/>
  <c r="AG117" i="38" s="1"/>
  <c r="AH117" i="38" s="1"/>
  <c r="Z117" i="38"/>
  <c r="AC117" i="38" s="1"/>
  <c r="AL117" i="41" s="1"/>
  <c r="AI74" i="43"/>
  <c r="AL74" i="43"/>
  <c r="AI76" i="38"/>
  <c r="AJ76" i="38" s="1"/>
  <c r="AI75" i="38"/>
  <c r="Z70" i="40"/>
  <c r="AC70" i="40" s="1"/>
  <c r="AF70" i="40"/>
  <c r="AG70" i="40" s="1"/>
  <c r="AH70" i="40" s="1"/>
  <c r="AF58" i="43"/>
  <c r="AG58" i="43" s="1"/>
  <c r="AH58" i="43" s="1"/>
  <c r="Z58" i="43"/>
  <c r="AC58" i="43" s="1"/>
  <c r="Z59" i="40"/>
  <c r="AC59" i="40" s="1"/>
  <c r="AF59" i="40"/>
  <c r="AG59" i="40" s="1"/>
  <c r="AH59" i="40" s="1"/>
  <c r="AF63" i="41"/>
  <c r="AG63" i="41" s="1"/>
  <c r="AH63" i="41" s="1"/>
  <c r="Z63" i="41"/>
  <c r="AC63" i="41" s="1"/>
  <c r="Z53" i="42"/>
  <c r="AF53" i="42"/>
  <c r="AG53" i="42" s="1"/>
  <c r="AH53" i="42" s="1"/>
  <c r="Y279" i="42"/>
  <c r="Z191" i="43"/>
  <c r="AC191" i="43" s="1"/>
  <c r="AF191" i="43"/>
  <c r="AG191" i="43" s="1"/>
  <c r="AH191" i="43" s="1"/>
  <c r="AF190" i="41"/>
  <c r="AG190" i="41" s="1"/>
  <c r="AH190" i="41" s="1"/>
  <c r="Z190" i="41"/>
  <c r="AC190" i="41" s="1"/>
  <c r="AF193" i="41"/>
  <c r="AG193" i="41" s="1"/>
  <c r="AH193" i="41" s="1"/>
  <c r="Z193" i="41"/>
  <c r="AC193" i="41" s="1"/>
  <c r="Z195" i="38"/>
  <c r="AC195" i="38" s="1"/>
  <c r="AF195" i="38"/>
  <c r="AG195" i="38" s="1"/>
  <c r="AH195" i="38" s="1"/>
  <c r="AJ229" i="42"/>
  <c r="AR229" i="42"/>
  <c r="AF135" i="43"/>
  <c r="AG135" i="43" s="1"/>
  <c r="AH135" i="43" s="1"/>
  <c r="Z135" i="43"/>
  <c r="AC135" i="43" s="1"/>
  <c r="AF136" i="42"/>
  <c r="AG136" i="42" s="1"/>
  <c r="AH136" i="42" s="1"/>
  <c r="Z136" i="42"/>
  <c r="AC136" i="42" s="1"/>
  <c r="AF129" i="38"/>
  <c r="AG129" i="38" s="1"/>
  <c r="AH129" i="38" s="1"/>
  <c r="Z129" i="38"/>
  <c r="AC129" i="38" s="1"/>
  <c r="AF135" i="42"/>
  <c r="AG135" i="42" s="1"/>
  <c r="AH135" i="42" s="1"/>
  <c r="Z135" i="42"/>
  <c r="AC135" i="42" s="1"/>
  <c r="AI127" i="36"/>
  <c r="Y127" i="36"/>
  <c r="Z127" i="36" s="1"/>
  <c r="AD14" i="36"/>
  <c r="AC268" i="36"/>
  <c r="AC270" i="36" s="1"/>
  <c r="AF104" i="43"/>
  <c r="AG104" i="43" s="1"/>
  <c r="AH104" i="43" s="1"/>
  <c r="Z104" i="43"/>
  <c r="AC104" i="43" s="1"/>
  <c r="AI108" i="42"/>
  <c r="AJ108" i="42" s="1"/>
  <c r="AL108" i="42"/>
  <c r="AF102" i="42"/>
  <c r="AG102" i="42" s="1"/>
  <c r="AH102" i="42" s="1"/>
  <c r="Z102" i="42"/>
  <c r="AC102" i="42" s="1"/>
  <c r="AI21" i="38"/>
  <c r="AJ21" i="38" s="1"/>
  <c r="AF25" i="38"/>
  <c r="AG25" i="38" s="1"/>
  <c r="AH25" i="38" s="1"/>
  <c r="Z25" i="38"/>
  <c r="AC25" i="38" s="1"/>
  <c r="AL25" i="42" s="1"/>
  <c r="AC17" i="41"/>
  <c r="AF138" i="43"/>
  <c r="AG138" i="43" s="1"/>
  <c r="AH138" i="43" s="1"/>
  <c r="Z138" i="43"/>
  <c r="AC138" i="43" s="1"/>
  <c r="Z143" i="40"/>
  <c r="AC143" i="40" s="1"/>
  <c r="AF143" i="40"/>
  <c r="AG143" i="40" s="1"/>
  <c r="AH143" i="40" s="1"/>
  <c r="AJ249" i="40"/>
  <c r="AI224" i="42"/>
  <c r="AJ224" i="42" s="1"/>
  <c r="AL224" i="42"/>
  <c r="AA232" i="43"/>
  <c r="AI242" i="40"/>
  <c r="AK254" i="40" s="1"/>
  <c r="AL242" i="40"/>
  <c r="AI237" i="42"/>
  <c r="AL237" i="42"/>
  <c r="AI90" i="43"/>
  <c r="AL90" i="43"/>
  <c r="Z90" i="41"/>
  <c r="AC90" i="41" s="1"/>
  <c r="AF90" i="41"/>
  <c r="AG90" i="41" s="1"/>
  <c r="AH90" i="41" s="1"/>
  <c r="AC89" i="43"/>
  <c r="AK265" i="38"/>
  <c r="AR265" i="38"/>
  <c r="AJ9" i="43"/>
  <c r="AF177" i="41"/>
  <c r="AG177" i="41" s="1"/>
  <c r="AH177" i="41" s="1"/>
  <c r="Z177" i="41"/>
  <c r="AC177" i="41" s="1"/>
  <c r="AI79" i="43"/>
  <c r="AI83" i="40"/>
  <c r="AJ83" i="40" s="1"/>
  <c r="AI86" i="42"/>
  <c r="AL86" i="42"/>
  <c r="AI207" i="41"/>
  <c r="AL207" i="41"/>
  <c r="AI199" i="41"/>
  <c r="AJ199" i="41" s="1"/>
  <c r="Y36" i="36"/>
  <c r="Z36" i="36" s="1"/>
  <c r="AH36" i="36" s="1"/>
  <c r="AI36" i="36"/>
  <c r="AI35" i="41"/>
  <c r="AL35" i="41"/>
  <c r="AI30" i="42"/>
  <c r="AI230" i="42"/>
  <c r="AL230" i="42"/>
  <c r="AI266" i="41"/>
  <c r="AL266" i="41"/>
  <c r="AJ228" i="40"/>
  <c r="Z156" i="38"/>
  <c r="AC156" i="38" s="1"/>
  <c r="AF156" i="38"/>
  <c r="AG156" i="38" s="1"/>
  <c r="AH156" i="38" s="1"/>
  <c r="AF159" i="38"/>
  <c r="AG159" i="38" s="1"/>
  <c r="AH159" i="38" s="1"/>
  <c r="Z159" i="38"/>
  <c r="AC159" i="38" s="1"/>
  <c r="Z46" i="40"/>
  <c r="AC46" i="40" s="1"/>
  <c r="AF46" i="40"/>
  <c r="AG46" i="40" s="1"/>
  <c r="AH46" i="40" s="1"/>
  <c r="AF48" i="40"/>
  <c r="AG48" i="40" s="1"/>
  <c r="AH48" i="40" s="1"/>
  <c r="Z48" i="40"/>
  <c r="AC48" i="40" s="1"/>
  <c r="AI266" i="42"/>
  <c r="AL266" i="42"/>
  <c r="Y292" i="43"/>
  <c r="AC209" i="42"/>
  <c r="Y292" i="38"/>
  <c r="Z210" i="40"/>
  <c r="AC210" i="40" s="1"/>
  <c r="AF210" i="40"/>
  <c r="AG210" i="40" s="1"/>
  <c r="AH210" i="40" s="1"/>
  <c r="AI162" i="43"/>
  <c r="AJ162" i="43" s="1"/>
  <c r="AL162" i="43"/>
  <c r="AI165" i="40"/>
  <c r="AJ165" i="40" s="1"/>
  <c r="AF115" i="41"/>
  <c r="Z115" i="41"/>
  <c r="AC115" i="41" s="1"/>
  <c r="Z116" i="40"/>
  <c r="AC116" i="40" s="1"/>
  <c r="AF116" i="40"/>
  <c r="AG116" i="40" s="1"/>
  <c r="AH116" i="40" s="1"/>
  <c r="Z72" i="40"/>
  <c r="AC72" i="40" s="1"/>
  <c r="AF72" i="40"/>
  <c r="AG72" i="40" s="1"/>
  <c r="AH72" i="40" s="1"/>
  <c r="AI76" i="42"/>
  <c r="AJ76" i="42" s="1"/>
  <c r="AL76" i="42"/>
  <c r="AJ56" i="43"/>
  <c r="AF61" i="41"/>
  <c r="AG61" i="41" s="1"/>
  <c r="AH61" i="41" s="1"/>
  <c r="Z61" i="41"/>
  <c r="AC61" i="41" s="1"/>
  <c r="AI82" i="36"/>
  <c r="Y82" i="36"/>
  <c r="Z82" i="36" s="1"/>
  <c r="AI136" i="43"/>
  <c r="AJ126" i="38"/>
  <c r="AF130" i="42"/>
  <c r="AG130" i="42" s="1"/>
  <c r="AH130" i="42" s="1"/>
  <c r="Z130" i="42"/>
  <c r="AC130" i="42" s="1"/>
  <c r="AI106" i="43"/>
  <c r="AL106" i="43"/>
  <c r="AI110" i="38"/>
  <c r="AJ110" i="38" s="1"/>
  <c r="Y283" i="41"/>
  <c r="AJ267" i="40"/>
  <c r="AI52" i="36"/>
  <c r="Y52" i="36"/>
  <c r="Z52" i="36" s="1"/>
  <c r="AI28" i="43"/>
  <c r="AF28" i="38"/>
  <c r="AG28" i="38" s="1"/>
  <c r="AH28" i="38" s="1"/>
  <c r="Z28" i="38"/>
  <c r="AC28" i="38" s="1"/>
  <c r="AL28" i="43" s="1"/>
  <c r="AI18" i="38"/>
  <c r="AI145" i="43"/>
  <c r="AL145" i="43"/>
  <c r="AI140" i="42"/>
  <c r="AJ140" i="42" s="1"/>
  <c r="AL140" i="42"/>
  <c r="AJ144" i="43"/>
  <c r="AI146" i="41"/>
  <c r="AJ146" i="41" s="1"/>
  <c r="AL146" i="41"/>
  <c r="AJ253" i="40"/>
  <c r="AR253" i="40"/>
  <c r="AK253" i="40"/>
  <c r="AL267" i="43"/>
  <c r="AJ221" i="38"/>
  <c r="AR221" i="38"/>
  <c r="AR235" i="38"/>
  <c r="AK235" i="38"/>
  <c r="Z93" i="38"/>
  <c r="AC93" i="38" s="1"/>
  <c r="AF93" i="38"/>
  <c r="AG93" i="38" s="1"/>
  <c r="AH93" i="38" s="1"/>
  <c r="AI90" i="38"/>
  <c r="AJ90" i="38" s="1"/>
  <c r="AI258" i="42"/>
  <c r="AL258" i="42"/>
  <c r="Y46" i="36"/>
  <c r="Z46" i="36" s="1"/>
  <c r="AI46" i="36"/>
  <c r="AI12" i="43"/>
  <c r="AI179" i="43"/>
  <c r="AL179" i="43"/>
  <c r="AI175" i="42"/>
  <c r="AJ177" i="38"/>
  <c r="AC173" i="38"/>
  <c r="AI83" i="43"/>
  <c r="AJ83" i="43" s="1"/>
  <c r="AL83" i="43"/>
  <c r="AI80" i="38"/>
  <c r="AJ80" i="38" s="1"/>
  <c r="AI80" i="40"/>
  <c r="AL80" i="40"/>
  <c r="AR256" i="43"/>
  <c r="AK256" i="43"/>
  <c r="Z201" i="38"/>
  <c r="AC201" i="38" s="1"/>
  <c r="AF201" i="38"/>
  <c r="AG201" i="38" s="1"/>
  <c r="AH201" i="38" s="1"/>
  <c r="AI208" i="41"/>
  <c r="AJ208" i="41" s="1"/>
  <c r="AI109" i="36"/>
  <c r="Y109" i="36"/>
  <c r="Z109" i="36" s="1"/>
  <c r="AI32" i="40"/>
  <c r="AL32" i="40"/>
  <c r="AI37" i="40"/>
  <c r="AJ37" i="40" s="1"/>
  <c r="AL37" i="40"/>
  <c r="AI34" i="40"/>
  <c r="AL34" i="40"/>
  <c r="U288" i="36"/>
  <c r="AJ255" i="41"/>
  <c r="AJ253" i="41"/>
  <c r="AR253" i="41"/>
  <c r="AK253" i="41"/>
  <c r="AI150" i="41"/>
  <c r="AI42" i="43"/>
  <c r="AJ42" i="43" s="1"/>
  <c r="Y278" i="43"/>
  <c r="AF42" i="40"/>
  <c r="AG42" i="40" s="1"/>
  <c r="AH42" i="40" s="1"/>
  <c r="Z42" i="40"/>
  <c r="AC42" i="40" s="1"/>
  <c r="AR238" i="43"/>
  <c r="AI259" i="41"/>
  <c r="AJ259" i="41" s="1"/>
  <c r="AL259" i="41"/>
  <c r="AD242" i="36"/>
  <c r="AE231" i="36"/>
  <c r="AF231" i="36" s="1"/>
  <c r="AI233" i="36"/>
  <c r="Y233" i="36"/>
  <c r="Z233" i="36" s="1"/>
  <c r="AC209" i="41"/>
  <c r="AC161" i="43"/>
  <c r="AJ172" i="43"/>
  <c r="AC161" i="41"/>
  <c r="AJ166" i="38"/>
  <c r="AI124" i="42"/>
  <c r="AL124" i="42"/>
  <c r="AI119" i="38"/>
  <c r="AJ119" i="38" s="1"/>
  <c r="AI69" i="41"/>
  <c r="AL69" i="41"/>
  <c r="Z58" i="42"/>
  <c r="AC58" i="42" s="1"/>
  <c r="AF58" i="42"/>
  <c r="AG58" i="42" s="1"/>
  <c r="AH58" i="42" s="1"/>
  <c r="AI56" i="42"/>
  <c r="AL56" i="42"/>
  <c r="AI55" i="38"/>
  <c r="AF191" i="42"/>
  <c r="AG191" i="42" s="1"/>
  <c r="AH191" i="42" s="1"/>
  <c r="Z191" i="42"/>
  <c r="AC191" i="42" s="1"/>
  <c r="AR225" i="41"/>
  <c r="AI133" i="38"/>
  <c r="AJ133" i="38" s="1"/>
  <c r="AI130" i="41"/>
  <c r="AK251" i="40"/>
  <c r="AR251" i="40"/>
  <c r="AJ112" i="43"/>
  <c r="AI106" i="41"/>
  <c r="AR106" i="41" s="1"/>
  <c r="AL106" i="41"/>
  <c r="AK240" i="41"/>
  <c r="AR240" i="41"/>
  <c r="AR261" i="40"/>
  <c r="AK261" i="40"/>
  <c r="AI27" i="43"/>
  <c r="AI20" i="38"/>
  <c r="AJ20" i="38" s="1"/>
  <c r="AI18" i="42"/>
  <c r="AL18" i="42"/>
  <c r="AI138" i="41"/>
  <c r="AL138" i="41"/>
  <c r="AJ229" i="43"/>
  <c r="AR242" i="43"/>
  <c r="AJ254" i="43"/>
  <c r="AK247" i="43"/>
  <c r="AR235" i="43"/>
  <c r="AK235" i="43"/>
  <c r="AJ98" i="43"/>
  <c r="AJ9" i="42"/>
  <c r="AI13" i="38"/>
  <c r="AJ13" i="38" s="1"/>
  <c r="AI15" i="38"/>
  <c r="AJ225" i="42" l="1"/>
  <c r="AL56" i="41"/>
  <c r="AL43" i="41"/>
  <c r="AJ214" i="40"/>
  <c r="AR264" i="42"/>
  <c r="AJ47" i="41"/>
  <c r="AL213" i="40"/>
  <c r="AL73" i="40"/>
  <c r="AL87" i="41"/>
  <c r="AL152" i="43"/>
  <c r="AL186" i="40"/>
  <c r="AK237" i="40"/>
  <c r="AI170" i="40"/>
  <c r="AR170" i="40" s="1"/>
  <c r="AL128" i="40"/>
  <c r="AL61" i="40"/>
  <c r="AJ99" i="40"/>
  <c r="AI18" i="41"/>
  <c r="AJ18" i="41" s="1"/>
  <c r="AJ220" i="43"/>
  <c r="AL152" i="41"/>
  <c r="AI23" i="41"/>
  <c r="AI16" i="42"/>
  <c r="AJ16" i="42" s="1"/>
  <c r="Z286" i="38"/>
  <c r="AA286" i="38" s="1"/>
  <c r="AL49" i="40"/>
  <c r="AI155" i="41"/>
  <c r="AJ155" i="41" s="1"/>
  <c r="AJ152" i="42"/>
  <c r="AK228" i="41"/>
  <c r="AL176" i="42"/>
  <c r="AK232" i="43"/>
  <c r="AI141" i="43"/>
  <c r="AJ141" i="43" s="1"/>
  <c r="AI20" i="40"/>
  <c r="AI37" i="42"/>
  <c r="AJ37" i="42" s="1"/>
  <c r="AL220" i="41"/>
  <c r="AJ92" i="43"/>
  <c r="AJ256" i="40"/>
  <c r="AL233" i="40"/>
  <c r="AL104" i="42"/>
  <c r="AJ230" i="43"/>
  <c r="AL18" i="41"/>
  <c r="AK245" i="38"/>
  <c r="AJ122" i="41"/>
  <c r="AL111" i="41"/>
  <c r="AJ73" i="40"/>
  <c r="AI220" i="41"/>
  <c r="AJ220" i="41" s="1"/>
  <c r="AI81" i="42"/>
  <c r="AJ81" i="42" s="1"/>
  <c r="AJ156" i="41"/>
  <c r="AK242" i="43"/>
  <c r="AJ117" i="40"/>
  <c r="AJ33" i="43"/>
  <c r="AJ7" i="43"/>
  <c r="AJ133" i="43"/>
  <c r="AL38" i="41"/>
  <c r="AJ119" i="41"/>
  <c r="AL11" i="43"/>
  <c r="AL43" i="40"/>
  <c r="AJ186" i="42"/>
  <c r="AL10" i="42"/>
  <c r="AI12" i="41"/>
  <c r="AK24" i="41" s="1"/>
  <c r="AL175" i="42"/>
  <c r="AL55" i="43"/>
  <c r="AI150" i="42"/>
  <c r="AR150" i="42" s="1"/>
  <c r="AK266" i="43"/>
  <c r="AL213" i="42"/>
  <c r="AL213" i="43"/>
  <c r="AJ192" i="42"/>
  <c r="AJ123" i="43"/>
  <c r="AJ121" i="41"/>
  <c r="AJ56" i="42"/>
  <c r="AI10" i="38"/>
  <c r="AJ10" i="38" s="1"/>
  <c r="Z276" i="41"/>
  <c r="AA276" i="41" s="1"/>
  <c r="AJ33" i="40"/>
  <c r="AL196" i="41"/>
  <c r="AJ121" i="43"/>
  <c r="AJ117" i="41"/>
  <c r="AJ117" i="42"/>
  <c r="AI169" i="42"/>
  <c r="AL9" i="42"/>
  <c r="AI42" i="44"/>
  <c r="AQ42" i="44"/>
  <c r="AJ42" i="44"/>
  <c r="AI40" i="44"/>
  <c r="AJ40" i="44"/>
  <c r="AQ40" i="44"/>
  <c r="AJ6" i="44"/>
  <c r="AQ6" i="44"/>
  <c r="AJ10" i="44"/>
  <c r="AQ10" i="44"/>
  <c r="AJ114" i="44"/>
  <c r="AQ114" i="44"/>
  <c r="AJ22" i="44"/>
  <c r="AQ22" i="44"/>
  <c r="AI90" i="44"/>
  <c r="AQ90" i="44"/>
  <c r="AJ90" i="44"/>
  <c r="AI219" i="44"/>
  <c r="AQ219" i="44"/>
  <c r="AJ219" i="44"/>
  <c r="AJ231" i="44"/>
  <c r="AI81" i="44"/>
  <c r="AQ81" i="44"/>
  <c r="AJ81" i="44"/>
  <c r="AI206" i="44"/>
  <c r="AJ206" i="44"/>
  <c r="AQ206" i="44"/>
  <c r="AI158" i="44"/>
  <c r="AQ158" i="44"/>
  <c r="AJ158" i="44"/>
  <c r="AI117" i="44"/>
  <c r="AJ117" i="44"/>
  <c r="AQ117" i="44"/>
  <c r="AJ86" i="44"/>
  <c r="AQ86" i="44"/>
  <c r="AH161" i="44"/>
  <c r="AI189" i="44"/>
  <c r="AQ189" i="44"/>
  <c r="AJ189" i="44"/>
  <c r="AA100" i="43"/>
  <c r="AL111" i="43"/>
  <c r="AI210" i="43"/>
  <c r="AL27" i="41"/>
  <c r="AL219" i="41"/>
  <c r="AL48" i="43"/>
  <c r="AL25" i="41"/>
  <c r="AL19" i="42"/>
  <c r="AJ171" i="41"/>
  <c r="AI68" i="44"/>
  <c r="AQ68" i="44"/>
  <c r="AJ68" i="44"/>
  <c r="AI153" i="44"/>
  <c r="AQ153" i="44"/>
  <c r="AJ153" i="44"/>
  <c r="AI96" i="44"/>
  <c r="AQ96" i="44"/>
  <c r="AJ96" i="44"/>
  <c r="AQ148" i="44"/>
  <c r="AJ148" i="44"/>
  <c r="AJ106" i="44"/>
  <c r="AQ106" i="44"/>
  <c r="AI87" i="44"/>
  <c r="AQ87" i="44"/>
  <c r="AJ87" i="44"/>
  <c r="AI216" i="44"/>
  <c r="AJ216" i="44"/>
  <c r="AQ216" i="44"/>
  <c r="AJ228" i="44"/>
  <c r="AI32" i="44"/>
  <c r="AJ32" i="44"/>
  <c r="AQ32" i="44"/>
  <c r="AQ100" i="44"/>
  <c r="AJ100" i="44"/>
  <c r="AJ71" i="44"/>
  <c r="AQ71" i="44"/>
  <c r="AQ204" i="44"/>
  <c r="AJ204" i="44"/>
  <c r="AH77" i="44"/>
  <c r="AI213" i="44"/>
  <c r="AQ213" i="44"/>
  <c r="AJ213" i="44"/>
  <c r="AJ225" i="44"/>
  <c r="AI165" i="44"/>
  <c r="AJ165" i="44"/>
  <c r="AQ165" i="44"/>
  <c r="AI60" i="44"/>
  <c r="AQ60" i="44"/>
  <c r="AJ60" i="44"/>
  <c r="AI16" i="44"/>
  <c r="AJ16" i="44"/>
  <c r="AQ16" i="44"/>
  <c r="AJ20" i="44"/>
  <c r="AQ20" i="44"/>
  <c r="AI212" i="44"/>
  <c r="AQ212" i="44"/>
  <c r="AJ212" i="44"/>
  <c r="AJ224" i="44"/>
  <c r="AJ226" i="38"/>
  <c r="AJ12" i="44"/>
  <c r="AQ12" i="44"/>
  <c r="AJ85" i="44"/>
  <c r="AQ85" i="44"/>
  <c r="AJ63" i="44"/>
  <c r="AQ63" i="44"/>
  <c r="AI210" i="44"/>
  <c r="AJ210" i="44"/>
  <c r="AQ210" i="44"/>
  <c r="AJ222" i="44"/>
  <c r="AH101" i="44"/>
  <c r="AI150" i="44"/>
  <c r="AQ150" i="44"/>
  <c r="AJ150" i="44"/>
  <c r="AJ98" i="44"/>
  <c r="AQ98" i="44"/>
  <c r="AI6" i="44"/>
  <c r="AI204" i="44"/>
  <c r="AI21" i="44"/>
  <c r="AQ21" i="44"/>
  <c r="AJ21" i="44"/>
  <c r="AQ178" i="44"/>
  <c r="AJ178" i="44"/>
  <c r="AI61" i="44"/>
  <c r="AJ61" i="44"/>
  <c r="AQ61" i="44"/>
  <c r="AI127" i="44"/>
  <c r="AQ127" i="44"/>
  <c r="AJ127" i="44"/>
  <c r="AI55" i="44"/>
  <c r="AQ55" i="44"/>
  <c r="AJ55" i="44"/>
  <c r="AI86" i="44"/>
  <c r="AQ217" i="44"/>
  <c r="AJ217" i="44"/>
  <c r="AJ229" i="44"/>
  <c r="AI12" i="44"/>
  <c r="AQ27" i="44"/>
  <c r="AJ27" i="44"/>
  <c r="AH5" i="44"/>
  <c r="AB272" i="44"/>
  <c r="AJ172" i="44"/>
  <c r="AQ172" i="44"/>
  <c r="AI193" i="44"/>
  <c r="AJ193" i="44"/>
  <c r="AQ193" i="44"/>
  <c r="AI18" i="44"/>
  <c r="AJ18" i="44"/>
  <c r="AQ18" i="44"/>
  <c r="AQ111" i="44"/>
  <c r="AJ111" i="44"/>
  <c r="AI145" i="44"/>
  <c r="AJ145" i="44"/>
  <c r="AQ145" i="44"/>
  <c r="AJ82" i="44"/>
  <c r="AQ82" i="44"/>
  <c r="AI33" i="44"/>
  <c r="AQ33" i="44"/>
  <c r="AJ33" i="44"/>
  <c r="AQ64" i="44"/>
  <c r="AJ64" i="44"/>
  <c r="AJ11" i="44"/>
  <c r="AQ11" i="44"/>
  <c r="AI181" i="44"/>
  <c r="AJ181" i="44"/>
  <c r="AQ181" i="44"/>
  <c r="AI207" i="44"/>
  <c r="AJ207" i="44"/>
  <c r="AQ207" i="44"/>
  <c r="AI129" i="44"/>
  <c r="AQ129" i="44"/>
  <c r="AJ129" i="44"/>
  <c r="AJ7" i="44"/>
  <c r="AQ7" i="44"/>
  <c r="AI167" i="44"/>
  <c r="AQ167" i="44"/>
  <c r="AJ167" i="44"/>
  <c r="AH185" i="44"/>
  <c r="AI116" i="44"/>
  <c r="AQ116" i="44"/>
  <c r="AJ116" i="44"/>
  <c r="AI23" i="44"/>
  <c r="AJ23" i="44"/>
  <c r="AQ23" i="44"/>
  <c r="AQ126" i="44"/>
  <c r="AJ126" i="44"/>
  <c r="AI208" i="44"/>
  <c r="AJ208" i="44"/>
  <c r="AQ208" i="44"/>
  <c r="AI141" i="44"/>
  <c r="AJ141" i="44"/>
  <c r="AQ141" i="44"/>
  <c r="AI50" i="44"/>
  <c r="AJ50" i="44"/>
  <c r="AQ50" i="44"/>
  <c r="AI176" i="44"/>
  <c r="AJ176" i="44"/>
  <c r="AQ176" i="44"/>
  <c r="AI91" i="44"/>
  <c r="AJ91" i="44"/>
  <c r="AQ91" i="44"/>
  <c r="AH65" i="44"/>
  <c r="AJ200" i="44"/>
  <c r="AQ200" i="44"/>
  <c r="AQ147" i="44"/>
  <c r="AJ147" i="44"/>
  <c r="AI177" i="44"/>
  <c r="AJ177" i="44"/>
  <c r="AQ177" i="44"/>
  <c r="AI104" i="44"/>
  <c r="AJ104" i="44"/>
  <c r="AQ104" i="44"/>
  <c r="AI154" i="44"/>
  <c r="AQ154" i="44"/>
  <c r="AJ154" i="44"/>
  <c r="AI188" i="44"/>
  <c r="AJ188" i="44"/>
  <c r="AQ188" i="44"/>
  <c r="AI64" i="44"/>
  <c r="AQ8" i="44"/>
  <c r="AJ8" i="44"/>
  <c r="AJ124" i="44"/>
  <c r="AQ124" i="44"/>
  <c r="AI168" i="44"/>
  <c r="AJ168" i="44"/>
  <c r="AQ168" i="44"/>
  <c r="AH41" i="44"/>
  <c r="AI30" i="44"/>
  <c r="AQ30" i="44"/>
  <c r="AJ30" i="44"/>
  <c r="AI49" i="44"/>
  <c r="AJ49" i="44"/>
  <c r="AQ49" i="44"/>
  <c r="AQ179" i="44"/>
  <c r="AJ179" i="44"/>
  <c r="AI97" i="44"/>
  <c r="AQ97" i="44"/>
  <c r="AJ97" i="44"/>
  <c r="AQ143" i="44"/>
  <c r="AJ143" i="44"/>
  <c r="AI10" i="44"/>
  <c r="AH113" i="44"/>
  <c r="AI218" i="44"/>
  <c r="AQ218" i="44"/>
  <c r="AJ218" i="44"/>
  <c r="AJ230" i="44"/>
  <c r="AQ134" i="44"/>
  <c r="AJ134" i="44"/>
  <c r="AI76" i="44"/>
  <c r="AJ76" i="44"/>
  <c r="AQ76" i="44"/>
  <c r="AI34" i="44"/>
  <c r="AJ34" i="44"/>
  <c r="AQ34" i="44"/>
  <c r="AQ94" i="44"/>
  <c r="AJ94" i="44"/>
  <c r="AI146" i="44"/>
  <c r="AQ146" i="44"/>
  <c r="AJ146" i="44"/>
  <c r="AI67" i="44"/>
  <c r="AJ67" i="44"/>
  <c r="AQ67" i="44"/>
  <c r="AI108" i="44"/>
  <c r="AJ108" i="44"/>
  <c r="AQ108" i="44"/>
  <c r="AL69" i="40"/>
  <c r="AL118" i="42"/>
  <c r="AL210" i="43"/>
  <c r="AL27" i="43"/>
  <c r="AL150" i="41"/>
  <c r="AL136" i="43"/>
  <c r="AL156" i="41"/>
  <c r="AL22" i="41"/>
  <c r="AI116" i="43"/>
  <c r="AR116" i="43" s="1"/>
  <c r="AA172" i="40"/>
  <c r="AJ104" i="42"/>
  <c r="AL206" i="42"/>
  <c r="AJ20" i="42"/>
  <c r="AL118" i="43"/>
  <c r="AI23" i="42"/>
  <c r="Z284" i="40"/>
  <c r="AA284" i="40" s="1"/>
  <c r="AL44" i="40"/>
  <c r="AI118" i="38"/>
  <c r="AL16" i="41"/>
  <c r="Z283" i="41"/>
  <c r="AA283" i="41" s="1"/>
  <c r="AL121" i="41"/>
  <c r="AL168" i="40"/>
  <c r="AK255" i="41"/>
  <c r="AL220" i="40"/>
  <c r="AL168" i="42"/>
  <c r="AI155" i="44"/>
  <c r="AQ155" i="44"/>
  <c r="AJ155" i="44"/>
  <c r="AQ192" i="44"/>
  <c r="AJ192" i="44"/>
  <c r="AI138" i="44"/>
  <c r="AJ138" i="44"/>
  <c r="AQ138" i="44"/>
  <c r="AI83" i="44"/>
  <c r="AQ83" i="44"/>
  <c r="AJ83" i="44"/>
  <c r="AJ223" i="44"/>
  <c r="AQ211" i="44"/>
  <c r="AJ211" i="44"/>
  <c r="AJ160" i="44"/>
  <c r="AQ160" i="44"/>
  <c r="AI45" i="44"/>
  <c r="AQ45" i="44"/>
  <c r="AJ45" i="44"/>
  <c r="AQ152" i="44"/>
  <c r="AJ152" i="44"/>
  <c r="AH137" i="44"/>
  <c r="AJ43" i="44"/>
  <c r="AQ43" i="44"/>
  <c r="AQ73" i="44"/>
  <c r="AJ73" i="44"/>
  <c r="AI195" i="44"/>
  <c r="AJ195" i="44"/>
  <c r="AQ195" i="44"/>
  <c r="AJ80" i="44"/>
  <c r="AQ80" i="44"/>
  <c r="AJ159" i="44"/>
  <c r="AQ159" i="44"/>
  <c r="AI201" i="44"/>
  <c r="AQ201" i="44"/>
  <c r="AJ201" i="44"/>
  <c r="AI124" i="44"/>
  <c r="AJ78" i="44"/>
  <c r="AQ78" i="44"/>
  <c r="AI74" i="44"/>
  <c r="AJ74" i="44"/>
  <c r="AQ74" i="44"/>
  <c r="AI46" i="44"/>
  <c r="AJ46" i="44"/>
  <c r="AQ46" i="44"/>
  <c r="AI100" i="44"/>
  <c r="AI71" i="44"/>
  <c r="AI196" i="44"/>
  <c r="AQ196" i="44"/>
  <c r="AJ196" i="44"/>
  <c r="AI43" i="44"/>
  <c r="AI72" i="44"/>
  <c r="AQ72" i="44"/>
  <c r="AJ72" i="44"/>
  <c r="AI25" i="44"/>
  <c r="AJ25" i="44"/>
  <c r="AQ25" i="44"/>
  <c r="AI184" i="44"/>
  <c r="AJ184" i="44"/>
  <c r="AQ184" i="44"/>
  <c r="AQ35" i="44"/>
  <c r="AJ35" i="44"/>
  <c r="AI85" i="44"/>
  <c r="AI47" i="44"/>
  <c r="AQ47" i="44"/>
  <c r="AJ47" i="44"/>
  <c r="AI78" i="44"/>
  <c r="AI98" i="44"/>
  <c r="AJ232" i="44"/>
  <c r="AJ220" i="44"/>
  <c r="AQ220" i="44"/>
  <c r="AJ38" i="44"/>
  <c r="AQ38" i="44"/>
  <c r="AI191" i="44"/>
  <c r="AJ191" i="44"/>
  <c r="AQ191" i="44"/>
  <c r="AQ123" i="44"/>
  <c r="AJ123" i="44"/>
  <c r="AI178" i="44"/>
  <c r="AJ44" i="44"/>
  <c r="AQ44" i="44"/>
  <c r="AQ52" i="44"/>
  <c r="AJ52" i="44"/>
  <c r="AH173" i="44"/>
  <c r="AI56" i="44"/>
  <c r="AJ56" i="44"/>
  <c r="AQ56" i="44"/>
  <c r="AQ69" i="44"/>
  <c r="AJ69" i="44"/>
  <c r="AQ102" i="44"/>
  <c r="AJ102" i="44"/>
  <c r="AI73" i="44"/>
  <c r="AQ166" i="44"/>
  <c r="AJ166" i="44"/>
  <c r="AI122" i="44"/>
  <c r="AJ122" i="44"/>
  <c r="AQ122" i="44"/>
  <c r="AJ140" i="44"/>
  <c r="AQ140" i="44"/>
  <c r="AI8" i="44"/>
  <c r="AI75" i="44"/>
  <c r="AJ75" i="44"/>
  <c r="AQ75" i="44"/>
  <c r="AJ14" i="44"/>
  <c r="AQ14" i="44"/>
  <c r="AI107" i="44"/>
  <c r="AQ107" i="44"/>
  <c r="AJ107" i="44"/>
  <c r="AJ174" i="44"/>
  <c r="AQ174" i="44"/>
  <c r="AH125" i="44"/>
  <c r="AQ66" i="44"/>
  <c r="AJ66" i="44"/>
  <c r="AI199" i="44"/>
  <c r="AJ199" i="44"/>
  <c r="AQ199" i="44"/>
  <c r="AQ170" i="44"/>
  <c r="AJ170" i="44"/>
  <c r="AJ120" i="44"/>
  <c r="AQ120" i="44"/>
  <c r="AJ157" i="44"/>
  <c r="AQ157" i="44"/>
  <c r="AI194" i="44"/>
  <c r="AQ194" i="44"/>
  <c r="AJ194" i="44"/>
  <c r="AI180" i="44"/>
  <c r="AQ180" i="44"/>
  <c r="AJ180" i="44"/>
  <c r="AI118" i="44"/>
  <c r="AJ118" i="44"/>
  <c r="AQ118" i="44"/>
  <c r="AI203" i="44"/>
  <c r="AJ203" i="44"/>
  <c r="AQ203" i="44"/>
  <c r="AJ26" i="44"/>
  <c r="AQ26" i="44"/>
  <c r="AI133" i="44"/>
  <c r="AQ133" i="44"/>
  <c r="AJ133" i="44"/>
  <c r="AI119" i="44"/>
  <c r="AJ119" i="44"/>
  <c r="AQ119" i="44"/>
  <c r="AI88" i="44"/>
  <c r="AJ88" i="44"/>
  <c r="AQ88" i="44"/>
  <c r="AJ202" i="44"/>
  <c r="AQ202" i="44"/>
  <c r="AJ121" i="44"/>
  <c r="AQ121" i="44"/>
  <c r="AI186" i="44"/>
  <c r="AQ186" i="44"/>
  <c r="AJ186" i="44"/>
  <c r="AI187" i="44"/>
  <c r="AQ187" i="44"/>
  <c r="AJ187" i="44"/>
  <c r="AJ127" i="42"/>
  <c r="AA172" i="43"/>
  <c r="AK229" i="42"/>
  <c r="AL16" i="42"/>
  <c r="AL169" i="41"/>
  <c r="AR226" i="38"/>
  <c r="AL117" i="42"/>
  <c r="AL25" i="40"/>
  <c r="AJ51" i="44"/>
  <c r="AQ51" i="44"/>
  <c r="AI114" i="44"/>
  <c r="AI175" i="44"/>
  <c r="AQ175" i="44"/>
  <c r="AJ175" i="44"/>
  <c r="AI92" i="44"/>
  <c r="AQ92" i="44"/>
  <c r="AJ92" i="44"/>
  <c r="AI183" i="44"/>
  <c r="AQ183" i="44"/>
  <c r="AJ183" i="44"/>
  <c r="AI112" i="44"/>
  <c r="AJ112" i="44"/>
  <c r="AQ112" i="44"/>
  <c r="AI79" i="44"/>
  <c r="AJ79" i="44"/>
  <c r="AQ79" i="44"/>
  <c r="AI110" i="44"/>
  <c r="AQ110" i="44"/>
  <c r="AJ110" i="44"/>
  <c r="AJ13" i="44"/>
  <c r="AQ13" i="44"/>
  <c r="AQ115" i="44"/>
  <c r="AJ115" i="44"/>
  <c r="AI36" i="44"/>
  <c r="AJ36" i="44"/>
  <c r="AQ36" i="44"/>
  <c r="AJ130" i="44"/>
  <c r="AQ130" i="44"/>
  <c r="AJ70" i="44"/>
  <c r="AQ70" i="44"/>
  <c r="AI136" i="44"/>
  <c r="AQ136" i="44"/>
  <c r="AJ136" i="44"/>
  <c r="AH197" i="44"/>
  <c r="AI144" i="44"/>
  <c r="AQ144" i="44"/>
  <c r="AJ144" i="44"/>
  <c r="AI157" i="44"/>
  <c r="AJ59" i="44"/>
  <c r="AQ59" i="44"/>
  <c r="AJ9" i="44"/>
  <c r="AQ9" i="44"/>
  <c r="AI162" i="44"/>
  <c r="AJ162" i="44"/>
  <c r="AQ162" i="44"/>
  <c r="AJ142" i="44"/>
  <c r="AQ142" i="44"/>
  <c r="AI84" i="44"/>
  <c r="AJ84" i="44"/>
  <c r="AQ84" i="44"/>
  <c r="AI13" i="44"/>
  <c r="AI156" i="44"/>
  <c r="AJ156" i="44"/>
  <c r="AQ156" i="44"/>
  <c r="AH53" i="44"/>
  <c r="AH89" i="44"/>
  <c r="AJ99" i="44"/>
  <c r="AQ99" i="44"/>
  <c r="AJ103" i="44"/>
  <c r="AQ103" i="44"/>
  <c r="AQ131" i="44"/>
  <c r="AJ131" i="44"/>
  <c r="AJ171" i="44"/>
  <c r="AQ171" i="44"/>
  <c r="AH29" i="44"/>
  <c r="AJ31" i="44"/>
  <c r="AQ31" i="44"/>
  <c r="AI57" i="44"/>
  <c r="AQ57" i="44"/>
  <c r="AJ57" i="44"/>
  <c r="AI28" i="44"/>
  <c r="AJ28" i="44"/>
  <c r="AQ28" i="44"/>
  <c r="AH209" i="44"/>
  <c r="AI22" i="44"/>
  <c r="AJ182" i="44"/>
  <c r="AQ182" i="44"/>
  <c r="AI54" i="44"/>
  <c r="AJ54" i="44"/>
  <c r="AQ54" i="44"/>
  <c r="AI19" i="44"/>
  <c r="AQ19" i="44"/>
  <c r="AJ19" i="44"/>
  <c r="AI215" i="44"/>
  <c r="AQ215" i="44"/>
  <c r="AJ215" i="44"/>
  <c r="AJ227" i="44"/>
  <c r="AI62" i="44"/>
  <c r="AJ62" i="44"/>
  <c r="AQ62" i="44"/>
  <c r="AQ190" i="44"/>
  <c r="AJ190" i="44"/>
  <c r="AQ37" i="44"/>
  <c r="AJ37" i="44"/>
  <c r="AJ151" i="44"/>
  <c r="AQ151" i="44"/>
  <c r="AI132" i="44"/>
  <c r="AJ132" i="44"/>
  <c r="AQ132" i="44"/>
  <c r="AQ15" i="44"/>
  <c r="AJ15" i="44"/>
  <c r="AI169" i="44"/>
  <c r="AJ169" i="44"/>
  <c r="AQ169" i="44"/>
  <c r="AI214" i="44"/>
  <c r="AQ214" i="44"/>
  <c r="AJ214" i="44"/>
  <c r="AJ226" i="44"/>
  <c r="AI148" i="44"/>
  <c r="AI211" i="44"/>
  <c r="AI39" i="44"/>
  <c r="AQ39" i="44"/>
  <c r="AJ39" i="44"/>
  <c r="AH149" i="44"/>
  <c r="AQ198" i="44"/>
  <c r="AJ198" i="44"/>
  <c r="AI80" i="44"/>
  <c r="AI58" i="44"/>
  <c r="AQ58" i="44"/>
  <c r="AJ58" i="44"/>
  <c r="AJ164" i="44"/>
  <c r="AQ164" i="44"/>
  <c r="AQ24" i="44"/>
  <c r="AJ24" i="44"/>
  <c r="AI48" i="44"/>
  <c r="AQ48" i="44"/>
  <c r="AJ48" i="44"/>
  <c r="AI105" i="44"/>
  <c r="AQ105" i="44"/>
  <c r="AJ105" i="44"/>
  <c r="AI93" i="44"/>
  <c r="AJ93" i="44"/>
  <c r="AQ93" i="44"/>
  <c r="AI139" i="44"/>
  <c r="AJ139" i="44"/>
  <c r="AQ139" i="44"/>
  <c r="AI31" i="44"/>
  <c r="AI135" i="44"/>
  <c r="AQ135" i="44"/>
  <c r="AJ135" i="44"/>
  <c r="AH17" i="44"/>
  <c r="AI38" i="44"/>
  <c r="AI128" i="44"/>
  <c r="AQ128" i="44"/>
  <c r="AJ128" i="44"/>
  <c r="AI95" i="44"/>
  <c r="AJ95" i="44"/>
  <c r="AQ95" i="44"/>
  <c r="AI163" i="44"/>
  <c r="AJ163" i="44"/>
  <c r="AQ163" i="44"/>
  <c r="AI205" i="44"/>
  <c r="AQ205" i="44"/>
  <c r="AJ205" i="44"/>
  <c r="AQ109" i="44"/>
  <c r="AJ109" i="44"/>
  <c r="AG113" i="41"/>
  <c r="AH113" i="41" s="1"/>
  <c r="AG115" i="41"/>
  <c r="AH115" i="41" s="1"/>
  <c r="AJ116" i="43"/>
  <c r="AG114" i="43"/>
  <c r="AH114" i="43" s="1"/>
  <c r="AG118" i="43"/>
  <c r="AH118" i="43" s="1"/>
  <c r="AG120" i="43"/>
  <c r="AH120" i="43" s="1"/>
  <c r="AG124" i="43"/>
  <c r="AH124" i="43" s="1"/>
  <c r="AG120" i="41"/>
  <c r="AH120" i="41" s="1"/>
  <c r="AG117" i="43"/>
  <c r="AH117" i="43" s="1"/>
  <c r="AG123" i="41"/>
  <c r="AH123" i="41" s="1"/>
  <c r="AJ123" i="41" s="1"/>
  <c r="AA28" i="43"/>
  <c r="Z276" i="43"/>
  <c r="AA276" i="43" s="1"/>
  <c r="AL51" i="42"/>
  <c r="AJ96" i="42"/>
  <c r="AJ227" i="42"/>
  <c r="AA220" i="41"/>
  <c r="AA160" i="43"/>
  <c r="AA76" i="43"/>
  <c r="AL155" i="43"/>
  <c r="AA100" i="41"/>
  <c r="AA16" i="38"/>
  <c r="AL167" i="42"/>
  <c r="AL24" i="41"/>
  <c r="Z288" i="38"/>
  <c r="AA288" i="38" s="1"/>
  <c r="AL67" i="43"/>
  <c r="AL85" i="43"/>
  <c r="AL134" i="43"/>
  <c r="AL111" i="40"/>
  <c r="AL117" i="40"/>
  <c r="AA220" i="38"/>
  <c r="AJ242" i="40"/>
  <c r="AL205" i="43"/>
  <c r="AK240" i="43"/>
  <c r="Z280" i="38"/>
  <c r="AA280" i="38" s="1"/>
  <c r="AA220" i="40"/>
  <c r="Z288" i="41"/>
  <c r="AA288" i="41" s="1"/>
  <c r="AK238" i="43"/>
  <c r="AL167" i="43"/>
  <c r="AL167" i="40"/>
  <c r="AL189" i="42"/>
  <c r="AK239" i="42"/>
  <c r="AJ237" i="41"/>
  <c r="Z292" i="42"/>
  <c r="AA292" i="42" s="1"/>
  <c r="AK236" i="42"/>
  <c r="AA172" i="41"/>
  <c r="Z292" i="41"/>
  <c r="AA292" i="41" s="1"/>
  <c r="Z287" i="43"/>
  <c r="AA287" i="43" s="1"/>
  <c r="Z275" i="41"/>
  <c r="AA275" i="41" s="1"/>
  <c r="AL61" i="42"/>
  <c r="Z292" i="38"/>
  <c r="AA292" i="38" s="1"/>
  <c r="AL111" i="42"/>
  <c r="AJ103" i="41"/>
  <c r="AJ266" i="43"/>
  <c r="AK30" i="42"/>
  <c r="AK18" i="42"/>
  <c r="AR18" i="42"/>
  <c r="AJ186" i="40"/>
  <c r="AR186" i="40"/>
  <c r="AR152" i="41"/>
  <c r="AK152" i="41"/>
  <c r="AJ32" i="40"/>
  <c r="AK32" i="40"/>
  <c r="AR32" i="40"/>
  <c r="AI173" i="38"/>
  <c r="AK179" i="43"/>
  <c r="AR179" i="43"/>
  <c r="AK12" i="43"/>
  <c r="AR12" i="43"/>
  <c r="AJ258" i="42"/>
  <c r="AR258" i="42"/>
  <c r="AK258" i="42"/>
  <c r="AI93" i="38"/>
  <c r="AI28" i="38"/>
  <c r="AK28" i="43"/>
  <c r="AR28" i="43"/>
  <c r="AR136" i="43"/>
  <c r="AR266" i="42"/>
  <c r="AK266" i="42"/>
  <c r="AI46" i="40"/>
  <c r="AJ46" i="40" s="1"/>
  <c r="AL46" i="40"/>
  <c r="AK266" i="41"/>
  <c r="AR266" i="41"/>
  <c r="AR207" i="41"/>
  <c r="AR90" i="43"/>
  <c r="AK90" i="43"/>
  <c r="AR23" i="41"/>
  <c r="AI104" i="43"/>
  <c r="AJ104" i="43" s="1"/>
  <c r="AL104" i="43"/>
  <c r="AH127" i="36"/>
  <c r="AA127" i="36"/>
  <c r="AI129" i="38"/>
  <c r="AI135" i="43"/>
  <c r="AL135" i="43"/>
  <c r="AI191" i="43"/>
  <c r="AL191" i="43"/>
  <c r="AI63" i="41"/>
  <c r="AL63" i="41"/>
  <c r="AI58" i="43"/>
  <c r="AL58" i="43"/>
  <c r="AI159" i="41"/>
  <c r="AL159" i="41"/>
  <c r="AI151" i="42"/>
  <c r="AL151" i="42"/>
  <c r="AH72" i="36"/>
  <c r="AA72" i="36"/>
  <c r="W170" i="36"/>
  <c r="AI159" i="36"/>
  <c r="Y159" i="36"/>
  <c r="Z159" i="36" s="1"/>
  <c r="V284" i="36"/>
  <c r="AH21" i="36"/>
  <c r="AA21" i="36"/>
  <c r="AI204" i="41"/>
  <c r="AL204" i="41"/>
  <c r="AI184" i="38"/>
  <c r="AI180" i="43"/>
  <c r="AL180" i="43"/>
  <c r="Z271" i="41"/>
  <c r="Z273" i="41" s="1"/>
  <c r="AR100" i="40"/>
  <c r="AR186" i="38"/>
  <c r="AK114" i="38"/>
  <c r="AR114" i="38"/>
  <c r="AR118" i="41"/>
  <c r="AK118" i="41"/>
  <c r="AR214" i="41"/>
  <c r="AK260" i="41"/>
  <c r="AR260" i="41"/>
  <c r="AJ150" i="42"/>
  <c r="AI10" i="40"/>
  <c r="AL10" i="40"/>
  <c r="AR231" i="41"/>
  <c r="AK231" i="41"/>
  <c r="AR138" i="42"/>
  <c r="AK138" i="42"/>
  <c r="AI105" i="38"/>
  <c r="AJ105" i="38" s="1"/>
  <c r="AJ110" i="42"/>
  <c r="AK110" i="42"/>
  <c r="AR110" i="42"/>
  <c r="AR129" i="42"/>
  <c r="AK129" i="42"/>
  <c r="AR195" i="40"/>
  <c r="AR61" i="43"/>
  <c r="AH223" i="36"/>
  <c r="AA223" i="36"/>
  <c r="AA245" i="36"/>
  <c r="AH245" i="36"/>
  <c r="AH243" i="36"/>
  <c r="AA243" i="36"/>
  <c r="AI50" i="38"/>
  <c r="AI30" i="38"/>
  <c r="AJ30" i="38" s="1"/>
  <c r="AJ199" i="42"/>
  <c r="AR199" i="42"/>
  <c r="AI183" i="43"/>
  <c r="AJ183" i="43" s="1"/>
  <c r="AL183" i="43"/>
  <c r="AI8" i="40"/>
  <c r="AJ8" i="40" s="1"/>
  <c r="AL8" i="40"/>
  <c r="W182" i="36"/>
  <c r="Y171" i="36"/>
  <c r="Z171" i="36" s="1"/>
  <c r="AI171" i="36"/>
  <c r="V285" i="36"/>
  <c r="AI148" i="43"/>
  <c r="AL148" i="43"/>
  <c r="AC137" i="42"/>
  <c r="AA148" i="42"/>
  <c r="Z286" i="42"/>
  <c r="AA286" i="42" s="1"/>
  <c r="AI27" i="40"/>
  <c r="AJ27" i="40" s="1"/>
  <c r="AL27" i="40"/>
  <c r="AI188" i="40"/>
  <c r="AK200" i="40" s="1"/>
  <c r="AL188" i="40"/>
  <c r="AJ71" i="38"/>
  <c r="AR71" i="38"/>
  <c r="AH244" i="36"/>
  <c r="AA244" i="36"/>
  <c r="Z278" i="38"/>
  <c r="AA278" i="38" s="1"/>
  <c r="AA52" i="38"/>
  <c r="AC41" i="38"/>
  <c r="AL41" i="43" s="1"/>
  <c r="AI159" i="42"/>
  <c r="AL159" i="42"/>
  <c r="AI153" i="43"/>
  <c r="AJ153" i="43" s="1"/>
  <c r="AL153" i="43"/>
  <c r="AR254" i="41"/>
  <c r="AK254" i="41"/>
  <c r="AI40" i="38"/>
  <c r="AC197" i="43"/>
  <c r="Z291" i="43"/>
  <c r="AA291" i="43" s="1"/>
  <c r="AA208" i="43"/>
  <c r="AI86" i="40"/>
  <c r="AL86" i="40"/>
  <c r="AI83" i="41"/>
  <c r="AL83" i="41"/>
  <c r="AI178" i="38"/>
  <c r="AL93" i="41"/>
  <c r="AA100" i="42"/>
  <c r="AR148" i="38"/>
  <c r="AA148" i="43"/>
  <c r="AR164" i="38"/>
  <c r="AI41" i="40"/>
  <c r="AR33" i="41"/>
  <c r="AJ94" i="42"/>
  <c r="AR94" i="42"/>
  <c r="AK94" i="42"/>
  <c r="AJ255" i="40"/>
  <c r="AR255" i="40"/>
  <c r="AK255" i="40"/>
  <c r="AK198" i="43"/>
  <c r="AR198" i="43"/>
  <c r="AI7" i="40"/>
  <c r="AL7" i="40"/>
  <c r="AI13" i="43"/>
  <c r="AL13" i="43"/>
  <c r="AI100" i="41"/>
  <c r="AJ100" i="41" s="1"/>
  <c r="AL100" i="41"/>
  <c r="AR146" i="40"/>
  <c r="AK146" i="40"/>
  <c r="AC137" i="41"/>
  <c r="Z286" i="41"/>
  <c r="AA286" i="41" s="1"/>
  <c r="AA148" i="41"/>
  <c r="AI106" i="42"/>
  <c r="AK118" i="42" s="1"/>
  <c r="AL106" i="42"/>
  <c r="AI189" i="43"/>
  <c r="AJ189" i="43" s="1"/>
  <c r="AL189" i="43"/>
  <c r="AI62" i="41"/>
  <c r="AL62" i="41"/>
  <c r="AI66" i="42"/>
  <c r="AL66" i="42"/>
  <c r="AK120" i="42"/>
  <c r="AR120" i="42"/>
  <c r="AK267" i="41"/>
  <c r="AR267" i="41"/>
  <c r="AI158" i="40"/>
  <c r="AK170" i="40" s="1"/>
  <c r="AL158" i="40"/>
  <c r="AR221" i="40"/>
  <c r="AJ221" i="40"/>
  <c r="AI36" i="43"/>
  <c r="AL36" i="43"/>
  <c r="AI88" i="42"/>
  <c r="AK100" i="42" s="1"/>
  <c r="AL88" i="42"/>
  <c r="AR99" i="42"/>
  <c r="AR24" i="41"/>
  <c r="AR232" i="41"/>
  <c r="Z271" i="42"/>
  <c r="Z273" i="42" s="1"/>
  <c r="AL93" i="43"/>
  <c r="AK239" i="41"/>
  <c r="AR239" i="41"/>
  <c r="AL28" i="40"/>
  <c r="AR111" i="43"/>
  <c r="AK111" i="43"/>
  <c r="AR126" i="42"/>
  <c r="AK126" i="42"/>
  <c r="AA76" i="42"/>
  <c r="AR75" i="41"/>
  <c r="AR220" i="38"/>
  <c r="AK232" i="38"/>
  <c r="AR42" i="38"/>
  <c r="AI208" i="38"/>
  <c r="AI81" i="43"/>
  <c r="AK93" i="43" s="1"/>
  <c r="AL81" i="43"/>
  <c r="AI109" i="42"/>
  <c r="AJ109" i="42" s="1"/>
  <c r="AL109" i="42"/>
  <c r="AH14" i="36"/>
  <c r="AA14" i="36"/>
  <c r="Y75" i="36"/>
  <c r="Z75" i="36" s="1"/>
  <c r="W86" i="36"/>
  <c r="V277" i="36"/>
  <c r="AI75" i="36"/>
  <c r="AI194" i="43"/>
  <c r="AJ194" i="43" s="1"/>
  <c r="AL194" i="43"/>
  <c r="AI113" i="40"/>
  <c r="AC149" i="41"/>
  <c r="AA160" i="41"/>
  <c r="Z287" i="41"/>
  <c r="AA287" i="41" s="1"/>
  <c r="AR15" i="41"/>
  <c r="AK15" i="41"/>
  <c r="AJ94" i="40"/>
  <c r="AR94" i="40"/>
  <c r="AJ107" i="40"/>
  <c r="AK107" i="40"/>
  <c r="AR107" i="40"/>
  <c r="AK140" i="40"/>
  <c r="AR128" i="40"/>
  <c r="AK216" i="43"/>
  <c r="AR216" i="43"/>
  <c r="AI152" i="40"/>
  <c r="AL152" i="40"/>
  <c r="AR177" i="38"/>
  <c r="AJ128" i="42"/>
  <c r="AR128" i="42"/>
  <c r="AK128" i="42"/>
  <c r="AK59" i="41"/>
  <c r="AR59" i="41"/>
  <c r="AK247" i="41"/>
  <c r="AR247" i="41"/>
  <c r="AL105" i="43"/>
  <c r="AH13" i="36"/>
  <c r="AA13" i="36"/>
  <c r="AI127" i="41"/>
  <c r="AJ127" i="41" s="1"/>
  <c r="AL127" i="41"/>
  <c r="AI190" i="38"/>
  <c r="AI60" i="40"/>
  <c r="AJ60" i="40" s="1"/>
  <c r="AL60" i="40"/>
  <c r="AK118" i="38"/>
  <c r="AR118" i="38"/>
  <c r="AR218" i="40"/>
  <c r="AI219" i="43"/>
  <c r="AL219" i="43"/>
  <c r="AJ267" i="41"/>
  <c r="AI46" i="41"/>
  <c r="AJ46" i="41" s="1"/>
  <c r="AL46" i="41"/>
  <c r="AA100" i="36"/>
  <c r="AH100" i="36"/>
  <c r="AI81" i="38"/>
  <c r="AA56" i="36"/>
  <c r="AA44" i="36"/>
  <c r="AH44" i="36"/>
  <c r="AR147" i="41"/>
  <c r="AK147" i="41"/>
  <c r="AR194" i="40"/>
  <c r="AH150" i="36"/>
  <c r="AA150" i="36"/>
  <c r="AR37" i="41"/>
  <c r="AK37" i="41"/>
  <c r="AI206" i="41"/>
  <c r="AK218" i="41" s="1"/>
  <c r="AL206" i="41"/>
  <c r="AR199" i="43"/>
  <c r="AA179" i="36"/>
  <c r="AH179" i="36"/>
  <c r="AR142" i="38"/>
  <c r="AK142" i="38"/>
  <c r="AI49" i="43"/>
  <c r="AL49" i="43"/>
  <c r="AI13" i="41"/>
  <c r="AJ13" i="41" s="1"/>
  <c r="AL13" i="41"/>
  <c r="AA42" i="36"/>
  <c r="AH42" i="36"/>
  <c r="AI95" i="42"/>
  <c r="AR95" i="42" s="1"/>
  <c r="AL95" i="42"/>
  <c r="AR112" i="42"/>
  <c r="AK112" i="42"/>
  <c r="AA129" i="36"/>
  <c r="AH129" i="36"/>
  <c r="AI44" i="43"/>
  <c r="AK56" i="43" s="1"/>
  <c r="AL44" i="43"/>
  <c r="AL40" i="43"/>
  <c r="AI206" i="38"/>
  <c r="AK218" i="38" s="1"/>
  <c r="AI82" i="40"/>
  <c r="AL82" i="40"/>
  <c r="AA41" i="36"/>
  <c r="AH41" i="36"/>
  <c r="AR99" i="43"/>
  <c r="AJ256" i="42"/>
  <c r="AK256" i="42"/>
  <c r="AR256" i="42"/>
  <c r="AK27" i="41"/>
  <c r="AR27" i="41"/>
  <c r="AR123" i="43"/>
  <c r="AK123" i="43"/>
  <c r="AK212" i="41"/>
  <c r="AR212" i="41"/>
  <c r="AI233" i="42"/>
  <c r="AL233" i="42"/>
  <c r="AK51" i="42"/>
  <c r="AR51" i="42"/>
  <c r="AR157" i="40"/>
  <c r="AJ33" i="41"/>
  <c r="AK8" i="38"/>
  <c r="AR8" i="38"/>
  <c r="AI98" i="40"/>
  <c r="AL98" i="40"/>
  <c r="AR230" i="41"/>
  <c r="AK230" i="41"/>
  <c r="AK240" i="42"/>
  <c r="AR240" i="42"/>
  <c r="AC137" i="40"/>
  <c r="AA148" i="40"/>
  <c r="Z286" i="40"/>
  <c r="AA286" i="40" s="1"/>
  <c r="AR20" i="43"/>
  <c r="AK20" i="43"/>
  <c r="AR135" i="41"/>
  <c r="AK135" i="41"/>
  <c r="AI63" i="40"/>
  <c r="AR63" i="40" s="1"/>
  <c r="AL63" i="40"/>
  <c r="AR75" i="40"/>
  <c r="AJ213" i="42"/>
  <c r="AR213" i="42"/>
  <c r="Z292" i="43"/>
  <c r="AA292" i="43" s="1"/>
  <c r="AA256" i="36"/>
  <c r="AH256" i="36"/>
  <c r="AI47" i="43"/>
  <c r="AJ47" i="43" s="1"/>
  <c r="AL47" i="43"/>
  <c r="AR48" i="43"/>
  <c r="AI154" i="43"/>
  <c r="AK166" i="43" s="1"/>
  <c r="AL154" i="43"/>
  <c r="AR36" i="42"/>
  <c r="AK36" i="42"/>
  <c r="AA90" i="36"/>
  <c r="AH90" i="36"/>
  <c r="AJ207" i="41"/>
  <c r="AR7" i="41"/>
  <c r="AK7" i="41"/>
  <c r="AI7" i="42"/>
  <c r="AJ7" i="42" s="1"/>
  <c r="AL7" i="42"/>
  <c r="AA50" i="36"/>
  <c r="AH50" i="36"/>
  <c r="AJ99" i="41"/>
  <c r="AK99" i="41"/>
  <c r="AR99" i="41"/>
  <c r="AJ251" i="42"/>
  <c r="AR251" i="42"/>
  <c r="AK251" i="42"/>
  <c r="AI143" i="42"/>
  <c r="AL143" i="42"/>
  <c r="AI26" i="41"/>
  <c r="AJ26" i="41" s="1"/>
  <c r="AL26" i="41"/>
  <c r="AJ26" i="40"/>
  <c r="AR26" i="40"/>
  <c r="AI109" i="40"/>
  <c r="AK121" i="40" s="1"/>
  <c r="AL109" i="40"/>
  <c r="AI133" i="42"/>
  <c r="AJ133" i="42" s="1"/>
  <c r="AL133" i="42"/>
  <c r="AI131" i="43"/>
  <c r="AJ131" i="43" s="1"/>
  <c r="AL131" i="43"/>
  <c r="AA84" i="36"/>
  <c r="AH84" i="36"/>
  <c r="AI193" i="43"/>
  <c r="AJ193" i="43" s="1"/>
  <c r="AL193" i="43"/>
  <c r="AI59" i="38"/>
  <c r="AA76" i="40"/>
  <c r="Z280" i="40"/>
  <c r="AA280" i="40" s="1"/>
  <c r="AC65" i="40"/>
  <c r="AR114" i="40"/>
  <c r="AK114" i="40"/>
  <c r="AJ163" i="43"/>
  <c r="AR163" i="43"/>
  <c r="AI211" i="41"/>
  <c r="AJ211" i="41" s="1"/>
  <c r="AL211" i="41"/>
  <c r="AH225" i="36"/>
  <c r="AA225" i="36"/>
  <c r="AR265" i="43"/>
  <c r="AK265" i="43"/>
  <c r="AI155" i="38"/>
  <c r="AJ155" i="38" s="1"/>
  <c r="AK39" i="42"/>
  <c r="AR39" i="42"/>
  <c r="AJ39" i="41"/>
  <c r="AR39" i="41"/>
  <c r="AK39" i="41"/>
  <c r="AA89" i="36"/>
  <c r="AH89" i="36"/>
  <c r="AH34" i="36"/>
  <c r="AA34" i="36"/>
  <c r="AI206" i="40"/>
  <c r="AK218" i="40" s="1"/>
  <c r="AL206" i="40"/>
  <c r="AK107" i="38"/>
  <c r="AR107" i="38"/>
  <c r="AA11" i="36"/>
  <c r="AH11" i="36"/>
  <c r="AR186" i="42"/>
  <c r="AR57" i="41"/>
  <c r="AJ72" i="42"/>
  <c r="AR72" i="42"/>
  <c r="AA124" i="43"/>
  <c r="AR164" i="41"/>
  <c r="AK164" i="41"/>
  <c r="AJ216" i="42"/>
  <c r="AR216" i="42"/>
  <c r="AA228" i="36"/>
  <c r="AH228" i="36"/>
  <c r="AA262" i="36"/>
  <c r="AH262" i="36"/>
  <c r="AK47" i="38"/>
  <c r="AR47" i="38"/>
  <c r="AR50" i="40"/>
  <c r="AI149" i="42"/>
  <c r="AI12" i="38"/>
  <c r="AI92" i="42"/>
  <c r="AK104" i="42" s="1"/>
  <c r="AL92" i="42"/>
  <c r="AJ144" i="41"/>
  <c r="AR144" i="41"/>
  <c r="AJ25" i="41"/>
  <c r="AR25" i="41"/>
  <c r="AJ126" i="40"/>
  <c r="AR126" i="40"/>
  <c r="AK126" i="40"/>
  <c r="AI185" i="40"/>
  <c r="AL185" i="40"/>
  <c r="AJ189" i="41"/>
  <c r="AR189" i="41"/>
  <c r="AR171" i="40"/>
  <c r="AI172" i="38"/>
  <c r="AJ172" i="38" s="1"/>
  <c r="AH104" i="36"/>
  <c r="AA104" i="36"/>
  <c r="AR205" i="43"/>
  <c r="AI178" i="40"/>
  <c r="AJ178" i="40" s="1"/>
  <c r="AL178" i="40"/>
  <c r="AI9" i="41"/>
  <c r="AL9" i="41"/>
  <c r="AJ13" i="40"/>
  <c r="AK13" i="40"/>
  <c r="AR13" i="40"/>
  <c r="Z271" i="43"/>
  <c r="Z273" i="43" s="1"/>
  <c r="AR97" i="41"/>
  <c r="AI96" i="38"/>
  <c r="AI139" i="43"/>
  <c r="AL139" i="43"/>
  <c r="AI25" i="43"/>
  <c r="AK37" i="43" s="1"/>
  <c r="AL25" i="43"/>
  <c r="Z283" i="38"/>
  <c r="AA283" i="38" s="1"/>
  <c r="AI132" i="38"/>
  <c r="AJ132" i="38" s="1"/>
  <c r="Z285" i="43"/>
  <c r="AA285" i="43" s="1"/>
  <c r="AC125" i="43"/>
  <c r="AA136" i="43"/>
  <c r="AI190" i="42"/>
  <c r="AL190" i="42"/>
  <c r="AI188" i="43"/>
  <c r="AL188" i="43"/>
  <c r="AC53" i="41"/>
  <c r="Z279" i="41"/>
  <c r="AA279" i="41" s="1"/>
  <c r="AA64" i="41"/>
  <c r="AI54" i="43"/>
  <c r="AL54" i="43"/>
  <c r="AI115" i="40"/>
  <c r="AJ115" i="40" s="1"/>
  <c r="AL115" i="40"/>
  <c r="AA165" i="36"/>
  <c r="AH165" i="36"/>
  <c r="AR168" i="43"/>
  <c r="AH207" i="36"/>
  <c r="AI214" i="38"/>
  <c r="AI210" i="42"/>
  <c r="AL210" i="42"/>
  <c r="AI49" i="42"/>
  <c r="AL49" i="42"/>
  <c r="AH155" i="36"/>
  <c r="AA155" i="36"/>
  <c r="AH23" i="36"/>
  <c r="AA23" i="36"/>
  <c r="AI31" i="43"/>
  <c r="AL31" i="43"/>
  <c r="AA96" i="36"/>
  <c r="AH96" i="36"/>
  <c r="V279" i="36"/>
  <c r="Y99" i="36"/>
  <c r="Z99" i="36" s="1"/>
  <c r="AI99" i="36"/>
  <c r="W110" i="36"/>
  <c r="AH28" i="36"/>
  <c r="AA28" i="36"/>
  <c r="AI199" i="38"/>
  <c r="AI202" i="43"/>
  <c r="AK214" i="43" s="1"/>
  <c r="AL202" i="43"/>
  <c r="Z281" i="38"/>
  <c r="AA281" i="38" s="1"/>
  <c r="AC77" i="38"/>
  <c r="AL77" i="43" s="1"/>
  <c r="AA88" i="38"/>
  <c r="AI174" i="40"/>
  <c r="AL174" i="40"/>
  <c r="AI184" i="41"/>
  <c r="AK196" i="41" s="1"/>
  <c r="AL184" i="41"/>
  <c r="AJ128" i="40"/>
  <c r="Z290" i="38"/>
  <c r="AA290" i="38" s="1"/>
  <c r="AA246" i="36"/>
  <c r="AH246" i="36"/>
  <c r="AJ157" i="40"/>
  <c r="AA70" i="36"/>
  <c r="AH70" i="36"/>
  <c r="AJ33" i="38"/>
  <c r="AR33" i="38"/>
  <c r="AK33" i="38"/>
  <c r="AH101" i="36"/>
  <c r="AA101" i="36"/>
  <c r="AJ179" i="41"/>
  <c r="AR98" i="42"/>
  <c r="AK98" i="42"/>
  <c r="AR140" i="41"/>
  <c r="AA28" i="40"/>
  <c r="AI195" i="42"/>
  <c r="AL195" i="42"/>
  <c r="AK62" i="43"/>
  <c r="AR62" i="43"/>
  <c r="AA113" i="36"/>
  <c r="AH113" i="36"/>
  <c r="AI164" i="42"/>
  <c r="AJ164" i="42" s="1"/>
  <c r="AL164" i="42"/>
  <c r="AH31" i="36"/>
  <c r="AA31" i="36"/>
  <c r="AR97" i="38"/>
  <c r="AK97" i="38"/>
  <c r="AJ247" i="41"/>
  <c r="AR110" i="43"/>
  <c r="AK110" i="43"/>
  <c r="AI134" i="38"/>
  <c r="AJ134" i="38" s="1"/>
  <c r="AI186" i="41"/>
  <c r="AL186" i="41"/>
  <c r="AI55" i="41"/>
  <c r="AL55" i="41"/>
  <c r="AI73" i="41"/>
  <c r="AJ73" i="41" s="1"/>
  <c r="AL73" i="41"/>
  <c r="AR66" i="41"/>
  <c r="AI216" i="38"/>
  <c r="AJ243" i="42"/>
  <c r="AK243" i="42"/>
  <c r="AR243" i="42"/>
  <c r="AI44" i="38"/>
  <c r="AI150" i="43"/>
  <c r="AJ150" i="43" s="1"/>
  <c r="AL150" i="43"/>
  <c r="AA64" i="36"/>
  <c r="AH64" i="36"/>
  <c r="AR264" i="41"/>
  <c r="AK264" i="41"/>
  <c r="AI78" i="41"/>
  <c r="AL78" i="41"/>
  <c r="AJ141" i="42"/>
  <c r="AR141" i="42"/>
  <c r="AK141" i="42"/>
  <c r="AI65" i="38"/>
  <c r="AR160" i="38"/>
  <c r="AK160" i="38"/>
  <c r="AJ199" i="43"/>
  <c r="Z281" i="43"/>
  <c r="AA281" i="43" s="1"/>
  <c r="AR170" i="41"/>
  <c r="AR172" i="41"/>
  <c r="AK172" i="41"/>
  <c r="AH74" i="36"/>
  <c r="AA74" i="36"/>
  <c r="AA88" i="40"/>
  <c r="AF272" i="38"/>
  <c r="AC274" i="38" s="1"/>
  <c r="AJ97" i="41"/>
  <c r="AK141" i="38"/>
  <c r="AR141" i="38"/>
  <c r="AI104" i="40"/>
  <c r="AJ104" i="40" s="1"/>
  <c r="AL104" i="40"/>
  <c r="AI133" i="41"/>
  <c r="AJ133" i="41" s="1"/>
  <c r="AL133" i="41"/>
  <c r="AA184" i="36"/>
  <c r="AH184" i="36"/>
  <c r="AK114" i="41"/>
  <c r="AR114" i="41"/>
  <c r="AA124" i="42"/>
  <c r="AJ169" i="43"/>
  <c r="AA248" i="36"/>
  <c r="AH248" i="36"/>
  <c r="AI160" i="42"/>
  <c r="AL160" i="42"/>
  <c r="AI88" i="41"/>
  <c r="AL88" i="41"/>
  <c r="AK102" i="43"/>
  <c r="AR102" i="43"/>
  <c r="AK130" i="38"/>
  <c r="AR130" i="38"/>
  <c r="AR166" i="38"/>
  <c r="AC197" i="41"/>
  <c r="AA208" i="41"/>
  <c r="Z291" i="41"/>
  <c r="AA291" i="41" s="1"/>
  <c r="AK14" i="38"/>
  <c r="AR14" i="38"/>
  <c r="AR102" i="41"/>
  <c r="AK109" i="41"/>
  <c r="AR109" i="41"/>
  <c r="AI121" i="38"/>
  <c r="AK133" i="38" s="1"/>
  <c r="AH232" i="36"/>
  <c r="AA232" i="36"/>
  <c r="AJ266" i="41"/>
  <c r="AH108" i="36"/>
  <c r="AA108" i="36"/>
  <c r="AJ198" i="43"/>
  <c r="AI183" i="40"/>
  <c r="AL183" i="40"/>
  <c r="AK183" i="41"/>
  <c r="AR183" i="41"/>
  <c r="AI15" i="43"/>
  <c r="AK27" i="43" s="1"/>
  <c r="AL15" i="43"/>
  <c r="AJ259" i="40"/>
  <c r="AR259" i="40"/>
  <c r="AK259" i="40"/>
  <c r="AK267" i="42"/>
  <c r="AR267" i="42"/>
  <c r="AR140" i="43"/>
  <c r="AJ23" i="41"/>
  <c r="AC101" i="40"/>
  <c r="AA112" i="40"/>
  <c r="Z283" i="40"/>
  <c r="AA283" i="40" s="1"/>
  <c r="AJ110" i="40"/>
  <c r="AR110" i="40"/>
  <c r="AI126" i="41"/>
  <c r="AK138" i="41" s="1"/>
  <c r="AL126" i="41"/>
  <c r="Z285" i="42"/>
  <c r="AA285" i="42" s="1"/>
  <c r="AA136" i="42"/>
  <c r="AC125" i="42"/>
  <c r="AI189" i="40"/>
  <c r="AL189" i="40"/>
  <c r="AI72" i="38"/>
  <c r="AH112" i="36"/>
  <c r="AA112" i="36"/>
  <c r="AI120" i="40"/>
  <c r="AK132" i="40" s="1"/>
  <c r="AL120" i="40"/>
  <c r="AI169" i="40"/>
  <c r="AL169" i="40"/>
  <c r="AH239" i="36"/>
  <c r="AA239" i="36"/>
  <c r="AI52" i="41"/>
  <c r="AJ52" i="41" s="1"/>
  <c r="AL52" i="41"/>
  <c r="AI156" i="43"/>
  <c r="AK168" i="43" s="1"/>
  <c r="AL156" i="43"/>
  <c r="AI79" i="41"/>
  <c r="AK91" i="41" s="1"/>
  <c r="AL79" i="41"/>
  <c r="AI176" i="41"/>
  <c r="AJ176" i="41" s="1"/>
  <c r="AL176" i="41"/>
  <c r="AJ16" i="43"/>
  <c r="AR16" i="43"/>
  <c r="AK16" i="43"/>
  <c r="AK244" i="41"/>
  <c r="AJ148" i="40"/>
  <c r="AR148" i="40"/>
  <c r="AI128" i="38"/>
  <c r="AI190" i="40"/>
  <c r="AL190" i="40"/>
  <c r="AI53" i="40"/>
  <c r="AJ35" i="40"/>
  <c r="AL184" i="42"/>
  <c r="AK18" i="43"/>
  <c r="AK6" i="43"/>
  <c r="AR6" i="43"/>
  <c r="AJ239" i="41"/>
  <c r="AI145" i="42"/>
  <c r="AK157" i="42" s="1"/>
  <c r="AL145" i="42"/>
  <c r="AJ19" i="42"/>
  <c r="AR19" i="42"/>
  <c r="AA76" i="36"/>
  <c r="AH76" i="36"/>
  <c r="AJ61" i="43"/>
  <c r="AR68" i="38"/>
  <c r="AK242" i="41"/>
  <c r="AR242" i="41"/>
  <c r="AA102" i="36"/>
  <c r="AH102" i="36"/>
  <c r="AK247" i="40"/>
  <c r="AR247" i="40"/>
  <c r="AJ141" i="38"/>
  <c r="AJ147" i="42"/>
  <c r="AR147" i="42"/>
  <c r="Z276" i="42"/>
  <c r="AA276" i="42" s="1"/>
  <c r="AA28" i="42"/>
  <c r="AC17" i="42"/>
  <c r="AA59" i="36"/>
  <c r="AH59" i="36"/>
  <c r="AA112" i="43"/>
  <c r="AI192" i="40"/>
  <c r="AL192" i="40"/>
  <c r="AI57" i="42"/>
  <c r="AL57" i="42"/>
  <c r="AR169" i="42"/>
  <c r="AK169" i="42"/>
  <c r="AL216" i="41"/>
  <c r="AH235" i="36"/>
  <c r="AA235" i="36"/>
  <c r="AI150" i="38"/>
  <c r="AI15" i="36"/>
  <c r="W26" i="36"/>
  <c r="Y15" i="36"/>
  <c r="Z15" i="36" s="1"/>
  <c r="V272" i="36"/>
  <c r="AI205" i="40"/>
  <c r="AL205" i="40"/>
  <c r="AA188" i="36"/>
  <c r="AH188" i="36"/>
  <c r="AH122" i="36"/>
  <c r="AA122" i="36"/>
  <c r="AH161" i="36"/>
  <c r="AA161" i="36"/>
  <c r="AA182" i="36"/>
  <c r="AH182" i="36"/>
  <c r="AA114" i="36"/>
  <c r="AH114" i="36"/>
  <c r="AA128" i="36"/>
  <c r="AH128" i="36"/>
  <c r="AA134" i="36"/>
  <c r="AH134" i="36"/>
  <c r="AA139" i="36"/>
  <c r="AH139" i="36"/>
  <c r="AH209" i="36"/>
  <c r="AA209" i="36"/>
  <c r="AA146" i="36"/>
  <c r="AH146" i="36"/>
  <c r="AH200" i="36"/>
  <c r="AA200" i="36"/>
  <c r="AK13" i="38"/>
  <c r="AR13" i="38"/>
  <c r="AJ263" i="43"/>
  <c r="AR130" i="41"/>
  <c r="AK130" i="41"/>
  <c r="AR55" i="38"/>
  <c r="AK55" i="38"/>
  <c r="AR56" i="42"/>
  <c r="AK56" i="42"/>
  <c r="AR55" i="43"/>
  <c r="AK69" i="40"/>
  <c r="AR69" i="40"/>
  <c r="AJ69" i="41"/>
  <c r="AR69" i="41"/>
  <c r="AK69" i="41"/>
  <c r="Z288" i="43"/>
  <c r="AA288" i="43" s="1"/>
  <c r="AJ212" i="41"/>
  <c r="AJ216" i="43"/>
  <c r="AR42" i="43"/>
  <c r="AK42" i="43"/>
  <c r="AJ34" i="40"/>
  <c r="AR34" i="40"/>
  <c r="AK34" i="40"/>
  <c r="AR37" i="40"/>
  <c r="AK37" i="40"/>
  <c r="AH109" i="36"/>
  <c r="AA109" i="36"/>
  <c r="AR208" i="41"/>
  <c r="AK208" i="41"/>
  <c r="Z289" i="38"/>
  <c r="AA289" i="38" s="1"/>
  <c r="AJ14" i="38"/>
  <c r="AK90" i="38"/>
  <c r="AR90" i="38"/>
  <c r="AK145" i="43"/>
  <c r="AR145" i="43"/>
  <c r="AH52" i="36"/>
  <c r="AA52" i="36"/>
  <c r="AJ106" i="43"/>
  <c r="AR106" i="43"/>
  <c r="AJ135" i="41"/>
  <c r="AI116" i="40"/>
  <c r="AR116" i="40" s="1"/>
  <c r="AL116" i="40"/>
  <c r="AL165" i="40"/>
  <c r="AI210" i="40"/>
  <c r="AL210" i="40"/>
  <c r="AI209" i="42"/>
  <c r="AL209" i="42"/>
  <c r="AI48" i="40"/>
  <c r="AJ48" i="40" s="1"/>
  <c r="AL48" i="40"/>
  <c r="AJ48" i="43"/>
  <c r="AI156" i="38"/>
  <c r="AJ156" i="38" s="1"/>
  <c r="AK35" i="41"/>
  <c r="AR35" i="41"/>
  <c r="Z282" i="43"/>
  <c r="AA282" i="43" s="1"/>
  <c r="AI90" i="41"/>
  <c r="AR90" i="41" s="1"/>
  <c r="AL90" i="41"/>
  <c r="AR242" i="40"/>
  <c r="AK242" i="40"/>
  <c r="AK224" i="42"/>
  <c r="AR224" i="42"/>
  <c r="AA28" i="41"/>
  <c r="AR22" i="41"/>
  <c r="AK22" i="41"/>
  <c r="AJ129" i="38"/>
  <c r="AI190" i="41"/>
  <c r="AL190" i="41"/>
  <c r="AJ58" i="43"/>
  <c r="AJ75" i="38"/>
  <c r="AR75" i="38"/>
  <c r="AJ118" i="38"/>
  <c r="AR116" i="38"/>
  <c r="AI161" i="40"/>
  <c r="AL161" i="40"/>
  <c r="AI168" i="41"/>
  <c r="AL168" i="41"/>
  <c r="AJ215" i="40"/>
  <c r="AR215" i="40"/>
  <c r="AI217" i="43"/>
  <c r="AL217" i="43"/>
  <c r="AI51" i="38"/>
  <c r="AI51" i="43"/>
  <c r="AJ51" i="43" s="1"/>
  <c r="AL51" i="43"/>
  <c r="AJ159" i="41"/>
  <c r="AI204" i="38"/>
  <c r="AI82" i="38"/>
  <c r="AI88" i="40"/>
  <c r="AK100" i="40" s="1"/>
  <c r="AL88" i="40"/>
  <c r="AJ184" i="38"/>
  <c r="AI5" i="41"/>
  <c r="AL5" i="41"/>
  <c r="AR103" i="38"/>
  <c r="AK103" i="38"/>
  <c r="AL105" i="41"/>
  <c r="AR136" i="41"/>
  <c r="AK136" i="41"/>
  <c r="AI192" i="41"/>
  <c r="AL192" i="41"/>
  <c r="AJ194" i="40"/>
  <c r="AJ57" i="41"/>
  <c r="Z280" i="43"/>
  <c r="AA280" i="43" s="1"/>
  <c r="AJ164" i="41"/>
  <c r="AK49" i="40"/>
  <c r="AR49" i="40"/>
  <c r="AR155" i="43"/>
  <c r="AR38" i="41"/>
  <c r="AR32" i="43"/>
  <c r="AK32" i="43"/>
  <c r="AJ206" i="42"/>
  <c r="AK206" i="42"/>
  <c r="AR206" i="42"/>
  <c r="AI84" i="38"/>
  <c r="AJ182" i="42"/>
  <c r="AR182" i="42"/>
  <c r="AK182" i="42"/>
  <c r="AR10" i="41"/>
  <c r="AK10" i="41"/>
  <c r="Z282" i="41"/>
  <c r="AA282" i="41" s="1"/>
  <c r="AI19" i="38"/>
  <c r="AK23" i="43"/>
  <c r="AR23" i="43"/>
  <c r="AK134" i="40"/>
  <c r="AR134" i="40"/>
  <c r="AI61" i="38"/>
  <c r="AJ61" i="38" s="1"/>
  <c r="AJ122" i="42"/>
  <c r="AK122" i="42"/>
  <c r="AR122" i="42"/>
  <c r="AK152" i="42"/>
  <c r="AR152" i="42"/>
  <c r="AA22" i="36"/>
  <c r="AH22" i="36"/>
  <c r="AA29" i="36"/>
  <c r="AH29" i="36"/>
  <c r="AI79" i="38"/>
  <c r="AK91" i="38" s="1"/>
  <c r="AI5" i="38"/>
  <c r="AI14" i="43"/>
  <c r="AL14" i="43"/>
  <c r="AI93" i="40"/>
  <c r="AK105" i="40" s="1"/>
  <c r="AL93" i="40"/>
  <c r="AC89" i="40"/>
  <c r="Z282" i="40"/>
  <c r="AA282" i="40" s="1"/>
  <c r="AA100" i="40"/>
  <c r="AK254" i="42"/>
  <c r="AR254" i="42"/>
  <c r="AK142" i="43"/>
  <c r="AR142" i="43"/>
  <c r="AI17" i="38"/>
  <c r="AI24" i="38"/>
  <c r="AJ24" i="42"/>
  <c r="AC101" i="42"/>
  <c r="AA112" i="42"/>
  <c r="Z283" i="42"/>
  <c r="AA283" i="42" s="1"/>
  <c r="AI132" i="42"/>
  <c r="AL132" i="42"/>
  <c r="AI129" i="43"/>
  <c r="AL129" i="43"/>
  <c r="AI191" i="41"/>
  <c r="AJ191" i="41" s="1"/>
  <c r="AL191" i="41"/>
  <c r="AI196" i="42"/>
  <c r="AL196" i="42"/>
  <c r="AI62" i="40"/>
  <c r="AK74" i="40" s="1"/>
  <c r="AL62" i="40"/>
  <c r="AR119" i="41"/>
  <c r="AK124" i="38"/>
  <c r="AR124" i="38"/>
  <c r="AI168" i="38"/>
  <c r="AR171" i="41"/>
  <c r="AK171" i="41"/>
  <c r="AI210" i="38"/>
  <c r="AA266" i="36"/>
  <c r="AH266" i="36"/>
  <c r="AH264" i="36"/>
  <c r="AA264" i="36"/>
  <c r="AI157" i="41"/>
  <c r="AL157" i="41"/>
  <c r="AK225" i="42"/>
  <c r="AR231" i="42"/>
  <c r="AI202" i="40"/>
  <c r="AJ202" i="40" s="1"/>
  <c r="AL202" i="40"/>
  <c r="AI198" i="41"/>
  <c r="AJ198" i="41" s="1"/>
  <c r="AL198" i="41"/>
  <c r="AI87" i="42"/>
  <c r="AK99" i="42" s="1"/>
  <c r="AL87" i="42"/>
  <c r="AI84" i="43"/>
  <c r="AL84" i="43"/>
  <c r="AI181" i="40"/>
  <c r="AJ181" i="40" s="1"/>
  <c r="AL181" i="40"/>
  <c r="AI182" i="43"/>
  <c r="AJ182" i="43" s="1"/>
  <c r="AL182" i="43"/>
  <c r="AR93" i="41"/>
  <c r="AI89" i="42"/>
  <c r="AR124" i="41"/>
  <c r="AK124" i="41"/>
  <c r="AL156" i="40"/>
  <c r="AH17" i="36"/>
  <c r="AA17" i="36"/>
  <c r="AJ176" i="42"/>
  <c r="AR176" i="42"/>
  <c r="AR260" i="40"/>
  <c r="AK260" i="40"/>
  <c r="AJ109" i="41"/>
  <c r="AR196" i="41"/>
  <c r="AL172" i="40"/>
  <c r="AR167" i="43"/>
  <c r="AK167" i="43"/>
  <c r="AI208" i="42"/>
  <c r="AK220" i="42" s="1"/>
  <c r="AL208" i="42"/>
  <c r="AC173" i="43"/>
  <c r="AA184" i="43"/>
  <c r="Z289" i="43"/>
  <c r="AA289" i="43" s="1"/>
  <c r="AI135" i="40"/>
  <c r="AJ135" i="40" s="1"/>
  <c r="AL135" i="40"/>
  <c r="AR120" i="38"/>
  <c r="AK120" i="38"/>
  <c r="AA238" i="36"/>
  <c r="AH238" i="36"/>
  <c r="AA153" i="36"/>
  <c r="AH153" i="36"/>
  <c r="AI233" i="43"/>
  <c r="AL233" i="43"/>
  <c r="AI31" i="40"/>
  <c r="AL31" i="40"/>
  <c r="AK32" i="38"/>
  <c r="AR32" i="38"/>
  <c r="AI179" i="40"/>
  <c r="AL179" i="40"/>
  <c r="AK6" i="38"/>
  <c r="AR6" i="38"/>
  <c r="AR228" i="43"/>
  <c r="AK228" i="43"/>
  <c r="AK34" i="38"/>
  <c r="AR22" i="38"/>
  <c r="AR127" i="42"/>
  <c r="AK118" i="43"/>
  <c r="AR118" i="43"/>
  <c r="AA172" i="38"/>
  <c r="AK198" i="38"/>
  <c r="AR198" i="38"/>
  <c r="AA16" i="42"/>
  <c r="AK263" i="41"/>
  <c r="AR263" i="41"/>
  <c r="AR93" i="43"/>
  <c r="AK28" i="40"/>
  <c r="AR28" i="40"/>
  <c r="AK263" i="42"/>
  <c r="AR106" i="40"/>
  <c r="AK106" i="40"/>
  <c r="AR194" i="42"/>
  <c r="AK194" i="42"/>
  <c r="AI65" i="42"/>
  <c r="AL65" i="42"/>
  <c r="AL72" i="43"/>
  <c r="AJ171" i="40"/>
  <c r="AI211" i="43"/>
  <c r="AL211" i="43"/>
  <c r="AI9" i="38"/>
  <c r="AL96" i="41"/>
  <c r="AI94" i="41"/>
  <c r="AL94" i="41"/>
  <c r="AK243" i="41"/>
  <c r="AR243" i="41"/>
  <c r="AJ258" i="40"/>
  <c r="AK258" i="40"/>
  <c r="AR258" i="40"/>
  <c r="AJ28" i="41"/>
  <c r="AK28" i="41"/>
  <c r="AR28" i="41"/>
  <c r="AI108" i="43"/>
  <c r="AL108" i="43"/>
  <c r="AI129" i="40"/>
  <c r="AL129" i="40"/>
  <c r="AI193" i="42"/>
  <c r="AK205" i="42" s="1"/>
  <c r="AL193" i="42"/>
  <c r="AJ69" i="43"/>
  <c r="AR172" i="42"/>
  <c r="AI211" i="40"/>
  <c r="AK223" i="40" s="1"/>
  <c r="AL211" i="40"/>
  <c r="AJ220" i="42"/>
  <c r="AR220" i="42"/>
  <c r="AH250" i="36"/>
  <c r="AA250" i="36"/>
  <c r="AI50" i="42"/>
  <c r="AL50" i="42"/>
  <c r="AA149" i="36"/>
  <c r="AH149" i="36"/>
  <c r="AI200" i="38"/>
  <c r="AK212" i="38" s="1"/>
  <c r="AI175" i="41"/>
  <c r="AL175" i="41"/>
  <c r="AH141" i="36"/>
  <c r="AA141" i="36"/>
  <c r="AR27" i="42"/>
  <c r="AJ195" i="43"/>
  <c r="AR195" i="43"/>
  <c r="AK116" i="41"/>
  <c r="AR116" i="41"/>
  <c r="AJ44" i="40"/>
  <c r="AR44" i="40"/>
  <c r="AK44" i="40"/>
  <c r="AK224" i="41"/>
  <c r="AA38" i="36"/>
  <c r="AH38" i="36"/>
  <c r="AL82" i="42"/>
  <c r="AJ179" i="43"/>
  <c r="AR24" i="40"/>
  <c r="AK24" i="40"/>
  <c r="AR103" i="43"/>
  <c r="Z292" i="40"/>
  <c r="AA292" i="40" s="1"/>
  <c r="AI51" i="40"/>
  <c r="AL51" i="40"/>
  <c r="AK237" i="43"/>
  <c r="AR225" i="43"/>
  <c r="AK225" i="43"/>
  <c r="AH97" i="36"/>
  <c r="AA97" i="36"/>
  <c r="AR79" i="40"/>
  <c r="AI180" i="40"/>
  <c r="AL180" i="40"/>
  <c r="AG5" i="40"/>
  <c r="AH5" i="40" s="1"/>
  <c r="AF272" i="40"/>
  <c r="AC274" i="40" s="1"/>
  <c r="AK20" i="41"/>
  <c r="AR20" i="41"/>
  <c r="AR105" i="42"/>
  <c r="AI135" i="38"/>
  <c r="AI188" i="41"/>
  <c r="AK200" i="41" s="1"/>
  <c r="AL188" i="41"/>
  <c r="AI60" i="43"/>
  <c r="AJ60" i="43" s="1"/>
  <c r="AL60" i="43"/>
  <c r="AJ76" i="40"/>
  <c r="AR76" i="40"/>
  <c r="AJ116" i="38"/>
  <c r="AJ167" i="42"/>
  <c r="AI164" i="43"/>
  <c r="AR164" i="43" s="1"/>
  <c r="AL164" i="43"/>
  <c r="AI219" i="42"/>
  <c r="AL219" i="42"/>
  <c r="AI158" i="41"/>
  <c r="AL158" i="41"/>
  <c r="AI207" i="42"/>
  <c r="AJ207" i="42" s="1"/>
  <c r="AL207" i="42"/>
  <c r="AJ99" i="42"/>
  <c r="AR54" i="38"/>
  <c r="AK54" i="38"/>
  <c r="AJ74" i="40"/>
  <c r="AR74" i="40"/>
  <c r="AR123" i="40"/>
  <c r="AK123" i="40"/>
  <c r="AR218" i="38"/>
  <c r="AK230" i="38"/>
  <c r="AJ10" i="41"/>
  <c r="AJ231" i="41"/>
  <c r="AJ28" i="40"/>
  <c r="AR131" i="40"/>
  <c r="AR127" i="40"/>
  <c r="AR186" i="43"/>
  <c r="AJ64" i="38"/>
  <c r="AR64" i="38"/>
  <c r="AI117" i="43"/>
  <c r="AL117" i="43"/>
  <c r="AL214" i="43"/>
  <c r="AA88" i="41"/>
  <c r="AA178" i="36"/>
  <c r="AH178" i="36"/>
  <c r="AI12" i="42"/>
  <c r="AL12" i="42"/>
  <c r="AI11" i="41"/>
  <c r="AJ11" i="41" s="1"/>
  <c r="AL11" i="41"/>
  <c r="AI19" i="40"/>
  <c r="AL19" i="40"/>
  <c r="AL24" i="42"/>
  <c r="AH57" i="36"/>
  <c r="AA57" i="36"/>
  <c r="AK252" i="42"/>
  <c r="AK133" i="43"/>
  <c r="AK121" i="43"/>
  <c r="AR121" i="43"/>
  <c r="AR219" i="38"/>
  <c r="AK219" i="38"/>
  <c r="AK231" i="38"/>
  <c r="AJ234" i="40"/>
  <c r="AK234" i="40"/>
  <c r="AR234" i="40"/>
  <c r="AI159" i="43"/>
  <c r="AL159" i="43"/>
  <c r="AK40" i="43"/>
  <c r="AR40" i="43"/>
  <c r="AJ32" i="41"/>
  <c r="AR32" i="41"/>
  <c r="AK32" i="41"/>
  <c r="AH88" i="36"/>
  <c r="AA88" i="36"/>
  <c r="AA37" i="36"/>
  <c r="AH37" i="36"/>
  <c r="AI80" i="42"/>
  <c r="AL80" i="42"/>
  <c r="AK9" i="42"/>
  <c r="AR9" i="42"/>
  <c r="AR98" i="43"/>
  <c r="AJ148" i="38"/>
  <c r="AJ18" i="42"/>
  <c r="AJ111" i="40"/>
  <c r="AR111" i="40"/>
  <c r="AK111" i="40"/>
  <c r="AR112" i="43"/>
  <c r="AK112" i="43"/>
  <c r="AI195" i="41"/>
  <c r="AL195" i="41"/>
  <c r="AJ68" i="43"/>
  <c r="AR172" i="43"/>
  <c r="AR219" i="41"/>
  <c r="AK219" i="41"/>
  <c r="AR268" i="42"/>
  <c r="AK268" i="42"/>
  <c r="AL50" i="43"/>
  <c r="AJ44" i="42"/>
  <c r="AK44" i="42"/>
  <c r="AR44" i="42"/>
  <c r="AL40" i="42"/>
  <c r="AL84" i="40"/>
  <c r="AJ260" i="40"/>
  <c r="AJ140" i="41"/>
  <c r="AI101" i="41"/>
  <c r="AL101" i="41"/>
  <c r="AJ68" i="40"/>
  <c r="AR68" i="40"/>
  <c r="AK167" i="40"/>
  <c r="AR167" i="40"/>
  <c r="AK230" i="43"/>
  <c r="AR218" i="43"/>
  <c r="AI209" i="43"/>
  <c r="AL209" i="43"/>
  <c r="AR226" i="43"/>
  <c r="AK226" i="43"/>
  <c r="AR40" i="41"/>
  <c r="AK40" i="41"/>
  <c r="AI34" i="41"/>
  <c r="AL34" i="41"/>
  <c r="AR175" i="38"/>
  <c r="AI175" i="43"/>
  <c r="AL175" i="43"/>
  <c r="AK9" i="43"/>
  <c r="AR9" i="43"/>
  <c r="AJ97" i="38"/>
  <c r="AI146" i="42"/>
  <c r="AL146" i="42"/>
  <c r="AI24" i="43"/>
  <c r="AL24" i="43"/>
  <c r="AK267" i="40"/>
  <c r="AI131" i="38"/>
  <c r="AI187" i="40"/>
  <c r="AL187" i="40"/>
  <c r="AJ59" i="38"/>
  <c r="AI66" i="43"/>
  <c r="AK78" i="43" s="1"/>
  <c r="AL66" i="43"/>
  <c r="AJ120" i="42"/>
  <c r="AI163" i="38"/>
  <c r="AH257" i="36"/>
  <c r="AA257" i="36"/>
  <c r="AJ264" i="41"/>
  <c r="AC29" i="43"/>
  <c r="Z277" i="43"/>
  <c r="AA277" i="43" s="1"/>
  <c r="AA40" i="43"/>
  <c r="AH93" i="36"/>
  <c r="AA93" i="36"/>
  <c r="Y195" i="36"/>
  <c r="Z195" i="36" s="1"/>
  <c r="W206" i="36"/>
  <c r="AI195" i="36"/>
  <c r="V287" i="36"/>
  <c r="AR245" i="41"/>
  <c r="AK245" i="41"/>
  <c r="AJ245" i="41"/>
  <c r="AI83" i="38"/>
  <c r="AK95" i="38" s="1"/>
  <c r="AI87" i="43"/>
  <c r="AK99" i="43" s="1"/>
  <c r="AL87" i="43"/>
  <c r="AR261" i="41"/>
  <c r="AK261" i="41"/>
  <c r="AR96" i="40"/>
  <c r="AK96" i="40"/>
  <c r="AJ100" i="40"/>
  <c r="AJ22" i="38"/>
  <c r="AL19" i="41"/>
  <c r="AR21" i="43"/>
  <c r="AK21" i="43"/>
  <c r="AK117" i="40"/>
  <c r="AR105" i="40"/>
  <c r="AL134" i="41"/>
  <c r="Z284" i="43"/>
  <c r="AA284" i="43" s="1"/>
  <c r="AH221" i="36"/>
  <c r="AA221" i="36"/>
  <c r="AJ160" i="38"/>
  <c r="AA65" i="36"/>
  <c r="AH65" i="36"/>
  <c r="AR40" i="40"/>
  <c r="AK40" i="40"/>
  <c r="AJ34" i="43"/>
  <c r="AR34" i="43"/>
  <c r="AL200" i="40"/>
  <c r="AA208" i="42"/>
  <c r="AR200" i="41"/>
  <c r="AR86" i="41"/>
  <c r="AI178" i="42"/>
  <c r="AL178" i="42"/>
  <c r="AJ174" i="41"/>
  <c r="AR174" i="41"/>
  <c r="AK174" i="41"/>
  <c r="AI27" i="38"/>
  <c r="AK108" i="40"/>
  <c r="AR108" i="40"/>
  <c r="AJ134" i="40"/>
  <c r="AA196" i="40"/>
  <c r="AI190" i="43"/>
  <c r="AL190" i="43"/>
  <c r="AJ170" i="41"/>
  <c r="AI215" i="38"/>
  <c r="AJ215" i="38" s="1"/>
  <c r="AR213" i="41"/>
  <c r="AR236" i="43"/>
  <c r="AK236" i="43"/>
  <c r="AI49" i="41"/>
  <c r="AL49" i="41"/>
  <c r="AK151" i="38"/>
  <c r="AR151" i="38"/>
  <c r="AI201" i="42"/>
  <c r="AJ201" i="42" s="1"/>
  <c r="AL201" i="42"/>
  <c r="AI83" i="42"/>
  <c r="AJ83" i="42" s="1"/>
  <c r="AL83" i="42"/>
  <c r="Z275" i="43"/>
  <c r="AA275" i="43" s="1"/>
  <c r="AA47" i="36"/>
  <c r="AH47" i="36"/>
  <c r="AR139" i="38"/>
  <c r="AJ112" i="40"/>
  <c r="AR112" i="40"/>
  <c r="AK112" i="40"/>
  <c r="AA112" i="38"/>
  <c r="AJ110" i="41"/>
  <c r="AR110" i="41"/>
  <c r="AH124" i="36"/>
  <c r="AA124" i="36"/>
  <c r="AI188" i="42"/>
  <c r="AL188" i="42"/>
  <c r="AI56" i="40"/>
  <c r="AK68" i="40" s="1"/>
  <c r="AL56" i="40"/>
  <c r="AI68" i="42"/>
  <c r="AL68" i="42"/>
  <c r="AI257" i="40"/>
  <c r="AL257" i="40"/>
  <c r="AI154" i="40"/>
  <c r="AL154" i="40"/>
  <c r="AA66" i="36"/>
  <c r="AH66" i="36"/>
  <c r="AA20" i="36"/>
  <c r="AH20" i="36"/>
  <c r="AR36" i="38"/>
  <c r="Y87" i="36"/>
  <c r="Z87" i="36" s="1"/>
  <c r="AI87" i="36"/>
  <c r="V278" i="36"/>
  <c r="W98" i="36"/>
  <c r="AK251" i="41"/>
  <c r="AI85" i="40"/>
  <c r="AL85" i="40"/>
  <c r="AJ18" i="40"/>
  <c r="AK18" i="40"/>
  <c r="AR18" i="40"/>
  <c r="AL121" i="40"/>
  <c r="AJ268" i="42"/>
  <c r="AL178" i="43"/>
  <c r="AI17" i="40"/>
  <c r="AL17" i="40"/>
  <c r="AR112" i="38"/>
  <c r="AK112" i="38"/>
  <c r="AI59" i="42"/>
  <c r="AK71" i="42" s="1"/>
  <c r="AL59" i="42"/>
  <c r="AI36" i="41"/>
  <c r="AL36" i="41"/>
  <c r="AA174" i="36"/>
  <c r="AH174" i="36"/>
  <c r="AJ183" i="41"/>
  <c r="V281" i="36"/>
  <c r="AI123" i="36"/>
  <c r="W134" i="36"/>
  <c r="Y123" i="36"/>
  <c r="Z123" i="36" s="1"/>
  <c r="AI145" i="40"/>
  <c r="AR145" i="40" s="1"/>
  <c r="AL145" i="40"/>
  <c r="AJ20" i="41"/>
  <c r="AJ114" i="40"/>
  <c r="AJ216" i="38"/>
  <c r="AI151" i="41"/>
  <c r="AL151" i="41"/>
  <c r="AH18" i="36"/>
  <c r="AA18" i="36"/>
  <c r="AI35" i="42"/>
  <c r="AL35" i="42"/>
  <c r="AI87" i="40"/>
  <c r="AL87" i="40"/>
  <c r="AI180" i="38"/>
  <c r="AL12" i="41"/>
  <c r="AR192" i="38"/>
  <c r="AJ54" i="38"/>
  <c r="AJ47" i="38"/>
  <c r="AI77" i="43"/>
  <c r="AJ131" i="40"/>
  <c r="AJ124" i="40"/>
  <c r="AR124" i="40"/>
  <c r="AK124" i="40"/>
  <c r="AI217" i="40"/>
  <c r="AJ217" i="40" s="1"/>
  <c r="AL217" i="40"/>
  <c r="AR214" i="42"/>
  <c r="Z278" i="42"/>
  <c r="AA278" i="42" s="1"/>
  <c r="AR31" i="38"/>
  <c r="AI207" i="40"/>
  <c r="AK219" i="40" s="1"/>
  <c r="AL207" i="40"/>
  <c r="AI77" i="40"/>
  <c r="AJ5" i="38"/>
  <c r="AR233" i="38"/>
  <c r="AK233" i="38"/>
  <c r="AR232" i="40"/>
  <c r="AK232" i="40"/>
  <c r="AI187" i="43"/>
  <c r="AL187" i="43"/>
  <c r="AI67" i="38"/>
  <c r="AA117" i="36"/>
  <c r="AH117" i="36"/>
  <c r="AI113" i="42"/>
  <c r="AI162" i="42"/>
  <c r="AJ162" i="42" s="1"/>
  <c r="AL162" i="42"/>
  <c r="AI211" i="38"/>
  <c r="AJ211" i="38" s="1"/>
  <c r="AA249" i="36"/>
  <c r="AH249" i="36"/>
  <c r="AR212" i="43"/>
  <c r="AI43" i="43"/>
  <c r="AK55" i="43" s="1"/>
  <c r="AL43" i="43"/>
  <c r="AJ40" i="43"/>
  <c r="AH201" i="36"/>
  <c r="AA201" i="36"/>
  <c r="AI207" i="43"/>
  <c r="AL207" i="43"/>
  <c r="AI184" i="40"/>
  <c r="AL184" i="40"/>
  <c r="AL12" i="40"/>
  <c r="AK256" i="40"/>
  <c r="AR256" i="40"/>
  <c r="AR22" i="40"/>
  <c r="AJ63" i="42"/>
  <c r="AR63" i="42"/>
  <c r="AK63" i="42"/>
  <c r="AR66" i="40"/>
  <c r="AJ164" i="38"/>
  <c r="AA52" i="43"/>
  <c r="AA173" i="36"/>
  <c r="AH173" i="36"/>
  <c r="AR177" i="43"/>
  <c r="AR227" i="43"/>
  <c r="AK227" i="43"/>
  <c r="AR144" i="43"/>
  <c r="AJ28" i="43"/>
  <c r="AH8" i="36"/>
  <c r="AA8" i="36"/>
  <c r="AR130" i="40"/>
  <c r="AI192" i="43"/>
  <c r="AK204" i="43" s="1"/>
  <c r="AL192" i="43"/>
  <c r="AK68" i="43"/>
  <c r="AR56" i="43"/>
  <c r="AC65" i="41"/>
  <c r="Z280" i="41"/>
  <c r="AA280" i="41" s="1"/>
  <c r="AA76" i="41"/>
  <c r="AL121" i="42"/>
  <c r="AI163" i="40"/>
  <c r="AL163" i="40"/>
  <c r="AL215" i="43"/>
  <c r="AH227" i="36"/>
  <c r="AA227" i="36"/>
  <c r="AI153" i="42"/>
  <c r="AK165" i="42" s="1"/>
  <c r="AL153" i="42"/>
  <c r="AL30" i="43"/>
  <c r="AL81" i="42"/>
  <c r="AL9" i="40"/>
  <c r="AA136" i="36"/>
  <c r="AH136" i="36"/>
  <c r="AH58" i="36"/>
  <c r="AA58" i="36"/>
  <c r="AJ112" i="41"/>
  <c r="AI187" i="38"/>
  <c r="AJ187" i="38" s="1"/>
  <c r="AL124" i="43"/>
  <c r="AI124" i="43"/>
  <c r="AK136" i="43" s="1"/>
  <c r="AR168" i="42"/>
  <c r="AJ219" i="40"/>
  <c r="AR219" i="40"/>
  <c r="AA220" i="36"/>
  <c r="AH220" i="36"/>
  <c r="AI150" i="40"/>
  <c r="AR150" i="40" s="1"/>
  <c r="AL150" i="40"/>
  <c r="AI221" i="42"/>
  <c r="AL221" i="42"/>
  <c r="AI38" i="40"/>
  <c r="AK50" i="40" s="1"/>
  <c r="AL38" i="40"/>
  <c r="AH98" i="36"/>
  <c r="AA98" i="36"/>
  <c r="AR268" i="43"/>
  <c r="AK268" i="43"/>
  <c r="AI203" i="42"/>
  <c r="AL203" i="42"/>
  <c r="AH172" i="36"/>
  <c r="AA172" i="36"/>
  <c r="AF272" i="41"/>
  <c r="AC274" i="41" s="1"/>
  <c r="AJ97" i="40"/>
  <c r="AR97" i="40"/>
  <c r="AK97" i="40"/>
  <c r="AJ186" i="38"/>
  <c r="AL216" i="40"/>
  <c r="AR218" i="41"/>
  <c r="AR47" i="41"/>
  <c r="AK47" i="41"/>
  <c r="AA68" i="36"/>
  <c r="AH68" i="36"/>
  <c r="AI22" i="43"/>
  <c r="AK34" i="43" s="1"/>
  <c r="AL22" i="43"/>
  <c r="AJ126" i="42"/>
  <c r="AI73" i="43"/>
  <c r="AK85" i="43" s="1"/>
  <c r="AL73" i="43"/>
  <c r="AR166" i="43"/>
  <c r="AJ42" i="38"/>
  <c r="AI203" i="43"/>
  <c r="AJ203" i="43" s="1"/>
  <c r="AL203" i="43"/>
  <c r="AR92" i="43"/>
  <c r="AI141" i="41"/>
  <c r="AL141" i="41"/>
  <c r="AR104" i="41"/>
  <c r="AI101" i="43"/>
  <c r="AL101" i="43"/>
  <c r="AI134" i="42"/>
  <c r="AL134" i="42"/>
  <c r="AJ57" i="42"/>
  <c r="AI167" i="38"/>
  <c r="AK162" i="38"/>
  <c r="AR162" i="38"/>
  <c r="AI46" i="42"/>
  <c r="AL46" i="42"/>
  <c r="AH35" i="36"/>
  <c r="AA35" i="36"/>
  <c r="AA175" i="36"/>
  <c r="AH175" i="36"/>
  <c r="AI180" i="42"/>
  <c r="AL180" i="42"/>
  <c r="AA215" i="36"/>
  <c r="AH215" i="36"/>
  <c r="AA197" i="36"/>
  <c r="AH197" i="36"/>
  <c r="AA191" i="36"/>
  <c r="AH191" i="36"/>
  <c r="AA156" i="36"/>
  <c r="AH156" i="36"/>
  <c r="AA115" i="36"/>
  <c r="AH115" i="36"/>
  <c r="AA152" i="36"/>
  <c r="AH152" i="36"/>
  <c r="AA168" i="36"/>
  <c r="AH168" i="36"/>
  <c r="AH181" i="36"/>
  <c r="AA181" i="36"/>
  <c r="AA158" i="36"/>
  <c r="AH158" i="36"/>
  <c r="AA118" i="36"/>
  <c r="AH118" i="36"/>
  <c r="AH199" i="36"/>
  <c r="AA199" i="36"/>
  <c r="AH133" i="36"/>
  <c r="AA133" i="36"/>
  <c r="AA185" i="36"/>
  <c r="AH185" i="36"/>
  <c r="AH138" i="36"/>
  <c r="AA138" i="36"/>
  <c r="AA163" i="36"/>
  <c r="AH163" i="36"/>
  <c r="AH211" i="36"/>
  <c r="AA211" i="36"/>
  <c r="AA203" i="36"/>
  <c r="AH203" i="36"/>
  <c r="AA116" i="36"/>
  <c r="AH116" i="36"/>
  <c r="AH131" i="36"/>
  <c r="AA131" i="36"/>
  <c r="AR138" i="41"/>
  <c r="AR27" i="43"/>
  <c r="AI191" i="42"/>
  <c r="AJ191" i="42" s="1"/>
  <c r="AL191" i="42"/>
  <c r="AA233" i="36"/>
  <c r="AH233" i="36"/>
  <c r="AI42" i="40"/>
  <c r="AL42" i="40"/>
  <c r="AR150" i="41"/>
  <c r="AK150" i="41"/>
  <c r="AR83" i="43"/>
  <c r="AJ175" i="42"/>
  <c r="AR175" i="42"/>
  <c r="AA46" i="36"/>
  <c r="AH46" i="36"/>
  <c r="AK146" i="41"/>
  <c r="AR146" i="41"/>
  <c r="AR140" i="42"/>
  <c r="AK140" i="42"/>
  <c r="AK18" i="38"/>
  <c r="AR18" i="38"/>
  <c r="AH82" i="36"/>
  <c r="AA82" i="36"/>
  <c r="AI61" i="41"/>
  <c r="AL61" i="41"/>
  <c r="AI72" i="40"/>
  <c r="AK84" i="40" s="1"/>
  <c r="AL72" i="40"/>
  <c r="AR165" i="40"/>
  <c r="AI159" i="38"/>
  <c r="AK171" i="38" s="1"/>
  <c r="AR230" i="42"/>
  <c r="AK230" i="42"/>
  <c r="AJ30" i="42"/>
  <c r="AR30" i="42"/>
  <c r="AR199" i="41"/>
  <c r="AR83" i="40"/>
  <c r="AK83" i="40"/>
  <c r="AI177" i="41"/>
  <c r="AK189" i="41" s="1"/>
  <c r="AL177" i="41"/>
  <c r="AI143" i="40"/>
  <c r="AK155" i="40" s="1"/>
  <c r="AL143" i="40"/>
  <c r="AR21" i="38"/>
  <c r="AI135" i="42"/>
  <c r="AL135" i="42"/>
  <c r="AI136" i="42"/>
  <c r="AL136" i="42"/>
  <c r="AI195" i="38"/>
  <c r="AR76" i="38"/>
  <c r="AK76" i="38"/>
  <c r="AR74" i="43"/>
  <c r="AK74" i="43"/>
  <c r="AI120" i="41"/>
  <c r="AJ120" i="41" s="1"/>
  <c r="AL120" i="41"/>
  <c r="AK116" i="43"/>
  <c r="AI257" i="42"/>
  <c r="AL257" i="42"/>
  <c r="AI151" i="40"/>
  <c r="AJ151" i="40" s="1"/>
  <c r="AL151" i="40"/>
  <c r="AA36" i="36"/>
  <c r="AH24" i="36"/>
  <c r="AA24" i="36"/>
  <c r="AI30" i="40"/>
  <c r="AJ30" i="40" s="1"/>
  <c r="AL30" i="40"/>
  <c r="AR233" i="40"/>
  <c r="AK233" i="40"/>
  <c r="AJ233" i="40"/>
  <c r="AI204" i="40"/>
  <c r="AL204" i="40"/>
  <c r="AJ204" i="38"/>
  <c r="AJ242" i="42"/>
  <c r="AR242" i="42"/>
  <c r="AK242" i="42"/>
  <c r="AR25" i="42"/>
  <c r="AK25" i="42"/>
  <c r="AI64" i="41"/>
  <c r="AL64" i="41"/>
  <c r="AR76" i="41"/>
  <c r="AK76" i="41"/>
  <c r="AI65" i="43"/>
  <c r="AL65" i="43"/>
  <c r="AR212" i="38"/>
  <c r="AK224" i="38"/>
  <c r="AI46" i="43"/>
  <c r="AL46" i="43"/>
  <c r="AI153" i="41"/>
  <c r="AR153" i="41" s="1"/>
  <c r="AL153" i="41"/>
  <c r="AI89" i="41"/>
  <c r="AA6" i="36"/>
  <c r="AH6" i="36"/>
  <c r="AL195" i="40"/>
  <c r="AC185" i="41"/>
  <c r="Z290" i="41"/>
  <c r="AA290" i="41" s="1"/>
  <c r="AA196" i="41"/>
  <c r="AJ61" i="40"/>
  <c r="AK61" i="40"/>
  <c r="AR61" i="40"/>
  <c r="AR118" i="42"/>
  <c r="AR171" i="38"/>
  <c r="AJ212" i="42"/>
  <c r="AR212" i="42"/>
  <c r="AI63" i="36"/>
  <c r="Y63" i="36"/>
  <c r="Z63" i="36" s="1"/>
  <c r="V276" i="36"/>
  <c r="W74" i="36"/>
  <c r="AI203" i="38"/>
  <c r="Z271" i="38"/>
  <c r="Z273" i="38" s="1"/>
  <c r="AI15" i="42"/>
  <c r="AK27" i="42" s="1"/>
  <c r="AL15" i="42"/>
  <c r="AI14" i="42"/>
  <c r="AK26" i="42" s="1"/>
  <c r="AL14" i="42"/>
  <c r="AI90" i="40"/>
  <c r="AK102" i="40" s="1"/>
  <c r="AL90" i="40"/>
  <c r="AR146" i="43"/>
  <c r="AK146" i="43"/>
  <c r="AA28" i="38"/>
  <c r="AJ24" i="38"/>
  <c r="AA7" i="36"/>
  <c r="AH7" i="36"/>
  <c r="AJ129" i="43"/>
  <c r="AH79" i="36"/>
  <c r="AA79" i="36"/>
  <c r="AI57" i="43"/>
  <c r="AL57" i="43"/>
  <c r="AJ71" i="41"/>
  <c r="AK71" i="41"/>
  <c r="AR71" i="41"/>
  <c r="AI71" i="43"/>
  <c r="AL71" i="43"/>
  <c r="AL114" i="43"/>
  <c r="AI114" i="43"/>
  <c r="AI165" i="43"/>
  <c r="AL165" i="43"/>
  <c r="AI217" i="41"/>
  <c r="AL217" i="41"/>
  <c r="AH259" i="36"/>
  <c r="AA259" i="36"/>
  <c r="AI45" i="38"/>
  <c r="AJ45" i="38" s="1"/>
  <c r="AI154" i="38"/>
  <c r="AK166" i="38" s="1"/>
  <c r="AR249" i="43"/>
  <c r="AK249" i="43"/>
  <c r="AC29" i="38"/>
  <c r="Z277" i="38"/>
  <c r="AA277" i="38" s="1"/>
  <c r="AA40" i="38"/>
  <c r="AJ84" i="43"/>
  <c r="AJ11" i="40"/>
  <c r="AK11" i="40"/>
  <c r="AR11" i="40"/>
  <c r="AR257" i="38"/>
  <c r="AK257" i="38"/>
  <c r="Z286" i="43"/>
  <c r="AA286" i="43" s="1"/>
  <c r="AR26" i="38"/>
  <c r="AK26" i="38"/>
  <c r="AC125" i="41"/>
  <c r="AA136" i="41"/>
  <c r="Z285" i="41"/>
  <c r="AA285" i="41" s="1"/>
  <c r="AR130" i="43"/>
  <c r="AK130" i="43"/>
  <c r="AR69" i="42"/>
  <c r="AK69" i="42"/>
  <c r="AA52" i="40"/>
  <c r="AJ156" i="40"/>
  <c r="AR156" i="40"/>
  <c r="AK156" i="40"/>
  <c r="AK142" i="40"/>
  <c r="AR142" i="40"/>
  <c r="AK38" i="42"/>
  <c r="AR26" i="42"/>
  <c r="AK160" i="41"/>
  <c r="AR160" i="41"/>
  <c r="AI97" i="42"/>
  <c r="AJ97" i="42" s="1"/>
  <c r="AL97" i="42"/>
  <c r="AR263" i="40"/>
  <c r="AK263" i="40"/>
  <c r="AR224" i="43"/>
  <c r="AK224" i="43"/>
  <c r="AI107" i="43"/>
  <c r="AL107" i="43"/>
  <c r="AI188" i="38"/>
  <c r="AI64" i="43"/>
  <c r="AL64" i="43"/>
  <c r="AI70" i="42"/>
  <c r="AL70" i="42"/>
  <c r="AC161" i="42"/>
  <c r="AA172" i="42"/>
  <c r="Z288" i="42"/>
  <c r="AA288" i="42" s="1"/>
  <c r="AI52" i="40"/>
  <c r="AL52" i="40"/>
  <c r="AI153" i="40"/>
  <c r="AK165" i="40" s="1"/>
  <c r="AL153" i="40"/>
  <c r="AI201" i="43"/>
  <c r="AL201" i="43"/>
  <c r="AI81" i="41"/>
  <c r="AL81" i="41"/>
  <c r="AJ91" i="42"/>
  <c r="AR91" i="42"/>
  <c r="AI63" i="38"/>
  <c r="AI161" i="38"/>
  <c r="AR45" i="43"/>
  <c r="AK45" i="43"/>
  <c r="AK169" i="43"/>
  <c r="AK157" i="43"/>
  <c r="AR157" i="43"/>
  <c r="AR82" i="41"/>
  <c r="AK82" i="41"/>
  <c r="AI5" i="42"/>
  <c r="AJ5" i="42" s="1"/>
  <c r="AL5" i="42"/>
  <c r="AI94" i="43"/>
  <c r="AK106" i="43" s="1"/>
  <c r="AL94" i="43"/>
  <c r="AJ144" i="42"/>
  <c r="AR144" i="42"/>
  <c r="AI58" i="41"/>
  <c r="AR58" i="41" s="1"/>
  <c r="AL58" i="41"/>
  <c r="AJ155" i="40"/>
  <c r="AR155" i="40"/>
  <c r="AR38" i="43"/>
  <c r="AK38" i="43"/>
  <c r="AF272" i="43"/>
  <c r="AC274" i="43" s="1"/>
  <c r="AI93" i="42"/>
  <c r="AJ93" i="42" s="1"/>
  <c r="AL93" i="42"/>
  <c r="AJ23" i="42"/>
  <c r="AK23" i="42"/>
  <c r="AR23" i="42"/>
  <c r="AI54" i="42"/>
  <c r="AL54" i="42"/>
  <c r="AI119" i="40"/>
  <c r="AL119" i="40"/>
  <c r="AI48" i="41"/>
  <c r="AL48" i="41"/>
  <c r="AK265" i="42"/>
  <c r="AR253" i="42"/>
  <c r="AK253" i="42"/>
  <c r="AL257" i="43"/>
  <c r="AI257" i="41"/>
  <c r="AL257" i="41"/>
  <c r="AI78" i="40"/>
  <c r="AL78" i="40"/>
  <c r="AI39" i="36"/>
  <c r="Y39" i="36"/>
  <c r="Z39" i="36" s="1"/>
  <c r="W50" i="36"/>
  <c r="V274" i="36"/>
  <c r="AK103" i="41"/>
  <c r="AR91" i="41"/>
  <c r="AR145" i="41"/>
  <c r="AR82" i="42"/>
  <c r="AR85" i="43"/>
  <c r="AJ142" i="40"/>
  <c r="AH216" i="36"/>
  <c r="AA216" i="36"/>
  <c r="AI209" i="40"/>
  <c r="AL209" i="40"/>
  <c r="AI80" i="41"/>
  <c r="AJ80" i="41" s="1"/>
  <c r="AL80" i="41"/>
  <c r="AK26" i="40"/>
  <c r="AK14" i="40"/>
  <c r="AR14" i="40"/>
  <c r="AA48" i="36"/>
  <c r="AH48" i="36"/>
  <c r="AR98" i="38"/>
  <c r="AR99" i="40"/>
  <c r="AJ229" i="40"/>
  <c r="AR229" i="40"/>
  <c r="AI104" i="38"/>
  <c r="AK116" i="38" s="1"/>
  <c r="AK105" i="43"/>
  <c r="AR105" i="43"/>
  <c r="AH85" i="36"/>
  <c r="AA85" i="36"/>
  <c r="AJ188" i="41"/>
  <c r="AJ74" i="43"/>
  <c r="AI165" i="38"/>
  <c r="AK217" i="42"/>
  <c r="AR217" i="42"/>
  <c r="AH265" i="36"/>
  <c r="AA265" i="36"/>
  <c r="AI47" i="40"/>
  <c r="AL47" i="40"/>
  <c r="AI156" i="42"/>
  <c r="AL156" i="42"/>
  <c r="AK35" i="43"/>
  <c r="AR35" i="43"/>
  <c r="AA30" i="36"/>
  <c r="AH30" i="36"/>
  <c r="AI86" i="43"/>
  <c r="AJ86" i="43" s="1"/>
  <c r="AL86" i="43"/>
  <c r="AA5" i="36"/>
  <c r="AH5" i="36"/>
  <c r="AR134" i="43"/>
  <c r="AK134" i="43"/>
  <c r="AJ170" i="43"/>
  <c r="AR170" i="43"/>
  <c r="AA251" i="36"/>
  <c r="AH251" i="36"/>
  <c r="AJ34" i="42"/>
  <c r="AR34" i="42"/>
  <c r="AH95" i="36"/>
  <c r="AA95" i="36"/>
  <c r="AJ195" i="40"/>
  <c r="AR43" i="40"/>
  <c r="Z281" i="41"/>
  <c r="AA281" i="41" s="1"/>
  <c r="AI174" i="38"/>
  <c r="AJ174" i="38" s="1"/>
  <c r="AC185" i="42"/>
  <c r="Z290" i="42"/>
  <c r="AA290" i="42" s="1"/>
  <c r="AA196" i="42"/>
  <c r="AI59" i="43"/>
  <c r="AL59" i="43"/>
  <c r="AI115" i="38"/>
  <c r="AA208" i="36"/>
  <c r="AH208" i="36"/>
  <c r="AI48" i="42"/>
  <c r="AJ48" i="42" s="1"/>
  <c r="AL48" i="42"/>
  <c r="AI152" i="38"/>
  <c r="AK164" i="38" s="1"/>
  <c r="AJ254" i="41"/>
  <c r="AR227" i="41"/>
  <c r="AI204" i="42"/>
  <c r="AK216" i="42" s="1"/>
  <c r="AL204" i="42"/>
  <c r="AI174" i="43"/>
  <c r="AL174" i="43"/>
  <c r="AJ8" i="41"/>
  <c r="AR8" i="41"/>
  <c r="AK8" i="41"/>
  <c r="AR264" i="43"/>
  <c r="AK264" i="43"/>
  <c r="AJ27" i="43"/>
  <c r="AI131" i="42"/>
  <c r="AL131" i="42"/>
  <c r="AR56" i="41"/>
  <c r="AR166" i="41"/>
  <c r="AJ218" i="42"/>
  <c r="AR218" i="42"/>
  <c r="AK218" i="42"/>
  <c r="AJ150" i="41"/>
  <c r="AJ40" i="42"/>
  <c r="AR40" i="42"/>
  <c r="AI200" i="42"/>
  <c r="AL200" i="42"/>
  <c r="AI129" i="41"/>
  <c r="AL129" i="41"/>
  <c r="AR126" i="38"/>
  <c r="AK126" i="38"/>
  <c r="AK193" i="38"/>
  <c r="AR193" i="38"/>
  <c r="AA258" i="36"/>
  <c r="AH258" i="36"/>
  <c r="AJ266" i="42"/>
  <c r="AI52" i="43"/>
  <c r="AL52" i="43"/>
  <c r="AJ160" i="41"/>
  <c r="AH71" i="36"/>
  <c r="AA71" i="36"/>
  <c r="AJ230" i="42"/>
  <c r="AI203" i="40"/>
  <c r="AL203" i="40"/>
  <c r="AR88" i="38"/>
  <c r="AK88" i="38"/>
  <c r="AR7" i="38"/>
  <c r="AK7" i="38"/>
  <c r="AK20" i="42"/>
  <c r="AK8" i="42"/>
  <c r="AR8" i="42"/>
  <c r="AK262" i="43"/>
  <c r="AR262" i="43"/>
  <c r="AA100" i="38"/>
  <c r="AC89" i="38"/>
  <c r="Z282" i="38"/>
  <c r="AA282" i="38" s="1"/>
  <c r="AI96" i="43"/>
  <c r="AL96" i="43"/>
  <c r="AJ90" i="43"/>
  <c r="AR248" i="43"/>
  <c r="AK248" i="43"/>
  <c r="AI139" i="40"/>
  <c r="AL139" i="40"/>
  <c r="AI23" i="38"/>
  <c r="AK33" i="40"/>
  <c r="AK21" i="40"/>
  <c r="AR21" i="40"/>
  <c r="AI107" i="41"/>
  <c r="AJ107" i="41" s="1"/>
  <c r="AL107" i="41"/>
  <c r="AI194" i="38"/>
  <c r="AI187" i="42"/>
  <c r="AL187" i="42"/>
  <c r="AI54" i="41"/>
  <c r="AK66" i="41" s="1"/>
  <c r="AL54" i="41"/>
  <c r="AI62" i="42"/>
  <c r="AJ62" i="42" s="1"/>
  <c r="AL62" i="42"/>
  <c r="AI74" i="41"/>
  <c r="AL74" i="41"/>
  <c r="AA254" i="36"/>
  <c r="AH254" i="36"/>
  <c r="AA252" i="36"/>
  <c r="AH252" i="36"/>
  <c r="AK268" i="41"/>
  <c r="AR268" i="41"/>
  <c r="AR233" i="41"/>
  <c r="AK233" i="41"/>
  <c r="AJ233" i="41"/>
  <c r="AI45" i="41"/>
  <c r="AJ45" i="41" s="1"/>
  <c r="AL45" i="41"/>
  <c r="AI160" i="40"/>
  <c r="AL160" i="40"/>
  <c r="AI154" i="42"/>
  <c r="AR154" i="42" s="1"/>
  <c r="AL154" i="42"/>
  <c r="AI38" i="38"/>
  <c r="AI198" i="42"/>
  <c r="AL198" i="42"/>
  <c r="AI82" i="43"/>
  <c r="AL82" i="43"/>
  <c r="AC173" i="41"/>
  <c r="AA184" i="41"/>
  <c r="Z289" i="41"/>
  <c r="AA289" i="41" s="1"/>
  <c r="AI181" i="43"/>
  <c r="AJ181" i="43" s="1"/>
  <c r="AL181" i="43"/>
  <c r="AR7" i="43"/>
  <c r="AK7" i="43"/>
  <c r="AR141" i="40"/>
  <c r="AR19" i="41"/>
  <c r="AK19" i="41"/>
  <c r="AR108" i="38"/>
  <c r="AR132" i="40"/>
  <c r="AC53" i="43"/>
  <c r="AA64" i="43"/>
  <c r="Z279" i="43"/>
  <c r="AA279" i="43" s="1"/>
  <c r="AK74" i="38"/>
  <c r="AR74" i="38"/>
  <c r="AK121" i="41"/>
  <c r="AR121" i="41"/>
  <c r="AJ118" i="41"/>
  <c r="AR168" i="40"/>
  <c r="AK168" i="40"/>
  <c r="AJ214" i="41"/>
  <c r="AJ212" i="38"/>
  <c r="AH226" i="36"/>
  <c r="AA226" i="36"/>
  <c r="AL50" i="40"/>
  <c r="AR42" i="41"/>
  <c r="Z287" i="42"/>
  <c r="AA287" i="42" s="1"/>
  <c r="AJ157" i="43"/>
  <c r="V280" i="36"/>
  <c r="W122" i="36"/>
  <c r="AI111" i="36"/>
  <c r="Y111" i="36"/>
  <c r="Z111" i="36" s="1"/>
  <c r="Z291" i="42"/>
  <c r="AA291" i="42" s="1"/>
  <c r="AF272" i="42"/>
  <c r="AC274" i="42" s="1"/>
  <c r="AR144" i="38"/>
  <c r="AJ111" i="43"/>
  <c r="AJ129" i="42"/>
  <c r="AA81" i="36"/>
  <c r="AH81" i="36"/>
  <c r="Z290" i="40"/>
  <c r="AA290" i="40" s="1"/>
  <c r="AJ75" i="41"/>
  <c r="AK122" i="41"/>
  <c r="AR122" i="41"/>
  <c r="AK31" i="42"/>
  <c r="AR31" i="42"/>
  <c r="AI86" i="38"/>
  <c r="AK98" i="38" s="1"/>
  <c r="AI16" i="38"/>
  <c r="AJ16" i="38" s="1"/>
  <c r="AJ10" i="42"/>
  <c r="AR10" i="42"/>
  <c r="AK10" i="42"/>
  <c r="AA16" i="43"/>
  <c r="AA55" i="36"/>
  <c r="AH43" i="36"/>
  <c r="AA43" i="36"/>
  <c r="AR265" i="40"/>
  <c r="AK265" i="40"/>
  <c r="AI98" i="41"/>
  <c r="AL98" i="41"/>
  <c r="AR253" i="43"/>
  <c r="AK253" i="43"/>
  <c r="AR140" i="38"/>
  <c r="AJ20" i="40"/>
  <c r="AR20" i="40"/>
  <c r="AI126" i="43"/>
  <c r="AL126" i="43"/>
  <c r="AI187" i="41"/>
  <c r="AJ187" i="41" s="1"/>
  <c r="AL187" i="41"/>
  <c r="AI67" i="41"/>
  <c r="AJ67" i="41" s="1"/>
  <c r="AL67" i="41"/>
  <c r="AI73" i="42"/>
  <c r="AL73" i="42"/>
  <c r="AK117" i="41"/>
  <c r="AR117" i="41"/>
  <c r="AA124" i="41"/>
  <c r="Z284" i="41"/>
  <c r="AA284" i="41" s="1"/>
  <c r="AC113" i="41"/>
  <c r="AL120" i="43"/>
  <c r="AI120" i="43"/>
  <c r="AJ120" i="43" s="1"/>
  <c r="AR214" i="40"/>
  <c r="AI211" i="42"/>
  <c r="AL211" i="42"/>
  <c r="AI42" i="42"/>
  <c r="AL42" i="42"/>
  <c r="AK259" i="43"/>
  <c r="AR259" i="43"/>
  <c r="AK32" i="42"/>
  <c r="AR32" i="42"/>
  <c r="AI33" i="42"/>
  <c r="AJ33" i="42" s="1"/>
  <c r="AL33" i="42"/>
  <c r="AH105" i="36"/>
  <c r="AA105" i="36"/>
  <c r="AH198" i="36"/>
  <c r="AA198" i="36"/>
  <c r="AA208" i="38"/>
  <c r="Z291" i="38"/>
  <c r="AA291" i="38" s="1"/>
  <c r="AC197" i="38"/>
  <c r="AI208" i="40"/>
  <c r="AJ208" i="40" s="1"/>
  <c r="AL208" i="40"/>
  <c r="AI80" i="43"/>
  <c r="AK92" i="43" s="1"/>
  <c r="AL80" i="43"/>
  <c r="AI180" i="41"/>
  <c r="AJ180" i="41" s="1"/>
  <c r="AL180" i="41"/>
  <c r="AC173" i="42"/>
  <c r="Z289" i="42"/>
  <c r="AA289" i="42" s="1"/>
  <c r="AA184" i="42"/>
  <c r="AJ15" i="41"/>
  <c r="AK138" i="40"/>
  <c r="AR138" i="40"/>
  <c r="AK102" i="38"/>
  <c r="AR102" i="38"/>
  <c r="AI185" i="38"/>
  <c r="AJ57" i="40"/>
  <c r="AR57" i="40"/>
  <c r="AJ121" i="40"/>
  <c r="AR121" i="40"/>
  <c r="AR166" i="40"/>
  <c r="AA236" i="36"/>
  <c r="AH236" i="36"/>
  <c r="AR226" i="41"/>
  <c r="AK226" i="41"/>
  <c r="AR37" i="42"/>
  <c r="AK37" i="42"/>
  <c r="Z291" i="40"/>
  <c r="AA291" i="40" s="1"/>
  <c r="AA208" i="40"/>
  <c r="AC197" i="40"/>
  <c r="AR85" i="38"/>
  <c r="AA40" i="36"/>
  <c r="AH40" i="36"/>
  <c r="AA145" i="36"/>
  <c r="AH145" i="36"/>
  <c r="AI143" i="43"/>
  <c r="AL143" i="43"/>
  <c r="Z276" i="40"/>
  <c r="AA276" i="40" s="1"/>
  <c r="AI132" i="43"/>
  <c r="AL132" i="43"/>
  <c r="AJ69" i="38"/>
  <c r="AR69" i="38"/>
  <c r="AJ170" i="42"/>
  <c r="AR170" i="42"/>
  <c r="AJ36" i="41"/>
  <c r="AI22" i="42"/>
  <c r="AL22" i="42"/>
  <c r="AR26" i="43"/>
  <c r="AI57" i="38"/>
  <c r="V282" i="36"/>
  <c r="AI135" i="36"/>
  <c r="W146" i="36"/>
  <c r="Y135" i="36"/>
  <c r="Z135" i="36" s="1"/>
  <c r="AI75" i="43"/>
  <c r="AJ75" i="43" s="1"/>
  <c r="AL75" i="43"/>
  <c r="AI171" i="43"/>
  <c r="AJ171" i="43" s="1"/>
  <c r="AL171" i="43"/>
  <c r="AI210" i="41"/>
  <c r="AL210" i="41"/>
  <c r="AI43" i="42"/>
  <c r="AL43" i="42"/>
  <c r="AI202" i="41"/>
  <c r="AK214" i="41" s="1"/>
  <c r="AL202" i="41"/>
  <c r="AJ180" i="38"/>
  <c r="AR148" i="41"/>
  <c r="AK148" i="41"/>
  <c r="AR109" i="43"/>
  <c r="AK109" i="43"/>
  <c r="AJ122" i="40"/>
  <c r="AK122" i="40"/>
  <c r="AR122" i="40"/>
  <c r="AJ42" i="41"/>
  <c r="AR157" i="38"/>
  <c r="AK157" i="38"/>
  <c r="AJ37" i="41"/>
  <c r="AA88" i="43"/>
  <c r="AJ221" i="41"/>
  <c r="AR221" i="41"/>
  <c r="AJ139" i="42"/>
  <c r="AK139" i="42"/>
  <c r="AR139" i="42"/>
  <c r="AI128" i="41"/>
  <c r="AK140" i="41" s="1"/>
  <c r="AL128" i="41"/>
  <c r="AR66" i="38"/>
  <c r="AK66" i="38"/>
  <c r="AK122" i="38"/>
  <c r="AR122" i="38"/>
  <c r="AR114" i="42"/>
  <c r="AL172" i="41"/>
  <c r="AA52" i="42"/>
  <c r="AJ205" i="43"/>
  <c r="AJ92" i="40"/>
  <c r="AR92" i="40"/>
  <c r="AK92" i="40"/>
  <c r="AI143" i="41"/>
  <c r="AL143" i="41"/>
  <c r="AA125" i="36"/>
  <c r="AH125" i="36"/>
  <c r="AI131" i="41"/>
  <c r="AL131" i="41"/>
  <c r="AI73" i="38"/>
  <c r="AL115" i="42"/>
  <c r="AI115" i="42"/>
  <c r="AJ115" i="42" s="1"/>
  <c r="AR166" i="42"/>
  <c r="AH230" i="36"/>
  <c r="AA230" i="36"/>
  <c r="AJ262" i="40"/>
  <c r="AK262" i="40"/>
  <c r="AR262" i="40"/>
  <c r="AI159" i="40"/>
  <c r="AR159" i="40" s="1"/>
  <c r="AL159" i="40"/>
  <c r="AA180" i="36"/>
  <c r="AH180" i="36"/>
  <c r="Z289" i="40"/>
  <c r="AA289" i="40" s="1"/>
  <c r="AA184" i="40"/>
  <c r="AC173" i="40"/>
  <c r="AJ138" i="41"/>
  <c r="AR106" i="38"/>
  <c r="AK106" i="38"/>
  <c r="AR192" i="42"/>
  <c r="Z278" i="43"/>
  <c r="AA278" i="43" s="1"/>
  <c r="AR181" i="38"/>
  <c r="AJ16" i="40"/>
  <c r="AR16" i="40"/>
  <c r="AK16" i="40"/>
  <c r="AJ95" i="40"/>
  <c r="AK95" i="40"/>
  <c r="AR95" i="40"/>
  <c r="AJ136" i="43"/>
  <c r="AI70" i="38"/>
  <c r="AI155" i="42"/>
  <c r="AL155" i="42"/>
  <c r="AR30" i="43"/>
  <c r="AK30" i="43"/>
  <c r="AR9" i="40"/>
  <c r="AK9" i="40"/>
  <c r="AJ15" i="40"/>
  <c r="AR15" i="40"/>
  <c r="AK15" i="40"/>
  <c r="AA49" i="36"/>
  <c r="AH49" i="36"/>
  <c r="AR91" i="38"/>
  <c r="AI92" i="41"/>
  <c r="AL92" i="41"/>
  <c r="AJ221" i="43"/>
  <c r="AR221" i="43"/>
  <c r="AK221" i="43"/>
  <c r="AJ148" i="42"/>
  <c r="AR148" i="42"/>
  <c r="AK148" i="42"/>
  <c r="AA4" i="36"/>
  <c r="AH4" i="36"/>
  <c r="AA78" i="36"/>
  <c r="AH78" i="36"/>
  <c r="AC53" i="38"/>
  <c r="AL53" i="40" s="1"/>
  <c r="Z279" i="38"/>
  <c r="AA279" i="38" s="1"/>
  <c r="AA64" i="38"/>
  <c r="AI67" i="40"/>
  <c r="AR67" i="40" s="1"/>
  <c r="AL67" i="40"/>
  <c r="AH210" i="36"/>
  <c r="AA210" i="36"/>
  <c r="AH241" i="36"/>
  <c r="AA241" i="36"/>
  <c r="AI51" i="41"/>
  <c r="AL51" i="41"/>
  <c r="AR245" i="40"/>
  <c r="AK245" i="40"/>
  <c r="AJ245" i="40"/>
  <c r="AA103" i="36"/>
  <c r="AH103" i="36"/>
  <c r="AA32" i="36"/>
  <c r="AH32" i="36"/>
  <c r="AI176" i="43"/>
  <c r="AJ176" i="43" s="1"/>
  <c r="AL176" i="43"/>
  <c r="AR223" i="40"/>
  <c r="AJ148" i="41"/>
  <c r="AK25" i="40"/>
  <c r="AR25" i="40"/>
  <c r="AH12" i="36"/>
  <c r="AA12" i="36"/>
  <c r="AA64" i="40"/>
  <c r="AL165" i="42"/>
  <c r="AR39" i="38"/>
  <c r="AA110" i="36"/>
  <c r="AH110" i="36"/>
  <c r="AK78" i="38"/>
  <c r="AR78" i="38"/>
  <c r="AK184" i="42"/>
  <c r="AR184" i="42"/>
  <c r="AK11" i="42"/>
  <c r="AR11" i="42"/>
  <c r="AI128" i="43"/>
  <c r="AK140" i="43" s="1"/>
  <c r="AL128" i="43"/>
  <c r="AJ171" i="38"/>
  <c r="AJ220" i="38"/>
  <c r="AI160" i="43"/>
  <c r="AR160" i="43" s="1"/>
  <c r="AL160" i="43"/>
  <c r="AJ141" i="41"/>
  <c r="AJ18" i="43"/>
  <c r="AI133" i="40"/>
  <c r="AL133" i="40"/>
  <c r="AI196" i="38"/>
  <c r="AJ196" i="38" s="1"/>
  <c r="AK68" i="41"/>
  <c r="AR68" i="41"/>
  <c r="AR217" i="38"/>
  <c r="AK229" i="38"/>
  <c r="AR216" i="41"/>
  <c r="AJ235" i="40"/>
  <c r="AR235" i="40"/>
  <c r="AK235" i="40"/>
  <c r="AJ46" i="42"/>
  <c r="AI153" i="38"/>
  <c r="AH26" i="36"/>
  <c r="AA26" i="36"/>
  <c r="AC29" i="40"/>
  <c r="AA40" i="40"/>
  <c r="Z277" i="40"/>
  <c r="AA277" i="40" s="1"/>
  <c r="AC29" i="41"/>
  <c r="Z277" i="41"/>
  <c r="AA277" i="41" s="1"/>
  <c r="AA40" i="41"/>
  <c r="AI201" i="40"/>
  <c r="AL201" i="40"/>
  <c r="AI87" i="38"/>
  <c r="AK99" i="38" s="1"/>
  <c r="AA218" i="36"/>
  <c r="AH218" i="36"/>
  <c r="AA140" i="36"/>
  <c r="AH140" i="36"/>
  <c r="AH176" i="36"/>
  <c r="AA176" i="36"/>
  <c r="AA144" i="36"/>
  <c r="AH144" i="36"/>
  <c r="AA119" i="36"/>
  <c r="AH119" i="36"/>
  <c r="AA169" i="36"/>
  <c r="AH169" i="36"/>
  <c r="AH212" i="36"/>
  <c r="AA212" i="36"/>
  <c r="AA196" i="36"/>
  <c r="AH196" i="36"/>
  <c r="AH157" i="36"/>
  <c r="AA157" i="36"/>
  <c r="AH194" i="36"/>
  <c r="AA194" i="36"/>
  <c r="AA217" i="36"/>
  <c r="AH217" i="36"/>
  <c r="AK15" i="38"/>
  <c r="AR15" i="38"/>
  <c r="AJ99" i="43"/>
  <c r="AK20" i="38"/>
  <c r="AR20" i="38"/>
  <c r="AR133" i="38"/>
  <c r="AI58" i="42"/>
  <c r="AL58" i="42"/>
  <c r="AK119" i="38"/>
  <c r="AR119" i="38"/>
  <c r="AK124" i="42"/>
  <c r="AR124" i="42"/>
  <c r="AI161" i="41"/>
  <c r="AL161" i="41"/>
  <c r="AI161" i="43"/>
  <c r="AL161" i="43"/>
  <c r="AI209" i="41"/>
  <c r="AK221" i="41" s="1"/>
  <c r="AL209" i="41"/>
  <c r="AK259" i="41"/>
  <c r="AR259" i="41"/>
  <c r="AR156" i="41"/>
  <c r="AK156" i="41"/>
  <c r="AL208" i="41"/>
  <c r="AI201" i="38"/>
  <c r="AJ80" i="40"/>
  <c r="AR80" i="40"/>
  <c r="AK80" i="40"/>
  <c r="AR80" i="38"/>
  <c r="AK80" i="38"/>
  <c r="AA184" i="38"/>
  <c r="AJ181" i="38"/>
  <c r="AJ93" i="38"/>
  <c r="AJ230" i="41"/>
  <c r="AR110" i="38"/>
  <c r="AK110" i="38"/>
  <c r="AI130" i="42"/>
  <c r="AL130" i="42"/>
  <c r="AR76" i="42"/>
  <c r="AI115" i="41"/>
  <c r="AL115" i="41"/>
  <c r="AR162" i="43"/>
  <c r="AA220" i="42"/>
  <c r="AI149" i="43"/>
  <c r="AJ86" i="42"/>
  <c r="AR86" i="42"/>
  <c r="AK86" i="42"/>
  <c r="AR79" i="43"/>
  <c r="AK79" i="43"/>
  <c r="AJ8" i="42"/>
  <c r="AI89" i="43"/>
  <c r="AR237" i="42"/>
  <c r="AK237" i="42"/>
  <c r="AI138" i="43"/>
  <c r="AJ138" i="43" s="1"/>
  <c r="AL138" i="43"/>
  <c r="AI17" i="41"/>
  <c r="AL17" i="41"/>
  <c r="AI25" i="38"/>
  <c r="AL23" i="41"/>
  <c r="AI102" i="42"/>
  <c r="AL102" i="42"/>
  <c r="AK108" i="42"/>
  <c r="AR108" i="42"/>
  <c r="AD268" i="36"/>
  <c r="AI193" i="41"/>
  <c r="AL193" i="41"/>
  <c r="AJ191" i="43"/>
  <c r="AC53" i="42"/>
  <c r="Z279" i="42"/>
  <c r="AA279" i="42" s="1"/>
  <c r="AA64" i="42"/>
  <c r="AI59" i="40"/>
  <c r="AL59" i="40"/>
  <c r="AI70" i="40"/>
  <c r="AL70" i="40"/>
  <c r="AI117" i="38"/>
  <c r="AJ117" i="38" s="1"/>
  <c r="Z288" i="40"/>
  <c r="AA288" i="40" s="1"/>
  <c r="AI171" i="42"/>
  <c r="AL171" i="42"/>
  <c r="AK179" i="41"/>
  <c r="AR167" i="41"/>
  <c r="AI215" i="42"/>
  <c r="AL215" i="42"/>
  <c r="AA253" i="36"/>
  <c r="AH253" i="36"/>
  <c r="AJ268" i="41"/>
  <c r="AI45" i="40"/>
  <c r="AK57" i="40" s="1"/>
  <c r="AL45" i="40"/>
  <c r="AC41" i="41"/>
  <c r="Z278" i="41"/>
  <c r="AA278" i="41" s="1"/>
  <c r="AA52" i="41"/>
  <c r="AI158" i="38"/>
  <c r="AK170" i="38" s="1"/>
  <c r="AH73" i="36"/>
  <c r="AA73" i="36"/>
  <c r="AI200" i="43"/>
  <c r="AK212" i="43" s="1"/>
  <c r="AL200" i="43"/>
  <c r="AI78" i="42"/>
  <c r="AL78" i="42"/>
  <c r="AI88" i="43"/>
  <c r="AK100" i="43" s="1"/>
  <c r="AL88" i="43"/>
  <c r="AI182" i="38"/>
  <c r="AR16" i="42"/>
  <c r="AR14" i="41"/>
  <c r="AK14" i="41"/>
  <c r="AA16" i="41"/>
  <c r="AI137" i="38"/>
  <c r="AR104" i="42"/>
  <c r="AR105" i="41"/>
  <c r="AK105" i="41"/>
  <c r="AA86" i="36"/>
  <c r="AH86" i="36"/>
  <c r="AJ64" i="41"/>
  <c r="AJ61" i="42"/>
  <c r="AR61" i="42"/>
  <c r="AR71" i="42"/>
  <c r="AR119" i="43"/>
  <c r="AR165" i="41"/>
  <c r="AK48" i="38"/>
  <c r="AR48" i="38"/>
  <c r="AL150" i="42"/>
  <c r="AI154" i="41"/>
  <c r="AJ154" i="41" s="1"/>
  <c r="AL154" i="41"/>
  <c r="AI245" i="43"/>
  <c r="AL245" i="43"/>
  <c r="AR249" i="42"/>
  <c r="AK249" i="42"/>
  <c r="AI205" i="41"/>
  <c r="AL205" i="41"/>
  <c r="AR94" i="38"/>
  <c r="AI95" i="41"/>
  <c r="AL95" i="41"/>
  <c r="AR146" i="38"/>
  <c r="AL23" i="43"/>
  <c r="AL129" i="42"/>
  <c r="AI75" i="42"/>
  <c r="AL75" i="42"/>
  <c r="AJ123" i="38"/>
  <c r="AR123" i="38"/>
  <c r="AR170" i="38"/>
  <c r="AR169" i="41"/>
  <c r="AA247" i="36"/>
  <c r="AH247" i="36"/>
  <c r="AJ43" i="40"/>
  <c r="AL155" i="41"/>
  <c r="AL152" i="42"/>
  <c r="AR36" i="40"/>
  <c r="AK36" i="40"/>
  <c r="AL199" i="42"/>
  <c r="Z275" i="38"/>
  <c r="AA275" i="38" s="1"/>
  <c r="AR260" i="42"/>
  <c r="AK260" i="42"/>
  <c r="AR92" i="38"/>
  <c r="AK92" i="38"/>
  <c r="Z276" i="38"/>
  <c r="AA276" i="38" s="1"/>
  <c r="AJ112" i="42"/>
  <c r="AI136" i="38"/>
  <c r="AK148" i="38" s="1"/>
  <c r="AI132" i="41"/>
  <c r="AL132" i="41"/>
  <c r="AA77" i="36"/>
  <c r="AH77" i="36"/>
  <c r="AI191" i="38"/>
  <c r="AI55" i="40"/>
  <c r="AL55" i="40"/>
  <c r="AI58" i="40"/>
  <c r="AL58" i="40"/>
  <c r="AI72" i="41"/>
  <c r="AL72" i="41"/>
  <c r="AJ74" i="42"/>
  <c r="AR74" i="42"/>
  <c r="AJ71" i="43"/>
  <c r="AC113" i="38"/>
  <c r="AA124" i="38"/>
  <c r="Z284" i="38"/>
  <c r="AA284" i="38" s="1"/>
  <c r="AJ165" i="43"/>
  <c r="AA224" i="36"/>
  <c r="AH224" i="36"/>
  <c r="AH237" i="36"/>
  <c r="AA237" i="36"/>
  <c r="AR261" i="42"/>
  <c r="AK261" i="42"/>
  <c r="AI52" i="38"/>
  <c r="AJ159" i="42"/>
  <c r="AR224" i="40"/>
  <c r="AI31" i="41"/>
  <c r="AL31" i="41"/>
  <c r="AH202" i="36"/>
  <c r="AA202" i="36"/>
  <c r="AI205" i="38"/>
  <c r="AK217" i="38" s="1"/>
  <c r="AI182" i="40"/>
  <c r="AL182" i="40"/>
  <c r="AJ178" i="38"/>
  <c r="Z282" i="42"/>
  <c r="AA282" i="42" s="1"/>
  <c r="AJ91" i="41"/>
  <c r="AI137" i="43"/>
  <c r="AL137" i="43"/>
  <c r="AJ106" i="38"/>
  <c r="AR70" i="41"/>
  <c r="AA260" i="36"/>
  <c r="AH260" i="36"/>
  <c r="Z278" i="40"/>
  <c r="AA278" i="40" s="1"/>
  <c r="AH94" i="36"/>
  <c r="AA94" i="36"/>
  <c r="AI191" i="40"/>
  <c r="AL191" i="40"/>
  <c r="AR172" i="40"/>
  <c r="AI215" i="41"/>
  <c r="AJ215" i="41" s="1"/>
  <c r="AL215" i="41"/>
  <c r="AR47" i="42"/>
  <c r="AJ36" i="42"/>
  <c r="AI11" i="38"/>
  <c r="AJ11" i="38" s="1"/>
  <c r="AJ105" i="43"/>
  <c r="AI127" i="43"/>
  <c r="AL127" i="43"/>
  <c r="AA25" i="36"/>
  <c r="AH25" i="36"/>
  <c r="AI208" i="43"/>
  <c r="AL208" i="43"/>
  <c r="AJ10" i="43"/>
  <c r="AK10" i="43"/>
  <c r="AR10" i="43"/>
  <c r="AJ62" i="38"/>
  <c r="AR62" i="38"/>
  <c r="AJ74" i="38"/>
  <c r="AJ50" i="40"/>
  <c r="AJ78" i="38"/>
  <c r="AJ184" i="42"/>
  <c r="Z275" i="42"/>
  <c r="AA275" i="42" s="1"/>
  <c r="AI21" i="41"/>
  <c r="AL21" i="41"/>
  <c r="AI60" i="42"/>
  <c r="AK72" i="42" s="1"/>
  <c r="AL60" i="42"/>
  <c r="Z280" i="42"/>
  <c r="AA280" i="42" s="1"/>
  <c r="AJ157" i="42"/>
  <c r="AR157" i="42"/>
  <c r="AH19" i="36"/>
  <c r="AA19" i="36"/>
  <c r="AI85" i="42"/>
  <c r="AL85" i="42"/>
  <c r="AI183" i="42"/>
  <c r="AL183" i="42"/>
  <c r="AR96" i="41"/>
  <c r="AR248" i="40"/>
  <c r="AK248" i="40"/>
  <c r="AL28" i="41"/>
  <c r="AI55" i="42"/>
  <c r="AK67" i="42" s="1"/>
  <c r="AL55" i="42"/>
  <c r="AK67" i="43"/>
  <c r="AR67" i="43"/>
  <c r="AA124" i="40"/>
  <c r="AJ169" i="42"/>
  <c r="AA234" i="36"/>
  <c r="AH234" i="36"/>
  <c r="AR33" i="43"/>
  <c r="AK33" i="43"/>
  <c r="AR257" i="43"/>
  <c r="AJ257" i="43"/>
  <c r="AI201" i="41"/>
  <c r="AL201" i="41"/>
  <c r="AI175" i="40"/>
  <c r="AL175" i="40"/>
  <c r="AJ11" i="43"/>
  <c r="AR11" i="43"/>
  <c r="AK11" i="43"/>
  <c r="AR100" i="38"/>
  <c r="AK100" i="38"/>
  <c r="AR138" i="38"/>
  <c r="AK138" i="38"/>
  <c r="AL195" i="43"/>
  <c r="AJ69" i="40"/>
  <c r="AJ124" i="42"/>
  <c r="AA231" i="36"/>
  <c r="AH231" i="36"/>
  <c r="AJ152" i="41"/>
  <c r="AK164" i="43"/>
  <c r="AR152" i="43"/>
  <c r="AK152" i="43"/>
  <c r="AR207" i="38"/>
  <c r="AJ12" i="43"/>
  <c r="AJ18" i="38"/>
  <c r="AL128" i="42"/>
  <c r="AL59" i="41"/>
  <c r="AA164" i="36"/>
  <c r="AH164" i="36"/>
  <c r="AH219" i="36"/>
  <c r="AA219" i="36"/>
  <c r="AJ47" i="42"/>
  <c r="AJ39" i="40"/>
  <c r="AR39" i="40"/>
  <c r="AR37" i="43"/>
  <c r="AL79" i="40"/>
  <c r="AR78" i="43"/>
  <c r="AR6" i="41"/>
  <c r="AK6" i="41"/>
  <c r="Z275" i="40"/>
  <c r="AA275" i="40" s="1"/>
  <c r="AA16" i="40"/>
  <c r="AC5" i="40"/>
  <c r="Z271" i="40"/>
  <c r="Z273" i="40" s="1"/>
  <c r="AJ146" i="40"/>
  <c r="AI28" i="42"/>
  <c r="AJ28" i="42" s="1"/>
  <c r="AL28" i="42"/>
  <c r="Y147" i="36"/>
  <c r="Z147" i="36" s="1"/>
  <c r="AI147" i="36"/>
  <c r="W158" i="36"/>
  <c r="AL105" i="42"/>
  <c r="AJ104" i="38"/>
  <c r="AK115" i="43"/>
  <c r="AR115" i="43"/>
  <c r="AH222" i="36"/>
  <c r="AA222" i="36"/>
  <c r="AI198" i="40"/>
  <c r="AL198" i="40"/>
  <c r="AI181" i="41"/>
  <c r="AJ181" i="41" s="1"/>
  <c r="AL181" i="41"/>
  <c r="AJ14" i="41"/>
  <c r="AR100" i="43"/>
  <c r="AA53" i="36"/>
  <c r="AH53" i="36"/>
  <c r="AL194" i="40"/>
  <c r="AC185" i="43"/>
  <c r="Z290" i="43"/>
  <c r="AA290" i="43" s="1"/>
  <c r="AA196" i="43"/>
  <c r="AJ118" i="43"/>
  <c r="AJ48" i="38"/>
  <c r="AJ232" i="41"/>
  <c r="AL199" i="43"/>
  <c r="AI91" i="43"/>
  <c r="AL91" i="43"/>
  <c r="AH54" i="36"/>
  <c r="AA54" i="36"/>
  <c r="AI64" i="40"/>
  <c r="AL64" i="40"/>
  <c r="AJ72" i="43"/>
  <c r="AJ169" i="41"/>
  <c r="AJ214" i="43"/>
  <c r="AR214" i="43"/>
  <c r="AR258" i="41"/>
  <c r="AK258" i="41"/>
  <c r="AA91" i="36"/>
  <c r="AH91" i="36"/>
  <c r="AI77" i="41"/>
  <c r="AJ6" i="40"/>
  <c r="AR6" i="40"/>
  <c r="AK6" i="40"/>
  <c r="AJ8" i="43"/>
  <c r="AR8" i="43"/>
  <c r="AK8" i="43"/>
  <c r="AR260" i="43"/>
  <c r="AK260" i="43"/>
  <c r="AI95" i="43"/>
  <c r="AJ95" i="43" s="1"/>
  <c r="AL95" i="43"/>
  <c r="AJ248" i="40"/>
  <c r="AK147" i="38"/>
  <c r="AR147" i="38"/>
  <c r="AK19" i="43"/>
  <c r="AR19" i="43"/>
  <c r="AH148" i="36"/>
  <c r="AA148" i="36"/>
  <c r="AR109" i="38"/>
  <c r="AK109" i="38"/>
  <c r="AC125" i="38"/>
  <c r="Z285" i="38"/>
  <c r="AA285" i="38" s="1"/>
  <c r="AA136" i="38"/>
  <c r="AI56" i="38"/>
  <c r="AH120" i="36"/>
  <c r="AA120" i="36"/>
  <c r="AI169" i="38"/>
  <c r="AI212" i="40"/>
  <c r="AL212" i="40"/>
  <c r="AA263" i="36"/>
  <c r="AH263" i="36"/>
  <c r="AK241" i="40"/>
  <c r="AA67" i="36"/>
  <c r="AH67" i="36"/>
  <c r="AJ224" i="40"/>
  <c r="AR39" i="43"/>
  <c r="AK39" i="43"/>
  <c r="AH107" i="36"/>
  <c r="AA107" i="36"/>
  <c r="AJ82" i="40"/>
  <c r="AI178" i="41"/>
  <c r="AL178" i="41"/>
  <c r="AJ15" i="38"/>
  <c r="AJ93" i="41"/>
  <c r="AJ100" i="42"/>
  <c r="AR100" i="42"/>
  <c r="AJ140" i="40"/>
  <c r="AR140" i="40"/>
  <c r="AR108" i="41"/>
  <c r="AK108" i="41"/>
  <c r="AJ106" i="41"/>
  <c r="AJ130" i="41"/>
  <c r="AA80" i="36"/>
  <c r="AH80" i="36"/>
  <c r="AR196" i="43"/>
  <c r="AJ55" i="38"/>
  <c r="AR71" i="40"/>
  <c r="AJ124" i="41"/>
  <c r="AJ166" i="40"/>
  <c r="AK50" i="43"/>
  <c r="AR50" i="43"/>
  <c r="AJ226" i="41"/>
  <c r="AJ84" i="40"/>
  <c r="AR84" i="40"/>
  <c r="AR179" i="38"/>
  <c r="AR6" i="42"/>
  <c r="AK6" i="42"/>
  <c r="AK16" i="41"/>
  <c r="AR16" i="41"/>
  <c r="AR95" i="38"/>
  <c r="AJ21" i="42"/>
  <c r="AK21" i="42"/>
  <c r="AR21" i="42"/>
  <c r="AA112" i="41"/>
  <c r="AH9" i="36"/>
  <c r="AA9" i="36"/>
  <c r="AL135" i="41"/>
  <c r="AR194" i="41"/>
  <c r="AJ62" i="43"/>
  <c r="AR76" i="43"/>
  <c r="AK76" i="43"/>
  <c r="AI209" i="38"/>
  <c r="AJ213" i="43"/>
  <c r="AR213" i="43"/>
  <c r="AA220" i="43"/>
  <c r="AL40" i="41"/>
  <c r="AJ35" i="41"/>
  <c r="AJ79" i="43"/>
  <c r="AR176" i="38"/>
  <c r="AK176" i="38"/>
  <c r="AJ13" i="42"/>
  <c r="AR13" i="42"/>
  <c r="AK13" i="42"/>
  <c r="AJ237" i="42"/>
  <c r="AJ263" i="40"/>
  <c r="AI147" i="40"/>
  <c r="AJ147" i="40" s="1"/>
  <c r="AL147" i="40"/>
  <c r="AJ139" i="40"/>
  <c r="AJ23" i="38"/>
  <c r="AH60" i="36"/>
  <c r="AA60" i="36"/>
  <c r="AJ111" i="42"/>
  <c r="AK111" i="42"/>
  <c r="AR111" i="42"/>
  <c r="AI3" i="36"/>
  <c r="W14" i="36"/>
  <c r="Y3" i="36"/>
  <c r="Z3" i="36" s="1"/>
  <c r="V271" i="36"/>
  <c r="V267" i="36"/>
  <c r="V269" i="36" s="1"/>
  <c r="AC125" i="40"/>
  <c r="AA136" i="40"/>
  <c r="Z285" i="40"/>
  <c r="AA285" i="40" s="1"/>
  <c r="AH83" i="36"/>
  <c r="AA83" i="36"/>
  <c r="AJ66" i="41"/>
  <c r="AI118" i="40"/>
  <c r="AJ118" i="40" s="1"/>
  <c r="AL118" i="40"/>
  <c r="AK123" i="41"/>
  <c r="AR123" i="41"/>
  <c r="AJ162" i="40"/>
  <c r="AR162" i="40"/>
  <c r="AR162" i="41"/>
  <c r="AK162" i="41"/>
  <c r="AA261" i="36"/>
  <c r="AH261" i="36"/>
  <c r="AI213" i="38"/>
  <c r="AJ213" i="38" s="1"/>
  <c r="AA242" i="36"/>
  <c r="AH242" i="36"/>
  <c r="AI45" i="42"/>
  <c r="AL45" i="42"/>
  <c r="AI52" i="42"/>
  <c r="AL52" i="42"/>
  <c r="AI158" i="43"/>
  <c r="AJ158" i="43" s="1"/>
  <c r="AL158" i="43"/>
  <c r="AH106" i="36"/>
  <c r="AA106" i="36"/>
  <c r="AI199" i="40"/>
  <c r="AL199" i="40"/>
  <c r="AI84" i="41"/>
  <c r="AL84" i="41"/>
  <c r="AI177" i="40"/>
  <c r="AJ177" i="40" s="1"/>
  <c r="AL177" i="40"/>
  <c r="AI174" i="42"/>
  <c r="AJ174" i="42" s="1"/>
  <c r="AL174" i="42"/>
  <c r="AL96" i="40"/>
  <c r="AJ91" i="40"/>
  <c r="AR91" i="40"/>
  <c r="AK91" i="40"/>
  <c r="AJ144" i="40"/>
  <c r="AK144" i="40"/>
  <c r="AR144" i="40"/>
  <c r="AI17" i="43"/>
  <c r="AL17" i="43"/>
  <c r="AL105" i="40"/>
  <c r="AJ134" i="41"/>
  <c r="AR134" i="41"/>
  <c r="AK134" i="41"/>
  <c r="AJ136" i="41"/>
  <c r="AL57" i="41"/>
  <c r="AI113" i="43"/>
  <c r="AL113" i="43"/>
  <c r="AJ119" i="43"/>
  <c r="AL216" i="42"/>
  <c r="AJ260" i="41"/>
  <c r="AA160" i="42"/>
  <c r="AJ249" i="42"/>
  <c r="AA16" i="36"/>
  <c r="AH16" i="36"/>
  <c r="AL40" i="40"/>
  <c r="AH92" i="36"/>
  <c r="AA92" i="36"/>
  <c r="AR200" i="40"/>
  <c r="AI197" i="42"/>
  <c r="AL197" i="42"/>
  <c r="AI81" i="40"/>
  <c r="AL81" i="40"/>
  <c r="AJ176" i="40"/>
  <c r="AR176" i="40"/>
  <c r="AK176" i="40"/>
  <c r="AL174" i="41"/>
  <c r="AH45" i="36"/>
  <c r="AA45" i="36"/>
  <c r="AJ23" i="43"/>
  <c r="AR193" i="40"/>
  <c r="AI54" i="40"/>
  <c r="AL54" i="40"/>
  <c r="AI70" i="43"/>
  <c r="AL70" i="43"/>
  <c r="AL213" i="41"/>
  <c r="AI46" i="38"/>
  <c r="AJ46" i="38" s="1"/>
  <c r="AR43" i="41"/>
  <c r="AI151" i="43"/>
  <c r="AJ151" i="43" s="1"/>
  <c r="AL151" i="43"/>
  <c r="AA40" i="42"/>
  <c r="AC29" i="42"/>
  <c r="Z277" i="42"/>
  <c r="AA277" i="42" s="1"/>
  <c r="AH205" i="36"/>
  <c r="AA205" i="36"/>
  <c r="AI181" i="42"/>
  <c r="AJ181" i="42" s="1"/>
  <c r="AL181" i="42"/>
  <c r="AI5" i="43"/>
  <c r="AL5" i="43"/>
  <c r="AK97" i="43"/>
  <c r="AR97" i="43"/>
  <c r="AJ92" i="38"/>
  <c r="AK263" i="43"/>
  <c r="AR251" i="43"/>
  <c r="AK251" i="43"/>
  <c r="AI142" i="42"/>
  <c r="AL142" i="42"/>
  <c r="AI143" i="38"/>
  <c r="AJ142" i="43"/>
  <c r="AI23" i="40"/>
  <c r="AJ23" i="40" s="1"/>
  <c r="AL23" i="40"/>
  <c r="AH61" i="36"/>
  <c r="AA61" i="36"/>
  <c r="AI111" i="38"/>
  <c r="AI101" i="38"/>
  <c r="AI103" i="42"/>
  <c r="AL103" i="42"/>
  <c r="AI136" i="40"/>
  <c r="AL136" i="40"/>
  <c r="AI60" i="41"/>
  <c r="AR60" i="41" s="1"/>
  <c r="AL60" i="41"/>
  <c r="AR73" i="40"/>
  <c r="AK73" i="40"/>
  <c r="AJ67" i="43"/>
  <c r="AJ166" i="42"/>
  <c r="AJ214" i="38"/>
  <c r="AI50" i="41"/>
  <c r="AJ50" i="41" s="1"/>
  <c r="AL50" i="41"/>
  <c r="AC149" i="38"/>
  <c r="AA160" i="38"/>
  <c r="Z287" i="38"/>
  <c r="AA287" i="38" s="1"/>
  <c r="AI158" i="42"/>
  <c r="AL158" i="42"/>
  <c r="AA69" i="36"/>
  <c r="AH69" i="36"/>
  <c r="AJ38" i="42"/>
  <c r="AI79" i="42"/>
  <c r="AL79" i="42"/>
  <c r="AJ80" i="43"/>
  <c r="AJ27" i="42"/>
  <c r="AA196" i="38"/>
  <c r="AR117" i="42"/>
  <c r="AK117" i="42"/>
  <c r="AJ166" i="41"/>
  <c r="AA154" i="36"/>
  <c r="AH154" i="36"/>
  <c r="AJ85" i="43"/>
  <c r="AK178" i="43"/>
  <c r="AR178" i="43"/>
  <c r="AJ143" i="43"/>
  <c r="AJ24" i="40"/>
  <c r="AJ103" i="43"/>
  <c r="AR119" i="42"/>
  <c r="AK122" i="43"/>
  <c r="AR122" i="43"/>
  <c r="AJ37" i="43"/>
  <c r="AJ205" i="42"/>
  <c r="AR205" i="42"/>
  <c r="AI183" i="38"/>
  <c r="AJ183" i="38" s="1"/>
  <c r="AJ90" i="42"/>
  <c r="AR90" i="42"/>
  <c r="AR145" i="38"/>
  <c r="AK145" i="38"/>
  <c r="AI147" i="43"/>
  <c r="AJ147" i="43" s="1"/>
  <c r="AL147" i="43"/>
  <c r="AJ111" i="41"/>
  <c r="AR111" i="41"/>
  <c r="AK111" i="41"/>
  <c r="AI127" i="38"/>
  <c r="AK139" i="38" s="1"/>
  <c r="AH192" i="36"/>
  <c r="AA192" i="36"/>
  <c r="AL123" i="42"/>
  <c r="AI123" i="42"/>
  <c r="AI163" i="41"/>
  <c r="AL163" i="41"/>
  <c r="AJ218" i="40"/>
  <c r="AI184" i="43"/>
  <c r="AK196" i="43" s="1"/>
  <c r="AL184" i="43"/>
  <c r="AJ142" i="41"/>
  <c r="AR142" i="41"/>
  <c r="AK142" i="41"/>
  <c r="AJ107" i="38"/>
  <c r="AJ134" i="43"/>
  <c r="AJ189" i="42"/>
  <c r="AR189" i="42"/>
  <c r="AA76" i="38"/>
  <c r="AJ67" i="42"/>
  <c r="AR67" i="42"/>
  <c r="AR116" i="42"/>
  <c r="AK116" i="42"/>
  <c r="AJ200" i="40"/>
  <c r="AR87" i="41"/>
  <c r="AK87" i="41"/>
  <c r="AI177" i="42"/>
  <c r="AK189" i="42" s="1"/>
  <c r="AL177" i="42"/>
  <c r="AJ11" i="42"/>
  <c r="AL214" i="42"/>
  <c r="AH229" i="36"/>
  <c r="AA229" i="36"/>
  <c r="AI41" i="42"/>
  <c r="AC149" i="40"/>
  <c r="Z287" i="40"/>
  <c r="AA287" i="40" s="1"/>
  <c r="AA160" i="40"/>
  <c r="AR225" i="40"/>
  <c r="AK225" i="40"/>
  <c r="AI27" i="36"/>
  <c r="V273" i="36"/>
  <c r="W38" i="36"/>
  <c r="Y27" i="36"/>
  <c r="Z27" i="36" s="1"/>
  <c r="Z281" i="40"/>
  <c r="AA281" i="40" s="1"/>
  <c r="AI179" i="42"/>
  <c r="AL179" i="42"/>
  <c r="AK266" i="40"/>
  <c r="AR266" i="40"/>
  <c r="AJ247" i="40"/>
  <c r="AH137" i="36"/>
  <c r="AA137" i="36"/>
  <c r="AJ102" i="40"/>
  <c r="AR102" i="40"/>
  <c r="AI196" i="40"/>
  <c r="AJ196" i="40" s="1"/>
  <c r="AL196" i="40"/>
  <c r="AI60" i="38"/>
  <c r="AR60" i="38" s="1"/>
  <c r="Z284" i="42"/>
  <c r="AA284" i="42" s="1"/>
  <c r="AA167" i="36"/>
  <c r="AH167" i="36"/>
  <c r="AR164" i="40"/>
  <c r="AJ219" i="38"/>
  <c r="AI49" i="38"/>
  <c r="AK226" i="42"/>
  <c r="AK237" i="41"/>
  <c r="AR237" i="41"/>
  <c r="AI203" i="41"/>
  <c r="AL203" i="41"/>
  <c r="AI85" i="41"/>
  <c r="AR85" i="41" s="1"/>
  <c r="AL85" i="41"/>
  <c r="AK12" i="40"/>
  <c r="AR12" i="40"/>
  <c r="AJ26" i="38"/>
  <c r="AI51" i="36"/>
  <c r="W62" i="36"/>
  <c r="Y51" i="36"/>
  <c r="Z51" i="36" s="1"/>
  <c r="V275" i="36"/>
  <c r="AH10" i="36"/>
  <c r="AA10" i="36"/>
  <c r="AR213" i="40"/>
  <c r="AJ220" i="40"/>
  <c r="AR220" i="40"/>
  <c r="AI41" i="43"/>
  <c r="AR204" i="43"/>
  <c r="AC77" i="42"/>
  <c r="AA88" i="42"/>
  <c r="Z281" i="42"/>
  <c r="AA281" i="42" s="1"/>
  <c r="AJ98" i="42"/>
  <c r="AJ145" i="43"/>
  <c r="AI189" i="38"/>
  <c r="AL56" i="43"/>
  <c r="AJ121" i="42"/>
  <c r="AR121" i="42"/>
  <c r="AR215" i="43"/>
  <c r="AR43" i="38"/>
  <c r="AK43" i="38"/>
  <c r="AI202" i="38"/>
  <c r="AR99" i="38"/>
  <c r="AI139" i="41"/>
  <c r="AL139" i="41"/>
  <c r="AJ22" i="41"/>
  <c r="AA62" i="36"/>
  <c r="AH62" i="36"/>
  <c r="AI63" i="43"/>
  <c r="AL63" i="43"/>
  <c r="AA240" i="36"/>
  <c r="AH240" i="36"/>
  <c r="AK238" i="41"/>
  <c r="AJ34" i="38"/>
  <c r="AI30" i="41"/>
  <c r="AK42" i="41" s="1"/>
  <c r="AL30" i="41"/>
  <c r="AI206" i="43"/>
  <c r="AJ206" i="43" s="1"/>
  <c r="AL206" i="43"/>
  <c r="AI84" i="42"/>
  <c r="AL84" i="42"/>
  <c r="AL16" i="43"/>
  <c r="AK265" i="41"/>
  <c r="AR265" i="41"/>
  <c r="AJ25" i="42"/>
  <c r="AJ24" i="41"/>
  <c r="Z279" i="40"/>
  <c r="AA279" i="40" s="1"/>
  <c r="AJ114" i="38"/>
  <c r="AR165" i="42"/>
  <c r="AJ216" i="40"/>
  <c r="AR216" i="40"/>
  <c r="AK216" i="40"/>
  <c r="AA255" i="36"/>
  <c r="AH255" i="36"/>
  <c r="AJ49" i="40"/>
  <c r="AH33" i="36"/>
  <c r="AA33" i="36"/>
  <c r="AJ82" i="41"/>
  <c r="AJ93" i="43"/>
  <c r="AJ138" i="42"/>
  <c r="AI107" i="42"/>
  <c r="AL107" i="42"/>
  <c r="AJ194" i="42"/>
  <c r="AJ35" i="38"/>
  <c r="AR35" i="38"/>
  <c r="AK35" i="38"/>
  <c r="AI202" i="42"/>
  <c r="AK214" i="42" s="1"/>
  <c r="AL202" i="42"/>
  <c r="AJ266" i="40"/>
  <c r="AR245" i="42"/>
  <c r="AK245" i="42"/>
  <c r="AJ245" i="42"/>
  <c r="AJ103" i="40"/>
  <c r="AK103" i="40"/>
  <c r="AR103" i="40"/>
  <c r="Z283" i="43"/>
  <c r="AA283" i="43" s="1"/>
  <c r="AA193" i="36"/>
  <c r="AH193" i="36"/>
  <c r="AI64" i="42"/>
  <c r="AJ64" i="42" s="1"/>
  <c r="AL64" i="42"/>
  <c r="AI163" i="42"/>
  <c r="AK175" i="42" s="1"/>
  <c r="AL163" i="42"/>
  <c r="AL169" i="42"/>
  <c r="AI44" i="41"/>
  <c r="AK56" i="41" s="1"/>
  <c r="AL44" i="41"/>
  <c r="AJ150" i="38"/>
  <c r="AJ249" i="43"/>
  <c r="AJ37" i="38"/>
  <c r="AJ201" i="40"/>
  <c r="AI182" i="41"/>
  <c r="AR182" i="41" s="1"/>
  <c r="AL182" i="41"/>
  <c r="AH126" i="36"/>
  <c r="AA126" i="36"/>
  <c r="AA170" i="36"/>
  <c r="AH170" i="36"/>
  <c r="AH186" i="36"/>
  <c r="AA186" i="36"/>
  <c r="AH213" i="36"/>
  <c r="AA213" i="36"/>
  <c r="AA183" i="36"/>
  <c r="AH183" i="36"/>
  <c r="AA151" i="36"/>
  <c r="AH151" i="36"/>
  <c r="AA121" i="36"/>
  <c r="AH121" i="36"/>
  <c r="AH189" i="36"/>
  <c r="AA189" i="36"/>
  <c r="AH214" i="36"/>
  <c r="AA214" i="36"/>
  <c r="AA130" i="36"/>
  <c r="AH130" i="36"/>
  <c r="AA204" i="36"/>
  <c r="AH204" i="36"/>
  <c r="AA177" i="36"/>
  <c r="AH177" i="36"/>
  <c r="AA142" i="36"/>
  <c r="AH142" i="36"/>
  <c r="AH143" i="36"/>
  <c r="AA143" i="36"/>
  <c r="AA160" i="36"/>
  <c r="AH160" i="36"/>
  <c r="AH187" i="36"/>
  <c r="AA187" i="36"/>
  <c r="AA166" i="36"/>
  <c r="AH166" i="36"/>
  <c r="AA190" i="36"/>
  <c r="AH190" i="36"/>
  <c r="AA132" i="36"/>
  <c r="AH132" i="36"/>
  <c r="AH162" i="36"/>
  <c r="AA162" i="36"/>
  <c r="AH206" i="36"/>
  <c r="AA206" i="36"/>
  <c r="AJ92" i="42" l="1"/>
  <c r="AR155" i="41"/>
  <c r="AK165" i="41"/>
  <c r="AK167" i="41"/>
  <c r="AJ202" i="43"/>
  <c r="AK193" i="40"/>
  <c r="AJ145" i="40"/>
  <c r="AJ170" i="40"/>
  <c r="AK214" i="40"/>
  <c r="AJ88" i="42"/>
  <c r="AR81" i="42"/>
  <c r="AK19" i="42"/>
  <c r="AK81" i="42"/>
  <c r="AK150" i="42"/>
  <c r="AJ12" i="41"/>
  <c r="AK16" i="42"/>
  <c r="AJ43" i="43"/>
  <c r="AR12" i="41"/>
  <c r="AK145" i="41"/>
  <c r="AR18" i="41"/>
  <c r="AK215" i="43"/>
  <c r="AK141" i="43"/>
  <c r="AJ106" i="42"/>
  <c r="AK162" i="43"/>
  <c r="AK10" i="38"/>
  <c r="AK220" i="41"/>
  <c r="AJ184" i="41"/>
  <c r="AK25" i="41"/>
  <c r="AK232" i="41"/>
  <c r="AK18" i="41"/>
  <c r="AR141" i="43"/>
  <c r="AJ159" i="38"/>
  <c r="AR220" i="41"/>
  <c r="AJ156" i="43"/>
  <c r="AL41" i="42"/>
  <c r="AL77" i="41"/>
  <c r="AK70" i="41"/>
  <c r="AK12" i="41"/>
  <c r="AK229" i="40"/>
  <c r="AK170" i="43"/>
  <c r="AL77" i="40"/>
  <c r="AJ124" i="43"/>
  <c r="AJ160" i="43"/>
  <c r="AJ94" i="43"/>
  <c r="AR10" i="38"/>
  <c r="AK22" i="38"/>
  <c r="AK222" i="43"/>
  <c r="AJ210" i="43"/>
  <c r="AJ161" i="44"/>
  <c r="AQ161" i="44"/>
  <c r="AI161" i="44"/>
  <c r="AJ202" i="41"/>
  <c r="AJ150" i="40"/>
  <c r="AK150" i="40"/>
  <c r="AK199" i="41"/>
  <c r="AK205" i="43"/>
  <c r="AK42" i="38"/>
  <c r="AJ173" i="44"/>
  <c r="AQ173" i="44"/>
  <c r="AI173" i="44"/>
  <c r="AQ137" i="44"/>
  <c r="AJ137" i="44"/>
  <c r="AI137" i="44"/>
  <c r="AI5" i="44"/>
  <c r="AJ5" i="44"/>
  <c r="AQ5" i="44"/>
  <c r="AJ221" i="44"/>
  <c r="AQ209" i="44"/>
  <c r="AJ209" i="44"/>
  <c r="AI209" i="44"/>
  <c r="AJ63" i="40"/>
  <c r="AK210" i="43"/>
  <c r="AJ87" i="38"/>
  <c r="AR210" i="43"/>
  <c r="AC272" i="43"/>
  <c r="AK57" i="41"/>
  <c r="AJ17" i="44"/>
  <c r="AQ17" i="44"/>
  <c r="AI17" i="44"/>
  <c r="AI149" i="44"/>
  <c r="AQ149" i="44"/>
  <c r="AJ149" i="44"/>
  <c r="AJ29" i="44"/>
  <c r="AQ29" i="44"/>
  <c r="AI29" i="44"/>
  <c r="AI53" i="44"/>
  <c r="AJ53" i="44"/>
  <c r="AQ53" i="44"/>
  <c r="AJ125" i="44"/>
  <c r="AQ125" i="44"/>
  <c r="AI125" i="44"/>
  <c r="AQ65" i="44"/>
  <c r="AJ65" i="44"/>
  <c r="AI65" i="44"/>
  <c r="AQ185" i="44"/>
  <c r="AJ185" i="44"/>
  <c r="AI185" i="44"/>
  <c r="AK194" i="41"/>
  <c r="AK146" i="38"/>
  <c r="AJ85" i="41"/>
  <c r="AJ56" i="40"/>
  <c r="AJ164" i="43"/>
  <c r="AJ114" i="43"/>
  <c r="AJ89" i="44"/>
  <c r="AQ89" i="44"/>
  <c r="AI89" i="44"/>
  <c r="AQ197" i="44"/>
  <c r="AJ197" i="44"/>
  <c r="AI197" i="44"/>
  <c r="AJ113" i="44"/>
  <c r="AQ113" i="44"/>
  <c r="AI113" i="44"/>
  <c r="AQ41" i="44"/>
  <c r="AJ41" i="44"/>
  <c r="AI41" i="44"/>
  <c r="AQ101" i="44"/>
  <c r="AJ101" i="44"/>
  <c r="AI101" i="44"/>
  <c r="AQ77" i="44"/>
  <c r="AJ77" i="44"/>
  <c r="AI77" i="44"/>
  <c r="AJ115" i="41"/>
  <c r="AK76" i="42"/>
  <c r="AJ90" i="40"/>
  <c r="AJ121" i="38"/>
  <c r="AJ54" i="41"/>
  <c r="AK218" i="43"/>
  <c r="AJ38" i="40"/>
  <c r="AK102" i="41"/>
  <c r="AK213" i="42"/>
  <c r="AK128" i="40"/>
  <c r="AJ136" i="38"/>
  <c r="AK23" i="41"/>
  <c r="AK40" i="42"/>
  <c r="AK39" i="40"/>
  <c r="AJ60" i="41"/>
  <c r="AK127" i="40"/>
  <c r="AJ81" i="43"/>
  <c r="AJ88" i="40"/>
  <c r="AJ86" i="38"/>
  <c r="AJ128" i="43"/>
  <c r="AJ128" i="41"/>
  <c r="AJ182" i="41"/>
  <c r="AJ159" i="40"/>
  <c r="AK172" i="43"/>
  <c r="AJ58" i="41"/>
  <c r="AK96" i="42"/>
  <c r="AR84" i="42"/>
  <c r="AK84" i="42"/>
  <c r="AK63" i="43"/>
  <c r="AR63" i="43"/>
  <c r="AR139" i="41"/>
  <c r="AK139" i="41"/>
  <c r="AK202" i="38"/>
  <c r="AR202" i="38"/>
  <c r="AK189" i="38"/>
  <c r="AR189" i="38"/>
  <c r="AK49" i="38"/>
  <c r="AR49" i="38"/>
  <c r="AK179" i="42"/>
  <c r="AR179" i="42"/>
  <c r="AR123" i="42"/>
  <c r="AK123" i="42"/>
  <c r="AJ79" i="42"/>
  <c r="AR79" i="42"/>
  <c r="AK79" i="42"/>
  <c r="AJ158" i="42"/>
  <c r="AK158" i="42"/>
  <c r="AR158" i="42"/>
  <c r="AI149" i="38"/>
  <c r="AR101" i="38"/>
  <c r="AJ101" i="38"/>
  <c r="AK17" i="43"/>
  <c r="AR17" i="43"/>
  <c r="AJ17" i="43"/>
  <c r="AR84" i="41"/>
  <c r="AK84" i="41"/>
  <c r="AK169" i="38"/>
  <c r="AR169" i="38"/>
  <c r="AJ56" i="38"/>
  <c r="AR56" i="38"/>
  <c r="AK56" i="38"/>
  <c r="AI125" i="38"/>
  <c r="AR77" i="41"/>
  <c r="AJ77" i="41"/>
  <c r="AJ64" i="40"/>
  <c r="AR64" i="40"/>
  <c r="AK64" i="40"/>
  <c r="AJ198" i="40"/>
  <c r="AK198" i="40"/>
  <c r="AR198" i="40"/>
  <c r="AJ175" i="40"/>
  <c r="AK175" i="40"/>
  <c r="AR175" i="40"/>
  <c r="AK201" i="41"/>
  <c r="AR201" i="41"/>
  <c r="AK85" i="42"/>
  <c r="AR85" i="42"/>
  <c r="AR21" i="41"/>
  <c r="AK21" i="41"/>
  <c r="AK220" i="43"/>
  <c r="AK208" i="43"/>
  <c r="AR208" i="43"/>
  <c r="AR127" i="43"/>
  <c r="AK127" i="43"/>
  <c r="AR182" i="40"/>
  <c r="AK182" i="40"/>
  <c r="AR31" i="41"/>
  <c r="AK31" i="41"/>
  <c r="AI113" i="38"/>
  <c r="AR75" i="42"/>
  <c r="AK75" i="42"/>
  <c r="AK257" i="43"/>
  <c r="AR245" i="43"/>
  <c r="AK245" i="43"/>
  <c r="AJ245" i="43"/>
  <c r="AR182" i="38"/>
  <c r="AK182" i="38"/>
  <c r="AK227" i="42"/>
  <c r="AR215" i="42"/>
  <c r="AK215" i="42"/>
  <c r="AR59" i="40"/>
  <c r="AK59" i="40"/>
  <c r="AJ149" i="43"/>
  <c r="AK149" i="43"/>
  <c r="AR149" i="43"/>
  <c r="AJ130" i="42"/>
  <c r="AR130" i="42"/>
  <c r="AK130" i="42"/>
  <c r="AR201" i="38"/>
  <c r="AK201" i="38"/>
  <c r="AK58" i="42"/>
  <c r="AR58" i="42"/>
  <c r="AI29" i="40"/>
  <c r="AK29" i="40" s="1"/>
  <c r="AL29" i="40"/>
  <c r="AR153" i="38"/>
  <c r="AK153" i="38"/>
  <c r="AJ139" i="41"/>
  <c r="AK167" i="42"/>
  <c r="AK155" i="42"/>
  <c r="AR155" i="42"/>
  <c r="AK181" i="38"/>
  <c r="AI173" i="40"/>
  <c r="AK185" i="40" s="1"/>
  <c r="AL173" i="40"/>
  <c r="AJ60" i="38"/>
  <c r="AR131" i="41"/>
  <c r="AK131" i="41"/>
  <c r="AR143" i="41"/>
  <c r="AK143" i="41"/>
  <c r="AH135" i="36"/>
  <c r="AA135" i="36"/>
  <c r="AJ57" i="38"/>
  <c r="AK57" i="38"/>
  <c r="AR57" i="38"/>
  <c r="AI173" i="42"/>
  <c r="AL173" i="42"/>
  <c r="AR98" i="41"/>
  <c r="AK98" i="41"/>
  <c r="AI53" i="43"/>
  <c r="AK65" i="43" s="1"/>
  <c r="AL53" i="43"/>
  <c r="AI173" i="41"/>
  <c r="AL173" i="41"/>
  <c r="AR82" i="43"/>
  <c r="AK82" i="43"/>
  <c r="AJ160" i="40"/>
  <c r="AK160" i="40"/>
  <c r="AR160" i="40"/>
  <c r="AR74" i="41"/>
  <c r="AK74" i="41"/>
  <c r="AR62" i="42"/>
  <c r="AK62" i="42"/>
  <c r="AK194" i="38"/>
  <c r="AR194" i="38"/>
  <c r="AI89" i="38"/>
  <c r="AJ203" i="40"/>
  <c r="AR203" i="40"/>
  <c r="AK203" i="40"/>
  <c r="AR131" i="42"/>
  <c r="AK131" i="42"/>
  <c r="AI185" i="42"/>
  <c r="AL185" i="42"/>
  <c r="AJ156" i="42"/>
  <c r="AR156" i="42"/>
  <c r="AK156" i="42"/>
  <c r="AK165" i="38"/>
  <c r="AR165" i="38"/>
  <c r="AK60" i="41"/>
  <c r="AK48" i="41"/>
  <c r="AR48" i="41"/>
  <c r="AJ85" i="42"/>
  <c r="AC272" i="42"/>
  <c r="AR161" i="38"/>
  <c r="AJ161" i="38"/>
  <c r="AR81" i="41"/>
  <c r="AK81" i="41"/>
  <c r="AR201" i="43"/>
  <c r="AK201" i="43"/>
  <c r="AR70" i="42"/>
  <c r="AK70" i="42"/>
  <c r="AK188" i="38"/>
  <c r="AR188" i="38"/>
  <c r="AK107" i="43"/>
  <c r="AR107" i="43"/>
  <c r="AI125" i="41"/>
  <c r="AL125" i="41"/>
  <c r="AI29" i="38"/>
  <c r="AK217" i="41"/>
  <c r="AR217" i="41"/>
  <c r="AK229" i="41"/>
  <c r="AK69" i="43"/>
  <c r="AK57" i="43"/>
  <c r="AR57" i="43"/>
  <c r="AK203" i="38"/>
  <c r="AR203" i="38"/>
  <c r="AH63" i="36"/>
  <c r="AA63" i="36"/>
  <c r="AJ182" i="38"/>
  <c r="AJ59" i="40"/>
  <c r="AR195" i="38"/>
  <c r="AK195" i="38"/>
  <c r="AR180" i="42"/>
  <c r="AK180" i="42"/>
  <c r="AK207" i="43"/>
  <c r="AR207" i="43"/>
  <c r="AR211" i="38"/>
  <c r="AK211" i="38"/>
  <c r="AK223" i="38"/>
  <c r="AR67" i="38"/>
  <c r="AK67" i="38"/>
  <c r="AJ87" i="40"/>
  <c r="AK87" i="40"/>
  <c r="AR87" i="40"/>
  <c r="AJ35" i="42"/>
  <c r="AK35" i="42"/>
  <c r="AR35" i="42"/>
  <c r="AJ59" i="42"/>
  <c r="AK59" i="42"/>
  <c r="AR59" i="42"/>
  <c r="AH87" i="36"/>
  <c r="AA87" i="36"/>
  <c r="AK68" i="42"/>
  <c r="AR68" i="42"/>
  <c r="AK110" i="41"/>
  <c r="AR27" i="38"/>
  <c r="AK27" i="38"/>
  <c r="AJ178" i="42"/>
  <c r="AR178" i="42"/>
  <c r="AK178" i="42"/>
  <c r="AA195" i="36"/>
  <c r="AH195" i="36"/>
  <c r="AJ154" i="42"/>
  <c r="AJ187" i="40"/>
  <c r="AR187" i="40"/>
  <c r="AK187" i="40"/>
  <c r="AR24" i="43"/>
  <c r="AK24" i="43"/>
  <c r="AR146" i="42"/>
  <c r="AK146" i="42"/>
  <c r="AR175" i="43"/>
  <c r="AK175" i="43"/>
  <c r="AR195" i="41"/>
  <c r="AK195" i="41"/>
  <c r="AR117" i="43"/>
  <c r="AK117" i="43"/>
  <c r="AR158" i="41"/>
  <c r="AK158" i="41"/>
  <c r="AR219" i="42"/>
  <c r="AK219" i="42"/>
  <c r="AR135" i="38"/>
  <c r="AK135" i="38"/>
  <c r="AK63" i="40"/>
  <c r="AR51" i="40"/>
  <c r="AK51" i="40"/>
  <c r="AJ193" i="42"/>
  <c r="AK193" i="42"/>
  <c r="AR193" i="42"/>
  <c r="AK129" i="40"/>
  <c r="AR129" i="40"/>
  <c r="AR9" i="38"/>
  <c r="AK9" i="38"/>
  <c r="AJ201" i="43"/>
  <c r="AJ31" i="40"/>
  <c r="AR31" i="40"/>
  <c r="AK31" i="40"/>
  <c r="AJ107" i="43"/>
  <c r="AK231" i="42"/>
  <c r="AR157" i="41"/>
  <c r="AK157" i="41"/>
  <c r="AR210" i="38"/>
  <c r="AK210" i="38"/>
  <c r="AK222" i="38"/>
  <c r="AR168" i="38"/>
  <c r="AK168" i="38"/>
  <c r="AJ196" i="42"/>
  <c r="AR196" i="42"/>
  <c r="AK196" i="42"/>
  <c r="AJ132" i="42"/>
  <c r="AR132" i="42"/>
  <c r="AK132" i="42"/>
  <c r="AI101" i="42"/>
  <c r="AL101" i="42"/>
  <c r="AI89" i="40"/>
  <c r="AL89" i="40"/>
  <c r="AJ19" i="38"/>
  <c r="AK19" i="38"/>
  <c r="AR19" i="38"/>
  <c r="AK84" i="38"/>
  <c r="AR84" i="38"/>
  <c r="AK192" i="41"/>
  <c r="AR192" i="41"/>
  <c r="AR82" i="38"/>
  <c r="AK82" i="38"/>
  <c r="AR217" i="43"/>
  <c r="AK217" i="43"/>
  <c r="AK229" i="43"/>
  <c r="AR190" i="41"/>
  <c r="AK190" i="41"/>
  <c r="AJ205" i="40"/>
  <c r="AR205" i="40"/>
  <c r="AK205" i="40"/>
  <c r="AK53" i="40"/>
  <c r="AR53" i="40"/>
  <c r="AJ53" i="40"/>
  <c r="AR160" i="42"/>
  <c r="AK160" i="42"/>
  <c r="AK90" i="41"/>
  <c r="AK78" i="41"/>
  <c r="AR78" i="41"/>
  <c r="AR44" i="38"/>
  <c r="AK44" i="38"/>
  <c r="AJ123" i="42"/>
  <c r="AR55" i="41"/>
  <c r="AK55" i="41"/>
  <c r="AR195" i="42"/>
  <c r="AK195" i="42"/>
  <c r="AJ210" i="42"/>
  <c r="AR210" i="42"/>
  <c r="AK210" i="42"/>
  <c r="AK222" i="42"/>
  <c r="AA207" i="36"/>
  <c r="AJ68" i="42"/>
  <c r="AK188" i="43"/>
  <c r="AR188" i="43"/>
  <c r="AJ190" i="42"/>
  <c r="AR190" i="42"/>
  <c r="AK190" i="42"/>
  <c r="AR132" i="38"/>
  <c r="AK132" i="38"/>
  <c r="AK139" i="43"/>
  <c r="AR139" i="43"/>
  <c r="AR178" i="40"/>
  <c r="AK178" i="40"/>
  <c r="AL149" i="42"/>
  <c r="AJ109" i="40"/>
  <c r="AK109" i="40"/>
  <c r="AR109" i="40"/>
  <c r="AR143" i="42"/>
  <c r="AK143" i="42"/>
  <c r="AR206" i="38"/>
  <c r="AK206" i="38"/>
  <c r="AR49" i="43"/>
  <c r="AK49" i="43"/>
  <c r="AR81" i="38"/>
  <c r="AK81" i="38"/>
  <c r="AR127" i="41"/>
  <c r="AK127" i="41"/>
  <c r="AJ152" i="40"/>
  <c r="AR152" i="40"/>
  <c r="AK152" i="40"/>
  <c r="AL113" i="40"/>
  <c r="AJ9" i="38"/>
  <c r="AR36" i="43"/>
  <c r="AK36" i="43"/>
  <c r="AR66" i="42"/>
  <c r="AK66" i="42"/>
  <c r="AR62" i="41"/>
  <c r="AK62" i="41"/>
  <c r="AR7" i="40"/>
  <c r="AK7" i="40"/>
  <c r="AR83" i="41"/>
  <c r="AK83" i="41"/>
  <c r="AI41" i="38"/>
  <c r="AI137" i="42"/>
  <c r="AL137" i="42"/>
  <c r="AK183" i="43"/>
  <c r="AR183" i="43"/>
  <c r="AK155" i="41"/>
  <c r="AR50" i="38"/>
  <c r="AK50" i="38"/>
  <c r="AR191" i="43"/>
  <c r="AK191" i="43"/>
  <c r="AR135" i="43"/>
  <c r="AK135" i="43"/>
  <c r="AK28" i="38"/>
  <c r="AR28" i="38"/>
  <c r="AR202" i="42"/>
  <c r="AK202" i="42"/>
  <c r="AR30" i="41"/>
  <c r="AK30" i="41"/>
  <c r="AJ67" i="40"/>
  <c r="AJ155" i="42"/>
  <c r="AI77" i="42"/>
  <c r="AL77" i="42"/>
  <c r="AJ41" i="43"/>
  <c r="AR41" i="43"/>
  <c r="AJ131" i="41"/>
  <c r="AJ143" i="41"/>
  <c r="AR41" i="42"/>
  <c r="AJ41" i="42"/>
  <c r="AK177" i="42"/>
  <c r="AR177" i="42"/>
  <c r="AK184" i="43"/>
  <c r="AR184" i="43"/>
  <c r="AK127" i="38"/>
  <c r="AR127" i="38"/>
  <c r="AJ195" i="42"/>
  <c r="AK143" i="38"/>
  <c r="AR143" i="38"/>
  <c r="AK154" i="42"/>
  <c r="AK142" i="42"/>
  <c r="AR142" i="42"/>
  <c r="AK43" i="41"/>
  <c r="AK113" i="43"/>
  <c r="AR113" i="43"/>
  <c r="AJ113" i="43"/>
  <c r="AJ199" i="40"/>
  <c r="AK199" i="40"/>
  <c r="AR199" i="40"/>
  <c r="AJ45" i="42"/>
  <c r="AK45" i="42"/>
  <c r="AR45" i="42"/>
  <c r="AR209" i="38"/>
  <c r="AJ209" i="38"/>
  <c r="AK221" i="38"/>
  <c r="AK71" i="40"/>
  <c r="AJ206" i="38"/>
  <c r="AJ91" i="43"/>
  <c r="AR91" i="43"/>
  <c r="AK91" i="43"/>
  <c r="AJ81" i="38"/>
  <c r="AH147" i="36"/>
  <c r="AA147" i="36"/>
  <c r="AK207" i="38"/>
  <c r="AK62" i="38"/>
  <c r="AJ70" i="42"/>
  <c r="AR215" i="41"/>
  <c r="AK215" i="41"/>
  <c r="AJ83" i="41"/>
  <c r="AJ217" i="41"/>
  <c r="AJ58" i="40"/>
  <c r="AR58" i="40"/>
  <c r="AK58" i="40"/>
  <c r="AK67" i="40"/>
  <c r="AR55" i="40"/>
  <c r="AK55" i="40"/>
  <c r="AJ203" i="38"/>
  <c r="AK94" i="38"/>
  <c r="AR137" i="38"/>
  <c r="AK137" i="38"/>
  <c r="AJ137" i="38"/>
  <c r="AR78" i="42"/>
  <c r="AK78" i="42"/>
  <c r="AR200" i="43"/>
  <c r="AK200" i="43"/>
  <c r="AJ171" i="42"/>
  <c r="AR171" i="42"/>
  <c r="AK171" i="42"/>
  <c r="AK117" i="38"/>
  <c r="AR117" i="38"/>
  <c r="AR70" i="40"/>
  <c r="AK70" i="40"/>
  <c r="AJ102" i="42"/>
  <c r="AK102" i="42"/>
  <c r="AR102" i="42"/>
  <c r="AR138" i="43"/>
  <c r="AK138" i="43"/>
  <c r="AL89" i="43"/>
  <c r="AR161" i="41"/>
  <c r="AJ161" i="41"/>
  <c r="AR201" i="40"/>
  <c r="AK201" i="40"/>
  <c r="AI29" i="41"/>
  <c r="AL29" i="41"/>
  <c r="AJ202" i="42"/>
  <c r="AK39" i="38"/>
  <c r="AR176" i="43"/>
  <c r="AK176" i="43"/>
  <c r="AJ30" i="41"/>
  <c r="AK92" i="41"/>
  <c r="AR92" i="41"/>
  <c r="AJ179" i="42"/>
  <c r="AK210" i="41"/>
  <c r="AR210" i="41"/>
  <c r="AK222" i="41"/>
  <c r="AK143" i="43"/>
  <c r="AR143" i="43"/>
  <c r="AI197" i="40"/>
  <c r="AK209" i="40" s="1"/>
  <c r="AL197" i="40"/>
  <c r="AK208" i="40"/>
  <c r="AR208" i="40"/>
  <c r="AL113" i="41"/>
  <c r="AI113" i="41"/>
  <c r="AR126" i="43"/>
  <c r="AK126" i="43"/>
  <c r="AJ27" i="38"/>
  <c r="AK181" i="43"/>
  <c r="AR181" i="43"/>
  <c r="AK38" i="38"/>
  <c r="AR38" i="38"/>
  <c r="AR107" i="41"/>
  <c r="AK107" i="41"/>
  <c r="AR96" i="43"/>
  <c r="AK96" i="43"/>
  <c r="AR129" i="41"/>
  <c r="AK129" i="41"/>
  <c r="AK200" i="42"/>
  <c r="AR200" i="42"/>
  <c r="AJ195" i="41"/>
  <c r="AR174" i="43"/>
  <c r="AK174" i="43"/>
  <c r="AR204" i="42"/>
  <c r="AK204" i="42"/>
  <c r="AR48" i="42"/>
  <c r="AK48" i="42"/>
  <c r="AK115" i="38"/>
  <c r="AR115" i="38"/>
  <c r="AK59" i="43"/>
  <c r="AR59" i="43"/>
  <c r="AK43" i="40"/>
  <c r="AR209" i="40"/>
  <c r="AJ209" i="40"/>
  <c r="AK82" i="42"/>
  <c r="AA39" i="36"/>
  <c r="AH39" i="36"/>
  <c r="AR78" i="40"/>
  <c r="AK78" i="40"/>
  <c r="AK257" i="41"/>
  <c r="AR257" i="41"/>
  <c r="AJ257" i="41"/>
  <c r="AR54" i="42"/>
  <c r="AK54" i="42"/>
  <c r="AR93" i="42"/>
  <c r="AK93" i="42"/>
  <c r="AR63" i="38"/>
  <c r="AK63" i="38"/>
  <c r="AJ52" i="40"/>
  <c r="AR52" i="40"/>
  <c r="AK52" i="40"/>
  <c r="AI161" i="42"/>
  <c r="AL161" i="42"/>
  <c r="AK154" i="38"/>
  <c r="AR154" i="38"/>
  <c r="AJ75" i="42"/>
  <c r="AR89" i="41"/>
  <c r="AK89" i="41"/>
  <c r="AJ89" i="41"/>
  <c r="AR64" i="41"/>
  <c r="AK64" i="41"/>
  <c r="AJ78" i="42"/>
  <c r="AJ204" i="40"/>
  <c r="AK204" i="40"/>
  <c r="AR204" i="40"/>
  <c r="AR151" i="40"/>
  <c r="AK151" i="40"/>
  <c r="AK257" i="42"/>
  <c r="AR257" i="42"/>
  <c r="AJ257" i="42"/>
  <c r="AR120" i="41"/>
  <c r="AK120" i="41"/>
  <c r="AJ177" i="41"/>
  <c r="AR177" i="41"/>
  <c r="AK177" i="41"/>
  <c r="AJ61" i="41"/>
  <c r="AR61" i="41"/>
  <c r="AK61" i="41"/>
  <c r="AJ201" i="38"/>
  <c r="AJ58" i="42"/>
  <c r="AR46" i="42"/>
  <c r="AK46" i="42"/>
  <c r="AR167" i="38"/>
  <c r="AK167" i="38"/>
  <c r="AR134" i="42"/>
  <c r="AK134" i="42"/>
  <c r="AK101" i="43"/>
  <c r="AR101" i="43"/>
  <c r="AJ101" i="43"/>
  <c r="AR203" i="42"/>
  <c r="AK203" i="42"/>
  <c r="AR38" i="40"/>
  <c r="AK38" i="40"/>
  <c r="AK168" i="42"/>
  <c r="AR163" i="40"/>
  <c r="AK163" i="40"/>
  <c r="AK184" i="40"/>
  <c r="AR184" i="40"/>
  <c r="AK113" i="42"/>
  <c r="AR113" i="42"/>
  <c r="AJ113" i="42"/>
  <c r="AR77" i="40"/>
  <c r="AJ77" i="40"/>
  <c r="AK31" i="38"/>
  <c r="AJ151" i="41"/>
  <c r="AK151" i="41"/>
  <c r="AR151" i="41"/>
  <c r="AA123" i="36"/>
  <c r="AH123" i="36"/>
  <c r="AJ154" i="40"/>
  <c r="AK154" i="40"/>
  <c r="AR154" i="40"/>
  <c r="AK257" i="40"/>
  <c r="AR257" i="40"/>
  <c r="AJ257" i="40"/>
  <c r="AK49" i="41"/>
  <c r="AR49" i="41"/>
  <c r="AK213" i="41"/>
  <c r="AK83" i="38"/>
  <c r="AR83" i="38"/>
  <c r="AK163" i="38"/>
  <c r="AR163" i="38"/>
  <c r="AK66" i="43"/>
  <c r="AR66" i="43"/>
  <c r="AR101" i="41"/>
  <c r="AK101" i="41"/>
  <c r="AJ101" i="41"/>
  <c r="AK80" i="42"/>
  <c r="AR80" i="42"/>
  <c r="AJ115" i="38"/>
  <c r="AK24" i="42"/>
  <c r="AK12" i="42"/>
  <c r="AR12" i="42"/>
  <c r="AJ49" i="43"/>
  <c r="AK186" i="43"/>
  <c r="AR207" i="42"/>
  <c r="AK207" i="42"/>
  <c r="AK195" i="43"/>
  <c r="AR175" i="41"/>
  <c r="AK175" i="41"/>
  <c r="AK200" i="38"/>
  <c r="AR200" i="38"/>
  <c r="AR50" i="42"/>
  <c r="AK50" i="42"/>
  <c r="AK223" i="43"/>
  <c r="AR211" i="43"/>
  <c r="AK211" i="43"/>
  <c r="AK179" i="40"/>
  <c r="AR179" i="40"/>
  <c r="AJ208" i="42"/>
  <c r="AR208" i="42"/>
  <c r="AK208" i="42"/>
  <c r="AK93" i="41"/>
  <c r="AR182" i="43"/>
  <c r="AK182" i="43"/>
  <c r="AK202" i="40"/>
  <c r="AR202" i="40"/>
  <c r="AJ154" i="38"/>
  <c r="AJ62" i="40"/>
  <c r="AR62" i="40"/>
  <c r="AK62" i="40"/>
  <c r="AR129" i="43"/>
  <c r="AK129" i="43"/>
  <c r="AR17" i="38"/>
  <c r="AK17" i="38"/>
  <c r="AJ17" i="38"/>
  <c r="AC272" i="38"/>
  <c r="AK79" i="38"/>
  <c r="AR79" i="38"/>
  <c r="AJ50" i="38"/>
  <c r="AK155" i="43"/>
  <c r="AK5" i="41"/>
  <c r="AR5" i="41"/>
  <c r="AK51" i="38"/>
  <c r="AR51" i="38"/>
  <c r="AR161" i="40"/>
  <c r="AJ161" i="40"/>
  <c r="AJ195" i="38"/>
  <c r="AJ28" i="38"/>
  <c r="AJ180" i="42"/>
  <c r="AK68" i="38"/>
  <c r="AR128" i="38"/>
  <c r="AK128" i="38"/>
  <c r="AR52" i="41"/>
  <c r="AK52" i="41"/>
  <c r="AJ72" i="38"/>
  <c r="AR72" i="38"/>
  <c r="AK72" i="38"/>
  <c r="AJ15" i="43"/>
  <c r="AR15" i="43"/>
  <c r="AK15" i="43"/>
  <c r="AJ189" i="38"/>
  <c r="AJ88" i="41"/>
  <c r="AK88" i="41"/>
  <c r="AR88" i="41"/>
  <c r="AK116" i="40"/>
  <c r="AR104" i="40"/>
  <c r="AK104" i="40"/>
  <c r="AK170" i="41"/>
  <c r="AR65" i="38"/>
  <c r="AJ65" i="38"/>
  <c r="AJ184" i="43"/>
  <c r="AK85" i="41"/>
  <c r="AK73" i="41"/>
  <c r="AR73" i="41"/>
  <c r="AK134" i="38"/>
  <c r="AR134" i="38"/>
  <c r="AR164" i="42"/>
  <c r="AK164" i="42"/>
  <c r="AJ174" i="40"/>
  <c r="AR174" i="40"/>
  <c r="AK174" i="40"/>
  <c r="AK199" i="38"/>
  <c r="AR199" i="38"/>
  <c r="AR31" i="43"/>
  <c r="AK31" i="43"/>
  <c r="AR49" i="42"/>
  <c r="AK49" i="42"/>
  <c r="AR25" i="43"/>
  <c r="AK25" i="43"/>
  <c r="AK96" i="38"/>
  <c r="AR96" i="38"/>
  <c r="AR9" i="41"/>
  <c r="AK9" i="41"/>
  <c r="AJ49" i="41"/>
  <c r="AK171" i="40"/>
  <c r="AR12" i="38"/>
  <c r="AK12" i="38"/>
  <c r="AR155" i="38"/>
  <c r="AK155" i="38"/>
  <c r="AR211" i="41"/>
  <c r="AK211" i="41"/>
  <c r="AK223" i="41"/>
  <c r="AK193" i="43"/>
  <c r="AR193" i="43"/>
  <c r="AR131" i="43"/>
  <c r="AK131" i="43"/>
  <c r="AR133" i="42"/>
  <c r="AK133" i="42"/>
  <c r="AR26" i="41"/>
  <c r="AK26" i="41"/>
  <c r="AJ146" i="42"/>
  <c r="AK48" i="43"/>
  <c r="AJ98" i="40"/>
  <c r="AR98" i="40"/>
  <c r="AK98" i="40"/>
  <c r="AK44" i="43"/>
  <c r="AR44" i="43"/>
  <c r="AJ12" i="42"/>
  <c r="AJ117" i="43"/>
  <c r="AR206" i="41"/>
  <c r="AK206" i="41"/>
  <c r="AK58" i="41"/>
  <c r="AK46" i="41"/>
  <c r="AR46" i="41"/>
  <c r="AK219" i="43"/>
  <c r="AR219" i="43"/>
  <c r="AK231" i="43"/>
  <c r="AR190" i="38"/>
  <c r="AK190" i="38"/>
  <c r="AK177" i="38"/>
  <c r="AI149" i="41"/>
  <c r="AK161" i="41" s="1"/>
  <c r="AL149" i="41"/>
  <c r="AR113" i="40"/>
  <c r="AJ113" i="40"/>
  <c r="AK194" i="43"/>
  <c r="AR194" i="43"/>
  <c r="AH75" i="36"/>
  <c r="AA75" i="36"/>
  <c r="AR109" i="42"/>
  <c r="AK109" i="42"/>
  <c r="AK208" i="38"/>
  <c r="AR208" i="38"/>
  <c r="AK220" i="38"/>
  <c r="AJ208" i="43"/>
  <c r="AR13" i="43"/>
  <c r="AK13" i="43"/>
  <c r="AL41" i="40"/>
  <c r="AJ182" i="40"/>
  <c r="AR40" i="38"/>
  <c r="AK40" i="38"/>
  <c r="AJ210" i="38"/>
  <c r="AK20" i="40"/>
  <c r="AR8" i="40"/>
  <c r="AK8" i="40"/>
  <c r="AJ10" i="40"/>
  <c r="AK10" i="40"/>
  <c r="AR10" i="40"/>
  <c r="AK180" i="43"/>
  <c r="AR180" i="43"/>
  <c r="AJ82" i="38"/>
  <c r="AK204" i="41"/>
  <c r="AR204" i="41"/>
  <c r="AA159" i="36"/>
  <c r="AH159" i="36"/>
  <c r="AJ217" i="43"/>
  <c r="AK207" i="41"/>
  <c r="AJ107" i="42"/>
  <c r="AR107" i="42"/>
  <c r="AK107" i="42"/>
  <c r="AK121" i="42"/>
  <c r="AK213" i="40"/>
  <c r="AK203" i="41"/>
  <c r="AR203" i="41"/>
  <c r="AJ160" i="42"/>
  <c r="AK164" i="40"/>
  <c r="AJ44" i="38"/>
  <c r="AK163" i="41"/>
  <c r="AR163" i="41"/>
  <c r="AJ199" i="38"/>
  <c r="AR136" i="40"/>
  <c r="AK136" i="40"/>
  <c r="AK103" i="42"/>
  <c r="AR103" i="42"/>
  <c r="AK111" i="38"/>
  <c r="AR111" i="38"/>
  <c r="AJ5" i="43"/>
  <c r="AR5" i="43"/>
  <c r="AK5" i="43"/>
  <c r="AK181" i="42"/>
  <c r="AR181" i="42"/>
  <c r="AR151" i="43"/>
  <c r="AK151" i="43"/>
  <c r="AR54" i="40"/>
  <c r="AK54" i="40"/>
  <c r="AR197" i="42"/>
  <c r="AK197" i="42"/>
  <c r="AJ197" i="42"/>
  <c r="AR174" i="42"/>
  <c r="AK174" i="42"/>
  <c r="AK177" i="40"/>
  <c r="AR177" i="40"/>
  <c r="AJ82" i="43"/>
  <c r="AK158" i="43"/>
  <c r="AR158" i="43"/>
  <c r="AK213" i="38"/>
  <c r="AR213" i="38"/>
  <c r="AK225" i="38"/>
  <c r="AR118" i="40"/>
  <c r="AK118" i="40"/>
  <c r="AJ194" i="38"/>
  <c r="AK159" i="40"/>
  <c r="AR147" i="40"/>
  <c r="AK147" i="40"/>
  <c r="AJ96" i="43"/>
  <c r="AK213" i="43"/>
  <c r="AJ212" i="40"/>
  <c r="AK212" i="40"/>
  <c r="AR212" i="40"/>
  <c r="AJ48" i="41"/>
  <c r="AJ55" i="42"/>
  <c r="AK55" i="42"/>
  <c r="AR55" i="42"/>
  <c r="AR183" i="42"/>
  <c r="AK183" i="42"/>
  <c r="AJ60" i="42"/>
  <c r="AR60" i="42"/>
  <c r="AK60" i="42"/>
  <c r="AJ36" i="43"/>
  <c r="AJ188" i="38"/>
  <c r="AK47" i="42"/>
  <c r="AK172" i="40"/>
  <c r="AJ191" i="40"/>
  <c r="AR191" i="40"/>
  <c r="AK191" i="40"/>
  <c r="AR137" i="43"/>
  <c r="AJ137" i="43"/>
  <c r="AR205" i="38"/>
  <c r="AK205" i="38"/>
  <c r="AK52" i="38"/>
  <c r="AR52" i="38"/>
  <c r="AJ72" i="41"/>
  <c r="AR72" i="41"/>
  <c r="AK72" i="41"/>
  <c r="AR136" i="38"/>
  <c r="AK136" i="38"/>
  <c r="AJ95" i="41"/>
  <c r="AK95" i="41"/>
  <c r="AR95" i="41"/>
  <c r="AR154" i="41"/>
  <c r="AK154" i="41"/>
  <c r="AJ88" i="43"/>
  <c r="AK88" i="43"/>
  <c r="AR88" i="43"/>
  <c r="AJ204" i="41"/>
  <c r="AJ45" i="40"/>
  <c r="AR45" i="40"/>
  <c r="AK45" i="40"/>
  <c r="AK193" i="41"/>
  <c r="AR193" i="41"/>
  <c r="AK89" i="43"/>
  <c r="AR89" i="43"/>
  <c r="AJ89" i="43"/>
  <c r="AL149" i="43"/>
  <c r="AK161" i="43"/>
  <c r="AR161" i="43"/>
  <c r="AJ161" i="43"/>
  <c r="AK216" i="41"/>
  <c r="AJ167" i="38"/>
  <c r="AK196" i="38"/>
  <c r="AR196" i="38"/>
  <c r="AK145" i="40"/>
  <c r="AR133" i="40"/>
  <c r="AK133" i="40"/>
  <c r="AR128" i="43"/>
  <c r="AK128" i="43"/>
  <c r="AJ70" i="38"/>
  <c r="AR70" i="38"/>
  <c r="AK70" i="38"/>
  <c r="AJ203" i="41"/>
  <c r="AK166" i="42"/>
  <c r="AK73" i="38"/>
  <c r="AR73" i="38"/>
  <c r="AK43" i="42"/>
  <c r="AR43" i="42"/>
  <c r="AJ127" i="38"/>
  <c r="AJ22" i="42"/>
  <c r="AR22" i="42"/>
  <c r="AK22" i="42"/>
  <c r="AK170" i="42"/>
  <c r="AK69" i="38"/>
  <c r="AR132" i="43"/>
  <c r="AK132" i="43"/>
  <c r="AK166" i="40"/>
  <c r="AK185" i="38"/>
  <c r="AR185" i="38"/>
  <c r="AJ185" i="38"/>
  <c r="AR180" i="41"/>
  <c r="AK180" i="41"/>
  <c r="AR80" i="43"/>
  <c r="AK80" i="43"/>
  <c r="AR211" i="42"/>
  <c r="AK211" i="42"/>
  <c r="AK223" i="42"/>
  <c r="AK120" i="43"/>
  <c r="AR120" i="43"/>
  <c r="AJ136" i="40"/>
  <c r="AJ103" i="42"/>
  <c r="AA111" i="36"/>
  <c r="AH111" i="36"/>
  <c r="AJ84" i="41"/>
  <c r="AK45" i="41"/>
  <c r="AR45" i="41"/>
  <c r="AJ66" i="43"/>
  <c r="AK166" i="41"/>
  <c r="AJ80" i="42"/>
  <c r="AJ152" i="38"/>
  <c r="AR152" i="38"/>
  <c r="AK152" i="38"/>
  <c r="AR174" i="38"/>
  <c r="AK174" i="38"/>
  <c r="AK34" i="42"/>
  <c r="AR104" i="38"/>
  <c r="AK104" i="38"/>
  <c r="AR80" i="41"/>
  <c r="AK80" i="41"/>
  <c r="AJ119" i="40"/>
  <c r="AK119" i="40"/>
  <c r="AR119" i="40"/>
  <c r="AJ211" i="43"/>
  <c r="AR94" i="43"/>
  <c r="AK94" i="43"/>
  <c r="AJ179" i="40"/>
  <c r="AJ127" i="43"/>
  <c r="AR165" i="43"/>
  <c r="AK165" i="43"/>
  <c r="AR71" i="43"/>
  <c r="AK71" i="43"/>
  <c r="AJ15" i="42"/>
  <c r="AK15" i="42"/>
  <c r="AR15" i="42"/>
  <c r="AK212" i="42"/>
  <c r="AJ84" i="38"/>
  <c r="AR46" i="43"/>
  <c r="AK46" i="43"/>
  <c r="AJ192" i="41"/>
  <c r="AJ190" i="41"/>
  <c r="AJ136" i="42"/>
  <c r="AR136" i="42"/>
  <c r="AK136" i="42"/>
  <c r="AJ135" i="42"/>
  <c r="AR135" i="42"/>
  <c r="AK135" i="42"/>
  <c r="AJ72" i="40"/>
  <c r="AK72" i="40"/>
  <c r="AR72" i="40"/>
  <c r="AJ42" i="40"/>
  <c r="AK42" i="40"/>
  <c r="AR42" i="40"/>
  <c r="AK104" i="41"/>
  <c r="AK153" i="41"/>
  <c r="AK141" i="41"/>
  <c r="AR141" i="41"/>
  <c r="AK73" i="43"/>
  <c r="AR73" i="43"/>
  <c r="AR22" i="43"/>
  <c r="AK22" i="43"/>
  <c r="AJ92" i="41"/>
  <c r="AI65" i="41"/>
  <c r="AL65" i="41"/>
  <c r="AK130" i="40"/>
  <c r="AK66" i="40"/>
  <c r="AK22" i="40"/>
  <c r="AK77" i="43"/>
  <c r="AR77" i="43"/>
  <c r="AJ77" i="43"/>
  <c r="AK180" i="38"/>
  <c r="AR180" i="38"/>
  <c r="AJ43" i="42"/>
  <c r="AJ55" i="41"/>
  <c r="AR36" i="41"/>
  <c r="AK36" i="41"/>
  <c r="AJ132" i="43"/>
  <c r="AK85" i="40"/>
  <c r="AR85" i="40"/>
  <c r="AJ211" i="42"/>
  <c r="AJ25" i="43"/>
  <c r="AJ96" i="38"/>
  <c r="AR190" i="43"/>
  <c r="AK190" i="43"/>
  <c r="AK87" i="43"/>
  <c r="AR87" i="43"/>
  <c r="AI29" i="43"/>
  <c r="AL29" i="43"/>
  <c r="AK131" i="38"/>
  <c r="AR131" i="38"/>
  <c r="AJ143" i="42"/>
  <c r="AK175" i="38"/>
  <c r="AJ34" i="41"/>
  <c r="AR34" i="41"/>
  <c r="AJ209" i="43"/>
  <c r="AR209" i="43"/>
  <c r="AJ200" i="42"/>
  <c r="AJ131" i="42"/>
  <c r="AJ174" i="43"/>
  <c r="AJ204" i="42"/>
  <c r="AK159" i="43"/>
  <c r="AR159" i="43"/>
  <c r="AJ59" i="43"/>
  <c r="AJ19" i="40"/>
  <c r="AR19" i="40"/>
  <c r="AK19" i="40"/>
  <c r="AK11" i="41"/>
  <c r="AR11" i="41"/>
  <c r="AK64" i="38"/>
  <c r="AK131" i="40"/>
  <c r="AJ206" i="41"/>
  <c r="AJ219" i="43"/>
  <c r="AK105" i="42"/>
  <c r="AJ180" i="40"/>
  <c r="AR180" i="40"/>
  <c r="AK180" i="40"/>
  <c r="AR211" i="40"/>
  <c r="AK211" i="40"/>
  <c r="AJ54" i="42"/>
  <c r="AJ108" i="43"/>
  <c r="AK108" i="43"/>
  <c r="AR108" i="43"/>
  <c r="AK106" i="41"/>
  <c r="AR94" i="41"/>
  <c r="AK94" i="41"/>
  <c r="AJ63" i="38"/>
  <c r="AJ66" i="42"/>
  <c r="AJ13" i="43"/>
  <c r="AI173" i="43"/>
  <c r="AL173" i="43"/>
  <c r="AK176" i="42"/>
  <c r="AL89" i="42"/>
  <c r="AJ87" i="42"/>
  <c r="AK87" i="42"/>
  <c r="AR87" i="42"/>
  <c r="AR198" i="41"/>
  <c r="AK198" i="41"/>
  <c r="AJ40" i="38"/>
  <c r="AJ57" i="43"/>
  <c r="AR191" i="41"/>
  <c r="AK191" i="41"/>
  <c r="AR24" i="38"/>
  <c r="AK24" i="38"/>
  <c r="AJ93" i="40"/>
  <c r="AR93" i="40"/>
  <c r="AK93" i="40"/>
  <c r="AJ14" i="43"/>
  <c r="AK14" i="43"/>
  <c r="AR14" i="43"/>
  <c r="AR5" i="38"/>
  <c r="AK5" i="38"/>
  <c r="AR61" i="38"/>
  <c r="AK61" i="38"/>
  <c r="AJ46" i="43"/>
  <c r="AR204" i="38"/>
  <c r="AK204" i="38"/>
  <c r="AK51" i="43"/>
  <c r="AR51" i="43"/>
  <c r="AK215" i="40"/>
  <c r="AR168" i="41"/>
  <c r="AK168" i="41"/>
  <c r="AJ135" i="43"/>
  <c r="AK209" i="42"/>
  <c r="AR209" i="42"/>
  <c r="AJ209" i="42"/>
  <c r="AJ210" i="40"/>
  <c r="AK210" i="40"/>
  <c r="AR210" i="40"/>
  <c r="AK222" i="40"/>
  <c r="AH15" i="36"/>
  <c r="AA15" i="36"/>
  <c r="AR150" i="38"/>
  <c r="AK150" i="38"/>
  <c r="AJ192" i="40"/>
  <c r="AR192" i="40"/>
  <c r="AK192" i="40"/>
  <c r="AJ145" i="42"/>
  <c r="AK145" i="42"/>
  <c r="AR145" i="42"/>
  <c r="AR190" i="40"/>
  <c r="AK190" i="40"/>
  <c r="AK148" i="40"/>
  <c r="AR176" i="41"/>
  <c r="AK176" i="41"/>
  <c r="AR79" i="41"/>
  <c r="AK79" i="41"/>
  <c r="AK156" i="43"/>
  <c r="AR156" i="43"/>
  <c r="AJ169" i="40"/>
  <c r="AR169" i="40"/>
  <c r="AK169" i="40"/>
  <c r="AJ120" i="40"/>
  <c r="AR120" i="40"/>
  <c r="AK120" i="40"/>
  <c r="AJ189" i="40"/>
  <c r="AR189" i="40"/>
  <c r="AK189" i="40"/>
  <c r="AK110" i="40"/>
  <c r="AI101" i="40"/>
  <c r="AK113" i="40" s="1"/>
  <c r="AL101" i="40"/>
  <c r="AJ183" i="40"/>
  <c r="AR183" i="40"/>
  <c r="AK183" i="40"/>
  <c r="AJ163" i="40"/>
  <c r="AI197" i="41"/>
  <c r="AL197" i="41"/>
  <c r="AJ184" i="40"/>
  <c r="AJ207" i="43"/>
  <c r="AJ49" i="38"/>
  <c r="AJ67" i="38"/>
  <c r="AK182" i="41"/>
  <c r="AR216" i="38"/>
  <c r="AK216" i="38"/>
  <c r="AK228" i="38"/>
  <c r="AR186" i="41"/>
  <c r="AK186" i="41"/>
  <c r="AK184" i="41"/>
  <c r="AR184" i="41"/>
  <c r="AK202" i="43"/>
  <c r="AR202" i="43"/>
  <c r="AR214" i="38"/>
  <c r="AK214" i="38"/>
  <c r="AK226" i="38"/>
  <c r="AR54" i="43"/>
  <c r="AK54" i="43"/>
  <c r="AI53" i="41"/>
  <c r="AL53" i="41"/>
  <c r="AI125" i="43"/>
  <c r="AL125" i="43"/>
  <c r="AJ143" i="38"/>
  <c r="AK172" i="38"/>
  <c r="AR172" i="38"/>
  <c r="AJ54" i="40"/>
  <c r="AJ149" i="42"/>
  <c r="AR149" i="42"/>
  <c r="AK186" i="42"/>
  <c r="AJ87" i="43"/>
  <c r="AJ206" i="40"/>
  <c r="AR206" i="40"/>
  <c r="AK206" i="40"/>
  <c r="AJ163" i="38"/>
  <c r="AI65" i="40"/>
  <c r="AK77" i="40" s="1"/>
  <c r="AL65" i="40"/>
  <c r="AK59" i="38"/>
  <c r="AR59" i="38"/>
  <c r="AK154" i="43"/>
  <c r="AR154" i="43"/>
  <c r="AI137" i="40"/>
  <c r="AL137" i="40"/>
  <c r="AK157" i="40"/>
  <c r="AK233" i="42"/>
  <c r="AR233" i="42"/>
  <c r="AJ233" i="42"/>
  <c r="AR82" i="40"/>
  <c r="AK82" i="40"/>
  <c r="AJ159" i="43"/>
  <c r="AJ169" i="38"/>
  <c r="AR60" i="40"/>
  <c r="AK60" i="40"/>
  <c r="AK94" i="40"/>
  <c r="AJ201" i="41"/>
  <c r="AJ50" i="42"/>
  <c r="AR81" i="43"/>
  <c r="AK81" i="43"/>
  <c r="AJ21" i="41"/>
  <c r="AJ158" i="40"/>
  <c r="AR158" i="40"/>
  <c r="AK158" i="40"/>
  <c r="AI137" i="41"/>
  <c r="AL137" i="41"/>
  <c r="AJ86" i="40"/>
  <c r="AK86" i="40"/>
  <c r="AR86" i="40"/>
  <c r="AI197" i="43"/>
  <c r="AL197" i="43"/>
  <c r="AJ31" i="41"/>
  <c r="AR159" i="42"/>
  <c r="AK159" i="42"/>
  <c r="AJ168" i="38"/>
  <c r="AJ55" i="40"/>
  <c r="AJ188" i="40"/>
  <c r="AK188" i="40"/>
  <c r="AR188" i="40"/>
  <c r="AK160" i="43"/>
  <c r="AK148" i="43"/>
  <c r="AR148" i="43"/>
  <c r="AA171" i="36"/>
  <c r="AH171" i="36"/>
  <c r="AJ79" i="38"/>
  <c r="AR30" i="38"/>
  <c r="AK30" i="38"/>
  <c r="AK186" i="38"/>
  <c r="AK184" i="38"/>
  <c r="AR184" i="38"/>
  <c r="AJ200" i="43"/>
  <c r="AJ215" i="42"/>
  <c r="AK58" i="43"/>
  <c r="AR58" i="43"/>
  <c r="AJ63" i="41"/>
  <c r="AK63" i="41"/>
  <c r="AR63" i="41"/>
  <c r="AJ193" i="41"/>
  <c r="AK93" i="38"/>
  <c r="AR93" i="38"/>
  <c r="AR44" i="41"/>
  <c r="AK44" i="41"/>
  <c r="AJ163" i="42"/>
  <c r="AR163" i="42"/>
  <c r="AK163" i="42"/>
  <c r="AR64" i="42"/>
  <c r="AK64" i="42"/>
  <c r="AJ133" i="40"/>
  <c r="AJ190" i="40"/>
  <c r="AR206" i="43"/>
  <c r="AK206" i="43"/>
  <c r="AK220" i="40"/>
  <c r="AH51" i="36"/>
  <c r="AA51" i="36"/>
  <c r="AJ73" i="38"/>
  <c r="AR196" i="40"/>
  <c r="AK196" i="40"/>
  <c r="AH27" i="36"/>
  <c r="AA27" i="36"/>
  <c r="AI149" i="40"/>
  <c r="AK161" i="40" s="1"/>
  <c r="AL149" i="40"/>
  <c r="AJ78" i="41"/>
  <c r="AJ210" i="41"/>
  <c r="AR147" i="43"/>
  <c r="AK147" i="43"/>
  <c r="AK90" i="42"/>
  <c r="AK183" i="38"/>
  <c r="AR183" i="38"/>
  <c r="AK119" i="42"/>
  <c r="AJ31" i="43"/>
  <c r="AK50" i="41"/>
  <c r="AR50" i="41"/>
  <c r="AJ188" i="43"/>
  <c r="AJ126" i="43"/>
  <c r="AK35" i="40"/>
  <c r="AK23" i="40"/>
  <c r="AR23" i="40"/>
  <c r="AI29" i="42"/>
  <c r="AL29" i="42"/>
  <c r="AK58" i="38"/>
  <c r="AK46" i="38"/>
  <c r="AR46" i="38"/>
  <c r="AJ70" i="43"/>
  <c r="AK70" i="43"/>
  <c r="AR70" i="43"/>
  <c r="AR81" i="40"/>
  <c r="AK81" i="40"/>
  <c r="AR52" i="42"/>
  <c r="AK52" i="42"/>
  <c r="AK162" i="40"/>
  <c r="AI125" i="40"/>
  <c r="AL125" i="40"/>
  <c r="AA3" i="36"/>
  <c r="AH3" i="36"/>
  <c r="AJ154" i="43"/>
  <c r="AK179" i="38"/>
  <c r="AJ178" i="41"/>
  <c r="AR178" i="41"/>
  <c r="AK178" i="41"/>
  <c r="AK95" i="43"/>
  <c r="AR95" i="43"/>
  <c r="AI185" i="43"/>
  <c r="AL185" i="43"/>
  <c r="AR181" i="41"/>
  <c r="AK181" i="41"/>
  <c r="AJ165" i="38"/>
  <c r="AJ190" i="38"/>
  <c r="AK28" i="42"/>
  <c r="AR28" i="42"/>
  <c r="AI5" i="40"/>
  <c r="AK17" i="40" s="1"/>
  <c r="AL5" i="40"/>
  <c r="AC272" i="40"/>
  <c r="AK96" i="41"/>
  <c r="AK11" i="38"/>
  <c r="AR11" i="38"/>
  <c r="AK224" i="40"/>
  <c r="AK74" i="42"/>
  <c r="AR191" i="38"/>
  <c r="AK191" i="38"/>
  <c r="AR132" i="41"/>
  <c r="AK132" i="41"/>
  <c r="AJ148" i="43"/>
  <c r="AK169" i="41"/>
  <c r="AK123" i="38"/>
  <c r="AR205" i="41"/>
  <c r="AK205" i="41"/>
  <c r="AK60" i="38"/>
  <c r="AK119" i="43"/>
  <c r="AK61" i="42"/>
  <c r="AK158" i="38"/>
  <c r="AR158" i="38"/>
  <c r="AI41" i="41"/>
  <c r="AL41" i="41"/>
  <c r="AI53" i="42"/>
  <c r="AK65" i="42" s="1"/>
  <c r="AL53" i="42"/>
  <c r="AK37" i="38"/>
  <c r="AR25" i="38"/>
  <c r="AK25" i="38"/>
  <c r="AK29" i="41"/>
  <c r="AK17" i="41"/>
  <c r="AR17" i="41"/>
  <c r="AJ17" i="41"/>
  <c r="AR115" i="41"/>
  <c r="AK115" i="41"/>
  <c r="AK209" i="41"/>
  <c r="AR209" i="41"/>
  <c r="AJ209" i="41"/>
  <c r="AR87" i="38"/>
  <c r="AK87" i="38"/>
  <c r="AJ73" i="43"/>
  <c r="AJ22" i="43"/>
  <c r="AJ5" i="41"/>
  <c r="AJ84" i="42"/>
  <c r="AR51" i="41"/>
  <c r="AK51" i="41"/>
  <c r="AI53" i="38"/>
  <c r="AK65" i="38" s="1"/>
  <c r="AJ202" i="38"/>
  <c r="AK192" i="42"/>
  <c r="AR115" i="42"/>
  <c r="AK115" i="42"/>
  <c r="AK114" i="42"/>
  <c r="AR128" i="41"/>
  <c r="AK128" i="41"/>
  <c r="AK202" i="41"/>
  <c r="AR202" i="41"/>
  <c r="AK171" i="43"/>
  <c r="AR171" i="43"/>
  <c r="AR75" i="43"/>
  <c r="AK75" i="43"/>
  <c r="AK26" i="43"/>
  <c r="AK85" i="38"/>
  <c r="AJ85" i="40"/>
  <c r="AI197" i="38"/>
  <c r="AR33" i="42"/>
  <c r="AK33" i="42"/>
  <c r="AJ42" i="42"/>
  <c r="AR42" i="42"/>
  <c r="AK42" i="42"/>
  <c r="AJ73" i="42"/>
  <c r="AR73" i="42"/>
  <c r="AK73" i="42"/>
  <c r="AR67" i="41"/>
  <c r="AK67" i="41"/>
  <c r="AR187" i="41"/>
  <c r="AK187" i="41"/>
  <c r="AJ111" i="38"/>
  <c r="AK140" i="38"/>
  <c r="AR16" i="38"/>
  <c r="AK16" i="38"/>
  <c r="AK86" i="38"/>
  <c r="AR86" i="38"/>
  <c r="AJ190" i="43"/>
  <c r="AK144" i="38"/>
  <c r="AK108" i="38"/>
  <c r="AK141" i="40"/>
  <c r="AJ198" i="42"/>
  <c r="AR198" i="42"/>
  <c r="AK198" i="42"/>
  <c r="AK54" i="41"/>
  <c r="AR54" i="41"/>
  <c r="AJ187" i="42"/>
  <c r="AK187" i="42"/>
  <c r="AR187" i="42"/>
  <c r="AJ131" i="38"/>
  <c r="AJ24" i="43"/>
  <c r="AR23" i="38"/>
  <c r="AK23" i="38"/>
  <c r="AR139" i="40"/>
  <c r="AK139" i="40"/>
  <c r="AK64" i="43"/>
  <c r="AK52" i="43"/>
  <c r="AR52" i="43"/>
  <c r="AK227" i="41"/>
  <c r="AR86" i="43"/>
  <c r="AK86" i="43"/>
  <c r="AJ47" i="40"/>
  <c r="AR47" i="40"/>
  <c r="AK47" i="40"/>
  <c r="AJ135" i="38"/>
  <c r="AK99" i="40"/>
  <c r="AJ51" i="40"/>
  <c r="AJ175" i="41"/>
  <c r="AJ200" i="38"/>
  <c r="AJ129" i="40"/>
  <c r="AJ183" i="42"/>
  <c r="AK144" i="42"/>
  <c r="AR5" i="42"/>
  <c r="AK5" i="42"/>
  <c r="AK91" i="42"/>
  <c r="AJ153" i="40"/>
  <c r="AR153" i="40"/>
  <c r="AK153" i="40"/>
  <c r="AJ64" i="43"/>
  <c r="AR64" i="43"/>
  <c r="AK97" i="42"/>
  <c r="AR97" i="42"/>
  <c r="AJ157" i="41"/>
  <c r="AK45" i="38"/>
  <c r="AR45" i="38"/>
  <c r="AK114" i="43"/>
  <c r="AR114" i="43"/>
  <c r="AK90" i="40"/>
  <c r="AR90" i="40"/>
  <c r="AJ14" i="42"/>
  <c r="AR14" i="42"/>
  <c r="AK14" i="42"/>
  <c r="AI185" i="41"/>
  <c r="AL185" i="41"/>
  <c r="AL89" i="41"/>
  <c r="AJ205" i="41"/>
  <c r="AR65" i="43"/>
  <c r="AJ65" i="43"/>
  <c r="AR30" i="40"/>
  <c r="AK30" i="40"/>
  <c r="AJ158" i="38"/>
  <c r="AJ51" i="38"/>
  <c r="AJ70" i="40"/>
  <c r="AK21" i="38"/>
  <c r="AJ143" i="40"/>
  <c r="AR143" i="40"/>
  <c r="AK143" i="40"/>
  <c r="AR159" i="38"/>
  <c r="AK159" i="38"/>
  <c r="AK83" i="43"/>
  <c r="AR191" i="42"/>
  <c r="AK191" i="42"/>
  <c r="AJ153" i="38"/>
  <c r="AK203" i="43"/>
  <c r="AR203" i="43"/>
  <c r="AJ128" i="38"/>
  <c r="AJ79" i="41"/>
  <c r="AK221" i="42"/>
  <c r="AR221" i="42"/>
  <c r="AJ221" i="42"/>
  <c r="AJ51" i="41"/>
  <c r="AK124" i="43"/>
  <c r="AR124" i="43"/>
  <c r="AR187" i="38"/>
  <c r="AK187" i="38"/>
  <c r="AR153" i="42"/>
  <c r="AK153" i="42"/>
  <c r="AJ192" i="43"/>
  <c r="AK192" i="43"/>
  <c r="AR192" i="43"/>
  <c r="AK144" i="43"/>
  <c r="AK177" i="43"/>
  <c r="AK43" i="43"/>
  <c r="AR43" i="43"/>
  <c r="AR162" i="42"/>
  <c r="AK162" i="42"/>
  <c r="AL113" i="42"/>
  <c r="AJ187" i="43"/>
  <c r="AK187" i="43"/>
  <c r="AR187" i="43"/>
  <c r="AJ207" i="40"/>
  <c r="AK207" i="40"/>
  <c r="AR207" i="40"/>
  <c r="AK217" i="40"/>
  <c r="AR217" i="40"/>
  <c r="AK192" i="38"/>
  <c r="AJ186" i="41"/>
  <c r="AR17" i="40"/>
  <c r="AJ17" i="40"/>
  <c r="AK36" i="38"/>
  <c r="AJ49" i="42"/>
  <c r="AJ54" i="43"/>
  <c r="AK56" i="40"/>
  <c r="AR56" i="40"/>
  <c r="AJ188" i="42"/>
  <c r="AR188" i="42"/>
  <c r="AK188" i="42"/>
  <c r="AJ139" i="43"/>
  <c r="AJ98" i="41"/>
  <c r="AJ9" i="41"/>
  <c r="AK95" i="42"/>
  <c r="AK83" i="42"/>
  <c r="AR83" i="42"/>
  <c r="AR201" i="42"/>
  <c r="AK201" i="42"/>
  <c r="AR215" i="38"/>
  <c r="AK215" i="38"/>
  <c r="AK227" i="38"/>
  <c r="AJ12" i="38"/>
  <c r="AK86" i="41"/>
  <c r="AJ38" i="38"/>
  <c r="AJ74" i="41"/>
  <c r="AJ52" i="43"/>
  <c r="AJ129" i="41"/>
  <c r="AK98" i="43"/>
  <c r="AJ44" i="43"/>
  <c r="AJ95" i="42"/>
  <c r="AK76" i="40"/>
  <c r="AK72" i="43"/>
  <c r="AK60" i="43"/>
  <c r="AR60" i="43"/>
  <c r="AR188" i="41"/>
  <c r="AK188" i="41"/>
  <c r="AK79" i="40"/>
  <c r="AK103" i="43"/>
  <c r="AJ78" i="40"/>
  <c r="AK172" i="42"/>
  <c r="AJ208" i="38"/>
  <c r="AR65" i="42"/>
  <c r="AJ65" i="42"/>
  <c r="AK127" i="42"/>
  <c r="AJ81" i="41"/>
  <c r="AK233" i="43"/>
  <c r="AR233" i="43"/>
  <c r="AJ233" i="43"/>
  <c r="AJ62" i="41"/>
  <c r="AK135" i="40"/>
  <c r="AR135" i="40"/>
  <c r="AJ7" i="40"/>
  <c r="AR89" i="42"/>
  <c r="AJ89" i="42"/>
  <c r="AR181" i="40"/>
  <c r="AK181" i="40"/>
  <c r="AR84" i="43"/>
  <c r="AK84" i="43"/>
  <c r="AK119" i="41"/>
  <c r="AK38" i="41"/>
  <c r="AJ153" i="41"/>
  <c r="AC272" i="41"/>
  <c r="AJ180" i="43"/>
  <c r="AK88" i="40"/>
  <c r="AR88" i="40"/>
  <c r="AK75" i="38"/>
  <c r="AK34" i="41"/>
  <c r="AR156" i="38"/>
  <c r="AK156" i="38"/>
  <c r="AK48" i="40"/>
  <c r="AR48" i="40"/>
  <c r="AJ44" i="41"/>
  <c r="AR57" i="42"/>
  <c r="AK57" i="42"/>
  <c r="AJ134" i="42"/>
  <c r="AI17" i="42"/>
  <c r="AL17" i="42"/>
  <c r="AK147" i="42"/>
  <c r="AJ203" i="42"/>
  <c r="AJ63" i="43"/>
  <c r="AI125" i="42"/>
  <c r="AL125" i="42"/>
  <c r="AJ126" i="41"/>
  <c r="AR126" i="41"/>
  <c r="AK126" i="41"/>
  <c r="AJ153" i="42"/>
  <c r="AK121" i="38"/>
  <c r="AR121" i="38"/>
  <c r="AR133" i="41"/>
  <c r="AK133" i="41"/>
  <c r="AJ177" i="42"/>
  <c r="AR150" i="43"/>
  <c r="AK150" i="43"/>
  <c r="AJ163" i="41"/>
  <c r="AI77" i="38"/>
  <c r="AH99" i="36"/>
  <c r="AA99" i="36"/>
  <c r="AR115" i="40"/>
  <c r="AK115" i="40"/>
  <c r="AJ142" i="42"/>
  <c r="AK97" i="41"/>
  <c r="AR185" i="40"/>
  <c r="AJ185" i="40"/>
  <c r="AK144" i="41"/>
  <c r="AR92" i="42"/>
  <c r="AK92" i="42"/>
  <c r="AJ81" i="40"/>
  <c r="AJ83" i="38"/>
  <c r="AJ52" i="42"/>
  <c r="AK163" i="43"/>
  <c r="AK7" i="42"/>
  <c r="AR7" i="42"/>
  <c r="AJ175" i="43"/>
  <c r="AR47" i="43"/>
  <c r="AK47" i="43"/>
  <c r="AK75" i="40"/>
  <c r="AR13" i="41"/>
  <c r="AK13" i="41"/>
  <c r="AK199" i="43"/>
  <c r="AK194" i="40"/>
  <c r="AJ158" i="41"/>
  <c r="AJ219" i="42"/>
  <c r="AJ211" i="40"/>
  <c r="AJ94" i="41"/>
  <c r="AK75" i="41"/>
  <c r="AR88" i="42"/>
  <c r="AK88" i="42"/>
  <c r="AK221" i="40"/>
  <c r="AR189" i="43"/>
  <c r="AK189" i="43"/>
  <c r="AR106" i="42"/>
  <c r="AK106" i="42"/>
  <c r="AK112" i="41"/>
  <c r="AR100" i="41"/>
  <c r="AK100" i="41"/>
  <c r="AK33" i="41"/>
  <c r="AR41" i="40"/>
  <c r="AJ41" i="40"/>
  <c r="AR178" i="38"/>
  <c r="AK178" i="38"/>
  <c r="AJ205" i="38"/>
  <c r="AR153" i="43"/>
  <c r="AK153" i="43"/>
  <c r="AJ52" i="38"/>
  <c r="AK71" i="38"/>
  <c r="AJ191" i="38"/>
  <c r="AJ132" i="41"/>
  <c r="AR27" i="40"/>
  <c r="AK27" i="40"/>
  <c r="AK199" i="42"/>
  <c r="AK61" i="43"/>
  <c r="AK195" i="40"/>
  <c r="AR105" i="38"/>
  <c r="AK105" i="38"/>
  <c r="AJ151" i="42"/>
  <c r="AK151" i="42"/>
  <c r="AR151" i="42"/>
  <c r="AK159" i="41"/>
  <c r="AR159" i="41"/>
  <c r="AJ168" i="41"/>
  <c r="AK129" i="38"/>
  <c r="AR129" i="38"/>
  <c r="AK104" i="43"/>
  <c r="AR104" i="43"/>
  <c r="AJ25" i="38"/>
  <c r="AJ90" i="41"/>
  <c r="AK46" i="40"/>
  <c r="AR46" i="40"/>
  <c r="AJ116" i="40"/>
  <c r="AK173" i="38"/>
  <c r="AR173" i="38"/>
  <c r="AJ173" i="38"/>
  <c r="AK186" i="40"/>
  <c r="AK41" i="40" l="1"/>
  <c r="AJ5" i="40"/>
  <c r="AJ272" i="44"/>
  <c r="AK53" i="41"/>
  <c r="AR53" i="41"/>
  <c r="AJ53" i="41"/>
  <c r="AJ161" i="42"/>
  <c r="AK161" i="42"/>
  <c r="AR161" i="42"/>
  <c r="AR77" i="42"/>
  <c r="AK77" i="42"/>
  <c r="AJ77" i="42"/>
  <c r="AR137" i="42"/>
  <c r="AK137" i="42"/>
  <c r="AJ137" i="42"/>
  <c r="AR125" i="38"/>
  <c r="AK125" i="38"/>
  <c r="AJ125" i="38"/>
  <c r="AR149" i="38"/>
  <c r="AK149" i="38"/>
  <c r="AJ149" i="38"/>
  <c r="AK89" i="42"/>
  <c r="AK197" i="38"/>
  <c r="AR197" i="38"/>
  <c r="AJ197" i="38"/>
  <c r="AK41" i="41"/>
  <c r="AR41" i="41"/>
  <c r="AJ41" i="41"/>
  <c r="AJ185" i="43"/>
  <c r="AR185" i="43"/>
  <c r="AK185" i="43"/>
  <c r="AR65" i="41"/>
  <c r="AK65" i="41"/>
  <c r="AJ65" i="41"/>
  <c r="AK113" i="41"/>
  <c r="AR113" i="41"/>
  <c r="AJ113" i="41"/>
  <c r="AR173" i="40"/>
  <c r="AK173" i="40"/>
  <c r="AJ173" i="40"/>
  <c r="AK17" i="42"/>
  <c r="AR17" i="42"/>
  <c r="AJ17" i="42"/>
  <c r="AK185" i="41"/>
  <c r="AR185" i="41"/>
  <c r="AJ185" i="41"/>
  <c r="AR53" i="42"/>
  <c r="AK53" i="42"/>
  <c r="AJ53" i="42"/>
  <c r="AK137" i="40"/>
  <c r="AK125" i="40"/>
  <c r="AR125" i="40"/>
  <c r="AJ125" i="40"/>
  <c r="AK197" i="43"/>
  <c r="AR197" i="43"/>
  <c r="AJ197" i="43"/>
  <c r="AK149" i="42"/>
  <c r="AK197" i="41"/>
  <c r="AR197" i="41"/>
  <c r="AJ197" i="41"/>
  <c r="AR101" i="40"/>
  <c r="AK101" i="40"/>
  <c r="AJ101" i="40"/>
  <c r="AK209" i="43"/>
  <c r="AK149" i="41"/>
  <c r="AR149" i="41"/>
  <c r="AJ149" i="41"/>
  <c r="AR41" i="38"/>
  <c r="AK41" i="38"/>
  <c r="AJ41" i="38"/>
  <c r="AR101" i="42"/>
  <c r="AK101" i="42"/>
  <c r="AJ101" i="42"/>
  <c r="AK161" i="38"/>
  <c r="AR185" i="42"/>
  <c r="AK185" i="42"/>
  <c r="AJ185" i="42"/>
  <c r="AK89" i="38"/>
  <c r="AR89" i="38"/>
  <c r="AJ89" i="38"/>
  <c r="AR53" i="43"/>
  <c r="AK53" i="43"/>
  <c r="AJ53" i="43"/>
  <c r="AK77" i="41"/>
  <c r="AK101" i="38"/>
  <c r="AK5" i="40"/>
  <c r="AR5" i="40"/>
  <c r="AK29" i="42"/>
  <c r="AR29" i="42"/>
  <c r="AJ29" i="42"/>
  <c r="AR137" i="41"/>
  <c r="AK137" i="41"/>
  <c r="AJ137" i="41"/>
  <c r="AK173" i="43"/>
  <c r="AR173" i="43"/>
  <c r="AJ173" i="43"/>
  <c r="AR29" i="43"/>
  <c r="AK29" i="43"/>
  <c r="AJ29" i="43"/>
  <c r="AK41" i="42"/>
  <c r="AK41" i="43"/>
  <c r="AK89" i="40"/>
  <c r="AR89" i="40"/>
  <c r="AJ89" i="40"/>
  <c r="AR125" i="41"/>
  <c r="AK125" i="41"/>
  <c r="AJ125" i="41"/>
  <c r="AR113" i="38"/>
  <c r="AK113" i="38"/>
  <c r="AJ113" i="38"/>
  <c r="AR77" i="38"/>
  <c r="AK77" i="38"/>
  <c r="AJ77" i="38"/>
  <c r="AR65" i="40"/>
  <c r="AK65" i="40"/>
  <c r="AJ65" i="40"/>
  <c r="AR125" i="43"/>
  <c r="AK125" i="43"/>
  <c r="AJ125" i="43"/>
  <c r="AR29" i="38"/>
  <c r="AK29" i="38"/>
  <c r="AJ29" i="38"/>
  <c r="AR125" i="42"/>
  <c r="AK125" i="42"/>
  <c r="AJ125" i="42"/>
  <c r="AR53" i="38"/>
  <c r="AK53" i="38"/>
  <c r="AJ53" i="38"/>
  <c r="AR149" i="40"/>
  <c r="AK149" i="40"/>
  <c r="AJ149" i="40"/>
  <c r="AR137" i="40"/>
  <c r="AJ137" i="40"/>
  <c r="AK137" i="43"/>
  <c r="AR197" i="40"/>
  <c r="AK197" i="40"/>
  <c r="AJ197" i="40"/>
  <c r="AR29" i="41"/>
  <c r="AJ29" i="41"/>
  <c r="AK209" i="38"/>
  <c r="AR173" i="41"/>
  <c r="AK173" i="41"/>
  <c r="AJ173" i="41"/>
  <c r="AR173" i="42"/>
  <c r="AK173" i="42"/>
  <c r="AJ173" i="42"/>
  <c r="AR29" i="40"/>
  <c r="AJ29" i="40"/>
  <c r="AK272" i="40" l="1"/>
  <c r="AK272" i="41"/>
  <c r="AK272" i="43"/>
  <c r="AK272" i="42"/>
  <c r="AK272" i="38"/>
</calcChain>
</file>

<file path=xl/sharedStrings.xml><?xml version="1.0" encoding="utf-8"?>
<sst xmlns="http://schemas.openxmlformats.org/spreadsheetml/2006/main" count="2485" uniqueCount="405">
  <si>
    <t xml:space="preserve">Florida Power &amp; Light </t>
  </si>
  <si>
    <t>Residential Central AC Replacement Market</t>
  </si>
  <si>
    <t>Load Forecast 1</t>
  </si>
  <si>
    <t>Load Forecast 2</t>
  </si>
  <si>
    <t>Total</t>
  </si>
  <si>
    <t>Assumed AC</t>
  </si>
  <si>
    <t>Residential</t>
  </si>
  <si>
    <t>Res Population</t>
  </si>
  <si>
    <t>Effective Useful</t>
  </si>
  <si>
    <t>Replacement Market</t>
  </si>
  <si>
    <t>Growth Market</t>
  </si>
  <si>
    <t>Central Air Conditioning</t>
  </si>
  <si>
    <t>in</t>
  </si>
  <si>
    <t>of Air Conditioners in</t>
  </si>
  <si>
    <t>of AC Capacity in</t>
  </si>
  <si>
    <t xml:space="preserve">Life in </t>
  </si>
  <si>
    <t>Load</t>
  </si>
  <si>
    <t>Year</t>
  </si>
  <si>
    <t>PPID's</t>
  </si>
  <si>
    <t>Units</t>
  </si>
  <si>
    <t>Tons of AC</t>
  </si>
  <si>
    <t>Years</t>
  </si>
  <si>
    <t>Summer MW</t>
  </si>
  <si>
    <t>Residential AC Efficiency</t>
  </si>
  <si>
    <t>Cumulative Impact on FPL Load</t>
  </si>
  <si>
    <t>Replacing Current Efficiency Mix</t>
  </si>
  <si>
    <t>Cumulative</t>
  </si>
  <si>
    <t>a. FPL System</t>
  </si>
  <si>
    <t>DX AC Replacement Market</t>
  </si>
  <si>
    <t>Load Forecast 1a</t>
  </si>
  <si>
    <t>Load Forecast 2a</t>
  </si>
  <si>
    <t>Assumed DX AC</t>
  </si>
  <si>
    <t>Commercial</t>
  </si>
  <si>
    <t>CI DX AC Population</t>
  </si>
  <si>
    <t>DX AC</t>
  </si>
  <si>
    <t>C/I DX AC Load for</t>
  </si>
  <si>
    <t>ASHRAE 90.1 1989</t>
  </si>
  <si>
    <t>Tons</t>
  </si>
  <si>
    <t>in Tons</t>
  </si>
  <si>
    <t>Summer kW</t>
  </si>
  <si>
    <t>b. GS Rate Class</t>
  </si>
  <si>
    <t>c. GSD Rate Class</t>
  </si>
  <si>
    <t>d. GSLD Rate Class</t>
  </si>
  <si>
    <t>CI DX Efficiency</t>
  </si>
  <si>
    <t>Replacing ASHRAE 90.1 1989</t>
  </si>
  <si>
    <t>Summary of Load Forecast Impacts</t>
  </si>
  <si>
    <t>Commercial/Industrial Load Forecast for Long-Tube Fluorescent Lighting Systems</t>
  </si>
  <si>
    <t>Long-Tube Flourescent Lighting Replacement Market</t>
  </si>
  <si>
    <t>Load Forecast 1c</t>
  </si>
  <si>
    <t>Load Forecast 2c</t>
  </si>
  <si>
    <t>Load Forecast 3c</t>
  </si>
  <si>
    <t>Assumed Fluorescent Lighting</t>
  </si>
  <si>
    <t>CI Population</t>
  </si>
  <si>
    <t>Lighting</t>
  </si>
  <si>
    <t>C/I Lighting Load for</t>
  </si>
  <si>
    <t>ES MB Fixtures</t>
  </si>
  <si>
    <t>T8 Fixtures Replacing ES MB</t>
  </si>
  <si>
    <t>Number of Fixtures</t>
  </si>
  <si>
    <t>in Fixtures</t>
  </si>
  <si>
    <t>CI Lighting Efficiency</t>
  </si>
  <si>
    <t>Due to Electronic Ballast Standards</t>
  </si>
  <si>
    <t>Replacing Energy Saver Magnetic</t>
  </si>
  <si>
    <t>Stand-Alone Refrigeration Replacement Market</t>
  </si>
  <si>
    <t>Assumed Refrigerator/Freezer</t>
  </si>
  <si>
    <t>CI Stand-Alone</t>
  </si>
  <si>
    <t>Refrigerator/Freezer</t>
  </si>
  <si>
    <t>C/I Refrigeration Load for</t>
  </si>
  <si>
    <t>Refrigerators/Freezers</t>
  </si>
  <si>
    <t>Conventional Equipment</t>
  </si>
  <si>
    <t>in MW Connected Load</t>
  </si>
  <si>
    <t>CI Refrigeration Efficiency</t>
  </si>
  <si>
    <t>Replacing Conventional Equipment</t>
  </si>
  <si>
    <t>Federal Facilities Load Forecast</t>
  </si>
  <si>
    <t>FPL System</t>
  </si>
  <si>
    <t>Federal Facilities Market</t>
  </si>
  <si>
    <t>EPACT Cumulative Savings</t>
  </si>
  <si>
    <t>National</t>
  </si>
  <si>
    <t>FPL Service Territory</t>
  </si>
  <si>
    <t>EPACT 2005, Section 104</t>
  </si>
  <si>
    <t>Share of Florida</t>
  </si>
  <si>
    <t>Florida</t>
  </si>
  <si>
    <t>Federal Facility</t>
  </si>
  <si>
    <t>Market in</t>
  </si>
  <si>
    <t>Cumulative Savings</t>
  </si>
  <si>
    <t>Electric Sales</t>
  </si>
  <si>
    <t>Share of Federal Employees</t>
  </si>
  <si>
    <t>Summer Peak Demand</t>
  </si>
  <si>
    <t>MW</t>
  </si>
  <si>
    <t>Expressed as Percent</t>
  </si>
  <si>
    <t>Federal Facility ENERGY STAR Procurement</t>
  </si>
  <si>
    <t>Due to Federal Procurement Initiative</t>
  </si>
  <si>
    <t>for ENERGY STAR Products</t>
  </si>
  <si>
    <t>TOTAL</t>
  </si>
  <si>
    <t>for Replacement and Procurement of Equipment</t>
  </si>
  <si>
    <t>Chiller Replacement Market</t>
  </si>
  <si>
    <t>CI Chiller Efficiency</t>
  </si>
  <si>
    <t>Assumed Chiller</t>
  </si>
  <si>
    <t>CI Chiller Population</t>
  </si>
  <si>
    <t>Chiller</t>
  </si>
  <si>
    <t>C/I Chiller Load for</t>
  </si>
  <si>
    <t>Due to ASHRAE 90.1 2001</t>
  </si>
  <si>
    <t>ASHRAE 90.1 2001 Replacements</t>
  </si>
  <si>
    <t>Annual MWh</t>
  </si>
  <si>
    <t xml:space="preserve">Prepared by Itron, Inc. </t>
  </si>
  <si>
    <t>Annual</t>
  </si>
  <si>
    <t>Peak Hour</t>
  </si>
  <si>
    <t>Base efficiency</t>
  </si>
  <si>
    <t>Repl efficiency</t>
  </si>
  <si>
    <t>DF Multiplier</t>
  </si>
  <si>
    <t>kW/ton</t>
  </si>
  <si>
    <t>Due to Selected Codes and Standards</t>
  </si>
  <si>
    <t>-</t>
  </si>
  <si>
    <t>Winter MW</t>
  </si>
  <si>
    <t>Commercial/Industrial Load Forecast for Walk-in Refrigerators and Freezers</t>
  </si>
  <si>
    <t>Walk-in Refrigeration/Freezer Replacement Market</t>
  </si>
  <si>
    <t>Total C/I Walk-in</t>
  </si>
  <si>
    <t>Assumed</t>
  </si>
  <si>
    <t>C/I Walk-in</t>
  </si>
  <si>
    <t>C/I</t>
  </si>
  <si>
    <t>Due to EISA Federal Standards</t>
  </si>
  <si>
    <t xml:space="preserve"> Market</t>
  </si>
  <si>
    <t xml:space="preserve">Effective Useful Life </t>
  </si>
  <si>
    <t>Replacement</t>
  </si>
  <si>
    <t>Conventional Systems</t>
  </si>
  <si>
    <t>in Square Feet</t>
  </si>
  <si>
    <t>in Years</t>
  </si>
  <si>
    <t>MWh</t>
  </si>
  <si>
    <t>Summer Peak MW</t>
  </si>
  <si>
    <t>Winter Peak MW</t>
  </si>
  <si>
    <t>CI Walk-in Refrigerator and Freezer</t>
  </si>
  <si>
    <t>CI Long Tube Lighting Efficiency</t>
  </si>
  <si>
    <t>CI Stand Alone Refrigeration Efficiency</t>
  </si>
  <si>
    <t>C/I Electric Water Heater Replacement Market (WH Over 55 gallons)</t>
  </si>
  <si>
    <t>C/I WH Efficiency</t>
  </si>
  <si>
    <t>C/I Population of</t>
  </si>
  <si>
    <t>Assumed WH</t>
  </si>
  <si>
    <t>Com/Ind</t>
  </si>
  <si>
    <t>C/I Population</t>
  </si>
  <si>
    <t>Electric Water Heaters</t>
  </si>
  <si>
    <t>Water Heating</t>
  </si>
  <si>
    <t>Due to Apr 2010 Standard</t>
  </si>
  <si>
    <t>Over 55 Gallons</t>
  </si>
  <si>
    <t>of Water Heaters</t>
  </si>
  <si>
    <t>in Units</t>
  </si>
  <si>
    <t>Load forecast 2 assumes that the new and replacement market for electric water heaters reflects the upcoming federal energy conservation standards for residential water heaters, and that those standards will be adopted in 2015.</t>
  </si>
  <si>
    <t>Due to DOE Conservation Standards</t>
  </si>
  <si>
    <t>CI Water Heater Efficiency for Units &gt; 55 Gallons</t>
  </si>
  <si>
    <t>Res Water Heater Efficiency for Units &gt; 55 Gallons</t>
  </si>
  <si>
    <t xml:space="preserve"> </t>
  </si>
  <si>
    <t>System Wide Impacts</t>
  </si>
  <si>
    <t>Code w/o Acceleration</t>
  </si>
  <si>
    <t xml:space="preserve">Code  Acceleration </t>
  </si>
  <si>
    <t>Residential New Construction</t>
  </si>
  <si>
    <t>Houses
built</t>
  </si>
  <si>
    <t>Average
sq.ft./home</t>
  </si>
  <si>
    <t>Total sq.ft
of all
houses built</t>
  </si>
  <si>
    <t>2007 Baseline Home (kWh/sq.ft.)</t>
  </si>
  <si>
    <t>Code w/o Acceleration Home (kWh/sq.ft.)</t>
  </si>
  <si>
    <t>Code  Acceleration Home (kWh/sq.ft.)</t>
  </si>
  <si>
    <t>Total
New Construction Annual MWh Load</t>
  </si>
  <si>
    <t xml:space="preserve"> Cumulative
New Construction Annual MWh Load</t>
  </si>
  <si>
    <t>Cumulative Impact on FPL Load Due to Accelerated Code Requirements
Annual Energy (MWh)</t>
  </si>
  <si>
    <t>Cumulative Impact on FPL Load Due to Accelerated Code Requirements
Summer Demand (MW)</t>
  </si>
  <si>
    <t>Cumulative Impact on FPL Load Due to Accelerated Code Requirements
Winter Demand (MW)</t>
  </si>
  <si>
    <t>North Impacts</t>
  </si>
  <si>
    <t>Central Impacts</t>
  </si>
  <si>
    <t>2007 Baseline home (kWh/sq.ft.)</t>
  </si>
  <si>
    <t>South Impacts</t>
  </si>
  <si>
    <t>Load forecast 2 assumes that code improvement is accelerated from 2009 onwards in accordance with laws inacted by the state legislature.</t>
  </si>
  <si>
    <t>Residential New Construction Efficiency</t>
  </si>
  <si>
    <t>Due to FL Law Enacted by Legislature</t>
  </si>
  <si>
    <t>Replacing Typical EE Code Improvement Rates</t>
  </si>
  <si>
    <t>Commercial/Industrial Load Forecast for Single Package Vertical Units</t>
  </si>
  <si>
    <t>SPVU Replacement Market</t>
  </si>
  <si>
    <t>C/I SPVU Efficiency</t>
  </si>
  <si>
    <t>Total C/I</t>
  </si>
  <si>
    <t>Total C/I SPVU</t>
  </si>
  <si>
    <t>Assumed SPVU</t>
  </si>
  <si>
    <t>Cumulative Impact on</t>
  </si>
  <si>
    <t>Population</t>
  </si>
  <si>
    <t>SPVU</t>
  </si>
  <si>
    <t>Base</t>
  </si>
  <si>
    <t>C/I SPVU Load for</t>
  </si>
  <si>
    <t>FPL Load Replacing</t>
  </si>
  <si>
    <t>Efficiency</t>
  </si>
  <si>
    <t xml:space="preserve"> Current Efficiency Mix</t>
  </si>
  <si>
    <t>PPIDs</t>
  </si>
  <si>
    <t>CI SPVU Efficiency</t>
  </si>
  <si>
    <t>Load Impact Forecast for CFL's</t>
  </si>
  <si>
    <t>Combined Residential and Commercial/Industrial Markets</t>
  </si>
  <si>
    <t>Incandescent Compatible Lighting Replacement Market</t>
  </si>
  <si>
    <t>Lighting Efficiency</t>
  </si>
  <si>
    <t>Cooling Interactive</t>
  </si>
  <si>
    <t>Fraction of Bulbs</t>
  </si>
  <si>
    <t>CFL Uptake</t>
  </si>
  <si>
    <t>Installed CFL</t>
  </si>
  <si>
    <t>in the Market</t>
  </si>
  <si>
    <t>Due to All Historic and Current CFL</t>
  </si>
  <si>
    <t>in Incandescent</t>
  </si>
  <si>
    <t>Bulbs</t>
  </si>
  <si>
    <t>that are</t>
  </si>
  <si>
    <t>Replacements and Additions</t>
  </si>
  <si>
    <t>Due to Lighting Installations</t>
  </si>
  <si>
    <t>Compatible Bulbs</t>
  </si>
  <si>
    <t>CFL's</t>
  </si>
  <si>
    <t>Impact of the Energy Independence and Security Act of 2007 on the FPL System Load</t>
  </si>
  <si>
    <t>Load Impact Forecast for Incandescent Bulb Efficacy Improvements</t>
  </si>
  <si>
    <t>EISA Compliant</t>
  </si>
  <si>
    <t>Due to All EISA Compliant</t>
  </si>
  <si>
    <t>Incandescent Uptake</t>
  </si>
  <si>
    <t>Incandescent Bulbs</t>
  </si>
  <si>
    <t>in Bulbs</t>
  </si>
  <si>
    <t>CFL Lighting Efficiency</t>
  </si>
  <si>
    <t>Due to All Historic and Ongoing CFL</t>
  </si>
  <si>
    <t>Advanced Incandescent Lighting Efficiency</t>
  </si>
  <si>
    <t>Load Forecast for Residential New Construction</t>
  </si>
  <si>
    <t>Load forecast 1 assumes federal facility demand grows at a constant rate of escalation that matches U.S. energy growth, and that federal facilities in FPL service territory account for 1.96 percent of the national total.</t>
  </si>
  <si>
    <t>Load forecast 2 is set equal to load forecast 1, less estimated impacts of Section 104 (EPACT 2005).</t>
  </si>
  <si>
    <t>NA</t>
  </si>
  <si>
    <t>Load forecast 1 assumes that the entire market has stand-alone refrigeration connected loads consistent with per-unit levels reported in the commercial sector study; no improvements are made to the average population efficiency level.</t>
  </si>
  <si>
    <t>Load forecast 1c assumes that the entire market has ES fixtures with magnetic ballasts; no improvements are made to the average population efficiency level.</t>
  </si>
  <si>
    <t>Commercial/Industrial Load Forecast for Chilled Water Cooling Systems</t>
  </si>
  <si>
    <t>Load forecast 1a assumes that the entire market has ASHRAE 90.1 1989 defined efficiency; no improvements are made to the average population efficiency level.</t>
  </si>
  <si>
    <t>Load forecast 3a is identical to Load forecast 2a but achievable potential estimates from FPL are subtracted from that forecast.</t>
  </si>
  <si>
    <t>Commercial/Industrial Load Forecast for DX Air-Conditioning Systems</t>
  </si>
  <si>
    <t>Summary Results</t>
  </si>
  <si>
    <t>Load forecast 1 assumes turnover of &lt;10 SEER equipment to 2002 trends in efficiency distribution through 2010, after which no further improvements are made to the average population efficiency level.</t>
  </si>
  <si>
    <t>Cooling Degree Hours</t>
  </si>
  <si>
    <t>Weather Sensative Subtotal</t>
  </si>
  <si>
    <t>Non-Weather Sensative Subtotal</t>
  </si>
  <si>
    <t>Grandtotal</t>
  </si>
  <si>
    <t>CFLs</t>
  </si>
  <si>
    <t>Grandtotal (matches column V)</t>
  </si>
  <si>
    <t>weight</t>
  </si>
  <si>
    <t>MWH</t>
  </si>
  <si>
    <t>Single Package/Vertical Unit</t>
  </si>
  <si>
    <t>MWH Monthly</t>
  </si>
  <si>
    <t>MWH Annual</t>
  </si>
  <si>
    <t>KWH/CUST</t>
  </si>
  <si>
    <t>MWH USE/CUST/DAY</t>
  </si>
  <si>
    <t>change from prior year</t>
  </si>
  <si>
    <t>Monthly</t>
  </si>
  <si>
    <t>Grand total from MWh Impact Summary worksheet</t>
  </si>
  <si>
    <t>Difference (should be zero)</t>
  </si>
  <si>
    <t>Total Annual MWH</t>
  </si>
  <si>
    <t>Total Summer MW</t>
  </si>
  <si>
    <t>Total Customers</t>
  </si>
  <si>
    <t>Calendar Days</t>
  </si>
  <si>
    <t>2013 Cooling Degree Hours- 20 year normals (1993-2012)</t>
  </si>
  <si>
    <t>Grandtotal (matches column Z)</t>
  </si>
  <si>
    <t>Grandtotal (matches column AE)</t>
  </si>
  <si>
    <t>CFL Totals</t>
  </si>
  <si>
    <t>Difference from last study</t>
  </si>
  <si>
    <t>kWh / Bulb</t>
  </si>
  <si>
    <t>Last Yr</t>
  </si>
  <si>
    <t>Current</t>
  </si>
  <si>
    <t>Weather and non-weather sensitive</t>
  </si>
  <si>
    <t>Savings per Cust</t>
  </si>
  <si>
    <t>Weat/Nonweat sens kwh/cust</t>
  </si>
  <si>
    <t>Difference from last NEPACT Study</t>
  </si>
  <si>
    <t>Due to All Historic and Current LED</t>
  </si>
  <si>
    <t>LED Lighting Efficiency</t>
  </si>
  <si>
    <t>Impact of the Emerging Light Emitting Diode Light Bulb Market on the FPL System Load</t>
  </si>
  <si>
    <t>Load Impact Forecast for LED's</t>
  </si>
  <si>
    <t>2008 - 2026, 4-5 PM on a Typical Summer System Peak Day, 7-8 AM on a Typical Winter System Peak Day and Annual Energy</t>
  </si>
  <si>
    <t>LED Uptake</t>
  </si>
  <si>
    <t>Installed LED</t>
  </si>
  <si>
    <t>Due to LED Lighting Installations</t>
  </si>
  <si>
    <t>LED's</t>
  </si>
  <si>
    <t>Revised 9-25-14</t>
  </si>
  <si>
    <t>Impact of the Emerging Compact Flourescent Light Bulb Market on the FPL System Load</t>
  </si>
  <si>
    <t>Due to CFL Lighting Installations</t>
  </si>
  <si>
    <t>2005 - 2026, 4-5 PM on a Typical System Peak Day</t>
  </si>
  <si>
    <t>Using a T12 Energy Saver with Magnetic Ballast Baseline</t>
  </si>
  <si>
    <t>CI Lighting Market</t>
  </si>
  <si>
    <t>Estimated LED</t>
  </si>
  <si>
    <t>Annual LED</t>
  </si>
  <si>
    <t>Market Share</t>
  </si>
  <si>
    <t>C/I Lighting Load</t>
  </si>
  <si>
    <t>Due to LED Sales</t>
  </si>
  <si>
    <t>Due to T8 Replacing ES MB</t>
  </si>
  <si>
    <t>of Linear Fluorescent</t>
  </si>
  <si>
    <t>Fixtures</t>
  </si>
  <si>
    <t>Including T8 and LED Sales</t>
  </si>
  <si>
    <t>Replacing T8 Sales</t>
  </si>
  <si>
    <t>and LED replacing T8</t>
  </si>
  <si>
    <t>Sales</t>
  </si>
  <si>
    <t>Installed</t>
  </si>
  <si>
    <t>Load forecast 2c assumes ES fixtures with magnetic ballasts through 2006, after which all replacement fixtures through 2026 are assumed to be T8 fixtures with electronic ballasts.</t>
  </si>
  <si>
    <t>Load forecast 3c includes LED fixtures in addition to T8 systems, with LED acquiring some T8 market share.</t>
  </si>
  <si>
    <t>2008 - 2026</t>
  </si>
  <si>
    <t>Base Eff.</t>
  </si>
  <si>
    <t>Replacement Eff.</t>
  </si>
  <si>
    <t>Base Efficiency</t>
  </si>
  <si>
    <t>Updated Efficiency Replacements</t>
  </si>
  <si>
    <t>Revised 9-16-14</t>
  </si>
  <si>
    <t>Load forecast 2a assumes that all replacement equipment from 2005 through 2026 are ASHRAE 90.1 2001 compliant.</t>
  </si>
  <si>
    <t>Revised 9-18-14</t>
  </si>
  <si>
    <t>Due to EPACT and EISA Regulations</t>
  </si>
  <si>
    <t>EPACT and EISA Regulations</t>
  </si>
  <si>
    <t>Load forecast 2a assumes ASHRAE 90.1 1989 through 2005, after which all replacement equipment through 2026 are assumed to be EPACT and EISA compliant.</t>
  </si>
  <si>
    <t>Revised 9-15-14</t>
  </si>
  <si>
    <t>DOE 2014 Compliant</t>
  </si>
  <si>
    <t>Due to EISA/DOE 2014 Federal Standards</t>
  </si>
  <si>
    <t>Market</t>
  </si>
  <si>
    <t>Efficient Replacements</t>
  </si>
  <si>
    <t>Revised 9-24-14</t>
  </si>
  <si>
    <t xml:space="preserve">Total </t>
  </si>
  <si>
    <t>Baseline</t>
  </si>
  <si>
    <t>EPACT 2005</t>
  </si>
  <si>
    <t>DOE 2014</t>
  </si>
  <si>
    <t>Due to EPACT and DOE Stnds</t>
  </si>
  <si>
    <t>Under EPACT and DOE Stnds</t>
  </si>
  <si>
    <t>in MW connected Load</t>
  </si>
  <si>
    <t>Load forecast 2 assumes consistent per-unit stand-alone connected loads through 2009, after which all replacement equipment through 2026 are assumed to be EPACT or DOE compliant.</t>
  </si>
  <si>
    <t>Revised 9-22-14</t>
  </si>
  <si>
    <t>2005 - 2026 Residential Peak Hour for the Typical System Peak Day</t>
  </si>
  <si>
    <t>Due to SEER 13 and 14 Standards</t>
  </si>
  <si>
    <t>2004 Model</t>
  </si>
  <si>
    <t>Load forecast 2 assumes Load forecast 1 trends in efficiency improvement through 2005, after which all replacement units from the 2005 population and all new growth is assumed to be 13 SEER in 2006 through 2014 and 14 SEER from 2015 through 2026.</t>
  </si>
  <si>
    <t>http://www.appliance-standards.org/product/central-air-conditioners-and-heat-pumps</t>
  </si>
  <si>
    <t>in 2017 a standard for 2022 will be due</t>
  </si>
  <si>
    <t>2004 - 2026 Peak Hour for the Typical System Peak Day</t>
  </si>
  <si>
    <t>Replacing 2004 Standard</t>
  </si>
  <si>
    <t>Load forecast 1 assumes the market for electric water heaters reflects the current federal energy conservation standards for water heaters, as of January 2004.</t>
  </si>
  <si>
    <t>Revised 09-23-14</t>
  </si>
  <si>
    <t>Residential Refrigerator Replacement Market</t>
  </si>
  <si>
    <t>Residential Refrigerator Efficiency</t>
  </si>
  <si>
    <t>Total Refrigerator</t>
  </si>
  <si>
    <t>Res Refrigerators</t>
  </si>
  <si>
    <t>Refrigerator</t>
  </si>
  <si>
    <t>Refrigerator Load</t>
  </si>
  <si>
    <t>Load for 2014 Standard</t>
  </si>
  <si>
    <t>Due to 2014 Standards</t>
  </si>
  <si>
    <t>of Refrigerators in</t>
  </si>
  <si>
    <t>Peak Load</t>
  </si>
  <si>
    <t>Effective Useful Life</t>
  </si>
  <si>
    <t>of Refrigerator Load</t>
  </si>
  <si>
    <t>Given 2001 Standard</t>
  </si>
  <si>
    <t>Replacing 2001 Standard</t>
  </si>
  <si>
    <t xml:space="preserve">in MW </t>
  </si>
  <si>
    <t>Load forecast 1 assumes that the entire market has refrigeration loads consistent with 2001 appliance standards; no improvements are made to the average population efficiency level.</t>
  </si>
  <si>
    <t>Load forecast 2 assumes forecast 1 per-unit refrigerator loads through 2014, after which all replacement equipment through 2026 are assumed to be 2014 Standard compliant.</t>
  </si>
  <si>
    <t>Revised 9-30-14</t>
  </si>
  <si>
    <t>2007 - 2026 Residential Peak Hour for the Typical System Peak Day</t>
  </si>
  <si>
    <t>Load forecast 1 assumes that the trend in residential new construction energy code improvement continues at a rate that is equal to the average rate observed since 1984.</t>
  </si>
  <si>
    <t>Due to EISA Lighting Installations</t>
  </si>
  <si>
    <t>Adopted</t>
  </si>
  <si>
    <t>Difference from last study including CFL's and LED's</t>
  </si>
  <si>
    <t>CFL and LED Uptake</t>
  </si>
  <si>
    <t>Installed CFL and LED</t>
  </si>
  <si>
    <t>CFL's &amp; LED's</t>
  </si>
  <si>
    <t>2005 - 2026, 4-5 PM on a Typical Summer System Peak Day</t>
  </si>
  <si>
    <t>CI Long Tube Lighting Efficiency - LED</t>
  </si>
  <si>
    <t>Due to All Historic and Ongoing LED</t>
  </si>
  <si>
    <t>Revised 10-03-14</t>
  </si>
  <si>
    <t>2005 - 2026, 7-8 AM on a Typical Winter System Peak Day</t>
  </si>
  <si>
    <t>2005 - 2026, Annual Energy Impact Estimates</t>
  </si>
  <si>
    <t>Comparison with Last Study</t>
  </si>
  <si>
    <t>Assumed Customers</t>
  </si>
  <si>
    <t>Prior</t>
  </si>
  <si>
    <t>Including Rebound</t>
  </si>
  <si>
    <t>Prior Yr Total</t>
  </si>
  <si>
    <t>Night-Time Hours</t>
  </si>
  <si>
    <t>HVAC</t>
  </si>
  <si>
    <t xml:space="preserve">Night-Time Hour </t>
  </si>
  <si>
    <t>Non-weather, non-lighting</t>
  </si>
  <si>
    <t>Days</t>
  </si>
  <si>
    <t>days and cooling interaction wgted by CDH</t>
  </si>
  <si>
    <t>Difference between weighting: daylight hrs &amp; days VS.</t>
  </si>
  <si>
    <t>Share</t>
  </si>
  <si>
    <t>Adjustment for The Energy Improvement Act of 2015</t>
  </si>
  <si>
    <t>This 2015 act allows water heaters greater than 75 gallons to not have to meet the standard</t>
  </si>
  <si>
    <t>which would require them to be heat pumps.  This enables utilities to continue to use these</t>
  </si>
  <si>
    <t>water heaters for load management</t>
  </si>
  <si>
    <t>CDH Weights</t>
  </si>
  <si>
    <t>adjusted for the 2015 Energy Improvement Act of 2015.  An adjustment factor of 49% was used.  Therefore the numbers in</t>
  </si>
  <si>
    <t>In June 2015  the 'CI Water Heater Efficiency for units &gt; 55 gallons' and 'Res Water Heater Efficiency for units &gt; 55 gallons' was</t>
  </si>
  <si>
    <t>this file will not match (will be lower) the numbers in the "Revised Forecast-Impact of Codes and Standards Sep2014.xlsx" file.</t>
  </si>
  <si>
    <t>OPC 010134</t>
  </si>
  <si>
    <t>FPL RC-16</t>
  </si>
  <si>
    <t>OPC 010135</t>
  </si>
  <si>
    <t>OPC 010136</t>
  </si>
  <si>
    <t>OPC 010137</t>
  </si>
  <si>
    <t>OPC 010138</t>
  </si>
  <si>
    <t>OPC 010139</t>
  </si>
  <si>
    <t>OPC 010140</t>
  </si>
  <si>
    <t>OPC 010141</t>
  </si>
  <si>
    <t>OPC 010142</t>
  </si>
  <si>
    <t>OPC 010143</t>
  </si>
  <si>
    <t>OPC 010144</t>
  </si>
  <si>
    <t>OPC 010145</t>
  </si>
  <si>
    <t>OPC 010146</t>
  </si>
  <si>
    <t>OPC 010147</t>
  </si>
  <si>
    <t>OPC 010148</t>
  </si>
  <si>
    <t>OPC 010149</t>
  </si>
  <si>
    <t>OPC 010150</t>
  </si>
  <si>
    <t>OPC 010151</t>
  </si>
  <si>
    <t>OPC 010152</t>
  </si>
  <si>
    <t>OPC 010153</t>
  </si>
  <si>
    <t>OPC 010154</t>
  </si>
  <si>
    <t>OPC 010155</t>
  </si>
  <si>
    <t>OPC 010156</t>
  </si>
  <si>
    <t>OPC 010157</t>
  </si>
  <si>
    <t>OPC 010158</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</si>
</sst>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_(* \(#,##0.00\);_(* &quot;-&quot;??_);_(@_)"/>
    <numFmt numFmtId="164" formatCode="0.0"/>
    <numFmt numFmtId="165" formatCode="0.000000000000000%"/>
    <numFmt numFmtId="166" formatCode="0.0%"/>
    <numFmt numFmtId="167" formatCode="#,##0.000"/>
    <numFmt numFmtId="168" formatCode="_(* #,##0.0_);_(* \(#,##0.0\);_(* &quot;-&quot;??_);_(@_)"/>
    <numFmt numFmtId="169" formatCode="_(* #,##0_);_(* \(#,##0\);_(* &quot;-&quot;??_);_(@_)"/>
    <numFmt numFmtId="170" formatCode="_(* #,##0.00000_);_(* \(#,##0.00000\);_(* &quot;-&quot;??_);_(@_)"/>
    <numFmt numFmtId="171" formatCode="0.00000"/>
    <numFmt numFmtId="172" formatCode="0.000000"/>
    <numFmt numFmtId="173" formatCode="0.0000000"/>
    <numFmt numFmtId="174" formatCode="_(* #,##0.0000000_);_(* \(#,##0.0000000\);_(* &quot;-&quot;??_);_(@_)"/>
    <numFmt numFmtId="175" formatCode="_(* #,##0.000000_);_(* \(#,##0.000000\);_(* &quot;-&quot;??_);_(@_)"/>
    <numFmt numFmtId="176" formatCode="0.00000000"/>
    <numFmt numFmtId="177" formatCode="#,##0.0000000"/>
    <numFmt numFmtId="178" formatCode="#,##0.0000"/>
    <numFmt numFmtId="179" formatCode="0.00000E+00"/>
  </numFmts>
  <fonts count="24">
    <font>
      <sz val="10"/>
      <name val="Arial"/>
    </font>
    <font>
      <sz val="10"/>
      <name val="Arial"/>
      <family val="2"/>
    </font>
    <font>
      <b/>
      <i/>
      <sz val="12"/>
      <name val="Optima"/>
      <family val="2"/>
    </font>
    <font>
      <sz val="10"/>
      <name val="Optima"/>
      <family val="2"/>
    </font>
    <font>
      <b/>
      <sz val="10"/>
      <name val="Optima"/>
      <family val="2"/>
    </font>
    <font>
      <sz val="9"/>
      <color indexed="20"/>
      <name val="Arial"/>
      <family val="2"/>
    </font>
    <font>
      <sz val="10"/>
      <name val="Arial"/>
      <family val="2"/>
    </font>
    <font>
      <sz val="10"/>
      <name val="Helv"/>
    </font>
    <font>
      <sz val="10"/>
      <name val="MS Sans Serif"/>
      <family val="2"/>
    </font>
    <font>
      <sz val="11"/>
      <color theme="1"/>
      <name val="Calibri"/>
      <family val="2"/>
      <scheme val="minor"/>
    </font>
    <font>
      <b/>
      <sz val="10"/>
      <color rgb="FFFF0000"/>
      <name val="Optima"/>
      <family val="2"/>
    </font>
    <font>
      <sz val="10"/>
      <color rgb="FFFF0000"/>
      <name val="Optima"/>
      <family val="2"/>
    </font>
    <font>
      <sz val="10"/>
      <name val="Arial"/>
      <family val="2"/>
    </font>
    <font>
      <b/>
      <sz val="10"/>
      <name val="Arial"/>
      <family val="2"/>
    </font>
    <font>
      <sz val="9"/>
      <name val="Arial"/>
      <family val="2"/>
    </font>
    <font>
      <b/>
      <sz val="10"/>
      <color rgb="FFFF0000"/>
      <name val="Optima"/>
    </font>
    <font>
      <b/>
      <sz val="10"/>
      <name val="Optima"/>
    </font>
    <font>
      <sz val="10"/>
      <name val="Arial"/>
      <family val="2"/>
    </font>
    <font>
      <sz val="10"/>
      <color rgb="FFFF0000"/>
      <name val="Arial"/>
      <family val="2"/>
    </font>
    <font>
      <sz val="10"/>
      <color rgb="FF00B050"/>
      <name val="Optima"/>
      <family val="2"/>
    </font>
    <font>
      <u/>
      <sz val="10"/>
      <color indexed="12"/>
      <name val="Arial"/>
      <family val="2"/>
    </font>
    <font>
      <sz val="10"/>
      <color rgb="FF00B0F0"/>
      <name val="Optima"/>
      <family val="2"/>
    </font>
    <font>
      <b/>
      <i/>
      <sz val="12"/>
      <color rgb="FFFF0000"/>
      <name val="Optima"/>
      <family val="2"/>
    </font>
    <font>
      <sz val="10"/>
      <name val="Optima"/>
    </font>
  </fonts>
  <fills count="13">
    <fill>
      <patternFill patternType="none"/>
    </fill>
    <fill>
      <patternFill patternType="gray125"/>
    </fill>
    <fill>
      <patternFill patternType="solid">
        <fgColor indexed="14"/>
        <bgColor indexed="64"/>
      </patternFill>
    </fill>
    <fill>
      <patternFill patternType="solid">
        <fgColor indexed="29"/>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rgb="FF00B0F0"/>
        <bgColor indexed="64"/>
      </patternFill>
    </fill>
    <fill>
      <patternFill patternType="solid">
        <fgColor rgb="FF00B050"/>
        <bgColor indexed="64"/>
      </patternFill>
    </fill>
  </fills>
  <borders count="2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7">
    <xf numFmtId="0" fontId="0" fillId="0" borderId="0"/>
    <xf numFmtId="43" fontId="6" fillId="0" borderId="0" applyFont="0" applyFill="0" applyBorder="0" applyAlignment="0" applyProtection="0"/>
    <xf numFmtId="0" fontId="6" fillId="0" borderId="0"/>
    <xf numFmtId="0" fontId="3" fillId="0" borderId="0"/>
    <xf numFmtId="0" fontId="6" fillId="0" borderId="0"/>
    <xf numFmtId="0" fontId="7" fillId="0" borderId="0"/>
    <xf numFmtId="0" fontId="8" fillId="0" borderId="0"/>
    <xf numFmtId="0" fontId="8" fillId="0" borderId="0"/>
    <xf numFmtId="0" fontId="9" fillId="0" borderId="0"/>
    <xf numFmtId="0" fontId="1" fillId="0" borderId="0"/>
    <xf numFmtId="0" fontId="1" fillId="0" borderId="0"/>
    <xf numFmtId="0" fontId="8" fillId="0" borderId="0"/>
    <xf numFmtId="9" fontId="1" fillId="0" borderId="0" applyFont="0" applyFill="0" applyBorder="0" applyAlignment="0" applyProtection="0"/>
    <xf numFmtId="9" fontId="3" fillId="0" borderId="0" applyFont="0" applyFill="0" applyBorder="0" applyAlignment="0" applyProtection="0"/>
    <xf numFmtId="0" fontId="5" fillId="2" borderId="0"/>
    <xf numFmtId="172" fontId="12" fillId="0" borderId="0">
      <alignment horizontal="left" wrapText="1"/>
    </xf>
    <xf numFmtId="0" fontId="12" fillId="0" borderId="0"/>
    <xf numFmtId="43" fontId="12" fillId="0" borderId="0" applyFont="0" applyFill="0" applyBorder="0" applyAlignment="0" applyProtection="0"/>
    <xf numFmtId="9" fontId="12" fillId="0" borderId="0" applyFont="0" applyFill="0" applyBorder="0" applyAlignment="0" applyProtection="0"/>
    <xf numFmtId="172" fontId="12" fillId="0" borderId="0">
      <alignment horizontal="left" wrapText="1"/>
    </xf>
    <xf numFmtId="43" fontId="17" fillId="0" borderId="0" applyFont="0" applyFill="0" applyBorder="0" applyAlignment="0" applyProtection="0"/>
    <xf numFmtId="0" fontId="20" fillId="0" borderId="0" applyNumberFormat="0" applyFill="0" applyBorder="0" applyAlignment="0" applyProtection="0">
      <alignment vertical="top"/>
      <protection locked="0"/>
    </xf>
    <xf numFmtId="172" fontId="1" fillId="0" borderId="0">
      <alignment horizontal="left" wrapText="1"/>
    </xf>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8">
    <xf numFmtId="0" fontId="0" fillId="0" borderId="0" xfId="0"/>
    <xf numFmtId="0" fontId="2" fillId="0" borderId="0" xfId="0" applyFont="1" applyAlignment="1">
      <alignment horizontal="centerContinuous"/>
    </xf>
    <xf numFmtId="0" fontId="2" fillId="0" borderId="0" xfId="0" applyFont="1"/>
    <xf numFmtId="0" fontId="2" fillId="0" borderId="0" xfId="0" applyFont="1" applyBorder="1" applyAlignment="1">
      <alignment horizontal="centerContinuous"/>
    </xf>
    <xf numFmtId="0" fontId="3" fillId="0" borderId="1" xfId="0" applyFont="1" applyBorder="1"/>
    <xf numFmtId="0" fontId="3" fillId="0" borderId="0" xfId="0" applyFont="1"/>
    <xf numFmtId="0" fontId="4" fillId="0" borderId="2" xfId="0" applyFont="1" applyBorder="1"/>
    <xf numFmtId="0" fontId="4" fillId="0" borderId="3" xfId="0" applyFont="1" applyBorder="1" applyAlignment="1">
      <alignment horizontal="centerContinuous"/>
    </xf>
    <xf numFmtId="0" fontId="4" fillId="0" borderId="4" xfId="0" applyFont="1" applyBorder="1" applyAlignment="1">
      <alignment horizontal="centerContinuous"/>
    </xf>
    <xf numFmtId="0" fontId="4" fillId="0" borderId="0" xfId="0" applyFont="1"/>
    <xf numFmtId="0" fontId="4" fillId="0" borderId="5" xfId="0" applyFont="1" applyBorder="1"/>
    <xf numFmtId="0" fontId="4" fillId="0" borderId="6" xfId="0" applyFont="1" applyBorder="1" applyAlignment="1">
      <alignment horizontal="center"/>
    </xf>
    <xf numFmtId="0" fontId="3" fillId="0" borderId="7" xfId="0" applyFont="1" applyBorder="1" applyAlignment="1">
      <alignment horizontal="center"/>
    </xf>
    <xf numFmtId="3" fontId="3" fillId="0" borderId="7" xfId="0" applyNumberFormat="1" applyFont="1" applyBorder="1" applyAlignment="1">
      <alignment horizontal="center"/>
    </xf>
    <xf numFmtId="3" fontId="3" fillId="0" borderId="7" xfId="0" applyNumberFormat="1" applyFont="1" applyFill="1" applyBorder="1" applyAlignment="1">
      <alignment horizontal="center"/>
    </xf>
    <xf numFmtId="3" fontId="3" fillId="0" borderId="0" xfId="0" applyNumberFormat="1" applyFont="1"/>
    <xf numFmtId="0" fontId="3" fillId="0" borderId="0" xfId="0" applyFont="1" applyBorder="1" applyAlignment="1">
      <alignment horizontal="center"/>
    </xf>
    <xf numFmtId="3" fontId="3" fillId="0" borderId="0" xfId="0" applyNumberFormat="1" applyFont="1" applyBorder="1" applyAlignment="1">
      <alignment horizontal="center"/>
    </xf>
    <xf numFmtId="3" fontId="3" fillId="0" borderId="0" xfId="0" applyNumberFormat="1" applyFont="1" applyFill="1" applyBorder="1" applyAlignment="1">
      <alignment horizontal="center"/>
    </xf>
    <xf numFmtId="2" fontId="3" fillId="0" borderId="0" xfId="0" applyNumberFormat="1" applyFont="1"/>
    <xf numFmtId="3" fontId="3" fillId="0" borderId="7" xfId="10" applyNumberFormat="1" applyFont="1" applyBorder="1" applyAlignment="1">
      <alignment horizontal="center"/>
    </xf>
    <xf numFmtId="3" fontId="3" fillId="0" borderId="7" xfId="10" applyNumberFormat="1" applyFont="1" applyFill="1" applyBorder="1" applyAlignment="1">
      <alignment horizontal="center"/>
    </xf>
    <xf numFmtId="0" fontId="4" fillId="0" borderId="6" xfId="10" applyFont="1" applyFill="1" applyBorder="1" applyAlignment="1">
      <alignment horizontal="center"/>
    </xf>
    <xf numFmtId="0" fontId="4" fillId="0" borderId="4" xfId="0" applyFont="1" applyFill="1" applyBorder="1" applyAlignment="1">
      <alignment horizontal="centerContinuous"/>
    </xf>
    <xf numFmtId="0" fontId="4" fillId="0" borderId="6" xfId="0" applyFont="1" applyFill="1" applyBorder="1" applyAlignment="1">
      <alignment horizontal="center"/>
    </xf>
    <xf numFmtId="0" fontId="2" fillId="0" borderId="0" xfId="0" applyFont="1" applyFill="1" applyAlignment="1">
      <alignment horizontal="centerContinuous"/>
    </xf>
    <xf numFmtId="0" fontId="2" fillId="0" borderId="0" xfId="0" applyFont="1" applyFill="1"/>
    <xf numFmtId="0" fontId="2" fillId="0" borderId="0" xfId="0" applyFont="1" applyFill="1" applyBorder="1" applyAlignment="1">
      <alignment horizontal="centerContinuous"/>
    </xf>
    <xf numFmtId="0" fontId="4" fillId="0" borderId="2" xfId="0" applyFont="1" applyFill="1" applyBorder="1"/>
    <xf numFmtId="0" fontId="4" fillId="0" borderId="3" xfId="0" applyFont="1" applyFill="1" applyBorder="1" applyAlignment="1">
      <alignment horizontal="centerContinuous"/>
    </xf>
    <xf numFmtId="0" fontId="4" fillId="0" borderId="0" xfId="0" applyFont="1" applyFill="1"/>
    <xf numFmtId="0" fontId="4" fillId="0" borderId="5" xfId="0" applyFont="1" applyFill="1" applyBorder="1"/>
    <xf numFmtId="0" fontId="3" fillId="0" borderId="7" xfId="0" applyFont="1" applyFill="1" applyBorder="1" applyAlignment="1">
      <alignment horizontal="center"/>
    </xf>
    <xf numFmtId="0" fontId="3" fillId="0" borderId="0" xfId="0" applyFont="1" applyFill="1"/>
    <xf numFmtId="0" fontId="3" fillId="0" borderId="0" xfId="0" applyFont="1" applyFill="1" applyBorder="1" applyAlignment="1">
      <alignment horizontal="center"/>
    </xf>
    <xf numFmtId="2" fontId="3" fillId="0" borderId="0" xfId="0" applyNumberFormat="1" applyFont="1" applyFill="1"/>
    <xf numFmtId="0" fontId="3" fillId="0" borderId="1" xfId="0" applyFont="1" applyFill="1" applyBorder="1"/>
    <xf numFmtId="3" fontId="4" fillId="0" borderId="7" xfId="0" applyNumberFormat="1" applyFont="1" applyFill="1" applyBorder="1" applyAlignment="1">
      <alignment horizontal="center"/>
    </xf>
    <xf numFmtId="3" fontId="3" fillId="0" borderId="0" xfId="0" applyNumberFormat="1" applyFont="1" applyFill="1"/>
    <xf numFmtId="3" fontId="3" fillId="0" borderId="6" xfId="0" applyNumberFormat="1" applyFont="1" applyFill="1" applyBorder="1" applyAlignment="1">
      <alignment horizontal="center"/>
    </xf>
    <xf numFmtId="0" fontId="3" fillId="0" borderId="0" xfId="2" applyFont="1" applyFill="1"/>
    <xf numFmtId="0" fontId="2" fillId="0" borderId="0" xfId="2" applyFont="1" applyFill="1" applyAlignment="1">
      <alignment horizontal="centerContinuous"/>
    </xf>
    <xf numFmtId="167" fontId="3" fillId="0" borderId="7" xfId="0" applyNumberFormat="1" applyFont="1" applyFill="1" applyBorder="1" applyAlignment="1">
      <alignment horizontal="center"/>
    </xf>
    <xf numFmtId="0" fontId="4" fillId="0" borderId="2" xfId="0" quotePrefix="1" applyFont="1" applyBorder="1" applyAlignment="1">
      <alignment horizontal="center" wrapText="1"/>
    </xf>
    <xf numFmtId="0" fontId="4" fillId="0" borderId="5" xfId="0" applyFont="1" applyBorder="1" applyAlignment="1">
      <alignment horizontal="center" wrapText="1"/>
    </xf>
    <xf numFmtId="0" fontId="4" fillId="0" borderId="5" xfId="10" applyFont="1" applyBorder="1" applyAlignment="1">
      <alignment horizontal="center" wrapText="1"/>
    </xf>
    <xf numFmtId="0" fontId="4" fillId="0" borderId="6" xfId="0" applyFont="1" applyBorder="1" applyAlignment="1">
      <alignment horizontal="center" wrapText="1"/>
    </xf>
    <xf numFmtId="0" fontId="4" fillId="0" borderId="4" xfId="0" applyFont="1" applyBorder="1" applyAlignment="1">
      <alignment horizontal="centerContinuous" wrapText="1"/>
    </xf>
    <xf numFmtId="0" fontId="4" fillId="0" borderId="4" xfId="10" applyFont="1" applyBorder="1" applyAlignment="1">
      <alignment horizontal="centerContinuous" wrapText="1"/>
    </xf>
    <xf numFmtId="0" fontId="4" fillId="0" borderId="0" xfId="0" applyFont="1" applyAlignment="1">
      <alignment wrapText="1"/>
    </xf>
    <xf numFmtId="0" fontId="4" fillId="0" borderId="6" xfId="10" applyFont="1" applyBorder="1" applyAlignment="1">
      <alignment horizontal="center" wrapText="1"/>
    </xf>
    <xf numFmtId="0" fontId="4" fillId="0" borderId="2" xfId="0" applyFont="1" applyBorder="1" applyAlignment="1">
      <alignment wrapText="1"/>
    </xf>
    <xf numFmtId="0" fontId="4" fillId="0" borderId="5" xfId="0" applyFont="1" applyBorder="1" applyAlignment="1">
      <alignment wrapText="1"/>
    </xf>
    <xf numFmtId="0" fontId="4" fillId="0" borderId="5" xfId="10" applyFont="1" applyFill="1" applyBorder="1" applyAlignment="1">
      <alignment horizontal="center" wrapText="1"/>
    </xf>
    <xf numFmtId="0" fontId="4" fillId="0" borderId="2" xfId="0" applyFont="1" applyBorder="1" applyAlignment="1">
      <alignment horizontal="center" wrapText="1"/>
    </xf>
    <xf numFmtId="0" fontId="4" fillId="0" borderId="5" xfId="0" applyFont="1" applyFill="1" applyBorder="1" applyAlignment="1">
      <alignment horizontal="center" wrapText="1"/>
    </xf>
    <xf numFmtId="0" fontId="4" fillId="0" borderId="2" xfId="0" quotePrefix="1" applyFont="1" applyFill="1" applyBorder="1" applyAlignment="1">
      <alignment horizontal="center" wrapText="1"/>
    </xf>
    <xf numFmtId="0" fontId="4" fillId="0" borderId="2" xfId="0" applyFont="1" applyFill="1" applyBorder="1" applyAlignment="1">
      <alignment horizontal="center" wrapText="1"/>
    </xf>
    <xf numFmtId="0" fontId="4" fillId="0" borderId="6" xfId="0" applyFont="1" applyFill="1" applyBorder="1" applyAlignment="1">
      <alignment horizontal="center" wrapText="1"/>
    </xf>
    <xf numFmtId="0" fontId="4" fillId="0" borderId="0" xfId="0" applyFont="1" applyFill="1" applyAlignment="1">
      <alignment wrapText="1"/>
    </xf>
    <xf numFmtId="0" fontId="4" fillId="0" borderId="0" xfId="0" applyFont="1" applyAlignment="1">
      <alignment horizontal="center" wrapText="1"/>
    </xf>
    <xf numFmtId="0" fontId="4" fillId="0" borderId="5" xfId="0" quotePrefix="1" applyFont="1" applyFill="1" applyBorder="1" applyAlignment="1">
      <alignment horizontal="center" wrapText="1"/>
    </xf>
    <xf numFmtId="0" fontId="12" fillId="0" borderId="0" xfId="15" applyNumberFormat="1" applyBorder="1" applyAlignment="1"/>
    <xf numFmtId="0" fontId="13" fillId="0" borderId="0" xfId="15" applyNumberFormat="1" applyFont="1" applyBorder="1" applyAlignment="1">
      <alignment horizontal="center" wrapText="1"/>
    </xf>
    <xf numFmtId="9" fontId="13" fillId="0" borderId="0" xfId="15" applyNumberFormat="1" applyFont="1" applyBorder="1" applyAlignment="1">
      <alignment horizontal="center" wrapText="1"/>
    </xf>
    <xf numFmtId="0" fontId="4" fillId="0" borderId="4" xfId="16" applyFont="1" applyBorder="1" applyAlignment="1">
      <alignment horizontal="centerContinuous" wrapText="1"/>
    </xf>
    <xf numFmtId="0" fontId="13" fillId="0" borderId="0" xfId="15" quotePrefix="1" applyNumberFormat="1" applyFont="1" applyBorder="1" applyAlignment="1">
      <alignment horizontal="center" wrapText="1"/>
    </xf>
    <xf numFmtId="0" fontId="13" fillId="0" borderId="0" xfId="15" applyNumberFormat="1" applyFont="1" applyBorder="1" applyAlignment="1">
      <alignment horizontal="center"/>
    </xf>
    <xf numFmtId="0" fontId="13" fillId="0" borderId="0" xfId="15" applyNumberFormat="1" applyFont="1" applyFill="1" applyBorder="1" applyAlignment="1">
      <alignment horizontal="center" wrapText="1"/>
    </xf>
    <xf numFmtId="0" fontId="13" fillId="3" borderId="0" xfId="15" applyNumberFormat="1" applyFont="1" applyFill="1" applyBorder="1" applyAlignment="1">
      <alignment horizontal="center" wrapText="1"/>
    </xf>
    <xf numFmtId="169" fontId="13" fillId="4" borderId="0" xfId="17" applyNumberFormat="1" applyFont="1" applyFill="1" applyBorder="1" applyAlignment="1">
      <alignment horizontal="center"/>
    </xf>
    <xf numFmtId="0" fontId="13" fillId="4" borderId="0" xfId="15" applyNumberFormat="1" applyFont="1" applyFill="1" applyBorder="1" applyAlignment="1">
      <alignment horizontal="center"/>
    </xf>
    <xf numFmtId="0" fontId="12" fillId="4" borderId="0" xfId="15" applyNumberFormat="1" applyFill="1" applyBorder="1" applyAlignment="1"/>
    <xf numFmtId="0" fontId="13" fillId="5" borderId="0" xfId="15" quotePrefix="1" applyNumberFormat="1" applyFont="1" applyFill="1" applyBorder="1" applyAlignment="1">
      <alignment horizontal="center" wrapText="1"/>
    </xf>
    <xf numFmtId="172" fontId="13" fillId="0" borderId="0" xfId="15" applyFont="1" applyBorder="1" applyAlignment="1">
      <alignment horizontal="center" wrapText="1"/>
    </xf>
    <xf numFmtId="0" fontId="13" fillId="3" borderId="0" xfId="15" quotePrefix="1" applyNumberFormat="1" applyFont="1" applyFill="1" applyBorder="1" applyAlignment="1">
      <alignment horizontal="center" wrapText="1"/>
    </xf>
    <xf numFmtId="0" fontId="13" fillId="0" borderId="0" xfId="15" quotePrefix="1" applyNumberFormat="1" applyFont="1" applyFill="1" applyBorder="1" applyAlignment="1">
      <alignment horizontal="center" wrapText="1"/>
    </xf>
    <xf numFmtId="0" fontId="13" fillId="4" borderId="0" xfId="15" quotePrefix="1" applyNumberFormat="1" applyFont="1" applyFill="1" applyBorder="1" applyAlignment="1">
      <alignment horizontal="center" wrapText="1"/>
    </xf>
    <xf numFmtId="0" fontId="12" fillId="0" borderId="0" xfId="15" applyNumberFormat="1" applyAlignment="1"/>
    <xf numFmtId="2" fontId="12" fillId="5" borderId="0" xfId="15" applyNumberFormat="1" applyFill="1" applyAlignment="1"/>
    <xf numFmtId="166" fontId="12" fillId="0" borderId="0" xfId="18" applyNumberFormat="1"/>
    <xf numFmtId="3" fontId="12" fillId="0" borderId="0" xfId="15" applyNumberFormat="1" applyAlignment="1"/>
    <xf numFmtId="169" fontId="12" fillId="0" borderId="0" xfId="17" applyNumberFormat="1"/>
    <xf numFmtId="169" fontId="12" fillId="0" borderId="0" xfId="17" applyNumberFormat="1" applyAlignment="1">
      <alignment horizontal="center"/>
    </xf>
    <xf numFmtId="10" fontId="12" fillId="0" borderId="0" xfId="18" applyNumberFormat="1" applyFill="1"/>
    <xf numFmtId="3" fontId="12" fillId="0" borderId="0" xfId="17" applyNumberFormat="1"/>
    <xf numFmtId="168" fontId="12" fillId="0" borderId="0" xfId="15" applyNumberFormat="1" applyAlignment="1"/>
    <xf numFmtId="173" fontId="14" fillId="3" borderId="0" xfId="15" applyNumberFormat="1" applyFont="1" applyFill="1" applyAlignment="1">
      <alignment horizontal="center"/>
    </xf>
    <xf numFmtId="173" fontId="12" fillId="0" borderId="0" xfId="15" applyNumberFormat="1" applyAlignment="1"/>
    <xf numFmtId="169" fontId="12" fillId="4" borderId="0" xfId="17" applyNumberFormat="1" applyFill="1"/>
    <xf numFmtId="169" fontId="12" fillId="4" borderId="0" xfId="15" applyNumberFormat="1" applyFill="1" applyAlignment="1"/>
    <xf numFmtId="43" fontId="12" fillId="4" borderId="0" xfId="15" applyNumberFormat="1" applyFill="1" applyAlignment="1"/>
    <xf numFmtId="173" fontId="14" fillId="4" borderId="0" xfId="15" applyNumberFormat="1" applyFont="1" applyFill="1" applyAlignment="1">
      <alignment horizontal="center"/>
    </xf>
    <xf numFmtId="0" fontId="12" fillId="4" borderId="0" xfId="15" applyNumberFormat="1" applyFill="1" applyAlignment="1"/>
    <xf numFmtId="173" fontId="12" fillId="5" borderId="0" xfId="15" applyNumberFormat="1" applyFill="1" applyAlignment="1"/>
    <xf numFmtId="164" fontId="12" fillId="5" borderId="0" xfId="15" applyNumberFormat="1" applyFill="1" applyAlignment="1"/>
    <xf numFmtId="168" fontId="12" fillId="4" borderId="0" xfId="15" applyNumberFormat="1" applyFill="1" applyAlignment="1"/>
    <xf numFmtId="10" fontId="12" fillId="0" borderId="0" xfId="18" applyNumberFormat="1"/>
    <xf numFmtId="174" fontId="12" fillId="0" borderId="0" xfId="15" applyNumberFormat="1" applyAlignment="1"/>
    <xf numFmtId="3" fontId="12" fillId="4" borderId="0" xfId="15" applyNumberFormat="1" applyFill="1" applyAlignment="1"/>
    <xf numFmtId="169" fontId="12" fillId="0" borderId="0" xfId="15" applyNumberFormat="1" applyAlignment="1"/>
    <xf numFmtId="166" fontId="12" fillId="0" borderId="0" xfId="15" applyNumberFormat="1" applyAlignment="1"/>
    <xf numFmtId="0" fontId="12" fillId="0" borderId="0" xfId="15" applyNumberFormat="1" applyFill="1" applyAlignment="1"/>
    <xf numFmtId="3" fontId="12" fillId="0" borderId="0" xfId="15" applyNumberFormat="1" applyFont="1" applyAlignment="1"/>
    <xf numFmtId="169" fontId="12" fillId="0" borderId="0" xfId="17" applyNumberFormat="1" applyFill="1"/>
    <xf numFmtId="3" fontId="12" fillId="0" borderId="0" xfId="15" quotePrefix="1" applyNumberFormat="1" applyFont="1" applyAlignment="1">
      <alignment horizontal="left"/>
    </xf>
    <xf numFmtId="0" fontId="12" fillId="0" borderId="0" xfId="15" applyNumberFormat="1" applyFont="1" applyAlignment="1"/>
    <xf numFmtId="173" fontId="14" fillId="5" borderId="0" xfId="15" applyNumberFormat="1" applyFont="1" applyFill="1" applyAlignment="1">
      <alignment horizontal="center"/>
    </xf>
    <xf numFmtId="0" fontId="4" fillId="6" borderId="2" xfId="0" quotePrefix="1" applyFont="1" applyFill="1" applyBorder="1" applyAlignment="1">
      <alignment horizontal="center" wrapText="1"/>
    </xf>
    <xf numFmtId="0" fontId="4" fillId="6" borderId="5" xfId="0" quotePrefix="1" applyFont="1" applyFill="1" applyBorder="1" applyAlignment="1">
      <alignment horizontal="center" wrapText="1"/>
    </xf>
    <xf numFmtId="0" fontId="4" fillId="6" borderId="5" xfId="0" applyFont="1" applyFill="1" applyBorder="1" applyAlignment="1">
      <alignment horizontal="center" wrapText="1"/>
    </xf>
    <xf numFmtId="0" fontId="4" fillId="6" borderId="6" xfId="0" applyFont="1" applyFill="1" applyBorder="1" applyAlignment="1">
      <alignment horizontal="center" wrapText="1"/>
    </xf>
    <xf numFmtId="3" fontId="3" fillId="6" borderId="7" xfId="0" applyNumberFormat="1" applyFont="1" applyFill="1" applyBorder="1" applyAlignment="1">
      <alignment horizontal="center"/>
    </xf>
    <xf numFmtId="0" fontId="4" fillId="6" borderId="2" xfId="0" applyFont="1" applyFill="1" applyBorder="1" applyAlignment="1">
      <alignment horizontal="center" wrapText="1"/>
    </xf>
    <xf numFmtId="0" fontId="4" fillId="0" borderId="0" xfId="0" applyFont="1" applyAlignment="1">
      <alignment horizontal="center"/>
    </xf>
    <xf numFmtId="3" fontId="3" fillId="0" borderId="0" xfId="0" applyNumberFormat="1" applyFont="1" applyAlignment="1">
      <alignment horizontal="center"/>
    </xf>
    <xf numFmtId="2" fontId="6" fillId="5" borderId="0" xfId="15" applyNumberFormat="1" applyFont="1" applyFill="1" applyAlignment="1"/>
    <xf numFmtId="3" fontId="12" fillId="0" borderId="0" xfId="18" applyNumberFormat="1"/>
    <xf numFmtId="175" fontId="12" fillId="5" borderId="0" xfId="15" applyNumberFormat="1" applyFill="1" applyAlignment="1"/>
    <xf numFmtId="176" fontId="14" fillId="5" borderId="0" xfId="15" applyNumberFormat="1" applyFont="1" applyFill="1" applyAlignment="1">
      <alignment horizontal="center"/>
    </xf>
    <xf numFmtId="43" fontId="12" fillId="0" borderId="0" xfId="15" applyNumberFormat="1" applyAlignment="1"/>
    <xf numFmtId="4" fontId="12" fillId="5" borderId="0" xfId="15" applyNumberFormat="1" applyFill="1" applyAlignment="1"/>
    <xf numFmtId="176" fontId="14" fillId="3" borderId="0" xfId="15" applyNumberFormat="1" applyFont="1" applyFill="1" applyAlignment="1">
      <alignment horizontal="center"/>
    </xf>
    <xf numFmtId="177" fontId="12" fillId="5" borderId="0" xfId="15" applyNumberFormat="1" applyFill="1" applyAlignment="1"/>
    <xf numFmtId="175" fontId="12" fillId="0" borderId="0" xfId="15" applyNumberFormat="1" applyAlignment="1"/>
    <xf numFmtId="170" fontId="12" fillId="0" borderId="0" xfId="17" applyNumberFormat="1" applyFill="1"/>
    <xf numFmtId="168" fontId="12" fillId="0" borderId="0" xfId="15" applyNumberFormat="1" applyFill="1" applyAlignment="1"/>
    <xf numFmtId="0" fontId="6" fillId="0" borderId="11" xfId="15" applyNumberFormat="1" applyFont="1" applyBorder="1" applyAlignment="1"/>
    <xf numFmtId="169" fontId="12" fillId="0" borderId="12" xfId="17" applyNumberFormat="1" applyBorder="1"/>
    <xf numFmtId="0" fontId="12" fillId="0" borderId="12" xfId="15" applyNumberFormat="1" applyBorder="1" applyAlignment="1"/>
    <xf numFmtId="0" fontId="12" fillId="0" borderId="12" xfId="15" applyNumberFormat="1" applyFill="1" applyBorder="1" applyAlignment="1"/>
    <xf numFmtId="169" fontId="12" fillId="0" borderId="13" xfId="15" applyNumberFormat="1" applyBorder="1" applyAlignment="1"/>
    <xf numFmtId="0" fontId="6" fillId="0" borderId="0" xfId="15" applyNumberFormat="1" applyFont="1" applyBorder="1" applyAlignment="1"/>
    <xf numFmtId="169" fontId="12" fillId="0" borderId="0" xfId="17" applyNumberFormat="1" applyBorder="1"/>
    <xf numFmtId="0" fontId="12" fillId="0" borderId="0" xfId="15" applyNumberFormat="1" applyFill="1" applyBorder="1" applyAlignment="1"/>
    <xf numFmtId="169" fontId="12" fillId="0" borderId="0" xfId="15" applyNumberFormat="1" applyBorder="1" applyAlignment="1"/>
    <xf numFmtId="0" fontId="16" fillId="0" borderId="0" xfId="0" applyFont="1"/>
    <xf numFmtId="0" fontId="16" fillId="0" borderId="0" xfId="0" quotePrefix="1" applyFont="1" applyAlignment="1">
      <alignment horizontal="left"/>
    </xf>
    <xf numFmtId="164" fontId="3" fillId="0" borderId="0" xfId="0" applyNumberFormat="1" applyFont="1"/>
    <xf numFmtId="173" fontId="3" fillId="0" borderId="0" xfId="0" applyNumberFormat="1" applyFont="1"/>
    <xf numFmtId="170" fontId="12" fillId="0" borderId="0" xfId="15" applyNumberFormat="1" applyAlignment="1"/>
    <xf numFmtId="169" fontId="12" fillId="0" borderId="0" xfId="20" applyNumberFormat="1" applyFont="1" applyAlignment="1"/>
    <xf numFmtId="0" fontId="4" fillId="0" borderId="0" xfId="0" applyFont="1" applyAlignment="1">
      <alignment horizontal="center"/>
    </xf>
    <xf numFmtId="0" fontId="4" fillId="0" borderId="5" xfId="0" quotePrefix="1" applyFont="1" applyBorder="1" applyAlignment="1">
      <alignment horizontal="center" wrapText="1"/>
    </xf>
    <xf numFmtId="9" fontId="3" fillId="7" borderId="7" xfId="0" applyNumberFormat="1" applyFont="1" applyFill="1" applyBorder="1" applyAlignment="1">
      <alignment horizontal="center"/>
    </xf>
    <xf numFmtId="0" fontId="4" fillId="0" borderId="0" xfId="0" applyFont="1" applyAlignment="1"/>
    <xf numFmtId="0" fontId="4" fillId="0" borderId="4" xfId="0" applyFont="1" applyFill="1" applyBorder="1" applyAlignment="1">
      <alignment horizontal="centerContinuous" wrapText="1"/>
    </xf>
    <xf numFmtId="9" fontId="3" fillId="0" borderId="7" xfId="12" applyFont="1" applyFill="1" applyBorder="1" applyAlignment="1">
      <alignment horizontal="center"/>
    </xf>
    <xf numFmtId="178" fontId="3" fillId="0" borderId="0" xfId="0" applyNumberFormat="1" applyFont="1" applyFill="1"/>
    <xf numFmtId="9" fontId="3" fillId="7" borderId="7" xfId="12" applyFont="1" applyFill="1" applyBorder="1" applyAlignment="1">
      <alignment horizontal="center"/>
    </xf>
    <xf numFmtId="9" fontId="3" fillId="7" borderId="7" xfId="12" applyNumberFormat="1" applyFont="1" applyFill="1" applyBorder="1" applyAlignment="1">
      <alignment horizontal="center"/>
    </xf>
    <xf numFmtId="3" fontId="3" fillId="8" borderId="7" xfId="0" applyNumberFormat="1" applyFont="1" applyFill="1" applyBorder="1" applyAlignment="1">
      <alignment horizontal="center"/>
    </xf>
    <xf numFmtId="0" fontId="3" fillId="9" borderId="7" xfId="0" applyNumberFormat="1" applyFont="1" applyFill="1" applyBorder="1" applyAlignment="1">
      <alignment horizontal="center"/>
    </xf>
    <xf numFmtId="3" fontId="3" fillId="9" borderId="7" xfId="0" applyNumberFormat="1" applyFont="1" applyFill="1" applyBorder="1" applyAlignment="1">
      <alignment horizontal="center"/>
    </xf>
    <xf numFmtId="167" fontId="3" fillId="0" borderId="0" xfId="0" applyNumberFormat="1" applyFont="1" applyFill="1" applyBorder="1" applyAlignment="1">
      <alignment horizontal="center"/>
    </xf>
    <xf numFmtId="0" fontId="1" fillId="0" borderId="0" xfId="0" applyFont="1" applyFill="1"/>
    <xf numFmtId="0" fontId="4" fillId="0" borderId="2" xfId="0" quotePrefix="1" applyFont="1" applyFill="1" applyBorder="1" applyAlignment="1">
      <alignment horizontal="center"/>
    </xf>
    <xf numFmtId="0" fontId="4" fillId="0" borderId="2" xfId="0" applyFont="1" applyFill="1" applyBorder="1" applyAlignment="1">
      <alignment horizontal="center"/>
    </xf>
    <xf numFmtId="0" fontId="4" fillId="0" borderId="5" xfId="0" applyFont="1" applyFill="1" applyBorder="1" applyAlignment="1">
      <alignment horizontal="center"/>
    </xf>
    <xf numFmtId="4" fontId="3" fillId="0" borderId="7" xfId="0" applyNumberFormat="1" applyFont="1" applyFill="1" applyBorder="1" applyAlignment="1">
      <alignment horizontal="center"/>
    </xf>
    <xf numFmtId="3" fontId="3" fillId="7" borderId="7" xfId="0" applyNumberFormat="1" applyFont="1" applyFill="1" applyBorder="1" applyAlignment="1">
      <alignment horizontal="center"/>
    </xf>
    <xf numFmtId="3" fontId="16" fillId="0" borderId="7" xfId="0" applyNumberFormat="1" applyFont="1" applyFill="1" applyBorder="1" applyAlignment="1">
      <alignment horizontal="center"/>
    </xf>
    <xf numFmtId="0" fontId="11" fillId="0" borderId="7" xfId="0" applyFont="1" applyFill="1" applyBorder="1" applyAlignment="1">
      <alignment horizontal="center"/>
    </xf>
    <xf numFmtId="3" fontId="11" fillId="0" borderId="7" xfId="0" applyNumberFormat="1" applyFont="1" applyFill="1" applyBorder="1" applyAlignment="1">
      <alignment horizontal="center"/>
    </xf>
    <xf numFmtId="3" fontId="11" fillId="7" borderId="7" xfId="0" applyNumberFormat="1" applyFont="1" applyFill="1" applyBorder="1" applyAlignment="1">
      <alignment horizontal="center"/>
    </xf>
    <xf numFmtId="4" fontId="11" fillId="0" borderId="7" xfId="0" applyNumberFormat="1" applyFont="1" applyFill="1" applyBorder="1" applyAlignment="1">
      <alignment horizontal="center"/>
    </xf>
    <xf numFmtId="3" fontId="15" fillId="0" borderId="7" xfId="0" applyNumberFormat="1" applyFont="1" applyFill="1" applyBorder="1" applyAlignment="1">
      <alignment horizontal="center"/>
    </xf>
    <xf numFmtId="0" fontId="11" fillId="0" borderId="0" xfId="0" applyFont="1" applyFill="1"/>
    <xf numFmtId="0" fontId="2" fillId="0" borderId="0" xfId="10" applyFont="1" applyFill="1" applyAlignment="1">
      <alignment horizontal="centerContinuous"/>
    </xf>
    <xf numFmtId="0" fontId="2" fillId="0" borderId="0" xfId="10" applyFont="1" applyFill="1"/>
    <xf numFmtId="0" fontId="2" fillId="0" borderId="0" xfId="10" applyFont="1" applyFill="1" applyBorder="1" applyAlignment="1">
      <alignment horizontal="centerContinuous"/>
    </xf>
    <xf numFmtId="0" fontId="4" fillId="0" borderId="2" xfId="10" applyFont="1" applyFill="1" applyBorder="1"/>
    <xf numFmtId="0" fontId="4" fillId="0" borderId="3" xfId="10" applyFont="1" applyFill="1" applyBorder="1" applyAlignment="1">
      <alignment horizontal="centerContinuous"/>
    </xf>
    <xf numFmtId="0" fontId="4" fillId="0" borderId="4" xfId="10" applyFont="1" applyFill="1" applyBorder="1" applyAlignment="1">
      <alignment horizontal="centerContinuous"/>
    </xf>
    <xf numFmtId="0" fontId="4" fillId="0" borderId="0" xfId="10" applyFont="1" applyFill="1"/>
    <xf numFmtId="0" fontId="4" fillId="0" borderId="5" xfId="10" applyFont="1" applyFill="1" applyBorder="1"/>
    <xf numFmtId="0" fontId="4" fillId="0" borderId="2" xfId="9" quotePrefix="1" applyFont="1" applyFill="1" applyBorder="1" applyAlignment="1">
      <alignment horizontal="center" wrapText="1"/>
    </xf>
    <xf numFmtId="0" fontId="4" fillId="0" borderId="2" xfId="10" applyFont="1" applyFill="1" applyBorder="1" applyAlignment="1">
      <alignment horizontal="center" wrapText="1"/>
    </xf>
    <xf numFmtId="0" fontId="4" fillId="0" borderId="5" xfId="9" applyFont="1" applyFill="1" applyBorder="1" applyAlignment="1">
      <alignment horizontal="center" wrapText="1"/>
    </xf>
    <xf numFmtId="0" fontId="4" fillId="0" borderId="6" xfId="9" applyFont="1" applyFill="1" applyBorder="1" applyAlignment="1">
      <alignment horizontal="center" wrapText="1"/>
    </xf>
    <xf numFmtId="0" fontId="4" fillId="0" borderId="6" xfId="10" applyFont="1" applyFill="1" applyBorder="1" applyAlignment="1">
      <alignment horizontal="center" wrapText="1"/>
    </xf>
    <xf numFmtId="0" fontId="3" fillId="0" borderId="7" xfId="10" applyFont="1" applyFill="1" applyBorder="1" applyAlignment="1">
      <alignment horizontal="center"/>
    </xf>
    <xf numFmtId="9" fontId="3" fillId="0" borderId="7" xfId="10" applyNumberFormat="1" applyFont="1" applyFill="1" applyBorder="1" applyAlignment="1">
      <alignment horizontal="center"/>
    </xf>
    <xf numFmtId="0" fontId="3" fillId="0" borderId="0" xfId="10" applyFont="1" applyFill="1"/>
    <xf numFmtId="3" fontId="4" fillId="0" borderId="7" xfId="10" applyNumberFormat="1" applyFont="1" applyFill="1" applyBorder="1" applyAlignment="1">
      <alignment horizontal="center"/>
    </xf>
    <xf numFmtId="0" fontId="19" fillId="0" borderId="7" xfId="10" applyFont="1" applyFill="1" applyBorder="1" applyAlignment="1">
      <alignment horizontal="center"/>
    </xf>
    <xf numFmtId="3" fontId="19" fillId="0" borderId="7" xfId="10" applyNumberFormat="1" applyFont="1" applyFill="1" applyBorder="1" applyAlignment="1">
      <alignment horizontal="center"/>
    </xf>
    <xf numFmtId="9" fontId="19" fillId="0" borderId="7" xfId="10" applyNumberFormat="1" applyFont="1" applyFill="1" applyBorder="1" applyAlignment="1">
      <alignment horizontal="center"/>
    </xf>
    <xf numFmtId="0" fontId="19" fillId="0" borderId="0" xfId="10" applyFont="1" applyFill="1"/>
    <xf numFmtId="3" fontId="3" fillId="0" borderId="0" xfId="10" applyNumberFormat="1" applyFont="1" applyFill="1"/>
    <xf numFmtId="165" fontId="3" fillId="0" borderId="0" xfId="10" applyNumberFormat="1" applyFont="1" applyFill="1"/>
    <xf numFmtId="2" fontId="3" fillId="0" borderId="0" xfId="10" applyNumberFormat="1" applyFont="1" applyFill="1"/>
    <xf numFmtId="0" fontId="4" fillId="0" borderId="3" xfId="0" applyFont="1" applyFill="1" applyBorder="1" applyAlignment="1">
      <alignment horizontal="centerContinuous" wrapText="1"/>
    </xf>
    <xf numFmtId="0" fontId="4" fillId="7" borderId="2" xfId="0" quotePrefix="1" applyFont="1" applyFill="1" applyBorder="1" applyAlignment="1">
      <alignment horizontal="center" wrapText="1"/>
    </xf>
    <xf numFmtId="0" fontId="4" fillId="7" borderId="5" xfId="0" applyFont="1" applyFill="1" applyBorder="1" applyAlignment="1">
      <alignment horizontal="center" wrapText="1"/>
    </xf>
    <xf numFmtId="0" fontId="4" fillId="7" borderId="6" xfId="0" applyFont="1" applyFill="1" applyBorder="1" applyAlignment="1">
      <alignment horizontal="center" wrapText="1"/>
    </xf>
    <xf numFmtId="169" fontId="3" fillId="0" borderId="0" xfId="20" applyNumberFormat="1" applyFont="1" applyFill="1"/>
    <xf numFmtId="3" fontId="3" fillId="0" borderId="14" xfId="0" applyNumberFormat="1" applyFont="1" applyFill="1" applyBorder="1" applyAlignment="1">
      <alignment horizontal="center"/>
    </xf>
    <xf numFmtId="3" fontId="3" fillId="0" borderId="15" xfId="0" applyNumberFormat="1" applyFont="1" applyFill="1" applyBorder="1" applyAlignment="1">
      <alignment horizontal="center"/>
    </xf>
    <xf numFmtId="43" fontId="3" fillId="0" borderId="0" xfId="20" applyFont="1" applyFill="1"/>
    <xf numFmtId="179" fontId="3" fillId="0" borderId="0" xfId="0" applyNumberFormat="1" applyFont="1" applyFill="1"/>
    <xf numFmtId="0" fontId="4" fillId="0" borderId="2" xfId="0" applyFont="1" applyFill="1" applyBorder="1" applyAlignment="1">
      <alignment wrapText="1"/>
    </xf>
    <xf numFmtId="173" fontId="3" fillId="0" borderId="0" xfId="0" applyNumberFormat="1" applyFont="1" applyFill="1"/>
    <xf numFmtId="1" fontId="3" fillId="0" borderId="0" xfId="20" applyNumberFormat="1" applyFont="1" applyFill="1"/>
    <xf numFmtId="1" fontId="3" fillId="0" borderId="0" xfId="0" applyNumberFormat="1" applyFont="1" applyFill="1"/>
    <xf numFmtId="172" fontId="3" fillId="0" borderId="0" xfId="0" applyNumberFormat="1" applyFont="1" applyFill="1"/>
    <xf numFmtId="0" fontId="4" fillId="0" borderId="3" xfId="0" applyFont="1" applyBorder="1" applyAlignment="1">
      <alignment horizontal="centerContinuous" wrapText="1"/>
    </xf>
    <xf numFmtId="3" fontId="4" fillId="0" borderId="6" xfId="0" applyNumberFormat="1" applyFont="1" applyFill="1" applyBorder="1" applyAlignment="1">
      <alignment horizontal="center"/>
    </xf>
    <xf numFmtId="3" fontId="4" fillId="0" borderId="6" xfId="0" applyNumberFormat="1" applyFont="1" applyBorder="1" applyAlignment="1">
      <alignment horizontal="center"/>
    </xf>
    <xf numFmtId="0" fontId="19" fillId="0" borderId="7" xfId="0" applyFont="1" applyFill="1" applyBorder="1" applyAlignment="1">
      <alignment horizontal="center"/>
    </xf>
    <xf numFmtId="3" fontId="19" fillId="0" borderId="7" xfId="0" applyNumberFormat="1" applyFont="1" applyFill="1" applyBorder="1" applyAlignment="1">
      <alignment horizontal="center"/>
    </xf>
    <xf numFmtId="0" fontId="19" fillId="0" borderId="0" xfId="0" applyFont="1" applyFill="1"/>
    <xf numFmtId="0" fontId="20" fillId="0" borderId="0" xfId="21" applyAlignment="1" applyProtection="1"/>
    <xf numFmtId="3" fontId="19" fillId="6" borderId="7" xfId="0" applyNumberFormat="1" applyFont="1" applyFill="1" applyBorder="1" applyAlignment="1">
      <alignment horizontal="center"/>
    </xf>
    <xf numFmtId="4" fontId="3" fillId="0" borderId="0" xfId="0" applyNumberFormat="1" applyFont="1" applyFill="1" applyBorder="1" applyAlignment="1">
      <alignment horizontal="center"/>
    </xf>
    <xf numFmtId="0" fontId="11" fillId="0" borderId="7" xfId="0" applyFont="1" applyBorder="1" applyAlignment="1">
      <alignment horizontal="center"/>
    </xf>
    <xf numFmtId="3" fontId="11" fillId="0" borderId="7" xfId="0" applyNumberFormat="1" applyFont="1" applyBorder="1" applyAlignment="1">
      <alignment horizontal="center"/>
    </xf>
    <xf numFmtId="0" fontId="11" fillId="0" borderId="0" xfId="0" applyFont="1"/>
    <xf numFmtId="3" fontId="21" fillId="0" borderId="7" xfId="0" applyNumberFormat="1" applyFont="1" applyBorder="1" applyAlignment="1">
      <alignment horizontal="center"/>
    </xf>
    <xf numFmtId="0" fontId="10" fillId="0" borderId="0" xfId="0" applyFont="1"/>
    <xf numFmtId="3" fontId="11" fillId="6" borderId="7" xfId="0" applyNumberFormat="1" applyFont="1" applyFill="1" applyBorder="1" applyAlignment="1">
      <alignment horizontal="center"/>
    </xf>
    <xf numFmtId="0" fontId="22" fillId="0" borderId="0" xfId="0" applyFont="1" applyAlignment="1">
      <alignment horizontal="centerContinuous"/>
    </xf>
    <xf numFmtId="0" fontId="22" fillId="0" borderId="0" xfId="0" applyFont="1" applyBorder="1" applyAlignment="1">
      <alignment horizontal="centerContinuous"/>
    </xf>
    <xf numFmtId="0" fontId="11" fillId="0" borderId="1" xfId="0" applyFont="1" applyBorder="1"/>
    <xf numFmtId="0" fontId="10" fillId="0" borderId="3" xfId="0" applyFont="1" applyBorder="1" applyAlignment="1">
      <alignment horizontal="centerContinuous" wrapText="1"/>
    </xf>
    <xf numFmtId="0" fontId="10" fillId="0" borderId="4" xfId="0" applyFont="1" applyBorder="1" applyAlignment="1">
      <alignment horizontal="centerContinuous" wrapText="1"/>
    </xf>
    <xf numFmtId="0" fontId="10" fillId="0" borderId="2" xfId="0" quotePrefix="1" applyFont="1" applyBorder="1" applyAlignment="1">
      <alignment horizontal="center" wrapText="1"/>
    </xf>
    <xf numFmtId="0" fontId="10" fillId="0" borderId="2" xfId="0" applyFont="1" applyBorder="1" applyAlignment="1">
      <alignment horizontal="center" wrapText="1"/>
    </xf>
    <xf numFmtId="0" fontId="10" fillId="0" borderId="5" xfId="0" applyFont="1" applyFill="1" applyBorder="1" applyAlignment="1">
      <alignment horizontal="center" wrapText="1"/>
    </xf>
    <xf numFmtId="0" fontId="10" fillId="0" borderId="5" xfId="0" applyFont="1" applyBorder="1" applyAlignment="1">
      <alignment horizontal="center" wrapText="1"/>
    </xf>
    <xf numFmtId="0" fontId="10" fillId="0" borderId="6" xfId="0" applyFont="1" applyFill="1" applyBorder="1" applyAlignment="1">
      <alignment horizontal="center" wrapText="1"/>
    </xf>
    <xf numFmtId="3" fontId="10" fillId="0" borderId="6" xfId="0" applyNumberFormat="1" applyFont="1" applyBorder="1" applyAlignment="1">
      <alignment horizontal="center"/>
    </xf>
    <xf numFmtId="0" fontId="15" fillId="0" borderId="0" xfId="0" applyFont="1"/>
    <xf numFmtId="0" fontId="10" fillId="0" borderId="2" xfId="0" applyFont="1" applyBorder="1" applyAlignment="1">
      <alignment horizontal="centerContinuous"/>
    </xf>
    <xf numFmtId="0" fontId="10" fillId="0" borderId="8" xfId="0" applyFont="1" applyBorder="1" applyAlignment="1">
      <alignment horizontal="centerContinuous"/>
    </xf>
    <xf numFmtId="0" fontId="10" fillId="0" borderId="9" xfId="0" applyFont="1" applyBorder="1" applyAlignment="1">
      <alignment horizontal="centerContinuous"/>
    </xf>
    <xf numFmtId="0" fontId="10" fillId="0" borderId="9" xfId="0" applyFont="1" applyFill="1" applyBorder="1" applyAlignment="1">
      <alignment horizontal="centerContinuous"/>
    </xf>
    <xf numFmtId="0" fontId="10" fillId="0" borderId="3" xfId="0" applyFont="1" applyBorder="1" applyAlignment="1">
      <alignment horizontal="centerContinuous"/>
    </xf>
    <xf numFmtId="0" fontId="4" fillId="0" borderId="7" xfId="0" applyFont="1" applyFill="1" applyBorder="1"/>
    <xf numFmtId="0" fontId="4" fillId="0" borderId="7" xfId="0" applyFont="1" applyFill="1" applyBorder="1" applyAlignment="1">
      <alignment horizontal="center"/>
    </xf>
    <xf numFmtId="0" fontId="4" fillId="0" borderId="4" xfId="0" applyFont="1" applyFill="1" applyBorder="1" applyAlignment="1">
      <alignment horizontal="center" wrapText="1"/>
    </xf>
    <xf numFmtId="0" fontId="4" fillId="0" borderId="3" xfId="0" applyFont="1" applyFill="1" applyBorder="1" applyAlignment="1">
      <alignment horizontal="center" wrapText="1"/>
    </xf>
    <xf numFmtId="0" fontId="4" fillId="0" borderId="7" xfId="0" applyFont="1" applyBorder="1" applyAlignment="1">
      <alignment horizontal="center"/>
    </xf>
    <xf numFmtId="0" fontId="4" fillId="0" borderId="7" xfId="0" applyFont="1" applyFill="1" applyBorder="1" applyAlignment="1">
      <alignment horizontal="center" wrapText="1"/>
    </xf>
    <xf numFmtId="0" fontId="4" fillId="0" borderId="7" xfId="0" applyFont="1" applyBorder="1" applyAlignment="1">
      <alignment horizontal="center" wrapText="1"/>
    </xf>
    <xf numFmtId="0" fontId="4" fillId="0" borderId="6" xfId="11" applyFont="1" applyFill="1" applyBorder="1" applyAlignment="1">
      <alignment horizontal="centerContinuous" wrapText="1"/>
    </xf>
    <xf numFmtId="0" fontId="19" fillId="0" borderId="7" xfId="0" applyFont="1" applyBorder="1" applyAlignment="1">
      <alignment horizontal="center"/>
    </xf>
    <xf numFmtId="4" fontId="19" fillId="0" borderId="7" xfId="0" applyNumberFormat="1" applyFont="1" applyFill="1" applyBorder="1" applyAlignment="1">
      <alignment horizontal="center"/>
    </xf>
    <xf numFmtId="0" fontId="19" fillId="0" borderId="0" xfId="0" applyFont="1"/>
    <xf numFmtId="3" fontId="11" fillId="0" borderId="0" xfId="0" applyNumberFormat="1" applyFont="1" applyBorder="1" applyAlignment="1">
      <alignment horizontal="center"/>
    </xf>
    <xf numFmtId="0" fontId="4" fillId="0" borderId="7" xfId="0" applyFont="1" applyBorder="1"/>
    <xf numFmtId="0" fontId="4" fillId="0" borderId="7" xfId="0" applyFont="1" applyBorder="1" applyAlignment="1">
      <alignment horizontal="centerContinuous" wrapText="1"/>
    </xf>
    <xf numFmtId="3" fontId="3" fillId="0" borderId="7" xfId="0" quotePrefix="1" applyNumberFormat="1" applyFont="1" applyFill="1" applyBorder="1" applyAlignment="1">
      <alignment horizontal="center"/>
    </xf>
    <xf numFmtId="171" fontId="3" fillId="0" borderId="0" xfId="0" applyNumberFormat="1" applyFont="1"/>
    <xf numFmtId="171" fontId="3" fillId="0" borderId="0" xfId="0" applyNumberFormat="1" applyFont="1" applyFill="1"/>
    <xf numFmtId="0" fontId="4" fillId="0" borderId="6" xfId="0" quotePrefix="1" applyFont="1" applyBorder="1" applyAlignment="1">
      <alignment horizontal="center" wrapText="1"/>
    </xf>
    <xf numFmtId="9" fontId="3" fillId="0" borderId="7" xfId="12" applyFont="1" applyBorder="1" applyAlignment="1">
      <alignment horizontal="center"/>
    </xf>
    <xf numFmtId="9" fontId="3" fillId="0" borderId="0" xfId="12" applyFont="1"/>
    <xf numFmtId="0" fontId="4" fillId="0" borderId="4" xfId="2" applyFont="1" applyBorder="1" applyAlignment="1">
      <alignment horizontal="centerContinuous" wrapText="1"/>
    </xf>
    <xf numFmtId="0" fontId="4" fillId="0" borderId="2" xfId="2" applyFont="1" applyBorder="1" applyAlignment="1">
      <alignment horizontal="center" wrapText="1"/>
    </xf>
    <xf numFmtId="0" fontId="4" fillId="0" borderId="5" xfId="2" applyFont="1" applyFill="1" applyBorder="1" applyAlignment="1">
      <alignment horizontal="center" wrapText="1"/>
    </xf>
    <xf numFmtId="0" fontId="4" fillId="0" borderId="6" xfId="2" applyFont="1" applyBorder="1" applyAlignment="1">
      <alignment horizontal="center" wrapText="1"/>
    </xf>
    <xf numFmtId="3" fontId="18" fillId="0" borderId="0" xfId="15" applyNumberFormat="1" applyFont="1" applyAlignment="1"/>
    <xf numFmtId="10" fontId="3" fillId="0" borderId="0" xfId="12" applyNumberFormat="1" applyFont="1"/>
    <xf numFmtId="0" fontId="4" fillId="0" borderId="0" xfId="0" applyFont="1" applyAlignment="1">
      <alignment horizontal="center"/>
    </xf>
    <xf numFmtId="0" fontId="3" fillId="0" borderId="0" xfId="0" applyFont="1" applyAlignment="1">
      <alignment horizontal="center"/>
    </xf>
    <xf numFmtId="10" fontId="3" fillId="0" borderId="0" xfId="12" applyNumberFormat="1" applyFont="1" applyAlignment="1">
      <alignment horizontal="center"/>
    </xf>
    <xf numFmtId="0" fontId="4" fillId="0" borderId="0" xfId="0" quotePrefix="1" applyFont="1" applyAlignment="1">
      <alignment horizontal="left" wrapText="1"/>
    </xf>
    <xf numFmtId="3" fontId="16" fillId="0" borderId="0" xfId="0" applyNumberFormat="1" applyFont="1" applyAlignment="1">
      <alignment horizontal="center"/>
    </xf>
    <xf numFmtId="169" fontId="3" fillId="0" borderId="0" xfId="20" applyNumberFormat="1" applyFont="1" applyAlignment="1">
      <alignment horizontal="center"/>
    </xf>
    <xf numFmtId="169" fontId="3" fillId="0" borderId="0" xfId="20" applyNumberFormat="1" applyFont="1"/>
    <xf numFmtId="3" fontId="23" fillId="0" borderId="0" xfId="0" applyNumberFormat="1" applyFont="1" applyAlignment="1">
      <alignment horizontal="center"/>
    </xf>
    <xf numFmtId="0" fontId="13" fillId="7" borderId="7" xfId="15" applyNumberFormat="1" applyFont="1" applyFill="1" applyBorder="1" applyAlignment="1">
      <alignment horizontal="center" wrapText="1"/>
    </xf>
    <xf numFmtId="0" fontId="13" fillId="7" borderId="7" xfId="15" quotePrefix="1" applyNumberFormat="1" applyFont="1" applyFill="1" applyBorder="1" applyAlignment="1">
      <alignment horizontal="center" wrapText="1"/>
    </xf>
    <xf numFmtId="0" fontId="13" fillId="10" borderId="7" xfId="15" quotePrefix="1" applyNumberFormat="1" applyFont="1" applyFill="1" applyBorder="1" applyAlignment="1">
      <alignment horizontal="center" wrapText="1"/>
    </xf>
    <xf numFmtId="0" fontId="4" fillId="7" borderId="7" xfId="0" applyFont="1" applyFill="1" applyBorder="1" applyAlignment="1">
      <alignment horizontal="centerContinuous" wrapText="1"/>
    </xf>
    <xf numFmtId="0" fontId="4" fillId="10" borderId="7" xfId="0" applyFont="1" applyFill="1" applyBorder="1" applyAlignment="1">
      <alignment horizontal="centerContinuous" wrapText="1"/>
    </xf>
    <xf numFmtId="0" fontId="4" fillId="10" borderId="7" xfId="16" applyFont="1" applyFill="1" applyBorder="1" applyAlignment="1">
      <alignment horizontal="centerContinuous" wrapText="1"/>
    </xf>
    <xf numFmtId="0" fontId="4" fillId="7" borderId="7" xfId="16" applyFont="1" applyFill="1" applyBorder="1" applyAlignment="1">
      <alignment horizontal="centerContinuous" wrapText="1"/>
    </xf>
    <xf numFmtId="0" fontId="13" fillId="0" borderId="7" xfId="15" applyNumberFormat="1" applyFont="1" applyBorder="1" applyAlignment="1">
      <alignment horizontal="center"/>
    </xf>
    <xf numFmtId="0" fontId="13" fillId="5" borderId="7" xfId="15" applyNumberFormat="1" applyFont="1" applyFill="1" applyBorder="1" applyAlignment="1">
      <alignment horizontal="center" wrapText="1"/>
    </xf>
    <xf numFmtId="0" fontId="13" fillId="5" borderId="7" xfId="15" quotePrefix="1" applyNumberFormat="1" applyFont="1" applyFill="1" applyBorder="1" applyAlignment="1">
      <alignment horizontal="center" wrapText="1"/>
    </xf>
    <xf numFmtId="0" fontId="13" fillId="3" borderId="7" xfId="15" applyNumberFormat="1" applyFont="1" applyFill="1" applyBorder="1" applyAlignment="1">
      <alignment horizontal="center" wrapText="1"/>
    </xf>
    <xf numFmtId="0" fontId="13" fillId="0" borderId="7" xfId="15" applyNumberFormat="1" applyFont="1" applyFill="1" applyBorder="1" applyAlignment="1">
      <alignment horizontal="center" wrapText="1"/>
    </xf>
    <xf numFmtId="0" fontId="12" fillId="0" borderId="7" xfId="15" applyNumberFormat="1" applyBorder="1" applyAlignment="1"/>
    <xf numFmtId="169" fontId="13" fillId="4" borderId="7" xfId="17" applyNumberFormat="1" applyFont="1" applyFill="1" applyBorder="1" applyAlignment="1">
      <alignment horizontal="center"/>
    </xf>
    <xf numFmtId="0" fontId="13" fillId="4" borderId="7" xfId="15" applyNumberFormat="1" applyFont="1" applyFill="1" applyBorder="1" applyAlignment="1">
      <alignment horizontal="center"/>
    </xf>
    <xf numFmtId="0" fontId="12" fillId="4" borderId="7" xfId="15" applyNumberFormat="1" applyFill="1" applyBorder="1" applyAlignment="1"/>
    <xf numFmtId="169" fontId="1" fillId="0" borderId="7" xfId="20" quotePrefix="1" applyNumberFormat="1" applyFont="1" applyBorder="1" applyAlignment="1">
      <alignment horizontal="left" wrapText="1"/>
    </xf>
    <xf numFmtId="0" fontId="12" fillId="7" borderId="7" xfId="15" applyNumberFormat="1" applyFill="1" applyBorder="1" applyAlignment="1"/>
    <xf numFmtId="0" fontId="13" fillId="10" borderId="7" xfId="15" applyNumberFormat="1" applyFont="1" applyFill="1" applyBorder="1" applyAlignment="1">
      <alignment horizontal="center" wrapText="1"/>
    </xf>
    <xf numFmtId="172" fontId="13" fillId="0" borderId="7" xfId="15" applyFont="1" applyBorder="1" applyAlignment="1">
      <alignment horizontal="center" wrapText="1"/>
    </xf>
    <xf numFmtId="0" fontId="13" fillId="0" borderId="7" xfId="15" quotePrefix="1" applyNumberFormat="1" applyFont="1" applyBorder="1" applyAlignment="1">
      <alignment horizontal="center" wrapText="1"/>
    </xf>
    <xf numFmtId="0" fontId="13" fillId="3" borderId="7" xfId="15" quotePrefix="1" applyNumberFormat="1" applyFont="1" applyFill="1" applyBorder="1" applyAlignment="1">
      <alignment horizontal="center" wrapText="1"/>
    </xf>
    <xf numFmtId="0" fontId="13" fillId="0" borderId="7" xfId="15" quotePrefix="1" applyNumberFormat="1" applyFont="1" applyFill="1" applyBorder="1" applyAlignment="1">
      <alignment horizontal="center" wrapText="1"/>
    </xf>
    <xf numFmtId="0" fontId="13" fillId="4" borderId="7" xfId="15" quotePrefix="1" applyNumberFormat="1" applyFont="1" applyFill="1" applyBorder="1" applyAlignment="1">
      <alignment horizontal="center" wrapText="1"/>
    </xf>
    <xf numFmtId="169" fontId="1" fillId="0" borderId="7" xfId="20" applyNumberFormat="1" applyFont="1" applyBorder="1" applyAlignment="1">
      <alignment wrapText="1"/>
    </xf>
    <xf numFmtId="10" fontId="12" fillId="10" borderId="0" xfId="12" applyNumberFormat="1" applyFont="1" applyFill="1"/>
    <xf numFmtId="2" fontId="6" fillId="7" borderId="0" xfId="15" applyNumberFormat="1" applyFont="1" applyFill="1" applyAlignment="1">
      <alignment horizontal="center"/>
    </xf>
    <xf numFmtId="166" fontId="12" fillId="7" borderId="0" xfId="18" applyNumberFormat="1" applyFill="1"/>
    <xf numFmtId="166" fontId="12" fillId="7" borderId="0" xfId="15" applyNumberFormat="1" applyFill="1" applyAlignment="1"/>
    <xf numFmtId="3" fontId="12" fillId="7" borderId="0" xfId="15" applyNumberFormat="1" applyFill="1" applyAlignment="1"/>
    <xf numFmtId="3" fontId="12" fillId="7" borderId="0" xfId="17" applyNumberFormat="1" applyFill="1"/>
    <xf numFmtId="3" fontId="12" fillId="10" borderId="0" xfId="15" applyNumberFormat="1" applyFill="1" applyAlignment="1"/>
    <xf numFmtId="3" fontId="12" fillId="10" borderId="0" xfId="17" applyNumberFormat="1" applyFill="1"/>
    <xf numFmtId="0" fontId="13" fillId="11" borderId="7" xfId="15" quotePrefix="1" applyNumberFormat="1" applyFont="1" applyFill="1" applyBorder="1" applyAlignment="1">
      <alignment horizontal="center" wrapText="1"/>
    </xf>
    <xf numFmtId="0" fontId="13" fillId="11" borderId="7" xfId="15" applyNumberFormat="1" applyFont="1" applyFill="1" applyBorder="1" applyAlignment="1">
      <alignment horizontal="center" wrapText="1"/>
    </xf>
    <xf numFmtId="0" fontId="13" fillId="11" borderId="7" xfId="15" applyNumberFormat="1" applyFont="1" applyFill="1" applyBorder="1" applyAlignment="1">
      <alignment horizontal="center"/>
    </xf>
    <xf numFmtId="170" fontId="12" fillId="11" borderId="0" xfId="15" applyNumberFormat="1" applyFill="1" applyAlignment="1"/>
    <xf numFmtId="175" fontId="12" fillId="11" borderId="0" xfId="15" applyNumberFormat="1" applyFill="1" applyAlignment="1"/>
    <xf numFmtId="9" fontId="3" fillId="0" borderId="0" xfId="12" applyFont="1" applyBorder="1" applyAlignment="1">
      <alignment horizontal="center"/>
    </xf>
    <xf numFmtId="0" fontId="13" fillId="12" borderId="7" xfId="15" quotePrefix="1" applyNumberFormat="1" applyFont="1" applyFill="1" applyBorder="1" applyAlignment="1">
      <alignment horizontal="center" wrapText="1"/>
    </xf>
    <xf numFmtId="10" fontId="12" fillId="12" borderId="0" xfId="12" applyNumberFormat="1" applyFont="1" applyFill="1" applyAlignment="1">
      <alignment horizontal="center"/>
    </xf>
    <xf numFmtId="0" fontId="12" fillId="0" borderId="16" xfId="15" applyNumberFormat="1" applyBorder="1" applyAlignment="1"/>
    <xf numFmtId="9" fontId="13" fillId="0" borderId="7" xfId="15" applyNumberFormat="1" applyFont="1" applyFill="1" applyBorder="1" applyAlignment="1">
      <alignment horizontal="center" wrapText="1"/>
    </xf>
    <xf numFmtId="0" fontId="4" fillId="0" borderId="7" xfId="0" applyFont="1" applyFill="1" applyBorder="1" applyAlignment="1">
      <alignment horizontal="centerContinuous" wrapText="1"/>
    </xf>
    <xf numFmtId="0" fontId="4" fillId="0" borderId="7" xfId="16" applyFont="1" applyFill="1" applyBorder="1" applyAlignment="1">
      <alignment horizontal="centerContinuous" wrapText="1"/>
    </xf>
    <xf numFmtId="2" fontId="6" fillId="0" borderId="0" xfId="15" applyNumberFormat="1" applyFont="1" applyFill="1" applyAlignment="1"/>
    <xf numFmtId="166" fontId="12" fillId="0" borderId="0" xfId="18" applyNumberFormat="1" applyFill="1"/>
    <xf numFmtId="3" fontId="12" fillId="0" borderId="0" xfId="15" applyNumberFormat="1" applyFill="1" applyAlignment="1"/>
    <xf numFmtId="3" fontId="12" fillId="0" borderId="0" xfId="17" applyNumberFormat="1" applyFill="1"/>
    <xf numFmtId="169" fontId="12" fillId="0" borderId="0" xfId="15" applyNumberFormat="1" applyFill="1" applyAlignment="1"/>
    <xf numFmtId="2" fontId="6" fillId="0" borderId="16" xfId="15" applyNumberFormat="1" applyFont="1" applyFill="1" applyBorder="1" applyAlignment="1"/>
    <xf numFmtId="166" fontId="12" fillId="0" borderId="16" xfId="18" applyNumberFormat="1" applyFill="1" applyBorder="1"/>
    <xf numFmtId="166" fontId="12" fillId="0" borderId="0" xfId="15" applyNumberFormat="1" applyFill="1" applyAlignment="1"/>
    <xf numFmtId="0" fontId="0" fillId="0" borderId="0" xfId="0" applyFill="1"/>
    <xf numFmtId="2" fontId="18" fillId="0" borderId="0" xfId="15" applyNumberFormat="1" applyFont="1" applyFill="1" applyAlignment="1"/>
    <xf numFmtId="0" fontId="16" fillId="0" borderId="17" xfId="0" applyFont="1" applyBorder="1"/>
    <xf numFmtId="3" fontId="3" fillId="0" borderId="18" xfId="0" applyNumberFormat="1" applyFont="1" applyBorder="1"/>
    <xf numFmtId="0" fontId="11" fillId="0" borderId="18" xfId="0" applyFont="1" applyBorder="1"/>
    <xf numFmtId="0" fontId="3" fillId="0" borderId="19" xfId="0" applyFont="1" applyBorder="1"/>
    <xf numFmtId="3" fontId="3" fillId="0" borderId="20" xfId="0" applyNumberFormat="1" applyFont="1" applyBorder="1"/>
    <xf numFmtId="9" fontId="16" fillId="0" borderId="16" xfId="12" applyFont="1" applyBorder="1" applyAlignment="1">
      <alignment horizontal="center"/>
    </xf>
    <xf numFmtId="0" fontId="11" fillId="0" borderId="16" xfId="0" applyFont="1" applyBorder="1"/>
    <xf numFmtId="0" fontId="3" fillId="0" borderId="21" xfId="0" applyFont="1" applyBorder="1"/>
    <xf numFmtId="0" fontId="3" fillId="0" borderId="18" xfId="0" applyFont="1" applyBorder="1"/>
    <xf numFmtId="0" fontId="3" fillId="0" borderId="16" xfId="0" applyFont="1" applyBorder="1"/>
    <xf numFmtId="3" fontId="1" fillId="0" borderId="0" xfId="15" applyNumberFormat="1" applyFont="1" applyAlignment="1"/>
    <xf numFmtId="0" fontId="1" fillId="0" borderId="0" xfId="22" applyNumberFormat="1" applyBorder="1" applyAlignment="1"/>
    <xf numFmtId="0" fontId="13" fillId="0" borderId="0" xfId="22" quotePrefix="1" applyNumberFormat="1" applyFont="1" applyBorder="1" applyAlignment="1">
      <alignment horizontal="center" wrapText="1"/>
    </xf>
    <xf numFmtId="9" fontId="13" fillId="0" borderId="0" xfId="22" applyNumberFormat="1" applyFont="1" applyBorder="1" applyAlignment="1">
      <alignment horizontal="center" wrapText="1"/>
    </xf>
    <xf numFmtId="0" fontId="4" fillId="0" borderId="4" xfId="23" applyFont="1" applyBorder="1" applyAlignment="1">
      <alignment horizontal="centerContinuous" wrapText="1"/>
    </xf>
    <xf numFmtId="0" fontId="4" fillId="0" borderId="4" xfId="24" applyFont="1" applyBorder="1" applyAlignment="1">
      <alignment horizontal="centerContinuous" wrapText="1"/>
    </xf>
    <xf numFmtId="0" fontId="13" fillId="0" borderId="0" xfId="22" applyNumberFormat="1" applyFont="1" applyBorder="1" applyAlignment="1">
      <alignment horizontal="center" wrapText="1"/>
    </xf>
    <xf numFmtId="0" fontId="13" fillId="0" borderId="0" xfId="22" applyNumberFormat="1" applyFont="1" applyBorder="1" applyAlignment="1">
      <alignment horizontal="center"/>
    </xf>
    <xf numFmtId="0" fontId="13" fillId="7" borderId="0" xfId="22" quotePrefix="1" applyNumberFormat="1" applyFont="1" applyFill="1" applyBorder="1" applyAlignment="1">
      <alignment horizontal="center" wrapText="1"/>
    </xf>
    <xf numFmtId="0" fontId="13" fillId="7" borderId="0" xfId="22" applyNumberFormat="1" applyFont="1" applyFill="1" applyBorder="1" applyAlignment="1">
      <alignment horizontal="center" wrapText="1"/>
    </xf>
    <xf numFmtId="0" fontId="13" fillId="5" borderId="0" xfId="22" applyNumberFormat="1" applyFont="1" applyFill="1" applyBorder="1" applyAlignment="1">
      <alignment horizontal="center" wrapText="1"/>
    </xf>
    <xf numFmtId="0" fontId="13" fillId="5" borderId="0" xfId="22" quotePrefix="1" applyNumberFormat="1" applyFont="1" applyFill="1" applyBorder="1" applyAlignment="1">
      <alignment horizontal="center" wrapText="1"/>
    </xf>
    <xf numFmtId="0" fontId="13" fillId="3" borderId="0" xfId="22" applyNumberFormat="1" applyFont="1" applyFill="1" applyBorder="1" applyAlignment="1">
      <alignment horizontal="center" wrapText="1"/>
    </xf>
    <xf numFmtId="0" fontId="13" fillId="0" borderId="0" xfId="22" applyNumberFormat="1" applyFont="1" applyFill="1" applyBorder="1" applyAlignment="1">
      <alignment horizontal="center" wrapText="1"/>
    </xf>
    <xf numFmtId="169" fontId="13" fillId="4" borderId="0" xfId="25" applyNumberFormat="1" applyFont="1" applyFill="1" applyBorder="1" applyAlignment="1">
      <alignment horizontal="center"/>
    </xf>
    <xf numFmtId="0" fontId="13" fillId="4" borderId="0" xfId="22" applyNumberFormat="1" applyFont="1" applyFill="1" applyBorder="1" applyAlignment="1">
      <alignment horizontal="center"/>
    </xf>
    <xf numFmtId="0" fontId="1" fillId="4" borderId="0" xfId="22" applyNumberFormat="1" applyFill="1" applyBorder="1" applyAlignment="1"/>
    <xf numFmtId="169" fontId="1" fillId="0" borderId="0" xfId="25" quotePrefix="1" applyNumberFormat="1" applyFont="1" applyBorder="1" applyAlignment="1">
      <alignment horizontal="left" wrapText="1"/>
    </xf>
    <xf numFmtId="172" fontId="13" fillId="0" borderId="0" xfId="22" applyFont="1" applyBorder="1" applyAlignment="1">
      <alignment horizontal="center" wrapText="1"/>
    </xf>
    <xf numFmtId="0" fontId="13" fillId="7" borderId="0" xfId="22" applyNumberFormat="1" applyFont="1" applyFill="1" applyBorder="1" applyAlignment="1">
      <alignment horizontal="center"/>
    </xf>
    <xf numFmtId="0" fontId="13" fillId="3" borderId="0" xfId="22" quotePrefix="1" applyNumberFormat="1" applyFont="1" applyFill="1" applyBorder="1" applyAlignment="1">
      <alignment horizontal="center" wrapText="1"/>
    </xf>
    <xf numFmtId="0" fontId="13" fillId="0" borderId="0" xfId="22" quotePrefix="1" applyNumberFormat="1" applyFont="1" applyFill="1" applyBorder="1" applyAlignment="1">
      <alignment horizontal="center" wrapText="1"/>
    </xf>
    <xf numFmtId="0" fontId="13" fillId="4" borderId="0" xfId="22" quotePrefix="1" applyNumberFormat="1" applyFont="1" applyFill="1" applyBorder="1" applyAlignment="1">
      <alignment horizontal="center" wrapText="1"/>
    </xf>
    <xf numFmtId="169" fontId="1" fillId="0" borderId="0" xfId="25" applyNumberFormat="1" applyFont="1" applyBorder="1" applyAlignment="1">
      <alignment wrapText="1"/>
    </xf>
    <xf numFmtId="0" fontId="1" fillId="0" borderId="0" xfId="22" applyNumberFormat="1" applyAlignment="1"/>
    <xf numFmtId="2" fontId="1" fillId="5" borderId="0" xfId="22" applyNumberFormat="1" applyFont="1" applyFill="1" applyAlignment="1"/>
    <xf numFmtId="166" fontId="1" fillId="0" borderId="0" xfId="26" applyNumberFormat="1"/>
    <xf numFmtId="3" fontId="1" fillId="0" borderId="0" xfId="22" applyNumberFormat="1" applyAlignment="1"/>
    <xf numFmtId="169" fontId="1" fillId="0" borderId="0" xfId="25" applyNumberFormat="1"/>
    <xf numFmtId="169" fontId="1" fillId="0" borderId="0" xfId="25" applyNumberFormat="1" applyAlignment="1">
      <alignment horizontal="center"/>
    </xf>
    <xf numFmtId="10" fontId="1" fillId="0" borderId="0" xfId="26" applyNumberFormat="1" applyFill="1"/>
    <xf numFmtId="3" fontId="1" fillId="0" borderId="0" xfId="25" applyNumberFormat="1"/>
    <xf numFmtId="170" fontId="1" fillId="0" borderId="0" xfId="22" applyNumberFormat="1" applyAlignment="1"/>
    <xf numFmtId="175" fontId="1" fillId="5" borderId="0" xfId="22" applyNumberFormat="1" applyFill="1" applyAlignment="1"/>
    <xf numFmtId="173" fontId="14" fillId="5" borderId="0" xfId="22" applyNumberFormat="1" applyFont="1" applyFill="1" applyAlignment="1">
      <alignment horizontal="center"/>
    </xf>
    <xf numFmtId="176" fontId="14" fillId="5" borderId="0" xfId="22" applyNumberFormat="1" applyFont="1" applyFill="1" applyAlignment="1">
      <alignment horizontal="center"/>
    </xf>
    <xf numFmtId="176" fontId="14" fillId="3" borderId="0" xfId="22" applyNumberFormat="1" applyFont="1" applyFill="1" applyAlignment="1">
      <alignment horizontal="center"/>
    </xf>
    <xf numFmtId="173" fontId="14" fillId="3" borderId="0" xfId="22" applyNumberFormat="1" applyFont="1" applyFill="1" applyAlignment="1">
      <alignment horizontal="center"/>
    </xf>
    <xf numFmtId="173" fontId="1" fillId="0" borderId="0" xfId="22" applyNumberFormat="1" applyAlignment="1"/>
    <xf numFmtId="169" fontId="1" fillId="4" borderId="0" xfId="25" applyNumberFormat="1" applyFill="1"/>
    <xf numFmtId="169" fontId="1" fillId="4" borderId="0" xfId="22" applyNumberFormat="1" applyFill="1" applyAlignment="1"/>
    <xf numFmtId="43" fontId="1" fillId="4" borderId="0" xfId="22" applyNumberFormat="1" applyFill="1" applyAlignment="1"/>
    <xf numFmtId="173" fontId="14" fillId="4" borderId="0" xfId="22" applyNumberFormat="1" applyFont="1" applyFill="1" applyAlignment="1">
      <alignment horizontal="center"/>
    </xf>
    <xf numFmtId="173" fontId="1" fillId="5" borderId="0" xfId="22" applyNumberFormat="1" applyFill="1" applyAlignment="1"/>
    <xf numFmtId="164" fontId="1" fillId="5" borderId="0" xfId="22" applyNumberFormat="1" applyFill="1" applyAlignment="1"/>
    <xf numFmtId="169" fontId="1" fillId="0" borderId="0" xfId="25" applyNumberFormat="1" applyFont="1" applyAlignment="1"/>
    <xf numFmtId="168" fontId="1" fillId="4" borderId="0" xfId="22" applyNumberFormat="1" applyFill="1" applyAlignment="1"/>
    <xf numFmtId="0" fontId="1" fillId="4" borderId="0" xfId="22" applyNumberFormat="1" applyFill="1" applyAlignment="1"/>
    <xf numFmtId="174" fontId="1" fillId="0" borderId="0" xfId="22" applyNumberFormat="1" applyAlignment="1"/>
    <xf numFmtId="3" fontId="1" fillId="4" borderId="0" xfId="22" applyNumberFormat="1" applyFill="1" applyAlignment="1"/>
    <xf numFmtId="169" fontId="1" fillId="0" borderId="0" xfId="22" applyNumberFormat="1" applyAlignment="1"/>
    <xf numFmtId="3" fontId="1" fillId="0" borderId="0" xfId="26" applyNumberFormat="1"/>
    <xf numFmtId="166" fontId="1" fillId="0" borderId="0" xfId="22" applyNumberFormat="1" applyAlignment="1"/>
    <xf numFmtId="3" fontId="18" fillId="0" borderId="0" xfId="22" applyNumberFormat="1" applyFont="1" applyAlignment="1"/>
    <xf numFmtId="0" fontId="1" fillId="0" borderId="0" xfId="23"/>
    <xf numFmtId="10" fontId="1" fillId="0" borderId="0" xfId="26" applyNumberFormat="1"/>
    <xf numFmtId="0" fontId="1" fillId="0" borderId="0" xfId="22" applyNumberFormat="1" applyFill="1" applyAlignment="1"/>
    <xf numFmtId="3" fontId="1" fillId="0" borderId="0" xfId="22" applyNumberFormat="1" applyFont="1" applyAlignment="1"/>
    <xf numFmtId="168" fontId="1" fillId="0" borderId="0" xfId="22" applyNumberFormat="1" applyAlignment="1"/>
    <xf numFmtId="168" fontId="1" fillId="0" borderId="0" xfId="22" applyNumberFormat="1" applyFill="1" applyAlignment="1"/>
    <xf numFmtId="175" fontId="1" fillId="0" borderId="0" xfId="22" applyNumberFormat="1" applyAlignment="1"/>
    <xf numFmtId="169" fontId="1" fillId="0" borderId="0" xfId="25" applyNumberFormat="1" applyFill="1"/>
    <xf numFmtId="170" fontId="1" fillId="0" borderId="0" xfId="25" applyNumberFormat="1" applyFill="1"/>
    <xf numFmtId="3" fontId="1" fillId="0" borderId="0" xfId="22" quotePrefix="1" applyNumberFormat="1" applyFont="1" applyAlignment="1">
      <alignment horizontal="left"/>
    </xf>
    <xf numFmtId="0" fontId="1" fillId="0" borderId="11" xfId="22" applyNumberFormat="1" applyFont="1" applyBorder="1" applyAlignment="1"/>
    <xf numFmtId="169" fontId="1" fillId="0" borderId="12" xfId="25" applyNumberFormat="1" applyBorder="1"/>
    <xf numFmtId="0" fontId="1" fillId="0" borderId="12" xfId="22" applyNumberFormat="1" applyBorder="1" applyAlignment="1"/>
    <xf numFmtId="0" fontId="1" fillId="0" borderId="12" xfId="22" applyNumberFormat="1" applyFill="1" applyBorder="1" applyAlignment="1"/>
    <xf numFmtId="169" fontId="1" fillId="0" borderId="13" xfId="22" applyNumberFormat="1" applyBorder="1" applyAlignment="1"/>
    <xf numFmtId="0" fontId="1" fillId="0" borderId="0" xfId="22" applyNumberFormat="1" applyFont="1" applyAlignment="1"/>
    <xf numFmtId="0" fontId="0" fillId="0" borderId="0" xfId="0" quotePrefix="1" applyAlignment="1">
      <alignment horizontal="left"/>
    </xf>
    <xf numFmtId="0" fontId="4" fillId="0" borderId="0" xfId="0" applyFont="1" applyBorder="1" applyAlignment="1">
      <alignment horizontal="center"/>
    </xf>
    <xf numFmtId="0" fontId="4" fillId="0" borderId="10"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0" xfId="0" applyFont="1" applyAlignment="1">
      <alignment horizontal="center"/>
    </xf>
    <xf numFmtId="0" fontId="4" fillId="0" borderId="10" xfId="0" applyFont="1" applyFill="1" applyBorder="1" applyAlignment="1">
      <alignment horizontal="center"/>
    </xf>
    <xf numFmtId="0" fontId="4" fillId="0" borderId="3" xfId="0" applyFont="1" applyFill="1" applyBorder="1" applyAlignment="1">
      <alignment horizontal="center"/>
    </xf>
    <xf numFmtId="0" fontId="4" fillId="0" borderId="4" xfId="0" applyFont="1" applyFill="1" applyBorder="1" applyAlignment="1">
      <alignment horizontal="center"/>
    </xf>
    <xf numFmtId="0" fontId="13" fillId="0" borderId="0" xfId="0" applyFont="1"/>
    <xf numFmtId="0" fontId="13" fillId="0" borderId="0" xfId="0" applyFont="1" applyAlignment="1">
      <alignment vertical="top"/>
    </xf>
  </cellXfs>
  <cellStyles count="27">
    <cellStyle name="Comma" xfId="20" builtinId="3"/>
    <cellStyle name="Comma 2" xfId="1"/>
    <cellStyle name="Comma 3" xfId="17"/>
    <cellStyle name="Comma 3 2" xfId="25"/>
    <cellStyle name="Hyperlink" xfId="21" builtinId="8"/>
    <cellStyle name="Normal" xfId="0" builtinId="0"/>
    <cellStyle name="Normal 2" xfId="2"/>
    <cellStyle name="Normal 3" xfId="3"/>
    <cellStyle name="Normal 4" xfId="4"/>
    <cellStyle name="Normal 5" xfId="5"/>
    <cellStyle name="Normal 6" xfId="6"/>
    <cellStyle name="Normal 7" xfId="7"/>
    <cellStyle name="Normal 8" xfId="8"/>
    <cellStyle name="Normal 9" xfId="23"/>
    <cellStyle name="Normal_3AP Total Market 2005 through 2014" xfId="9"/>
    <cellStyle name="Normal_CI DX Workbook CJ" xfId="10"/>
    <cellStyle name="Normal_CI DX Workbook CJ 2" xfId="16"/>
    <cellStyle name="Normal_CI DX Workbook CJ 2 2" xfId="24"/>
    <cellStyle name="Normal_Impact Summary" xfId="11"/>
    <cellStyle name="Normal_NEPACT_rate_case" xfId="15"/>
    <cellStyle name="Normal_NEPACT_rate_case 2" xfId="22"/>
    <cellStyle name="Percent" xfId="12" builtinId="5"/>
    <cellStyle name="Percent 2" xfId="13"/>
    <cellStyle name="Percent 3" xfId="18"/>
    <cellStyle name="Percent 3 2" xfId="26"/>
    <cellStyle name="SEM-BPS-data" xfId="14"/>
    <cellStyle name="Style 1"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appliance-standards.org/product/central-air-conditioners-and-heat-pump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6"/>
  <sheetViews>
    <sheetView tabSelected="1" workbookViewId="0">
      <selection sqref="A1:A2"/>
    </sheetView>
  </sheetViews>
  <sheetFormatPr defaultRowHeight="13.2"/>
  <cols>
    <col min="1" max="1" width="11" customWidth="1"/>
  </cols>
  <sheetData>
    <row r="1" spans="1:1">
      <c r="A1" s="416" t="s">
        <v>379</v>
      </c>
    </row>
    <row r="2" spans="1:1">
      <c r="A2" s="416" t="s">
        <v>380</v>
      </c>
    </row>
    <row r="3" spans="1:1">
      <c r="A3" s="416"/>
    </row>
    <row r="4" spans="1:1">
      <c r="A4" s="407" t="s">
        <v>377</v>
      </c>
    </row>
    <row r="5" spans="1:1">
      <c r="A5" s="407" t="s">
        <v>376</v>
      </c>
    </row>
    <row r="6" spans="1:1">
      <c r="A6" s="407" t="s">
        <v>378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U57"/>
  <sheetViews>
    <sheetView zoomScale="75" zoomScaleNormal="75" workbookViewId="0">
      <pane xSplit="1" ySplit="10" topLeftCell="E11" activePane="bottomRight" state="frozen"/>
      <selection pane="topRight" activeCell="B1" sqref="B1"/>
      <selection pane="bottomLeft" activeCell="A11" sqref="A11"/>
      <selection pane="bottomRight" activeCell="A2" sqref="A1:A2"/>
    </sheetView>
  </sheetViews>
  <sheetFormatPr defaultRowHeight="13.2"/>
  <cols>
    <col min="1" max="1" width="14.109375" style="5" customWidth="1"/>
    <col min="2" max="18" width="20.6640625" style="5" customWidth="1"/>
    <col min="19" max="19" width="11" style="5" bestFit="1" customWidth="1"/>
    <col min="20" max="20" width="12.6640625" style="5" bestFit="1" customWidth="1"/>
    <col min="21" max="256" width="9.109375" style="5"/>
    <col min="257" max="257" width="14.109375" style="5" customWidth="1"/>
    <col min="258" max="274" width="20.6640625" style="5" customWidth="1"/>
    <col min="275" max="512" width="9.109375" style="5"/>
    <col min="513" max="513" width="14.109375" style="5" customWidth="1"/>
    <col min="514" max="530" width="20.6640625" style="5" customWidth="1"/>
    <col min="531" max="768" width="9.109375" style="5"/>
    <col min="769" max="769" width="14.109375" style="5" customWidth="1"/>
    <col min="770" max="786" width="20.6640625" style="5" customWidth="1"/>
    <col min="787" max="1024" width="9.109375" style="5"/>
    <col min="1025" max="1025" width="14.109375" style="5" customWidth="1"/>
    <col min="1026" max="1042" width="20.6640625" style="5" customWidth="1"/>
    <col min="1043" max="1280" width="9.109375" style="5"/>
    <col min="1281" max="1281" width="14.109375" style="5" customWidth="1"/>
    <col min="1282" max="1298" width="20.6640625" style="5" customWidth="1"/>
    <col min="1299" max="1536" width="9.109375" style="5"/>
    <col min="1537" max="1537" width="14.109375" style="5" customWidth="1"/>
    <col min="1538" max="1554" width="20.6640625" style="5" customWidth="1"/>
    <col min="1555" max="1792" width="9.109375" style="5"/>
    <col min="1793" max="1793" width="14.109375" style="5" customWidth="1"/>
    <col min="1794" max="1810" width="20.6640625" style="5" customWidth="1"/>
    <col min="1811" max="2048" width="9.109375" style="5"/>
    <col min="2049" max="2049" width="14.109375" style="5" customWidth="1"/>
    <col min="2050" max="2066" width="20.6640625" style="5" customWidth="1"/>
    <col min="2067" max="2304" width="9.109375" style="5"/>
    <col min="2305" max="2305" width="14.109375" style="5" customWidth="1"/>
    <col min="2306" max="2322" width="20.6640625" style="5" customWidth="1"/>
    <col min="2323" max="2560" width="9.109375" style="5"/>
    <col min="2561" max="2561" width="14.109375" style="5" customWidth="1"/>
    <col min="2562" max="2578" width="20.6640625" style="5" customWidth="1"/>
    <col min="2579" max="2816" width="9.109375" style="5"/>
    <col min="2817" max="2817" width="14.109375" style="5" customWidth="1"/>
    <col min="2818" max="2834" width="20.6640625" style="5" customWidth="1"/>
    <col min="2835" max="3072" width="9.109375" style="5"/>
    <col min="3073" max="3073" width="14.109375" style="5" customWidth="1"/>
    <col min="3074" max="3090" width="20.6640625" style="5" customWidth="1"/>
    <col min="3091" max="3328" width="9.109375" style="5"/>
    <col min="3329" max="3329" width="14.109375" style="5" customWidth="1"/>
    <col min="3330" max="3346" width="20.6640625" style="5" customWidth="1"/>
    <col min="3347" max="3584" width="9.109375" style="5"/>
    <col min="3585" max="3585" width="14.109375" style="5" customWidth="1"/>
    <col min="3586" max="3602" width="20.6640625" style="5" customWidth="1"/>
    <col min="3603" max="3840" width="9.109375" style="5"/>
    <col min="3841" max="3841" width="14.109375" style="5" customWidth="1"/>
    <col min="3842" max="3858" width="20.6640625" style="5" customWidth="1"/>
    <col min="3859" max="4096" width="9.109375" style="5"/>
    <col min="4097" max="4097" width="14.109375" style="5" customWidth="1"/>
    <col min="4098" max="4114" width="20.6640625" style="5" customWidth="1"/>
    <col min="4115" max="4352" width="9.109375" style="5"/>
    <col min="4353" max="4353" width="14.109375" style="5" customWidth="1"/>
    <col min="4354" max="4370" width="20.6640625" style="5" customWidth="1"/>
    <col min="4371" max="4608" width="9.109375" style="5"/>
    <col min="4609" max="4609" width="14.109375" style="5" customWidth="1"/>
    <col min="4610" max="4626" width="20.6640625" style="5" customWidth="1"/>
    <col min="4627" max="4864" width="9.109375" style="5"/>
    <col min="4865" max="4865" width="14.109375" style="5" customWidth="1"/>
    <col min="4866" max="4882" width="20.6640625" style="5" customWidth="1"/>
    <col min="4883" max="5120" width="9.109375" style="5"/>
    <col min="5121" max="5121" width="14.109375" style="5" customWidth="1"/>
    <col min="5122" max="5138" width="20.6640625" style="5" customWidth="1"/>
    <col min="5139" max="5376" width="9.109375" style="5"/>
    <col min="5377" max="5377" width="14.109375" style="5" customWidth="1"/>
    <col min="5378" max="5394" width="20.6640625" style="5" customWidth="1"/>
    <col min="5395" max="5632" width="9.109375" style="5"/>
    <col min="5633" max="5633" width="14.109375" style="5" customWidth="1"/>
    <col min="5634" max="5650" width="20.6640625" style="5" customWidth="1"/>
    <col min="5651" max="5888" width="9.109375" style="5"/>
    <col min="5889" max="5889" width="14.109375" style="5" customWidth="1"/>
    <col min="5890" max="5906" width="20.6640625" style="5" customWidth="1"/>
    <col min="5907" max="6144" width="9.109375" style="5"/>
    <col min="6145" max="6145" width="14.109375" style="5" customWidth="1"/>
    <col min="6146" max="6162" width="20.6640625" style="5" customWidth="1"/>
    <col min="6163" max="6400" width="9.109375" style="5"/>
    <col min="6401" max="6401" width="14.109375" style="5" customWidth="1"/>
    <col min="6402" max="6418" width="20.6640625" style="5" customWidth="1"/>
    <col min="6419" max="6656" width="9.109375" style="5"/>
    <col min="6657" max="6657" width="14.109375" style="5" customWidth="1"/>
    <col min="6658" max="6674" width="20.6640625" style="5" customWidth="1"/>
    <col min="6675" max="6912" width="9.109375" style="5"/>
    <col min="6913" max="6913" width="14.109375" style="5" customWidth="1"/>
    <col min="6914" max="6930" width="20.6640625" style="5" customWidth="1"/>
    <col min="6931" max="7168" width="9.109375" style="5"/>
    <col min="7169" max="7169" width="14.109375" style="5" customWidth="1"/>
    <col min="7170" max="7186" width="20.6640625" style="5" customWidth="1"/>
    <col min="7187" max="7424" width="9.109375" style="5"/>
    <col min="7425" max="7425" width="14.109375" style="5" customWidth="1"/>
    <col min="7426" max="7442" width="20.6640625" style="5" customWidth="1"/>
    <col min="7443" max="7680" width="9.109375" style="5"/>
    <col min="7681" max="7681" width="14.109375" style="5" customWidth="1"/>
    <col min="7682" max="7698" width="20.6640625" style="5" customWidth="1"/>
    <col min="7699" max="7936" width="9.109375" style="5"/>
    <col min="7937" max="7937" width="14.109375" style="5" customWidth="1"/>
    <col min="7938" max="7954" width="20.6640625" style="5" customWidth="1"/>
    <col min="7955" max="8192" width="9.109375" style="5"/>
    <col min="8193" max="8193" width="14.109375" style="5" customWidth="1"/>
    <col min="8194" max="8210" width="20.6640625" style="5" customWidth="1"/>
    <col min="8211" max="8448" width="9.109375" style="5"/>
    <col min="8449" max="8449" width="14.109375" style="5" customWidth="1"/>
    <col min="8450" max="8466" width="20.6640625" style="5" customWidth="1"/>
    <col min="8467" max="8704" width="9.109375" style="5"/>
    <col min="8705" max="8705" width="14.109375" style="5" customWidth="1"/>
    <col min="8706" max="8722" width="20.6640625" style="5" customWidth="1"/>
    <col min="8723" max="8960" width="9.109375" style="5"/>
    <col min="8961" max="8961" width="14.109375" style="5" customWidth="1"/>
    <col min="8962" max="8978" width="20.6640625" style="5" customWidth="1"/>
    <col min="8979" max="9216" width="9.109375" style="5"/>
    <col min="9217" max="9217" width="14.109375" style="5" customWidth="1"/>
    <col min="9218" max="9234" width="20.6640625" style="5" customWidth="1"/>
    <col min="9235" max="9472" width="9.109375" style="5"/>
    <col min="9473" max="9473" width="14.109375" style="5" customWidth="1"/>
    <col min="9474" max="9490" width="20.6640625" style="5" customWidth="1"/>
    <col min="9491" max="9728" width="9.109375" style="5"/>
    <col min="9729" max="9729" width="14.109375" style="5" customWidth="1"/>
    <col min="9730" max="9746" width="20.6640625" style="5" customWidth="1"/>
    <col min="9747" max="9984" width="9.109375" style="5"/>
    <col min="9985" max="9985" width="14.109375" style="5" customWidth="1"/>
    <col min="9986" max="10002" width="20.6640625" style="5" customWidth="1"/>
    <col min="10003" max="10240" width="9.109375" style="5"/>
    <col min="10241" max="10241" width="14.109375" style="5" customWidth="1"/>
    <col min="10242" max="10258" width="20.6640625" style="5" customWidth="1"/>
    <col min="10259" max="10496" width="9.109375" style="5"/>
    <col min="10497" max="10497" width="14.109375" style="5" customWidth="1"/>
    <col min="10498" max="10514" width="20.6640625" style="5" customWidth="1"/>
    <col min="10515" max="10752" width="9.109375" style="5"/>
    <col min="10753" max="10753" width="14.109375" style="5" customWidth="1"/>
    <col min="10754" max="10770" width="20.6640625" style="5" customWidth="1"/>
    <col min="10771" max="11008" width="9.109375" style="5"/>
    <col min="11009" max="11009" width="14.109375" style="5" customWidth="1"/>
    <col min="11010" max="11026" width="20.6640625" style="5" customWidth="1"/>
    <col min="11027" max="11264" width="9.109375" style="5"/>
    <col min="11265" max="11265" width="14.109375" style="5" customWidth="1"/>
    <col min="11266" max="11282" width="20.6640625" style="5" customWidth="1"/>
    <col min="11283" max="11520" width="9.109375" style="5"/>
    <col min="11521" max="11521" width="14.109375" style="5" customWidth="1"/>
    <col min="11522" max="11538" width="20.6640625" style="5" customWidth="1"/>
    <col min="11539" max="11776" width="9.109375" style="5"/>
    <col min="11777" max="11777" width="14.109375" style="5" customWidth="1"/>
    <col min="11778" max="11794" width="20.6640625" style="5" customWidth="1"/>
    <col min="11795" max="12032" width="9.109375" style="5"/>
    <col min="12033" max="12033" width="14.109375" style="5" customWidth="1"/>
    <col min="12034" max="12050" width="20.6640625" style="5" customWidth="1"/>
    <col min="12051" max="12288" width="9.109375" style="5"/>
    <col min="12289" max="12289" width="14.109375" style="5" customWidth="1"/>
    <col min="12290" max="12306" width="20.6640625" style="5" customWidth="1"/>
    <col min="12307" max="12544" width="9.109375" style="5"/>
    <col min="12545" max="12545" width="14.109375" style="5" customWidth="1"/>
    <col min="12546" max="12562" width="20.6640625" style="5" customWidth="1"/>
    <col min="12563" max="12800" width="9.109375" style="5"/>
    <col min="12801" max="12801" width="14.109375" style="5" customWidth="1"/>
    <col min="12802" max="12818" width="20.6640625" style="5" customWidth="1"/>
    <col min="12819" max="13056" width="9.109375" style="5"/>
    <col min="13057" max="13057" width="14.109375" style="5" customWidth="1"/>
    <col min="13058" max="13074" width="20.6640625" style="5" customWidth="1"/>
    <col min="13075" max="13312" width="9.109375" style="5"/>
    <col min="13313" max="13313" width="14.109375" style="5" customWidth="1"/>
    <col min="13314" max="13330" width="20.6640625" style="5" customWidth="1"/>
    <col min="13331" max="13568" width="9.109375" style="5"/>
    <col min="13569" max="13569" width="14.109375" style="5" customWidth="1"/>
    <col min="13570" max="13586" width="20.6640625" style="5" customWidth="1"/>
    <col min="13587" max="13824" width="9.109375" style="5"/>
    <col min="13825" max="13825" width="14.109375" style="5" customWidth="1"/>
    <col min="13826" max="13842" width="20.6640625" style="5" customWidth="1"/>
    <col min="13843" max="14080" width="9.109375" style="5"/>
    <col min="14081" max="14081" width="14.109375" style="5" customWidth="1"/>
    <col min="14082" max="14098" width="20.6640625" style="5" customWidth="1"/>
    <col min="14099" max="14336" width="9.109375" style="5"/>
    <col min="14337" max="14337" width="14.109375" style="5" customWidth="1"/>
    <col min="14338" max="14354" width="20.6640625" style="5" customWidth="1"/>
    <col min="14355" max="14592" width="9.109375" style="5"/>
    <col min="14593" max="14593" width="14.109375" style="5" customWidth="1"/>
    <col min="14594" max="14610" width="20.6640625" style="5" customWidth="1"/>
    <col min="14611" max="14848" width="9.109375" style="5"/>
    <col min="14849" max="14849" width="14.109375" style="5" customWidth="1"/>
    <col min="14850" max="14866" width="20.6640625" style="5" customWidth="1"/>
    <col min="14867" max="15104" width="9.109375" style="5"/>
    <col min="15105" max="15105" width="14.109375" style="5" customWidth="1"/>
    <col min="15106" max="15122" width="20.6640625" style="5" customWidth="1"/>
    <col min="15123" max="15360" width="9.109375" style="5"/>
    <col min="15361" max="15361" width="14.109375" style="5" customWidth="1"/>
    <col min="15362" max="15378" width="20.6640625" style="5" customWidth="1"/>
    <col min="15379" max="15616" width="9.109375" style="5"/>
    <col min="15617" max="15617" width="14.109375" style="5" customWidth="1"/>
    <col min="15618" max="15634" width="20.6640625" style="5" customWidth="1"/>
    <col min="15635" max="15872" width="9.109375" style="5"/>
    <col min="15873" max="15873" width="14.109375" style="5" customWidth="1"/>
    <col min="15874" max="15890" width="20.6640625" style="5" customWidth="1"/>
    <col min="15891" max="16128" width="9.109375" style="5"/>
    <col min="16129" max="16129" width="14.109375" style="5" customWidth="1"/>
    <col min="16130" max="16146" width="20.6640625" style="5" customWidth="1"/>
    <col min="16147" max="16384" width="9.109375" style="5"/>
  </cols>
  <sheetData>
    <row r="1" spans="1:21" s="2" customFormat="1" ht="15.6">
      <c r="A1" s="416" t="s">
        <v>389</v>
      </c>
      <c r="B1" s="1"/>
      <c r="C1" s="1"/>
      <c r="D1" s="1"/>
      <c r="E1" s="1"/>
      <c r="F1" s="1"/>
      <c r="G1" s="1"/>
      <c r="H1" s="1"/>
      <c r="I1" s="1"/>
      <c r="J1" s="1"/>
      <c r="K1" s="1"/>
      <c r="L1" s="1"/>
      <c r="M1" s="1"/>
      <c r="N1" s="1"/>
      <c r="O1" s="1"/>
      <c r="P1" s="1"/>
      <c r="Q1" s="1"/>
      <c r="R1" s="1"/>
    </row>
    <row r="2" spans="1:21" s="2" customFormat="1" ht="15.6">
      <c r="A2" s="416" t="s">
        <v>380</v>
      </c>
      <c r="B2" s="1"/>
      <c r="C2" s="1"/>
      <c r="D2" s="1"/>
      <c r="E2" s="1"/>
      <c r="F2" s="1"/>
      <c r="G2" s="1"/>
      <c r="H2" s="1"/>
      <c r="I2" s="1"/>
      <c r="J2" s="1"/>
      <c r="K2" s="1"/>
      <c r="L2" s="1"/>
      <c r="M2" s="1"/>
      <c r="N2" s="1"/>
      <c r="O2" s="1"/>
      <c r="P2" s="1"/>
      <c r="Q2" s="1"/>
      <c r="R2" s="1"/>
    </row>
    <row r="3" spans="1:21" s="2" customFormat="1" ht="15.6">
      <c r="A3" s="1" t="s">
        <v>45</v>
      </c>
      <c r="B3" s="1"/>
      <c r="C3" s="1"/>
      <c r="D3" s="1"/>
      <c r="E3" s="1"/>
      <c r="F3" s="1"/>
      <c r="G3" s="1"/>
      <c r="H3" s="1"/>
      <c r="I3" s="1"/>
      <c r="J3" s="1"/>
      <c r="K3" s="1"/>
      <c r="L3" s="1"/>
      <c r="M3" s="1"/>
      <c r="N3" s="1"/>
      <c r="O3" s="1"/>
      <c r="P3" s="1"/>
      <c r="Q3" s="1"/>
      <c r="R3" s="1"/>
    </row>
    <row r="4" spans="1:21" s="2" customFormat="1" ht="15.6">
      <c r="A4" s="1" t="s">
        <v>356</v>
      </c>
      <c r="B4" s="1"/>
      <c r="C4" s="1"/>
      <c r="D4" s="1"/>
      <c r="E4" s="1"/>
      <c r="F4" s="1"/>
      <c r="G4" s="1"/>
      <c r="H4" s="1"/>
      <c r="I4" s="1"/>
      <c r="J4" s="1"/>
      <c r="K4" s="1"/>
      <c r="L4" s="1"/>
      <c r="M4" s="1"/>
      <c r="N4" s="1"/>
      <c r="O4" s="1"/>
      <c r="P4" s="1"/>
      <c r="Q4" s="1"/>
      <c r="R4" s="1"/>
    </row>
    <row r="5" spans="1:21">
      <c r="A5" s="4"/>
      <c r="B5" s="4"/>
      <c r="C5" s="4"/>
      <c r="D5" s="4"/>
      <c r="E5" s="4"/>
      <c r="F5" s="4"/>
      <c r="G5" s="4"/>
      <c r="H5" s="4"/>
      <c r="I5" s="4"/>
      <c r="J5" s="4"/>
      <c r="K5" s="4"/>
      <c r="L5" s="4"/>
      <c r="M5" s="4"/>
      <c r="N5" s="4"/>
      <c r="O5" s="4"/>
      <c r="P5" s="4"/>
      <c r="Q5" s="4"/>
      <c r="R5" s="4"/>
    </row>
    <row r="6" spans="1:21" s="9" customFormat="1" ht="39.6">
      <c r="A6" s="6"/>
      <c r="B6" s="47" t="s">
        <v>23</v>
      </c>
      <c r="C6" s="47" t="s">
        <v>43</v>
      </c>
      <c r="D6" s="47" t="s">
        <v>187</v>
      </c>
      <c r="E6" s="47" t="s">
        <v>95</v>
      </c>
      <c r="F6" s="47" t="s">
        <v>59</v>
      </c>
      <c r="G6" s="47" t="s">
        <v>353</v>
      </c>
      <c r="H6" s="47" t="s">
        <v>70</v>
      </c>
      <c r="I6" s="48" t="s">
        <v>89</v>
      </c>
      <c r="J6" s="48" t="s">
        <v>129</v>
      </c>
      <c r="K6" s="258" t="s">
        <v>327</v>
      </c>
      <c r="L6" s="48" t="s">
        <v>146</v>
      </c>
      <c r="M6" s="48" t="s">
        <v>147</v>
      </c>
      <c r="N6" s="48" t="s">
        <v>169</v>
      </c>
      <c r="O6" s="48" t="s">
        <v>261</v>
      </c>
      <c r="P6" s="48" t="s">
        <v>212</v>
      </c>
      <c r="Q6" s="48" t="s">
        <v>214</v>
      </c>
      <c r="R6" s="48" t="s">
        <v>92</v>
      </c>
      <c r="S6" s="49"/>
      <c r="T6" s="49"/>
      <c r="U6" s="49"/>
    </row>
    <row r="7" spans="1:21" s="9" customFormat="1" ht="26.4">
      <c r="A7" s="10"/>
      <c r="B7" s="43" t="s">
        <v>24</v>
      </c>
      <c r="C7" s="43" t="s">
        <v>24</v>
      </c>
      <c r="D7" s="43" t="s">
        <v>24</v>
      </c>
      <c r="E7" s="43" t="s">
        <v>24</v>
      </c>
      <c r="F7" s="43" t="s">
        <v>24</v>
      </c>
      <c r="G7" s="57" t="s">
        <v>24</v>
      </c>
      <c r="H7" s="43" t="s">
        <v>24</v>
      </c>
      <c r="I7" s="43" t="s">
        <v>24</v>
      </c>
      <c r="J7" s="43" t="s">
        <v>24</v>
      </c>
      <c r="K7" s="259" t="s">
        <v>24</v>
      </c>
      <c r="L7" s="43" t="s">
        <v>24</v>
      </c>
      <c r="M7" s="43" t="s">
        <v>24</v>
      </c>
      <c r="N7" s="43" t="s">
        <v>24</v>
      </c>
      <c r="O7" s="43" t="s">
        <v>24</v>
      </c>
      <c r="P7" s="43" t="s">
        <v>24</v>
      </c>
      <c r="Q7" s="43" t="s">
        <v>24</v>
      </c>
      <c r="R7" s="43" t="s">
        <v>24</v>
      </c>
      <c r="S7" s="49"/>
      <c r="T7" s="49"/>
      <c r="U7" s="49"/>
    </row>
    <row r="8" spans="1:21" s="9" customFormat="1" ht="39.6">
      <c r="A8" s="10"/>
      <c r="B8" s="44" t="s">
        <v>317</v>
      </c>
      <c r="C8" s="55" t="s">
        <v>298</v>
      </c>
      <c r="D8" s="44" t="s">
        <v>119</v>
      </c>
      <c r="E8" s="44" t="s">
        <v>100</v>
      </c>
      <c r="F8" s="44" t="s">
        <v>60</v>
      </c>
      <c r="G8" s="55" t="s">
        <v>279</v>
      </c>
      <c r="H8" s="260" t="s">
        <v>311</v>
      </c>
      <c r="I8" s="45" t="s">
        <v>90</v>
      </c>
      <c r="J8" s="260" t="s">
        <v>303</v>
      </c>
      <c r="K8" s="260" t="s">
        <v>333</v>
      </c>
      <c r="L8" s="45" t="s">
        <v>145</v>
      </c>
      <c r="M8" s="45" t="s">
        <v>145</v>
      </c>
      <c r="N8" s="45" t="s">
        <v>170</v>
      </c>
      <c r="O8" s="45" t="s">
        <v>354</v>
      </c>
      <c r="P8" s="45" t="s">
        <v>213</v>
      </c>
      <c r="Q8" s="45" t="s">
        <v>208</v>
      </c>
      <c r="R8" s="45" t="s">
        <v>110</v>
      </c>
      <c r="S8" s="49"/>
      <c r="T8" s="49"/>
      <c r="U8" s="49"/>
    </row>
    <row r="9" spans="1:21" s="9" customFormat="1" ht="39.6">
      <c r="A9" s="10"/>
      <c r="B9" s="44" t="s">
        <v>25</v>
      </c>
      <c r="C9" s="44" t="s">
        <v>44</v>
      </c>
      <c r="D9" s="44" t="s">
        <v>44</v>
      </c>
      <c r="E9" s="44" t="s">
        <v>44</v>
      </c>
      <c r="F9" s="44" t="s">
        <v>61</v>
      </c>
      <c r="G9" s="55" t="s">
        <v>284</v>
      </c>
      <c r="H9" s="44" t="s">
        <v>71</v>
      </c>
      <c r="I9" s="45" t="s">
        <v>91</v>
      </c>
      <c r="J9" s="44" t="s">
        <v>71</v>
      </c>
      <c r="K9" s="260" t="s">
        <v>339</v>
      </c>
      <c r="L9" s="44" t="s">
        <v>71</v>
      </c>
      <c r="M9" s="44" t="s">
        <v>71</v>
      </c>
      <c r="N9" s="44" t="s">
        <v>171</v>
      </c>
      <c r="O9" s="44" t="s">
        <v>201</v>
      </c>
      <c r="P9" s="44" t="s">
        <v>201</v>
      </c>
      <c r="Q9" s="44" t="s">
        <v>210</v>
      </c>
      <c r="R9" s="53" t="s">
        <v>93</v>
      </c>
      <c r="S9" s="49" t="s">
        <v>257</v>
      </c>
      <c r="T9" s="267" t="s">
        <v>359</v>
      </c>
      <c r="U9" s="49"/>
    </row>
    <row r="10" spans="1:21" s="9" customFormat="1">
      <c r="A10" s="11" t="s">
        <v>17</v>
      </c>
      <c r="B10" s="46" t="s">
        <v>112</v>
      </c>
      <c r="C10" s="46" t="s">
        <v>112</v>
      </c>
      <c r="D10" s="46" t="s">
        <v>112</v>
      </c>
      <c r="E10" s="46" t="s">
        <v>112</v>
      </c>
      <c r="F10" s="46" t="s">
        <v>112</v>
      </c>
      <c r="G10" s="46" t="s">
        <v>112</v>
      </c>
      <c r="H10" s="46" t="s">
        <v>112</v>
      </c>
      <c r="I10" s="50" t="s">
        <v>112</v>
      </c>
      <c r="J10" s="50" t="s">
        <v>112</v>
      </c>
      <c r="K10" s="261" t="s">
        <v>112</v>
      </c>
      <c r="L10" s="50" t="s">
        <v>112</v>
      </c>
      <c r="M10" s="50" t="s">
        <v>112</v>
      </c>
      <c r="N10" s="50" t="s">
        <v>112</v>
      </c>
      <c r="O10" s="50" t="s">
        <v>112</v>
      </c>
      <c r="P10" s="50" t="s">
        <v>112</v>
      </c>
      <c r="Q10" s="50" t="s">
        <v>112</v>
      </c>
      <c r="R10" s="180" t="s">
        <v>112</v>
      </c>
      <c r="U10" s="49"/>
    </row>
    <row r="11" spans="1:21">
      <c r="A11" s="12">
        <v>2005</v>
      </c>
      <c r="B11" s="14">
        <v>0</v>
      </c>
      <c r="C11" s="14">
        <v>0</v>
      </c>
      <c r="D11" s="13">
        <v>0</v>
      </c>
      <c r="E11" s="14">
        <v>0.30068998864773144</v>
      </c>
      <c r="F11" s="14">
        <v>0</v>
      </c>
      <c r="G11" s="14">
        <v>0</v>
      </c>
      <c r="H11" s="14">
        <v>0</v>
      </c>
      <c r="I11" s="21">
        <v>0</v>
      </c>
      <c r="J11" s="20">
        <v>0</v>
      </c>
      <c r="K11" s="20">
        <v>0</v>
      </c>
      <c r="L11" s="20">
        <v>0</v>
      </c>
      <c r="M11" s="20">
        <v>0</v>
      </c>
      <c r="N11" s="20">
        <v>0</v>
      </c>
      <c r="O11" s="20"/>
      <c r="P11" s="20"/>
      <c r="Q11" s="20">
        <v>0</v>
      </c>
      <c r="R11" s="21">
        <f>SUM(B11:Q11)</f>
        <v>0.30068998864773144</v>
      </c>
      <c r="S11" s="139">
        <f>+R11/T11</f>
        <v>6.9573642361076417E-8</v>
      </c>
      <c r="T11" s="15">
        <f>+'MWh by month-WgtbyCDH&amp;DayLtHrs'!AB275</f>
        <v>4321895.166666667</v>
      </c>
    </row>
    <row r="12" spans="1:21">
      <c r="A12" s="12">
        <v>2006</v>
      </c>
      <c r="B12" s="14">
        <v>18.37460710413685</v>
      </c>
      <c r="C12" s="14">
        <v>0</v>
      </c>
      <c r="D12" s="13">
        <v>0</v>
      </c>
      <c r="E12" s="14">
        <v>0.69072886644708054</v>
      </c>
      <c r="F12" s="14">
        <v>0</v>
      </c>
      <c r="G12" s="14">
        <v>0</v>
      </c>
      <c r="H12" s="14">
        <v>0</v>
      </c>
      <c r="I12" s="21">
        <v>0.40251064411245419</v>
      </c>
      <c r="J12" s="20">
        <v>0</v>
      </c>
      <c r="K12" s="20">
        <v>0</v>
      </c>
      <c r="L12" s="20">
        <v>0</v>
      </c>
      <c r="M12" s="20">
        <v>0</v>
      </c>
      <c r="N12" s="20">
        <v>0</v>
      </c>
      <c r="O12" s="20"/>
      <c r="P12" s="20"/>
      <c r="Q12" s="20">
        <v>0</v>
      </c>
      <c r="R12" s="21">
        <f t="shared" ref="R12:R32" si="0">SUM(B12:Q12)</f>
        <v>19.467846614696384</v>
      </c>
      <c r="S12" s="139">
        <f>+R12/T12</f>
        <v>4.4149156780738191E-6</v>
      </c>
      <c r="T12" s="15">
        <f>+'MWh by month-WgtbyCDH&amp;DayLtHrs'!AB276</f>
        <v>4409562.5</v>
      </c>
    </row>
    <row r="13" spans="1:21">
      <c r="A13" s="12">
        <v>2007</v>
      </c>
      <c r="B13" s="14">
        <v>35.597959058434704</v>
      </c>
      <c r="C13" s="14">
        <v>0</v>
      </c>
      <c r="D13" s="13">
        <v>0</v>
      </c>
      <c r="E13" s="14">
        <v>1.0998044353706298</v>
      </c>
      <c r="F13" s="14">
        <v>24.628261504231105</v>
      </c>
      <c r="G13" s="14">
        <v>0</v>
      </c>
      <c r="H13" s="14">
        <v>0</v>
      </c>
      <c r="I13" s="21">
        <v>0.80502128822490837</v>
      </c>
      <c r="J13" s="20">
        <v>0</v>
      </c>
      <c r="K13" s="20">
        <v>0</v>
      </c>
      <c r="L13" s="20">
        <v>0</v>
      </c>
      <c r="M13" s="20">
        <v>0</v>
      </c>
      <c r="N13" s="20">
        <v>0</v>
      </c>
      <c r="O13" s="20"/>
      <c r="P13" s="20"/>
      <c r="Q13" s="20">
        <v>0</v>
      </c>
      <c r="R13" s="21">
        <f t="shared" si="0"/>
        <v>62.131046286261345</v>
      </c>
      <c r="S13" s="139">
        <f>+R13/T13</f>
        <v>1.3817371718978715E-5</v>
      </c>
      <c r="T13" s="15">
        <f>+'MWh by month-WgtbyCDH&amp;DayLtHrs'!AB277</f>
        <v>4496589.333333333</v>
      </c>
    </row>
    <row r="14" spans="1:21">
      <c r="A14" s="12">
        <v>2008</v>
      </c>
      <c r="B14" s="14">
        <v>48.467014972597418</v>
      </c>
      <c r="C14" s="14">
        <v>0</v>
      </c>
      <c r="D14" s="13">
        <v>0</v>
      </c>
      <c r="E14" s="14">
        <v>1.4213063195492606</v>
      </c>
      <c r="F14" s="14">
        <v>41.78841084017008</v>
      </c>
      <c r="G14" s="14">
        <v>0</v>
      </c>
      <c r="H14" s="14">
        <v>0</v>
      </c>
      <c r="I14" s="21">
        <v>1.2075319323373628</v>
      </c>
      <c r="J14" s="20">
        <v>0</v>
      </c>
      <c r="K14" s="20">
        <v>0</v>
      </c>
      <c r="L14" s="20">
        <v>0</v>
      </c>
      <c r="M14" s="20">
        <v>0</v>
      </c>
      <c r="N14" s="20">
        <v>0</v>
      </c>
      <c r="O14" s="20">
        <v>0</v>
      </c>
      <c r="P14" s="20">
        <v>154.24369650964437</v>
      </c>
      <c r="Q14" s="20">
        <v>0</v>
      </c>
      <c r="R14" s="21">
        <f t="shared" si="0"/>
        <v>247.12796057429847</v>
      </c>
      <c r="S14" s="139">
        <f t="shared" ref="S14:S31" si="1">+R14/T14</f>
        <v>5.4798835283078862E-5</v>
      </c>
      <c r="T14" s="15">
        <f>+'MWh by month-WgtbyCDH&amp;DayLtHrs'!AB278</f>
        <v>4509730.166666667</v>
      </c>
    </row>
    <row r="15" spans="1:21">
      <c r="A15" s="12">
        <v>2009</v>
      </c>
      <c r="B15" s="14">
        <v>59.592376394628879</v>
      </c>
      <c r="C15" s="14">
        <v>0</v>
      </c>
      <c r="D15" s="13">
        <v>0</v>
      </c>
      <c r="E15" s="14">
        <v>1.6945243301577153</v>
      </c>
      <c r="F15" s="14">
        <v>54.831006086752041</v>
      </c>
      <c r="G15" s="14">
        <v>0</v>
      </c>
      <c r="H15" s="14">
        <v>0</v>
      </c>
      <c r="I15" s="21">
        <v>1.6100425764498167</v>
      </c>
      <c r="J15" s="20">
        <v>3.4841785737794702</v>
      </c>
      <c r="K15" s="20">
        <v>0</v>
      </c>
      <c r="L15" s="20">
        <v>0</v>
      </c>
      <c r="M15" s="20">
        <v>0</v>
      </c>
      <c r="N15" s="20">
        <v>3.969668762269615</v>
      </c>
      <c r="O15" s="20">
        <v>0</v>
      </c>
      <c r="P15" s="20">
        <v>184.1398639816816</v>
      </c>
      <c r="Q15" s="20">
        <v>0</v>
      </c>
      <c r="R15" s="21">
        <f t="shared" si="0"/>
        <v>309.32166070571913</v>
      </c>
      <c r="S15" s="139">
        <f t="shared" si="1"/>
        <v>6.8752405308438499E-5</v>
      </c>
      <c r="T15" s="15">
        <f>+'MWh by month-WgtbyCDH&amp;DayLtHrs'!AB279</f>
        <v>4499066.75</v>
      </c>
    </row>
    <row r="16" spans="1:21">
      <c r="A16" s="12">
        <v>2010</v>
      </c>
      <c r="B16" s="14">
        <v>71.328358590207543</v>
      </c>
      <c r="C16" s="14">
        <v>0</v>
      </c>
      <c r="D16" s="13">
        <v>0</v>
      </c>
      <c r="E16" s="14">
        <v>2.0071777861539482</v>
      </c>
      <c r="F16" s="14">
        <v>71.236578812472004</v>
      </c>
      <c r="G16" s="14">
        <v>0</v>
      </c>
      <c r="H16" s="14">
        <v>3.4348853806750164</v>
      </c>
      <c r="I16" s="21">
        <v>2.0125532205622712</v>
      </c>
      <c r="J16" s="20">
        <v>7.0747492228527618</v>
      </c>
      <c r="K16" s="20">
        <v>0</v>
      </c>
      <c r="L16" s="20">
        <v>0</v>
      </c>
      <c r="M16" s="20">
        <v>0</v>
      </c>
      <c r="N16" s="20">
        <v>6.4501899275782861</v>
      </c>
      <c r="O16" s="20">
        <v>0</v>
      </c>
      <c r="P16" s="20">
        <v>211.71301107982231</v>
      </c>
      <c r="Q16" s="20">
        <v>0</v>
      </c>
      <c r="R16" s="21">
        <f t="shared" si="0"/>
        <v>375.25750402032418</v>
      </c>
      <c r="S16" s="139">
        <f t="shared" si="1"/>
        <v>8.3015553670480412E-5</v>
      </c>
      <c r="T16" s="15">
        <f>+'MWh by month-WgtbyCDH&amp;DayLtHrs'!AB280</f>
        <v>4520327.666666667</v>
      </c>
    </row>
    <row r="17" spans="1:20">
      <c r="A17" s="12">
        <v>2011</v>
      </c>
      <c r="B17" s="14">
        <v>84.965062359253437</v>
      </c>
      <c r="C17" s="14">
        <v>0</v>
      </c>
      <c r="D17" s="13">
        <v>0</v>
      </c>
      <c r="E17" s="14">
        <v>2.3470188502261999</v>
      </c>
      <c r="F17" s="14">
        <v>89.960657460270639</v>
      </c>
      <c r="G17" s="14">
        <v>0</v>
      </c>
      <c r="H17" s="14">
        <v>7.1550845645628636</v>
      </c>
      <c r="I17" s="21">
        <v>2.3333873016121185</v>
      </c>
      <c r="J17" s="20">
        <v>10.907101452568783</v>
      </c>
      <c r="K17" s="20">
        <v>0</v>
      </c>
      <c r="L17" s="20">
        <v>0</v>
      </c>
      <c r="M17" s="20">
        <v>0</v>
      </c>
      <c r="N17" s="20">
        <v>8.7744466429669714</v>
      </c>
      <c r="O17" s="20">
        <v>0</v>
      </c>
      <c r="P17" s="20">
        <v>236.75548417664749</v>
      </c>
      <c r="Q17" s="20">
        <v>0</v>
      </c>
      <c r="R17" s="21">
        <f t="shared" si="0"/>
        <v>443.19824280810849</v>
      </c>
      <c r="S17" s="139">
        <f t="shared" si="1"/>
        <v>9.7469383794684914E-5</v>
      </c>
      <c r="T17" s="15">
        <f>+'MWh by month-WgtbyCDH&amp;DayLtHrs'!AB281</f>
        <v>4547050.833333333</v>
      </c>
    </row>
    <row r="18" spans="1:20">
      <c r="A18" s="12">
        <v>2012</v>
      </c>
      <c r="B18" s="14">
        <v>98.75013392358818</v>
      </c>
      <c r="C18" s="14">
        <v>0</v>
      </c>
      <c r="D18" s="13">
        <v>0</v>
      </c>
      <c r="E18" s="14">
        <v>2.68389357532878</v>
      </c>
      <c r="F18" s="14">
        <v>108.4317725355165</v>
      </c>
      <c r="G18" s="14">
        <v>0</v>
      </c>
      <c r="H18" s="14">
        <v>10.853666527368553</v>
      </c>
      <c r="I18" s="21">
        <v>2.6542213826619658</v>
      </c>
      <c r="J18" s="20">
        <v>14.713073791755125</v>
      </c>
      <c r="K18" s="20">
        <v>0</v>
      </c>
      <c r="L18" s="20">
        <v>0</v>
      </c>
      <c r="M18" s="20">
        <v>0</v>
      </c>
      <c r="N18" s="20">
        <v>12.319632548535164</v>
      </c>
      <c r="O18" s="20">
        <v>0.1466496197170602</v>
      </c>
      <c r="P18" s="20">
        <v>258.90744534219351</v>
      </c>
      <c r="Q18" s="20">
        <v>0</v>
      </c>
      <c r="R18" s="21">
        <f t="shared" si="0"/>
        <v>509.46048924666485</v>
      </c>
      <c r="S18" s="139">
        <f t="shared" si="1"/>
        <v>1.1132223397531058E-4</v>
      </c>
      <c r="T18" s="15">
        <f>+'MWh by month-WgtbyCDH&amp;DayLtHrs'!AB282</f>
        <v>4576448.666666667</v>
      </c>
    </row>
    <row r="19" spans="1:20">
      <c r="A19" s="12">
        <v>2013</v>
      </c>
      <c r="B19" s="14">
        <v>113.49716061025269</v>
      </c>
      <c r="C19" s="14">
        <v>0</v>
      </c>
      <c r="D19" s="13">
        <v>0</v>
      </c>
      <c r="E19" s="14">
        <v>3.0343536730149481</v>
      </c>
      <c r="F19" s="14">
        <v>128.06142155389486</v>
      </c>
      <c r="G19" s="14">
        <v>0.1687730677167765</v>
      </c>
      <c r="H19" s="14">
        <v>14.651252011223319</v>
      </c>
      <c r="I19" s="21">
        <v>2.9750554637118136</v>
      </c>
      <c r="J19" s="20">
        <v>18.639861939661834</v>
      </c>
      <c r="K19" s="20">
        <v>0</v>
      </c>
      <c r="L19" s="20">
        <v>0</v>
      </c>
      <c r="M19" s="20">
        <v>0</v>
      </c>
      <c r="N19" s="20">
        <v>17.186747631569631</v>
      </c>
      <c r="O19" s="20">
        <v>0.81912712938617416</v>
      </c>
      <c r="P19" s="20">
        <v>279.78070515247384</v>
      </c>
      <c r="Q19" s="20">
        <v>23.386392712526202</v>
      </c>
      <c r="R19" s="21">
        <f t="shared" si="0"/>
        <v>602.20085094543219</v>
      </c>
      <c r="S19" s="139">
        <f t="shared" si="1"/>
        <v>1.3015115572465776E-4</v>
      </c>
      <c r="T19" s="15">
        <f>+'MWh by month-WgtbyCDH&amp;DayLtHrs'!AB283</f>
        <v>4626934.333333333</v>
      </c>
    </row>
    <row r="20" spans="1:20">
      <c r="A20" s="12">
        <v>2014</v>
      </c>
      <c r="B20" s="14">
        <v>129.03785434862405</v>
      </c>
      <c r="C20" s="14">
        <v>0</v>
      </c>
      <c r="D20" s="13">
        <v>0</v>
      </c>
      <c r="E20" s="14">
        <v>3.4239404815016092</v>
      </c>
      <c r="F20" s="14">
        <v>151.02771977100747</v>
      </c>
      <c r="G20" s="14">
        <v>0.66242588348667619</v>
      </c>
      <c r="H20" s="14">
        <v>18.733973740881076</v>
      </c>
      <c r="I20" s="21">
        <v>3.2958895447616614</v>
      </c>
      <c r="J20" s="20">
        <v>22.914607066948165</v>
      </c>
      <c r="K20" s="20">
        <v>0</v>
      </c>
      <c r="L20" s="20">
        <v>0</v>
      </c>
      <c r="M20" s="20">
        <v>0</v>
      </c>
      <c r="N20" s="20">
        <v>22.481734849405328</v>
      </c>
      <c r="O20" s="20">
        <v>2.5139328019905767</v>
      </c>
      <c r="P20" s="20">
        <v>300.53400735365301</v>
      </c>
      <c r="Q20" s="20">
        <v>46.789270699924629</v>
      </c>
      <c r="R20" s="21">
        <f t="shared" si="0"/>
        <v>701.41535654218421</v>
      </c>
      <c r="S20" s="139">
        <f t="shared" si="1"/>
        <v>1.4895748112528413E-4</v>
      </c>
      <c r="T20" s="15">
        <f>+'MWh by month-WgtbyCDH&amp;DayLtHrs'!AB284</f>
        <v>4708829.333333333</v>
      </c>
    </row>
    <row r="21" spans="1:20">
      <c r="A21" s="12">
        <v>2015</v>
      </c>
      <c r="B21" s="14">
        <v>151.71310368551823</v>
      </c>
      <c r="C21" s="14">
        <v>0</v>
      </c>
      <c r="D21" s="13">
        <v>0</v>
      </c>
      <c r="E21" s="14">
        <v>3.8530020208438929</v>
      </c>
      <c r="F21" s="14">
        <v>177.36034565494762</v>
      </c>
      <c r="G21" s="14">
        <v>1.5680433089045838</v>
      </c>
      <c r="H21" s="14">
        <v>23.104367915525295</v>
      </c>
      <c r="I21" s="21">
        <v>3.6167236258115087</v>
      </c>
      <c r="J21" s="20">
        <v>27.540404143895792</v>
      </c>
      <c r="K21" s="20">
        <v>3.9241112015870248</v>
      </c>
      <c r="L21" s="20">
        <v>1.2259737739574594</v>
      </c>
      <c r="M21" s="20">
        <v>10.753404106947588</v>
      </c>
      <c r="N21" s="20">
        <v>32.508031388603229</v>
      </c>
      <c r="O21" s="20">
        <v>5.7903039684265609</v>
      </c>
      <c r="P21" s="20">
        <v>321.32667069800993</v>
      </c>
      <c r="Q21" s="20">
        <v>69.897864611483897</v>
      </c>
      <c r="R21" s="21">
        <f t="shared" si="0"/>
        <v>834.18235010446267</v>
      </c>
      <c r="S21" s="139">
        <f t="shared" si="1"/>
        <v>1.7449734037549197E-4</v>
      </c>
      <c r="T21" s="15">
        <f>+'MWh by month-WgtbyCDH&amp;DayLtHrs'!AB285</f>
        <v>4780487.4751066575</v>
      </c>
    </row>
    <row r="22" spans="1:20">
      <c r="A22" s="12">
        <v>2016</v>
      </c>
      <c r="B22" s="14">
        <v>173.75582631467228</v>
      </c>
      <c r="C22" s="14">
        <v>0</v>
      </c>
      <c r="D22" s="13">
        <v>0</v>
      </c>
      <c r="E22" s="14">
        <v>4.2384819519550296</v>
      </c>
      <c r="F22" s="14">
        <v>199.97641742000283</v>
      </c>
      <c r="G22" s="14">
        <v>3.9403324138489122</v>
      </c>
      <c r="H22" s="14">
        <v>27.157160740532714</v>
      </c>
      <c r="I22" s="21">
        <v>3.9375577068613561</v>
      </c>
      <c r="J22" s="20">
        <v>31.778626481071949</v>
      </c>
      <c r="K22" s="20">
        <v>7.750546258939333</v>
      </c>
      <c r="L22" s="20">
        <v>2.3395396208756236</v>
      </c>
      <c r="M22" s="20">
        <v>21.239142238950478</v>
      </c>
      <c r="N22" s="20">
        <v>43.347693742109549</v>
      </c>
      <c r="O22" s="20">
        <v>11.283073840416506</v>
      </c>
      <c r="P22" s="20">
        <v>338.64769160620216</v>
      </c>
      <c r="Q22" s="20">
        <v>89.693062965963634</v>
      </c>
      <c r="R22" s="21">
        <f t="shared" si="0"/>
        <v>959.08515330240243</v>
      </c>
      <c r="S22" s="139">
        <f t="shared" si="1"/>
        <v>1.9763429749331489E-4</v>
      </c>
      <c r="T22" s="15">
        <f>+'MWh by month-WgtbyCDH&amp;DayLtHrs'!AB286</f>
        <v>4852827.4973874111</v>
      </c>
    </row>
    <row r="23" spans="1:20">
      <c r="A23" s="12">
        <v>2017</v>
      </c>
      <c r="B23" s="14">
        <v>195.81449720136226</v>
      </c>
      <c r="C23" s="14">
        <v>0</v>
      </c>
      <c r="D23" s="13">
        <v>0</v>
      </c>
      <c r="E23" s="14">
        <v>4.6194380314022574</v>
      </c>
      <c r="F23" s="14">
        <v>224.19398084592447</v>
      </c>
      <c r="G23" s="14">
        <v>7.4340410856459567</v>
      </c>
      <c r="H23" s="14">
        <v>33.586086323013383</v>
      </c>
      <c r="I23" s="21">
        <v>4.2583917879112043</v>
      </c>
      <c r="J23" s="20">
        <v>36.50136676248249</v>
      </c>
      <c r="K23" s="20">
        <v>11.579444080763544</v>
      </c>
      <c r="L23" s="20">
        <v>3.4414373167453887</v>
      </c>
      <c r="M23" s="20">
        <v>31.731629186220381</v>
      </c>
      <c r="N23" s="20">
        <v>53.654891180012442</v>
      </c>
      <c r="O23" s="20">
        <v>23.778651829150032</v>
      </c>
      <c r="P23" s="20">
        <v>352.29865253148915</v>
      </c>
      <c r="Q23" s="20">
        <v>103.57840416407436</v>
      </c>
      <c r="R23" s="21">
        <f t="shared" si="0"/>
        <v>1086.4709123261973</v>
      </c>
      <c r="S23" s="139">
        <f t="shared" si="1"/>
        <v>2.2069654575369995E-4</v>
      </c>
      <c r="T23" s="15">
        <f>+'MWh by month-WgtbyCDH&amp;DayLtHrs'!AB287</f>
        <v>4922917.6134850439</v>
      </c>
    </row>
    <row r="24" spans="1:20">
      <c r="A24" s="12">
        <v>2018</v>
      </c>
      <c r="B24" s="14">
        <v>217.81939599538305</v>
      </c>
      <c r="C24" s="14">
        <v>0</v>
      </c>
      <c r="D24" s="13">
        <v>0</v>
      </c>
      <c r="E24" s="14">
        <v>4.9950897350210566</v>
      </c>
      <c r="F24" s="14">
        <v>247.91875995133128</v>
      </c>
      <c r="G24" s="14">
        <v>12.232417185512405</v>
      </c>
      <c r="H24" s="14">
        <v>39.953189684580167</v>
      </c>
      <c r="I24" s="21">
        <v>4.5792258689610508</v>
      </c>
      <c r="J24" s="20">
        <v>41.689890664098826</v>
      </c>
      <c r="K24" s="20">
        <v>15.400038299569763</v>
      </c>
      <c r="L24" s="20">
        <v>4.6706133930164428</v>
      </c>
      <c r="M24" s="20">
        <v>44.498414507077563</v>
      </c>
      <c r="N24" s="20">
        <v>66.56805209043165</v>
      </c>
      <c r="O24" s="20">
        <v>38.49775145015002</v>
      </c>
      <c r="P24" s="20">
        <v>361.43618434262362</v>
      </c>
      <c r="Q24" s="20">
        <v>104.49889880143641</v>
      </c>
      <c r="R24" s="21">
        <f t="shared" si="0"/>
        <v>1204.7579219691931</v>
      </c>
      <c r="S24" s="139">
        <f t="shared" si="1"/>
        <v>2.4135421267990049E-4</v>
      </c>
      <c r="T24" s="15">
        <f>+'MWh by month-WgtbyCDH&amp;DayLtHrs'!AB288</f>
        <v>4991658.9753791485</v>
      </c>
    </row>
    <row r="25" spans="1:20">
      <c r="A25" s="12">
        <v>2019</v>
      </c>
      <c r="B25" s="14">
        <v>239.73730751692892</v>
      </c>
      <c r="C25" s="14">
        <v>0</v>
      </c>
      <c r="D25" s="13">
        <v>0</v>
      </c>
      <c r="E25" s="14">
        <v>5.3688618980469132</v>
      </c>
      <c r="F25" s="14">
        <v>271.4689269696733</v>
      </c>
      <c r="G25" s="14">
        <v>18.361110434748376</v>
      </c>
      <c r="H25" s="14">
        <v>46.298387099526266</v>
      </c>
      <c r="I25" s="21">
        <v>4.9000599500108981</v>
      </c>
      <c r="J25" s="20">
        <v>46.857520934038696</v>
      </c>
      <c r="K25" s="20">
        <v>20.045435874135336</v>
      </c>
      <c r="L25" s="20">
        <v>5.8949416614526324</v>
      </c>
      <c r="M25" s="20">
        <v>57.148481716455628</v>
      </c>
      <c r="N25" s="20">
        <v>78.68927326538946</v>
      </c>
      <c r="O25" s="20">
        <v>57.606833095760962</v>
      </c>
      <c r="P25" s="20">
        <v>369.47303042299046</v>
      </c>
      <c r="Q25" s="20">
        <v>105.1908069809365</v>
      </c>
      <c r="R25" s="21">
        <f t="shared" si="0"/>
        <v>1327.0409778200944</v>
      </c>
      <c r="S25" s="139">
        <f t="shared" si="1"/>
        <v>2.6231573865548053E-4</v>
      </c>
      <c r="T25" s="15">
        <f>+'MWh by month-WgtbyCDH&amp;DayLtHrs'!AB289</f>
        <v>5058945.3176616272</v>
      </c>
    </row>
    <row r="26" spans="1:20">
      <c r="A26" s="12">
        <v>2020</v>
      </c>
      <c r="B26" s="14">
        <v>261.50586486740036</v>
      </c>
      <c r="C26" s="14">
        <v>0</v>
      </c>
      <c r="D26" s="13">
        <v>0</v>
      </c>
      <c r="E26" s="14">
        <v>5.4403131568646508</v>
      </c>
      <c r="F26" s="14">
        <v>294.86757953235787</v>
      </c>
      <c r="G26" s="14">
        <v>25.807220254578915</v>
      </c>
      <c r="H26" s="14">
        <v>49.189690898836631</v>
      </c>
      <c r="I26" s="21">
        <v>5.2208940310607446</v>
      </c>
      <c r="J26" s="20">
        <v>52.007021375262767</v>
      </c>
      <c r="K26" s="20">
        <v>24.638610072102274</v>
      </c>
      <c r="L26" s="20">
        <v>7.1150633885343044</v>
      </c>
      <c r="M26" s="20">
        <v>67.836883911927544</v>
      </c>
      <c r="N26" s="20">
        <v>89.550957402516488</v>
      </c>
      <c r="O26" s="20">
        <v>79.946642051003167</v>
      </c>
      <c r="P26" s="20">
        <v>376.47320278530344</v>
      </c>
      <c r="Q26" s="20">
        <v>105.7091208802905</v>
      </c>
      <c r="R26" s="21">
        <f t="shared" si="0"/>
        <v>1445.3090646080398</v>
      </c>
      <c r="S26" s="139">
        <f t="shared" si="1"/>
        <v>2.8207159551847275E-4</v>
      </c>
      <c r="T26" s="15">
        <f>+'MWh by month-WgtbyCDH&amp;DayLtHrs'!AB290</f>
        <v>5123908.5663745506</v>
      </c>
    </row>
    <row r="27" spans="1:20">
      <c r="A27" s="12">
        <v>2021</v>
      </c>
      <c r="B27" s="14">
        <v>279.50168186031914</v>
      </c>
      <c r="C27" s="14">
        <v>0</v>
      </c>
      <c r="D27" s="13">
        <v>0</v>
      </c>
      <c r="E27" s="14">
        <v>5.5108429154124217</v>
      </c>
      <c r="F27" s="14">
        <v>318.18062336386112</v>
      </c>
      <c r="G27" s="14">
        <v>34.08337823112138</v>
      </c>
      <c r="H27" s="14">
        <v>52.241244579916952</v>
      </c>
      <c r="I27" s="21">
        <v>5.5417281121105919</v>
      </c>
      <c r="J27" s="20">
        <v>53.662099522884418</v>
      </c>
      <c r="K27" s="20">
        <v>28.502025332299805</v>
      </c>
      <c r="L27" s="20">
        <v>8.3328083346912969</v>
      </c>
      <c r="M27" s="20">
        <v>77.876225145940026</v>
      </c>
      <c r="N27" s="20">
        <v>103.32333202709094</v>
      </c>
      <c r="O27" s="20">
        <v>105.6529735721852</v>
      </c>
      <c r="P27" s="20">
        <v>381.84995767105681</v>
      </c>
      <c r="Q27" s="20">
        <v>105.7091208802905</v>
      </c>
      <c r="R27" s="21">
        <f t="shared" si="0"/>
        <v>1559.968041549181</v>
      </c>
      <c r="S27" s="139">
        <f t="shared" si="1"/>
        <v>3.0084242201487829E-4</v>
      </c>
      <c r="T27" s="15">
        <f>+'MWh by month-WgtbyCDH&amp;DayLtHrs'!AB291</f>
        <v>5185332.6771582505</v>
      </c>
    </row>
    <row r="28" spans="1:20">
      <c r="A28" s="12">
        <v>2022</v>
      </c>
      <c r="B28" s="14">
        <v>296.73307065237742</v>
      </c>
      <c r="C28" s="14">
        <v>0</v>
      </c>
      <c r="D28" s="13">
        <v>0</v>
      </c>
      <c r="E28" s="14">
        <v>5.5820385621783499</v>
      </c>
      <c r="F28" s="14">
        <v>341.55552919076911</v>
      </c>
      <c r="G28" s="14">
        <v>43.241063406309593</v>
      </c>
      <c r="H28" s="14">
        <v>55.287603849728718</v>
      </c>
      <c r="I28" s="21">
        <v>5.8625621931604393</v>
      </c>
      <c r="J28" s="20">
        <v>55.351177936038141</v>
      </c>
      <c r="K28" s="20">
        <v>32.168005048646215</v>
      </c>
      <c r="L28" s="20">
        <v>9.5522707740129622</v>
      </c>
      <c r="M28" s="20">
        <v>88.737457112476733</v>
      </c>
      <c r="N28" s="20">
        <v>115.67453574457608</v>
      </c>
      <c r="O28" s="20">
        <v>149.50156635296835</v>
      </c>
      <c r="P28" s="20">
        <v>385.87140274454543</v>
      </c>
      <c r="Q28" s="20">
        <v>105.7091208802905</v>
      </c>
      <c r="R28" s="21">
        <f t="shared" si="0"/>
        <v>1690.8274044480784</v>
      </c>
      <c r="S28" s="139">
        <f t="shared" si="1"/>
        <v>3.2224318201049375E-4</v>
      </c>
      <c r="T28" s="15">
        <f>+'MWh by month-WgtbyCDH&amp;DayLtHrs'!AB292</f>
        <v>5247054.0847409368</v>
      </c>
    </row>
    <row r="29" spans="1:20">
      <c r="A29" s="12">
        <v>2023</v>
      </c>
      <c r="B29" s="14">
        <v>295.47610932885232</v>
      </c>
      <c r="C29" s="14">
        <v>0</v>
      </c>
      <c r="D29" s="13">
        <v>0</v>
      </c>
      <c r="E29" s="14">
        <v>5.6523158720533786</v>
      </c>
      <c r="F29" s="14">
        <v>364.84512016906547</v>
      </c>
      <c r="G29" s="14">
        <v>53.221753256429992</v>
      </c>
      <c r="H29" s="14">
        <v>58.382593232352718</v>
      </c>
      <c r="I29" s="21">
        <v>6.1833962742102875</v>
      </c>
      <c r="J29" s="20">
        <v>57.090493189759322</v>
      </c>
      <c r="K29" s="20">
        <v>36.139019688309929</v>
      </c>
      <c r="L29" s="20">
        <v>10.769364591560022</v>
      </c>
      <c r="M29" s="20">
        <v>99.693635889841445</v>
      </c>
      <c r="N29" s="20">
        <v>126.75688357861512</v>
      </c>
      <c r="O29" s="20">
        <v>186.33478753560655</v>
      </c>
      <c r="P29" s="20">
        <v>388.7235761343718</v>
      </c>
      <c r="Q29" s="20">
        <v>105.7091208802905</v>
      </c>
      <c r="R29" s="21">
        <f t="shared" si="0"/>
        <v>1794.9781696213188</v>
      </c>
      <c r="S29" s="139">
        <f t="shared" si="1"/>
        <v>3.3807704693319799E-4</v>
      </c>
      <c r="T29" s="15">
        <f>+'MWh by month-WgtbyCDH&amp;DayLtHrs'!AB293</f>
        <v>5309376.0310086822</v>
      </c>
    </row>
    <row r="30" spans="1:20">
      <c r="A30" s="12">
        <v>2024</v>
      </c>
      <c r="B30" s="14">
        <v>288.92521777967772</v>
      </c>
      <c r="C30" s="14">
        <v>0</v>
      </c>
      <c r="D30" s="13">
        <v>0</v>
      </c>
      <c r="E30" s="14">
        <v>5.7214580343661154</v>
      </c>
      <c r="F30" s="14">
        <v>388.02925426831132</v>
      </c>
      <c r="G30" s="14">
        <v>64.009800715503275</v>
      </c>
      <c r="H30" s="14">
        <v>61.635236037806465</v>
      </c>
      <c r="I30" s="21">
        <v>6.504230355260133</v>
      </c>
      <c r="J30" s="20">
        <v>58.810594772877799</v>
      </c>
      <c r="K30" s="20">
        <v>40.145520518819218</v>
      </c>
      <c r="L30" s="20">
        <v>11.983530578089788</v>
      </c>
      <c r="M30" s="20">
        <v>110.76188989678649</v>
      </c>
      <c r="N30" s="20">
        <v>140.50036627002811</v>
      </c>
      <c r="O30" s="20">
        <v>217.70742864435917</v>
      </c>
      <c r="P30" s="20">
        <v>390.54525482073467</v>
      </c>
      <c r="Q30" s="20">
        <v>105.7091208802905</v>
      </c>
      <c r="R30" s="21">
        <f t="shared" si="0"/>
        <v>1890.9889035729109</v>
      </c>
      <c r="S30" s="139">
        <f t="shared" si="1"/>
        <v>3.5198525586708254E-4</v>
      </c>
      <c r="T30" s="15">
        <f>+'MWh by month-WgtbyCDH&amp;DayLtHrs'!AB294</f>
        <v>5372352.5973116057</v>
      </c>
    </row>
    <row r="31" spans="1:20">
      <c r="A31" s="12">
        <v>2025</v>
      </c>
      <c r="B31" s="14">
        <v>290.20508112073259</v>
      </c>
      <c r="C31" s="14">
        <v>0</v>
      </c>
      <c r="D31" s="13">
        <v>0</v>
      </c>
      <c r="E31" s="14">
        <v>5.7924144023882143</v>
      </c>
      <c r="F31" s="14">
        <v>411.38193074778923</v>
      </c>
      <c r="G31" s="14">
        <v>75.735023036935772</v>
      </c>
      <c r="H31" s="14">
        <v>65.08142677936705</v>
      </c>
      <c r="I31" s="21">
        <v>6.8250644363099804</v>
      </c>
      <c r="J31" s="20">
        <v>60.581067654398758</v>
      </c>
      <c r="K31" s="20">
        <v>44.164587968189096</v>
      </c>
      <c r="L31" s="20">
        <v>13.202375857360011</v>
      </c>
      <c r="M31" s="20">
        <v>122.353026593119</v>
      </c>
      <c r="N31" s="20">
        <v>152.98397800047556</v>
      </c>
      <c r="O31" s="20">
        <v>244.88470394231183</v>
      </c>
      <c r="P31" s="20">
        <v>391.44117332827943</v>
      </c>
      <c r="Q31" s="20">
        <v>105.7091208802905</v>
      </c>
      <c r="R31" s="21">
        <f t="shared" si="0"/>
        <v>1990.3409747479475</v>
      </c>
      <c r="S31" s="139">
        <f t="shared" si="1"/>
        <v>3.6629760381522733E-4</v>
      </c>
      <c r="T31" s="15">
        <f>+'MWh by month-WgtbyCDH&amp;DayLtHrs'!AB295</f>
        <v>5433671.8395568365</v>
      </c>
    </row>
    <row r="32" spans="1:20">
      <c r="A32" s="12">
        <v>2026</v>
      </c>
      <c r="B32" s="14">
        <v>291.78070135870803</v>
      </c>
      <c r="C32" s="14">
        <v>0</v>
      </c>
      <c r="D32" s="13">
        <v>0</v>
      </c>
      <c r="E32" s="14">
        <v>5.8649451494904801</v>
      </c>
      <c r="F32" s="14">
        <v>434.88086936070937</v>
      </c>
      <c r="G32" s="14">
        <v>88.397809774048241</v>
      </c>
      <c r="H32" s="14">
        <v>68.355626827211807</v>
      </c>
      <c r="I32" s="21">
        <v>7.145898517359826</v>
      </c>
      <c r="J32" s="20">
        <v>62.456031130160028</v>
      </c>
      <c r="K32" s="20">
        <v>48.32812787476864</v>
      </c>
      <c r="L32" s="20">
        <v>14.425281856185041</v>
      </c>
      <c r="M32" s="20">
        <v>134.23903358953984</v>
      </c>
      <c r="N32" s="20">
        <v>164.13780168321017</v>
      </c>
      <c r="O32" s="20">
        <v>268.73706952503869</v>
      </c>
      <c r="P32" s="20">
        <v>392.09166068982324</v>
      </c>
      <c r="Q32" s="20">
        <v>105.7091208802905</v>
      </c>
      <c r="R32" s="21">
        <f t="shared" si="0"/>
        <v>2086.5499782165434</v>
      </c>
      <c r="S32" s="139">
        <f>+R32/T32</f>
        <v>3.8013285478030783E-4</v>
      </c>
      <c r="T32" s="15">
        <f>+'MWh by month-WgtbyCDH&amp;DayLtHrs'!AB296</f>
        <v>5489001.9422878725</v>
      </c>
    </row>
    <row r="34" spans="1:20">
      <c r="A34" s="5" t="s">
        <v>103</v>
      </c>
    </row>
    <row r="35" spans="1:20">
      <c r="A35" s="5" t="s">
        <v>355</v>
      </c>
    </row>
    <row r="38" spans="1:20">
      <c r="A38" s="136" t="s">
        <v>358</v>
      </c>
      <c r="F38" s="265"/>
    </row>
    <row r="39" spans="1:20">
      <c r="F39" s="265"/>
    </row>
    <row r="40" spans="1:20">
      <c r="A40" s="12">
        <v>2005</v>
      </c>
      <c r="B40" s="115">
        <v>0</v>
      </c>
      <c r="C40" s="115">
        <v>0</v>
      </c>
      <c r="D40" s="115">
        <v>0</v>
      </c>
      <c r="E40" s="115">
        <v>0</v>
      </c>
      <c r="F40" s="115">
        <v>0</v>
      </c>
      <c r="G40" s="115">
        <f>G11</f>
        <v>0</v>
      </c>
      <c r="H40" s="115">
        <v>0</v>
      </c>
      <c r="I40" s="115">
        <v>0</v>
      </c>
      <c r="J40" s="115">
        <v>0</v>
      </c>
      <c r="K40" s="115">
        <f>+K11</f>
        <v>0</v>
      </c>
      <c r="L40" s="115">
        <v>0</v>
      </c>
      <c r="M40" s="115">
        <v>0</v>
      </c>
      <c r="N40" s="115">
        <v>0</v>
      </c>
      <c r="O40" s="115">
        <f>+O11</f>
        <v>0</v>
      </c>
      <c r="P40" s="115">
        <v>0</v>
      </c>
      <c r="Q40" s="115">
        <v>0</v>
      </c>
      <c r="R40" s="268">
        <v>0</v>
      </c>
      <c r="S40" s="266">
        <v>0</v>
      </c>
      <c r="T40" s="266">
        <v>0</v>
      </c>
    </row>
    <row r="41" spans="1:20">
      <c r="A41" s="12">
        <v>2006</v>
      </c>
      <c r="B41" s="115">
        <v>0</v>
      </c>
      <c r="C41" s="115">
        <v>0</v>
      </c>
      <c r="D41" s="115">
        <v>0</v>
      </c>
      <c r="E41" s="115">
        <v>0</v>
      </c>
      <c r="F41" s="115">
        <v>0</v>
      </c>
      <c r="G41" s="115">
        <f t="shared" ref="G41:G57" si="2">G12</f>
        <v>0</v>
      </c>
      <c r="H41" s="115">
        <v>0</v>
      </c>
      <c r="I41" s="115">
        <v>0</v>
      </c>
      <c r="J41" s="115">
        <v>0</v>
      </c>
      <c r="K41" s="115">
        <f t="shared" ref="K41:K57" si="3">+K12</f>
        <v>0</v>
      </c>
      <c r="L41" s="115">
        <v>0</v>
      </c>
      <c r="M41" s="115">
        <v>0</v>
      </c>
      <c r="N41" s="115">
        <v>0</v>
      </c>
      <c r="O41" s="115">
        <f t="shared" ref="O41:O57" si="4">+O12</f>
        <v>0</v>
      </c>
      <c r="P41" s="115">
        <v>0</v>
      </c>
      <c r="Q41" s="115">
        <v>0</v>
      </c>
      <c r="R41" s="268">
        <v>0</v>
      </c>
      <c r="S41" s="266">
        <v>0</v>
      </c>
      <c r="T41" s="266">
        <v>0</v>
      </c>
    </row>
    <row r="42" spans="1:20">
      <c r="A42" s="12">
        <v>2007</v>
      </c>
      <c r="B42" s="115">
        <v>0</v>
      </c>
      <c r="C42" s="115">
        <v>0</v>
      </c>
      <c r="D42" s="115">
        <v>0</v>
      </c>
      <c r="E42" s="115">
        <v>0</v>
      </c>
      <c r="F42" s="115">
        <v>0</v>
      </c>
      <c r="G42" s="115">
        <f t="shared" si="2"/>
        <v>0</v>
      </c>
      <c r="H42" s="115">
        <v>0</v>
      </c>
      <c r="I42" s="115">
        <v>0</v>
      </c>
      <c r="J42" s="115">
        <v>0</v>
      </c>
      <c r="K42" s="115">
        <f t="shared" si="3"/>
        <v>0</v>
      </c>
      <c r="L42" s="115">
        <v>0</v>
      </c>
      <c r="M42" s="115">
        <v>0</v>
      </c>
      <c r="N42" s="115">
        <v>0</v>
      </c>
      <c r="O42" s="115">
        <f t="shared" si="4"/>
        <v>0</v>
      </c>
      <c r="P42" s="115">
        <v>0</v>
      </c>
      <c r="Q42" s="115">
        <v>0</v>
      </c>
      <c r="R42" s="268">
        <v>0</v>
      </c>
      <c r="S42" s="266">
        <v>0</v>
      </c>
      <c r="T42" s="266">
        <v>0</v>
      </c>
    </row>
    <row r="43" spans="1:20">
      <c r="A43" s="12">
        <v>2008</v>
      </c>
      <c r="B43" s="115">
        <v>0</v>
      </c>
      <c r="C43" s="115">
        <v>0</v>
      </c>
      <c r="D43" s="115">
        <v>0</v>
      </c>
      <c r="E43" s="115">
        <v>0</v>
      </c>
      <c r="F43" s="115">
        <v>-4.1922021409845911E-13</v>
      </c>
      <c r="G43" s="115">
        <f t="shared" si="2"/>
        <v>0</v>
      </c>
      <c r="H43" s="115">
        <v>0</v>
      </c>
      <c r="I43" s="115">
        <v>0</v>
      </c>
      <c r="J43" s="115">
        <v>0</v>
      </c>
      <c r="K43" s="115">
        <f t="shared" si="3"/>
        <v>0</v>
      </c>
      <c r="L43" s="115">
        <v>0</v>
      </c>
      <c r="M43" s="115">
        <v>0</v>
      </c>
      <c r="N43" s="115">
        <v>0</v>
      </c>
      <c r="O43" s="115">
        <f t="shared" si="4"/>
        <v>0</v>
      </c>
      <c r="P43" s="115">
        <v>-1.5436397832420141</v>
      </c>
      <c r="Q43" s="115">
        <v>0</v>
      </c>
      <c r="R43" s="268">
        <v>-1.5436397832424404</v>
      </c>
      <c r="S43" s="266">
        <v>-6.2075435273790669E-3</v>
      </c>
      <c r="T43" s="266">
        <v>0</v>
      </c>
    </row>
    <row r="44" spans="1:20">
      <c r="A44" s="12">
        <v>2009</v>
      </c>
      <c r="B44" s="115">
        <v>0</v>
      </c>
      <c r="C44" s="115">
        <v>0</v>
      </c>
      <c r="D44" s="115">
        <v>0</v>
      </c>
      <c r="E44" s="115">
        <v>0</v>
      </c>
      <c r="F44" s="115">
        <v>0</v>
      </c>
      <c r="G44" s="115">
        <f t="shared" si="2"/>
        <v>0</v>
      </c>
      <c r="H44" s="115">
        <v>0</v>
      </c>
      <c r="I44" s="115">
        <v>0</v>
      </c>
      <c r="J44" s="115">
        <v>0.24431050554881129</v>
      </c>
      <c r="K44" s="115">
        <f t="shared" si="3"/>
        <v>0</v>
      </c>
      <c r="L44" s="115">
        <v>0</v>
      </c>
      <c r="M44" s="115">
        <v>0</v>
      </c>
      <c r="N44" s="115">
        <v>0.52678563468795669</v>
      </c>
      <c r="O44" s="115">
        <f t="shared" si="4"/>
        <v>0</v>
      </c>
      <c r="P44" s="115">
        <v>-9.3646731688126295</v>
      </c>
      <c r="Q44" s="115">
        <v>0</v>
      </c>
      <c r="R44" s="268">
        <v>-8.5935770285758508</v>
      </c>
      <c r="S44" s="266">
        <v>-2.7031032201602523E-2</v>
      </c>
      <c r="T44" s="266">
        <v>0</v>
      </c>
    </row>
    <row r="45" spans="1:20">
      <c r="A45" s="12">
        <v>2010</v>
      </c>
      <c r="B45" s="115">
        <v>0</v>
      </c>
      <c r="C45" s="115">
        <v>0</v>
      </c>
      <c r="D45" s="115">
        <v>0</v>
      </c>
      <c r="E45" s="115">
        <v>0</v>
      </c>
      <c r="F45" s="115">
        <v>0</v>
      </c>
      <c r="G45" s="115">
        <f t="shared" si="2"/>
        <v>0</v>
      </c>
      <c r="H45" s="115">
        <v>1.1990408665951691E-14</v>
      </c>
      <c r="I45" s="115">
        <v>0</v>
      </c>
      <c r="J45" s="115">
        <v>0.24431050554881129</v>
      </c>
      <c r="K45" s="115">
        <f t="shared" si="3"/>
        <v>0</v>
      </c>
      <c r="L45" s="115">
        <v>0</v>
      </c>
      <c r="M45" s="115">
        <v>0</v>
      </c>
      <c r="N45" s="115">
        <v>0.70603472868808659</v>
      </c>
      <c r="O45" s="115">
        <f t="shared" si="4"/>
        <v>0</v>
      </c>
      <c r="P45" s="115">
        <v>-11.248684712956162</v>
      </c>
      <c r="Q45" s="115">
        <v>0</v>
      </c>
      <c r="R45" s="268">
        <v>-10.298339478719242</v>
      </c>
      <c r="S45" s="266">
        <v>-2.671037063077164E-2</v>
      </c>
      <c r="T45" s="266">
        <v>0</v>
      </c>
    </row>
    <row r="46" spans="1:20">
      <c r="A46" s="12">
        <v>2011</v>
      </c>
      <c r="B46" s="115">
        <v>0</v>
      </c>
      <c r="C46" s="115">
        <v>0</v>
      </c>
      <c r="D46" s="115">
        <v>0</v>
      </c>
      <c r="E46" s="115">
        <v>0</v>
      </c>
      <c r="F46" s="115">
        <v>0</v>
      </c>
      <c r="G46" s="115">
        <f t="shared" si="2"/>
        <v>0</v>
      </c>
      <c r="H46" s="115">
        <v>0</v>
      </c>
      <c r="I46" s="115">
        <v>0</v>
      </c>
      <c r="J46" s="115">
        <v>0.24431050554880862</v>
      </c>
      <c r="K46" s="115">
        <f t="shared" si="3"/>
        <v>0</v>
      </c>
      <c r="L46" s="115">
        <v>0</v>
      </c>
      <c r="M46" s="115">
        <v>0</v>
      </c>
      <c r="N46" s="115">
        <v>0.6115949767801041</v>
      </c>
      <c r="O46" s="115">
        <f t="shared" si="4"/>
        <v>0</v>
      </c>
      <c r="P46" s="115">
        <v>-12.836806723886866</v>
      </c>
      <c r="Q46" s="115">
        <v>0</v>
      </c>
      <c r="R46" s="268">
        <v>-11.980901241557945</v>
      </c>
      <c r="S46" s="266">
        <v>-2.6321287779060953E-2</v>
      </c>
      <c r="T46" s="266">
        <v>0</v>
      </c>
    </row>
    <row r="47" spans="1:20">
      <c r="A47" s="12">
        <v>2012</v>
      </c>
      <c r="B47" s="115">
        <v>2.3740370863222893E-2</v>
      </c>
      <c r="C47" s="115">
        <v>0</v>
      </c>
      <c r="D47" s="115">
        <v>0</v>
      </c>
      <c r="E47" s="115">
        <v>-1.2858468876772111E-2</v>
      </c>
      <c r="F47" s="115">
        <v>-1.0965450199320514</v>
      </c>
      <c r="G47" s="115">
        <f t="shared" si="2"/>
        <v>0</v>
      </c>
      <c r="H47" s="115">
        <v>-9.3706203953381362E-2</v>
      </c>
      <c r="I47" s="115">
        <v>0</v>
      </c>
      <c r="J47" s="115">
        <v>0.12995910983297065</v>
      </c>
      <c r="K47" s="115">
        <f t="shared" si="3"/>
        <v>0</v>
      </c>
      <c r="L47" s="115">
        <v>0</v>
      </c>
      <c r="M47" s="115">
        <v>0</v>
      </c>
      <c r="N47" s="115">
        <v>2.2293659507013786E-2</v>
      </c>
      <c r="O47" s="115">
        <f t="shared" si="4"/>
        <v>0.1466496197170602</v>
      </c>
      <c r="P47" s="115">
        <v>-14.326515526631852</v>
      </c>
      <c r="Q47" s="115">
        <v>0</v>
      </c>
      <c r="R47" s="268">
        <v>-15.20698245947375</v>
      </c>
      <c r="S47" s="266">
        <v>-2.8984038995257366E-2</v>
      </c>
      <c r="T47" s="266">
        <v>0</v>
      </c>
    </row>
    <row r="48" spans="1:20">
      <c r="A48" s="12">
        <v>2013</v>
      </c>
      <c r="B48" s="115">
        <v>0.59884787146464191</v>
      </c>
      <c r="C48" s="115">
        <v>0</v>
      </c>
      <c r="D48" s="115">
        <v>0</v>
      </c>
      <c r="E48" s="115">
        <v>-9.5393259282611886E-2</v>
      </c>
      <c r="F48" s="115">
        <v>-8.1349501565038338</v>
      </c>
      <c r="G48" s="115">
        <f t="shared" si="2"/>
        <v>0.1687730677167765</v>
      </c>
      <c r="H48" s="115">
        <v>-0.69517920802103461</v>
      </c>
      <c r="I48" s="115">
        <v>0</v>
      </c>
      <c r="J48" s="115">
        <v>-0.60402940532188154</v>
      </c>
      <c r="K48" s="115">
        <f t="shared" si="3"/>
        <v>0</v>
      </c>
      <c r="L48" s="115">
        <v>0</v>
      </c>
      <c r="M48" s="115">
        <v>0</v>
      </c>
      <c r="N48" s="115">
        <v>1.2875308708878634</v>
      </c>
      <c r="O48" s="115">
        <f t="shared" si="4"/>
        <v>0.81912712938617416</v>
      </c>
      <c r="P48" s="115">
        <v>-14.2207851729504</v>
      </c>
      <c r="Q48" s="115">
        <v>-0.1820070117123791</v>
      </c>
      <c r="R48" s="268">
        <v>-21.058065274336627</v>
      </c>
      <c r="S48" s="266">
        <v>-3.5522326760169753E-2</v>
      </c>
      <c r="T48" s="266">
        <v>1.7992128800450313E-3</v>
      </c>
    </row>
    <row r="49" spans="1:20">
      <c r="A49" s="12">
        <v>2014</v>
      </c>
      <c r="B49" s="115">
        <v>1.0499509050666376</v>
      </c>
      <c r="C49" s="115">
        <v>0</v>
      </c>
      <c r="D49" s="115">
        <v>0</v>
      </c>
      <c r="E49" s="115">
        <v>-9.9996489784423215E-2</v>
      </c>
      <c r="F49" s="115">
        <v>-8.5275046301931354</v>
      </c>
      <c r="G49" s="115">
        <f t="shared" si="2"/>
        <v>0.66242588348667619</v>
      </c>
      <c r="H49" s="115">
        <v>-0.7287252904031476</v>
      </c>
      <c r="I49" s="115">
        <v>0</v>
      </c>
      <c r="J49" s="115">
        <v>-0.6449663036205493</v>
      </c>
      <c r="K49" s="115">
        <f t="shared" si="3"/>
        <v>0</v>
      </c>
      <c r="L49" s="115">
        <v>0</v>
      </c>
      <c r="M49" s="115">
        <v>0</v>
      </c>
      <c r="N49" s="115">
        <v>4.2418457651063974</v>
      </c>
      <c r="O49" s="115">
        <f t="shared" si="4"/>
        <v>2.5139328019905767</v>
      </c>
      <c r="P49" s="115">
        <v>-14.712004049257189</v>
      </c>
      <c r="Q49" s="115">
        <v>-5.1302998904915071</v>
      </c>
      <c r="R49" s="268">
        <v>-21.375341298099784</v>
      </c>
      <c r="S49" s="266">
        <v>-3.7056094622832214E-2</v>
      </c>
      <c r="T49" s="266">
        <v>7.7706976959222018E-3</v>
      </c>
    </row>
    <row r="50" spans="1:20">
      <c r="A50" s="12">
        <v>2015</v>
      </c>
      <c r="B50" s="115">
        <v>1.5684257525462044</v>
      </c>
      <c r="C50" s="115">
        <v>0</v>
      </c>
      <c r="D50" s="115">
        <v>0</v>
      </c>
      <c r="E50" s="115">
        <v>-7.0093495337489653E-2</v>
      </c>
      <c r="F50" s="115">
        <v>-5.9774358812532284</v>
      </c>
      <c r="G50" s="115">
        <f t="shared" si="2"/>
        <v>1.5680433089045838</v>
      </c>
      <c r="H50" s="115">
        <v>-0.51080695787718255</v>
      </c>
      <c r="I50" s="115">
        <v>0</v>
      </c>
      <c r="J50" s="115">
        <v>-0.3790365740499233</v>
      </c>
      <c r="K50" s="115">
        <f t="shared" si="3"/>
        <v>3.9241112015870248</v>
      </c>
      <c r="L50" s="115">
        <v>-1.1186107803509098</v>
      </c>
      <c r="M50" s="115">
        <v>-10.744557922124155</v>
      </c>
      <c r="N50" s="115">
        <v>10.44840115300677</v>
      </c>
      <c r="O50" s="115">
        <f t="shared" si="4"/>
        <v>5.7903039684265609</v>
      </c>
      <c r="P50" s="115">
        <v>-12.086271651522168</v>
      </c>
      <c r="Q50" s="115">
        <v>-15.463973463383354</v>
      </c>
      <c r="R50" s="268">
        <v>-23.051501341427183</v>
      </c>
      <c r="S50" s="266">
        <v>-3.5706435172817796E-2</v>
      </c>
      <c r="T50" s="266">
        <v>9.1423109781927359E-3</v>
      </c>
    </row>
    <row r="51" spans="1:20">
      <c r="A51" s="12">
        <v>2016</v>
      </c>
      <c r="B51" s="115">
        <v>1.2092169123568794</v>
      </c>
      <c r="C51" s="115">
        <v>0</v>
      </c>
      <c r="D51" s="115">
        <v>0</v>
      </c>
      <c r="E51" s="115">
        <v>-8.1347724834513357E-2</v>
      </c>
      <c r="F51" s="115">
        <v>-6.9371745115998351</v>
      </c>
      <c r="G51" s="115">
        <f t="shared" si="2"/>
        <v>3.9403324138489122</v>
      </c>
      <c r="H51" s="115">
        <v>-0.59282225337570438</v>
      </c>
      <c r="I51" s="115">
        <v>0</v>
      </c>
      <c r="J51" s="115">
        <v>-0.47912134020868891</v>
      </c>
      <c r="K51" s="115">
        <f t="shared" si="3"/>
        <v>7.750546258939333</v>
      </c>
      <c r="L51" s="115">
        <v>-2.3368680658361316</v>
      </c>
      <c r="M51" s="115">
        <v>-21.968502110578186</v>
      </c>
      <c r="N51" s="115">
        <v>18.604659308830538</v>
      </c>
      <c r="O51" s="115">
        <f t="shared" si="4"/>
        <v>11.283073840416506</v>
      </c>
      <c r="P51" s="115">
        <v>-11.409470073713862</v>
      </c>
      <c r="Q51" s="115">
        <v>-34.427052457500096</v>
      </c>
      <c r="R51" s="268">
        <v>-35.444529803254795</v>
      </c>
      <c r="S51" s="266">
        <v>-4.4696097054500283E-2</v>
      </c>
      <c r="T51" s="266">
        <v>9.4803422491809286E-3</v>
      </c>
    </row>
    <row r="52" spans="1:20">
      <c r="A52" s="12">
        <v>2017</v>
      </c>
      <c r="B52" s="115">
        <v>1.126976680536103</v>
      </c>
      <c r="C52" s="115">
        <v>0</v>
      </c>
      <c r="D52" s="115">
        <v>0</v>
      </c>
      <c r="E52" s="115">
        <v>-9.1234718199164178E-2</v>
      </c>
      <c r="F52" s="115">
        <v>-5.7930410618464521</v>
      </c>
      <c r="G52" s="115">
        <f t="shared" si="2"/>
        <v>7.4340410856459567</v>
      </c>
      <c r="H52" s="115">
        <v>1.7442265622334929</v>
      </c>
      <c r="I52" s="115">
        <v>0</v>
      </c>
      <c r="J52" s="115">
        <v>-4.229824555387296E-2</v>
      </c>
      <c r="K52" s="115">
        <f t="shared" si="3"/>
        <v>11.579444080763544</v>
      </c>
      <c r="L52" s="115">
        <v>-3.5357841210413357</v>
      </c>
      <c r="M52" s="115">
        <v>-32.960277409036813</v>
      </c>
      <c r="N52" s="115">
        <v>28.035743518765425</v>
      </c>
      <c r="O52" s="115">
        <f t="shared" si="4"/>
        <v>23.778651829150032</v>
      </c>
      <c r="P52" s="115">
        <v>-12.575599616736895</v>
      </c>
      <c r="Q52" s="115">
        <v>-60.801142784253386</v>
      </c>
      <c r="R52" s="268">
        <v>-42.100294199573227</v>
      </c>
      <c r="S52" s="266">
        <v>-4.5914780534753508E-2</v>
      </c>
      <c r="T52" s="266">
        <v>9.0251005549690788E-3</v>
      </c>
    </row>
    <row r="53" spans="1:20">
      <c r="A53" s="12">
        <v>2018</v>
      </c>
      <c r="B53" s="115">
        <v>1.1669831886297004</v>
      </c>
      <c r="C53" s="115">
        <v>0</v>
      </c>
      <c r="D53" s="115">
        <v>0</v>
      </c>
      <c r="E53" s="115">
        <v>-0.10284762666603875</v>
      </c>
      <c r="F53" s="115">
        <v>-4.8365278165748293</v>
      </c>
      <c r="G53" s="115">
        <f t="shared" si="2"/>
        <v>12.232417185512405</v>
      </c>
      <c r="H53" s="115">
        <v>4.0455312206439871</v>
      </c>
      <c r="I53" s="115">
        <v>0</v>
      </c>
      <c r="J53" s="115">
        <v>0.89213200774478452</v>
      </c>
      <c r="K53" s="115">
        <f t="shared" si="3"/>
        <v>15.400038299569763</v>
      </c>
      <c r="L53" s="115">
        <v>-4.6247634759839498</v>
      </c>
      <c r="M53" s="115">
        <v>-41.886347393785037</v>
      </c>
      <c r="N53" s="115">
        <v>38.584847419022779</v>
      </c>
      <c r="O53" s="115">
        <f t="shared" si="4"/>
        <v>38.49775145015002</v>
      </c>
      <c r="P53" s="115">
        <v>-16.184840359442262</v>
      </c>
      <c r="Q53" s="115">
        <v>-86.130138688468179</v>
      </c>
      <c r="R53" s="268">
        <v>-42.945764589647069</v>
      </c>
      <c r="S53" s="266">
        <v>-4.245245989111357E-2</v>
      </c>
      <c r="T53" s="266">
        <v>8.3887398641226962E-3</v>
      </c>
    </row>
    <row r="54" spans="1:20">
      <c r="A54" s="12">
        <v>2019</v>
      </c>
      <c r="B54" s="115">
        <v>1.1370887958479727</v>
      </c>
      <c r="C54" s="115">
        <v>0</v>
      </c>
      <c r="D54" s="115">
        <v>0</v>
      </c>
      <c r="E54" s="115">
        <v>-0.1177142480619251</v>
      </c>
      <c r="F54" s="115">
        <v>-4.171813381457298</v>
      </c>
      <c r="G54" s="115">
        <f t="shared" si="2"/>
        <v>18.361110434748376</v>
      </c>
      <c r="H54" s="115">
        <v>6.3149156395639423</v>
      </c>
      <c r="I54" s="115">
        <v>0</v>
      </c>
      <c r="J54" s="115">
        <v>1.7934480044941665</v>
      </c>
      <c r="K54" s="115">
        <f t="shared" si="3"/>
        <v>20.045435874135336</v>
      </c>
      <c r="L54" s="115">
        <v>-5.769709953568773</v>
      </c>
      <c r="M54" s="115">
        <v>-51.262440000157618</v>
      </c>
      <c r="N54" s="115">
        <v>50.15948552935599</v>
      </c>
      <c r="O54" s="115">
        <f t="shared" si="4"/>
        <v>57.606833095760962</v>
      </c>
      <c r="P54" s="115">
        <v>-19.029435644929606</v>
      </c>
      <c r="Q54" s="115">
        <v>-112.58351264437438</v>
      </c>
      <c r="R54" s="268">
        <v>-37.516308498642729</v>
      </c>
      <c r="S54" s="266">
        <v>-3.4943104373260536E-2</v>
      </c>
      <c r="T54" s="266">
        <v>7.7194539715741417E-3</v>
      </c>
    </row>
    <row r="55" spans="1:20">
      <c r="A55" s="12">
        <v>2020</v>
      </c>
      <c r="B55" s="115">
        <v>0.989921545067034</v>
      </c>
      <c r="C55" s="115">
        <v>0</v>
      </c>
      <c r="D55" s="115">
        <v>0</v>
      </c>
      <c r="E55" s="115">
        <v>-0.13517650178747687</v>
      </c>
      <c r="F55" s="115">
        <v>-3.7408825569916075</v>
      </c>
      <c r="G55" s="115">
        <f t="shared" si="2"/>
        <v>25.807220254578915</v>
      </c>
      <c r="H55" s="115">
        <v>8.5582614416630918</v>
      </c>
      <c r="I55" s="115">
        <v>0</v>
      </c>
      <c r="J55" s="115">
        <v>2.6680548688722681</v>
      </c>
      <c r="K55" s="115">
        <f t="shared" si="3"/>
        <v>24.638610072102274</v>
      </c>
      <c r="L55" s="115">
        <v>-6.9323678900886296</v>
      </c>
      <c r="M55" s="115">
        <v>-62.62252048129335</v>
      </c>
      <c r="N55" s="115">
        <v>62.437609037562787</v>
      </c>
      <c r="O55" s="115">
        <f t="shared" si="4"/>
        <v>79.946642051003167</v>
      </c>
      <c r="P55" s="115">
        <v>-21.364430443391598</v>
      </c>
      <c r="Q55" s="115">
        <v>-140.17221916032503</v>
      </c>
      <c r="R55" s="268">
        <v>-29.921277763028229</v>
      </c>
      <c r="S55" s="266">
        <v>-2.7079035577162291E-2</v>
      </c>
      <c r="T55" s="266">
        <v>6.9857585324282212E-3</v>
      </c>
    </row>
    <row r="56" spans="1:20">
      <c r="A56" s="12">
        <v>2021</v>
      </c>
      <c r="B56" s="115">
        <v>8.0736946026858618</v>
      </c>
      <c r="C56" s="115">
        <v>0</v>
      </c>
      <c r="D56" s="115">
        <v>0</v>
      </c>
      <c r="E56" s="115">
        <v>-0.15313112000401041</v>
      </c>
      <c r="F56" s="115">
        <v>-3.358964605690403</v>
      </c>
      <c r="G56" s="115">
        <f t="shared" si="2"/>
        <v>34.08337823112138</v>
      </c>
      <c r="H56" s="115">
        <v>10.964984456259899</v>
      </c>
      <c r="I56" s="115">
        <v>0</v>
      </c>
      <c r="J56" s="115">
        <v>3.5362343523515278</v>
      </c>
      <c r="K56" s="115">
        <f t="shared" si="3"/>
        <v>28.502025332299805</v>
      </c>
      <c r="L56" s="115">
        <v>-8.0840201620302636</v>
      </c>
      <c r="M56" s="115">
        <v>-74.536071938318372</v>
      </c>
      <c r="N56" s="115">
        <v>76.12491037169265</v>
      </c>
      <c r="O56" s="115">
        <f t="shared" si="4"/>
        <v>105.6529735721852</v>
      </c>
      <c r="P56" s="115">
        <v>-23.779898167441388</v>
      </c>
      <c r="Q56" s="115">
        <v>-163.85919046839066</v>
      </c>
      <c r="R56" s="268">
        <v>-6.8330755432784827</v>
      </c>
      <c r="S56" s="266">
        <v>-1.0489804898158539E-2</v>
      </c>
      <c r="T56" s="266">
        <v>6.1936113646818836E-3</v>
      </c>
    </row>
    <row r="57" spans="1:20">
      <c r="A57" s="12">
        <v>2022</v>
      </c>
      <c r="B57" s="115">
        <v>14.407791380371748</v>
      </c>
      <c r="C57" s="115">
        <v>0</v>
      </c>
      <c r="D57" s="115">
        <v>0</v>
      </c>
      <c r="E57" s="115">
        <v>-0.17051197112200089</v>
      </c>
      <c r="F57" s="115">
        <v>-2.9230405674858844</v>
      </c>
      <c r="G57" s="115">
        <f t="shared" si="2"/>
        <v>43.241063406309593</v>
      </c>
      <c r="H57" s="115">
        <v>13.365841726126355</v>
      </c>
      <c r="I57" s="115">
        <v>0</v>
      </c>
      <c r="J57" s="115">
        <v>4.4375948608525491</v>
      </c>
      <c r="K57" s="115">
        <f t="shared" si="3"/>
        <v>32.168005048646215</v>
      </c>
      <c r="L57" s="115">
        <v>-9.2392839261541564</v>
      </c>
      <c r="M57" s="115">
        <v>-85.755139751374799</v>
      </c>
      <c r="N57" s="115">
        <v>89.805245348275932</v>
      </c>
      <c r="O57" s="115">
        <f t="shared" si="4"/>
        <v>149.50156635296835</v>
      </c>
      <c r="P57" s="115">
        <v>-25.929564662380642</v>
      </c>
      <c r="Q57" s="115">
        <v>-182.9307844164255</v>
      </c>
      <c r="R57" s="268">
        <v>39.978782828608246</v>
      </c>
      <c r="S57" s="266">
        <v>1.8694717352057078E-2</v>
      </c>
      <c r="T57" s="266">
        <v>5.4210477919722777E-3</v>
      </c>
    </row>
  </sheetData>
  <phoneticPr fontId="0" type="noConversion"/>
  <pageMargins left="0.75" right="0.75" top="1" bottom="1" header="0.5" footer="0.5"/>
  <pageSetup scale="3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Z60"/>
  <sheetViews>
    <sheetView zoomScale="75" zoomScaleNormal="75" workbookViewId="0">
      <pane xSplit="1" ySplit="10" topLeftCell="G11" activePane="bottomRight" state="frozen"/>
      <selection pane="topRight"/>
      <selection pane="bottomLeft"/>
      <selection pane="bottomRight" activeCell="A2" sqref="A1:A2"/>
    </sheetView>
  </sheetViews>
  <sheetFormatPr defaultRowHeight="13.2"/>
  <cols>
    <col min="1" max="1" width="14.109375" style="5" customWidth="1"/>
    <col min="2" max="18" width="20.6640625" style="5" customWidth="1"/>
    <col min="19" max="19" width="16.5546875" style="5" customWidth="1"/>
    <col min="20" max="20" width="13" style="5" customWidth="1"/>
    <col min="21" max="21" width="15.44140625" style="5" customWidth="1"/>
    <col min="22" max="22" width="11" style="5" bestFit="1" customWidth="1"/>
    <col min="23" max="24" width="12.44140625" style="5" customWidth="1"/>
    <col min="25" max="25" width="10.33203125" style="5" bestFit="1" customWidth="1"/>
    <col min="26" max="257" width="9.109375" style="5"/>
    <col min="258" max="258" width="14.109375" style="5" customWidth="1"/>
    <col min="259" max="275" width="20.6640625" style="5" customWidth="1"/>
    <col min="276" max="513" width="9.109375" style="5"/>
    <col min="514" max="514" width="14.109375" style="5" customWidth="1"/>
    <col min="515" max="531" width="20.6640625" style="5" customWidth="1"/>
    <col min="532" max="769" width="9.109375" style="5"/>
    <col min="770" max="770" width="14.109375" style="5" customWidth="1"/>
    <col min="771" max="787" width="20.6640625" style="5" customWidth="1"/>
    <col min="788" max="1025" width="9.109375" style="5"/>
    <col min="1026" max="1026" width="14.109375" style="5" customWidth="1"/>
    <col min="1027" max="1043" width="20.6640625" style="5" customWidth="1"/>
    <col min="1044" max="1281" width="9.109375" style="5"/>
    <col min="1282" max="1282" width="14.109375" style="5" customWidth="1"/>
    <col min="1283" max="1299" width="20.6640625" style="5" customWidth="1"/>
    <col min="1300" max="1537" width="9.109375" style="5"/>
    <col min="1538" max="1538" width="14.109375" style="5" customWidth="1"/>
    <col min="1539" max="1555" width="20.6640625" style="5" customWidth="1"/>
    <col min="1556" max="1793" width="9.109375" style="5"/>
    <col min="1794" max="1794" width="14.109375" style="5" customWidth="1"/>
    <col min="1795" max="1811" width="20.6640625" style="5" customWidth="1"/>
    <col min="1812" max="2049" width="9.109375" style="5"/>
    <col min="2050" max="2050" width="14.109375" style="5" customWidth="1"/>
    <col min="2051" max="2067" width="20.6640625" style="5" customWidth="1"/>
    <col min="2068" max="2305" width="9.109375" style="5"/>
    <col min="2306" max="2306" width="14.109375" style="5" customWidth="1"/>
    <col min="2307" max="2323" width="20.6640625" style="5" customWidth="1"/>
    <col min="2324" max="2561" width="9.109375" style="5"/>
    <col min="2562" max="2562" width="14.109375" style="5" customWidth="1"/>
    <col min="2563" max="2579" width="20.6640625" style="5" customWidth="1"/>
    <col min="2580" max="2817" width="9.109375" style="5"/>
    <col min="2818" max="2818" width="14.109375" style="5" customWidth="1"/>
    <col min="2819" max="2835" width="20.6640625" style="5" customWidth="1"/>
    <col min="2836" max="3073" width="9.109375" style="5"/>
    <col min="3074" max="3074" width="14.109375" style="5" customWidth="1"/>
    <col min="3075" max="3091" width="20.6640625" style="5" customWidth="1"/>
    <col min="3092" max="3329" width="9.109375" style="5"/>
    <col min="3330" max="3330" width="14.109375" style="5" customWidth="1"/>
    <col min="3331" max="3347" width="20.6640625" style="5" customWidth="1"/>
    <col min="3348" max="3585" width="9.109375" style="5"/>
    <col min="3586" max="3586" width="14.109375" style="5" customWidth="1"/>
    <col min="3587" max="3603" width="20.6640625" style="5" customWidth="1"/>
    <col min="3604" max="3841" width="9.109375" style="5"/>
    <col min="3842" max="3842" width="14.109375" style="5" customWidth="1"/>
    <col min="3843" max="3859" width="20.6640625" style="5" customWidth="1"/>
    <col min="3860" max="4097" width="9.109375" style="5"/>
    <col min="4098" max="4098" width="14.109375" style="5" customWidth="1"/>
    <col min="4099" max="4115" width="20.6640625" style="5" customWidth="1"/>
    <col min="4116" max="4353" width="9.109375" style="5"/>
    <col min="4354" max="4354" width="14.109375" style="5" customWidth="1"/>
    <col min="4355" max="4371" width="20.6640625" style="5" customWidth="1"/>
    <col min="4372" max="4609" width="9.109375" style="5"/>
    <col min="4610" max="4610" width="14.109375" style="5" customWidth="1"/>
    <col min="4611" max="4627" width="20.6640625" style="5" customWidth="1"/>
    <col min="4628" max="4865" width="9.109375" style="5"/>
    <col min="4866" max="4866" width="14.109375" style="5" customWidth="1"/>
    <col min="4867" max="4883" width="20.6640625" style="5" customWidth="1"/>
    <col min="4884" max="5121" width="9.109375" style="5"/>
    <col min="5122" max="5122" width="14.109375" style="5" customWidth="1"/>
    <col min="5123" max="5139" width="20.6640625" style="5" customWidth="1"/>
    <col min="5140" max="5377" width="9.109375" style="5"/>
    <col min="5378" max="5378" width="14.109375" style="5" customWidth="1"/>
    <col min="5379" max="5395" width="20.6640625" style="5" customWidth="1"/>
    <col min="5396" max="5633" width="9.109375" style="5"/>
    <col min="5634" max="5634" width="14.109375" style="5" customWidth="1"/>
    <col min="5635" max="5651" width="20.6640625" style="5" customWidth="1"/>
    <col min="5652" max="5889" width="9.109375" style="5"/>
    <col min="5890" max="5890" width="14.109375" style="5" customWidth="1"/>
    <col min="5891" max="5907" width="20.6640625" style="5" customWidth="1"/>
    <col min="5908" max="6145" width="9.109375" style="5"/>
    <col min="6146" max="6146" width="14.109375" style="5" customWidth="1"/>
    <col min="6147" max="6163" width="20.6640625" style="5" customWidth="1"/>
    <col min="6164" max="6401" width="9.109375" style="5"/>
    <col min="6402" max="6402" width="14.109375" style="5" customWidth="1"/>
    <col min="6403" max="6419" width="20.6640625" style="5" customWidth="1"/>
    <col min="6420" max="6657" width="9.109375" style="5"/>
    <col min="6658" max="6658" width="14.109375" style="5" customWidth="1"/>
    <col min="6659" max="6675" width="20.6640625" style="5" customWidth="1"/>
    <col min="6676" max="6913" width="9.109375" style="5"/>
    <col min="6914" max="6914" width="14.109375" style="5" customWidth="1"/>
    <col min="6915" max="6931" width="20.6640625" style="5" customWidth="1"/>
    <col min="6932" max="7169" width="9.109375" style="5"/>
    <col min="7170" max="7170" width="14.109375" style="5" customWidth="1"/>
    <col min="7171" max="7187" width="20.6640625" style="5" customWidth="1"/>
    <col min="7188" max="7425" width="9.109375" style="5"/>
    <col min="7426" max="7426" width="14.109375" style="5" customWidth="1"/>
    <col min="7427" max="7443" width="20.6640625" style="5" customWidth="1"/>
    <col min="7444" max="7681" width="9.109375" style="5"/>
    <col min="7682" max="7682" width="14.109375" style="5" customWidth="1"/>
    <col min="7683" max="7699" width="20.6640625" style="5" customWidth="1"/>
    <col min="7700" max="7937" width="9.109375" style="5"/>
    <col min="7938" max="7938" width="14.109375" style="5" customWidth="1"/>
    <col min="7939" max="7955" width="20.6640625" style="5" customWidth="1"/>
    <col min="7956" max="8193" width="9.109375" style="5"/>
    <col min="8194" max="8194" width="14.109375" style="5" customWidth="1"/>
    <col min="8195" max="8211" width="20.6640625" style="5" customWidth="1"/>
    <col min="8212" max="8449" width="9.109375" style="5"/>
    <col min="8450" max="8450" width="14.109375" style="5" customWidth="1"/>
    <col min="8451" max="8467" width="20.6640625" style="5" customWidth="1"/>
    <col min="8468" max="8705" width="9.109375" style="5"/>
    <col min="8706" max="8706" width="14.109375" style="5" customWidth="1"/>
    <col min="8707" max="8723" width="20.6640625" style="5" customWidth="1"/>
    <col min="8724" max="8961" width="9.109375" style="5"/>
    <col min="8962" max="8962" width="14.109375" style="5" customWidth="1"/>
    <col min="8963" max="8979" width="20.6640625" style="5" customWidth="1"/>
    <col min="8980" max="9217" width="9.109375" style="5"/>
    <col min="9218" max="9218" width="14.109375" style="5" customWidth="1"/>
    <col min="9219" max="9235" width="20.6640625" style="5" customWidth="1"/>
    <col min="9236" max="9473" width="9.109375" style="5"/>
    <col min="9474" max="9474" width="14.109375" style="5" customWidth="1"/>
    <col min="9475" max="9491" width="20.6640625" style="5" customWidth="1"/>
    <col min="9492" max="9729" width="9.109375" style="5"/>
    <col min="9730" max="9730" width="14.109375" style="5" customWidth="1"/>
    <col min="9731" max="9747" width="20.6640625" style="5" customWidth="1"/>
    <col min="9748" max="9985" width="9.109375" style="5"/>
    <col min="9986" max="9986" width="14.109375" style="5" customWidth="1"/>
    <col min="9987" max="10003" width="20.6640625" style="5" customWidth="1"/>
    <col min="10004" max="10241" width="9.109375" style="5"/>
    <col min="10242" max="10242" width="14.109375" style="5" customWidth="1"/>
    <col min="10243" max="10259" width="20.6640625" style="5" customWidth="1"/>
    <col min="10260" max="10497" width="9.109375" style="5"/>
    <col min="10498" max="10498" width="14.109375" style="5" customWidth="1"/>
    <col min="10499" max="10515" width="20.6640625" style="5" customWidth="1"/>
    <col min="10516" max="10753" width="9.109375" style="5"/>
    <col min="10754" max="10754" width="14.109375" style="5" customWidth="1"/>
    <col min="10755" max="10771" width="20.6640625" style="5" customWidth="1"/>
    <col min="10772" max="11009" width="9.109375" style="5"/>
    <col min="11010" max="11010" width="14.109375" style="5" customWidth="1"/>
    <col min="11011" max="11027" width="20.6640625" style="5" customWidth="1"/>
    <col min="11028" max="11265" width="9.109375" style="5"/>
    <col min="11266" max="11266" width="14.109375" style="5" customWidth="1"/>
    <col min="11267" max="11283" width="20.6640625" style="5" customWidth="1"/>
    <col min="11284" max="11521" width="9.109375" style="5"/>
    <col min="11522" max="11522" width="14.109375" style="5" customWidth="1"/>
    <col min="11523" max="11539" width="20.6640625" style="5" customWidth="1"/>
    <col min="11540" max="11777" width="9.109375" style="5"/>
    <col min="11778" max="11778" width="14.109375" style="5" customWidth="1"/>
    <col min="11779" max="11795" width="20.6640625" style="5" customWidth="1"/>
    <col min="11796" max="12033" width="9.109375" style="5"/>
    <col min="12034" max="12034" width="14.109375" style="5" customWidth="1"/>
    <col min="12035" max="12051" width="20.6640625" style="5" customWidth="1"/>
    <col min="12052" max="12289" width="9.109375" style="5"/>
    <col min="12290" max="12290" width="14.109375" style="5" customWidth="1"/>
    <col min="12291" max="12307" width="20.6640625" style="5" customWidth="1"/>
    <col min="12308" max="12545" width="9.109375" style="5"/>
    <col min="12546" max="12546" width="14.109375" style="5" customWidth="1"/>
    <col min="12547" max="12563" width="20.6640625" style="5" customWidth="1"/>
    <col min="12564" max="12801" width="9.109375" style="5"/>
    <col min="12802" max="12802" width="14.109375" style="5" customWidth="1"/>
    <col min="12803" max="12819" width="20.6640625" style="5" customWidth="1"/>
    <col min="12820" max="13057" width="9.109375" style="5"/>
    <col min="13058" max="13058" width="14.109375" style="5" customWidth="1"/>
    <col min="13059" max="13075" width="20.6640625" style="5" customWidth="1"/>
    <col min="13076" max="13313" width="9.109375" style="5"/>
    <col min="13314" max="13314" width="14.109375" style="5" customWidth="1"/>
    <col min="13315" max="13331" width="20.6640625" style="5" customWidth="1"/>
    <col min="13332" max="13569" width="9.109375" style="5"/>
    <col min="13570" max="13570" width="14.109375" style="5" customWidth="1"/>
    <col min="13571" max="13587" width="20.6640625" style="5" customWidth="1"/>
    <col min="13588" max="13825" width="9.109375" style="5"/>
    <col min="13826" max="13826" width="14.109375" style="5" customWidth="1"/>
    <col min="13827" max="13843" width="20.6640625" style="5" customWidth="1"/>
    <col min="13844" max="14081" width="9.109375" style="5"/>
    <col min="14082" max="14082" width="14.109375" style="5" customWidth="1"/>
    <col min="14083" max="14099" width="20.6640625" style="5" customWidth="1"/>
    <col min="14100" max="14337" width="9.109375" style="5"/>
    <col min="14338" max="14338" width="14.109375" style="5" customWidth="1"/>
    <col min="14339" max="14355" width="20.6640625" style="5" customWidth="1"/>
    <col min="14356" max="14593" width="9.109375" style="5"/>
    <col min="14594" max="14594" width="14.109375" style="5" customWidth="1"/>
    <col min="14595" max="14611" width="20.6640625" style="5" customWidth="1"/>
    <col min="14612" max="14849" width="9.109375" style="5"/>
    <col min="14850" max="14850" width="14.109375" style="5" customWidth="1"/>
    <col min="14851" max="14867" width="20.6640625" style="5" customWidth="1"/>
    <col min="14868" max="15105" width="9.109375" style="5"/>
    <col min="15106" max="15106" width="14.109375" style="5" customWidth="1"/>
    <col min="15107" max="15123" width="20.6640625" style="5" customWidth="1"/>
    <col min="15124" max="15361" width="9.109375" style="5"/>
    <col min="15362" max="15362" width="14.109375" style="5" customWidth="1"/>
    <col min="15363" max="15379" width="20.6640625" style="5" customWidth="1"/>
    <col min="15380" max="15617" width="9.109375" style="5"/>
    <col min="15618" max="15618" width="14.109375" style="5" customWidth="1"/>
    <col min="15619" max="15635" width="20.6640625" style="5" customWidth="1"/>
    <col min="15636" max="15873" width="9.109375" style="5"/>
    <col min="15874" max="15874" width="14.109375" style="5" customWidth="1"/>
    <col min="15875" max="15891" width="20.6640625" style="5" customWidth="1"/>
    <col min="15892" max="16129" width="9.109375" style="5"/>
    <col min="16130" max="16130" width="14.109375" style="5" customWidth="1"/>
    <col min="16131" max="16147" width="20.6640625" style="5" customWidth="1"/>
    <col min="16148" max="16384" width="9.109375" style="5"/>
  </cols>
  <sheetData>
    <row r="1" spans="1:26" s="2" customFormat="1" ht="15.6">
      <c r="A1" s="416" t="s">
        <v>390</v>
      </c>
      <c r="B1" s="1"/>
      <c r="C1" s="1"/>
      <c r="D1" s="1"/>
      <c r="E1" s="1"/>
      <c r="F1" s="1"/>
      <c r="G1" s="1"/>
      <c r="H1" s="1"/>
      <c r="I1" s="1"/>
      <c r="J1" s="1"/>
      <c r="K1" s="1"/>
      <c r="L1" s="1"/>
      <c r="M1" s="1"/>
      <c r="N1" s="1"/>
      <c r="O1" s="1"/>
      <c r="P1" s="1"/>
      <c r="Q1" s="1"/>
      <c r="R1" s="1"/>
    </row>
    <row r="2" spans="1:26" s="2" customFormat="1" ht="15.6">
      <c r="A2" s="416" t="s">
        <v>380</v>
      </c>
      <c r="B2" s="1"/>
      <c r="C2" s="1"/>
      <c r="D2" s="1"/>
      <c r="E2" s="1"/>
      <c r="F2" s="1"/>
      <c r="G2" s="1"/>
      <c r="H2" s="1"/>
      <c r="I2" s="1"/>
      <c r="J2" s="1"/>
      <c r="K2" s="1"/>
      <c r="L2" s="1"/>
      <c r="M2" s="1"/>
      <c r="N2" s="1"/>
      <c r="O2" s="1"/>
      <c r="P2" s="1"/>
      <c r="Q2" s="1"/>
      <c r="R2" s="1"/>
    </row>
    <row r="3" spans="1:26" s="2" customFormat="1" ht="15.6">
      <c r="A3" s="1" t="s">
        <v>45</v>
      </c>
      <c r="B3" s="1"/>
      <c r="C3" s="1"/>
      <c r="D3" s="1"/>
      <c r="E3" s="1"/>
      <c r="F3" s="1"/>
      <c r="G3" s="1"/>
      <c r="H3" s="1"/>
      <c r="I3" s="1"/>
      <c r="J3" s="1"/>
      <c r="K3" s="1"/>
      <c r="L3" s="1"/>
      <c r="M3" s="1"/>
      <c r="N3" s="1"/>
      <c r="O3" s="1"/>
      <c r="P3" s="1"/>
      <c r="Q3" s="1"/>
      <c r="R3" s="1"/>
    </row>
    <row r="4" spans="1:26" s="2" customFormat="1" ht="15.6">
      <c r="A4" s="1" t="s">
        <v>357</v>
      </c>
      <c r="B4" s="1"/>
      <c r="C4" s="1"/>
      <c r="D4" s="1"/>
      <c r="E4" s="1"/>
      <c r="F4" s="1"/>
      <c r="G4" s="1"/>
      <c r="H4" s="1"/>
      <c r="I4" s="1"/>
      <c r="J4" s="1"/>
      <c r="K4" s="1"/>
      <c r="L4" s="1"/>
      <c r="M4" s="1"/>
      <c r="N4" s="1"/>
      <c r="O4" s="1"/>
      <c r="P4" s="1"/>
      <c r="Q4" s="1"/>
      <c r="R4" s="1"/>
    </row>
    <row r="5" spans="1:26">
      <c r="A5" s="4"/>
      <c r="B5" s="4"/>
      <c r="C5" s="4"/>
      <c r="D5" s="4"/>
      <c r="E5" s="4"/>
      <c r="F5" s="4"/>
      <c r="G5" s="4"/>
      <c r="H5" s="4"/>
      <c r="I5" s="4"/>
      <c r="J5" s="4"/>
      <c r="K5" s="4"/>
      <c r="L5" s="4"/>
      <c r="M5" s="4"/>
      <c r="N5" s="4"/>
      <c r="O5" s="4"/>
      <c r="P5" s="4"/>
      <c r="Q5" s="4"/>
      <c r="R5" s="4"/>
    </row>
    <row r="6" spans="1:26" s="9" customFormat="1" ht="39.6">
      <c r="A6" s="6"/>
      <c r="B6" s="47" t="s">
        <v>23</v>
      </c>
      <c r="C6" s="47" t="s">
        <v>43</v>
      </c>
      <c r="D6" s="47" t="s">
        <v>187</v>
      </c>
      <c r="E6" s="47" t="s">
        <v>95</v>
      </c>
      <c r="F6" s="47" t="s">
        <v>59</v>
      </c>
      <c r="G6" s="47" t="s">
        <v>353</v>
      </c>
      <c r="H6" s="47" t="s">
        <v>70</v>
      </c>
      <c r="I6" s="48" t="s">
        <v>89</v>
      </c>
      <c r="J6" s="48" t="s">
        <v>129</v>
      </c>
      <c r="K6" s="258" t="s">
        <v>327</v>
      </c>
      <c r="L6" s="48" t="s">
        <v>146</v>
      </c>
      <c r="M6" s="48" t="s">
        <v>147</v>
      </c>
      <c r="N6" s="48" t="s">
        <v>169</v>
      </c>
      <c r="O6" s="48" t="s">
        <v>261</v>
      </c>
      <c r="P6" s="48" t="s">
        <v>212</v>
      </c>
      <c r="Q6" s="48" t="s">
        <v>214</v>
      </c>
      <c r="R6" s="48" t="s">
        <v>92</v>
      </c>
    </row>
    <row r="7" spans="1:26" s="9" customFormat="1" ht="26.4">
      <c r="A7" s="10"/>
      <c r="B7" s="43" t="s">
        <v>24</v>
      </c>
      <c r="C7" s="43" t="s">
        <v>24</v>
      </c>
      <c r="D7" s="43" t="s">
        <v>24</v>
      </c>
      <c r="E7" s="43" t="s">
        <v>24</v>
      </c>
      <c r="F7" s="43" t="s">
        <v>24</v>
      </c>
      <c r="G7" s="57" t="s">
        <v>24</v>
      </c>
      <c r="H7" s="43" t="s">
        <v>24</v>
      </c>
      <c r="I7" s="43" t="s">
        <v>24</v>
      </c>
      <c r="J7" s="43" t="s">
        <v>24</v>
      </c>
      <c r="K7" s="259" t="s">
        <v>24</v>
      </c>
      <c r="L7" s="43" t="s">
        <v>24</v>
      </c>
      <c r="M7" s="43" t="s">
        <v>24</v>
      </c>
      <c r="N7" s="43" t="s">
        <v>24</v>
      </c>
      <c r="O7" s="43" t="s">
        <v>24</v>
      </c>
      <c r="P7" s="43" t="s">
        <v>24</v>
      </c>
      <c r="Q7" s="43" t="s">
        <v>24</v>
      </c>
      <c r="R7" s="43" t="s">
        <v>24</v>
      </c>
    </row>
    <row r="8" spans="1:26" s="9" customFormat="1" ht="39.6">
      <c r="A8" s="10"/>
      <c r="B8" s="44" t="s">
        <v>317</v>
      </c>
      <c r="C8" s="55" t="s">
        <v>298</v>
      </c>
      <c r="D8" s="44" t="s">
        <v>119</v>
      </c>
      <c r="E8" s="44" t="s">
        <v>100</v>
      </c>
      <c r="F8" s="44" t="s">
        <v>60</v>
      </c>
      <c r="G8" s="55" t="s">
        <v>279</v>
      </c>
      <c r="H8" s="260" t="s">
        <v>311</v>
      </c>
      <c r="I8" s="45" t="s">
        <v>90</v>
      </c>
      <c r="J8" s="260" t="s">
        <v>303</v>
      </c>
      <c r="K8" s="260" t="s">
        <v>333</v>
      </c>
      <c r="L8" s="45" t="s">
        <v>145</v>
      </c>
      <c r="M8" s="45" t="s">
        <v>145</v>
      </c>
      <c r="N8" s="45" t="s">
        <v>170</v>
      </c>
      <c r="O8" s="45" t="s">
        <v>354</v>
      </c>
      <c r="P8" s="45" t="s">
        <v>213</v>
      </c>
      <c r="Q8" s="45" t="s">
        <v>208</v>
      </c>
      <c r="R8" s="45" t="s">
        <v>110</v>
      </c>
    </row>
    <row r="9" spans="1:26" s="9" customFormat="1" ht="39.6">
      <c r="A9" s="10"/>
      <c r="B9" s="44" t="s">
        <v>25</v>
      </c>
      <c r="C9" s="44" t="s">
        <v>44</v>
      </c>
      <c r="D9" s="44" t="s">
        <v>44</v>
      </c>
      <c r="E9" s="44" t="s">
        <v>44</v>
      </c>
      <c r="F9" s="44" t="s">
        <v>61</v>
      </c>
      <c r="G9" s="55" t="s">
        <v>284</v>
      </c>
      <c r="H9" s="44" t="s">
        <v>71</v>
      </c>
      <c r="I9" s="45" t="s">
        <v>91</v>
      </c>
      <c r="J9" s="44" t="s">
        <v>71</v>
      </c>
      <c r="K9" s="260" t="s">
        <v>339</v>
      </c>
      <c r="L9" s="44" t="s">
        <v>71</v>
      </c>
      <c r="M9" s="44" t="s">
        <v>71</v>
      </c>
      <c r="N9" s="44" t="s">
        <v>171</v>
      </c>
      <c r="O9" s="44" t="s">
        <v>201</v>
      </c>
      <c r="P9" s="44" t="s">
        <v>201</v>
      </c>
      <c r="Q9" s="44" t="s">
        <v>210</v>
      </c>
      <c r="R9" s="45" t="s">
        <v>93</v>
      </c>
      <c r="T9" s="408" t="s">
        <v>361</v>
      </c>
      <c r="U9" s="408"/>
      <c r="Y9" s="9" t="s">
        <v>53</v>
      </c>
      <c r="Z9" s="9" t="s">
        <v>364</v>
      </c>
    </row>
    <row r="10" spans="1:26" s="9" customFormat="1">
      <c r="A10" s="11" t="s">
        <v>17</v>
      </c>
      <c r="B10" s="46" t="s">
        <v>102</v>
      </c>
      <c r="C10" s="46" t="s">
        <v>102</v>
      </c>
      <c r="D10" s="46" t="s">
        <v>102</v>
      </c>
      <c r="E10" s="46" t="s">
        <v>102</v>
      </c>
      <c r="F10" s="46" t="s">
        <v>102</v>
      </c>
      <c r="G10" s="46" t="s">
        <v>102</v>
      </c>
      <c r="H10" s="46" t="s">
        <v>102</v>
      </c>
      <c r="I10" s="46" t="s">
        <v>102</v>
      </c>
      <c r="J10" s="46" t="s">
        <v>102</v>
      </c>
      <c r="K10" s="261" t="s">
        <v>102</v>
      </c>
      <c r="L10" s="46" t="s">
        <v>102</v>
      </c>
      <c r="M10" s="46" t="s">
        <v>102</v>
      </c>
      <c r="N10" s="46" t="s">
        <v>102</v>
      </c>
      <c r="O10" s="46" t="s">
        <v>102</v>
      </c>
      <c r="P10" s="46" t="s">
        <v>102</v>
      </c>
      <c r="Q10" s="46" t="s">
        <v>102</v>
      </c>
      <c r="R10" s="46" t="s">
        <v>102</v>
      </c>
      <c r="S10" s="264" t="s">
        <v>362</v>
      </c>
      <c r="T10" s="264" t="s">
        <v>255</v>
      </c>
      <c r="U10" s="264" t="s">
        <v>360</v>
      </c>
      <c r="W10" s="9" t="s">
        <v>53</v>
      </c>
      <c r="X10" s="9" t="s">
        <v>364</v>
      </c>
      <c r="Y10" s="9" t="s">
        <v>370</v>
      </c>
      <c r="Z10" s="9" t="s">
        <v>370</v>
      </c>
    </row>
    <row r="11" spans="1:26">
      <c r="A11" s="12">
        <v>2005</v>
      </c>
      <c r="B11" s="13">
        <v>0</v>
      </c>
      <c r="C11" s="13">
        <v>58095.292697677549</v>
      </c>
      <c r="D11" s="13">
        <v>0</v>
      </c>
      <c r="E11" s="13">
        <v>46413.647533775533</v>
      </c>
      <c r="F11" s="13">
        <v>0</v>
      </c>
      <c r="G11" s="13">
        <v>0</v>
      </c>
      <c r="H11" s="13">
        <v>0</v>
      </c>
      <c r="I11" s="13">
        <v>0</v>
      </c>
      <c r="J11" s="20">
        <v>0</v>
      </c>
      <c r="K11" s="20">
        <v>0</v>
      </c>
      <c r="L11" s="20">
        <v>0</v>
      </c>
      <c r="M11" s="20">
        <v>0</v>
      </c>
      <c r="N11" s="20">
        <v>0</v>
      </c>
      <c r="O11" s="20"/>
      <c r="P11" s="20"/>
      <c r="Q11" s="20">
        <v>0</v>
      </c>
      <c r="R11" s="20">
        <f>SUM(B11:Q11)</f>
        <v>104508.94023145307</v>
      </c>
      <c r="S11" s="271">
        <v>104508.94023145307</v>
      </c>
      <c r="T11" s="15">
        <f>+R11*-0.5469</f>
        <v>-57155.939412581691</v>
      </c>
      <c r="U11" s="15">
        <f>S11*-0.524</f>
        <v>-54762.684681281411</v>
      </c>
      <c r="W11" s="15">
        <f>+Q11+P11+O11+G11+F11</f>
        <v>0</v>
      </c>
      <c r="X11" s="15">
        <f>+B11+C11+D11+E11</f>
        <v>104508.94023145307</v>
      </c>
      <c r="Y11" s="257">
        <f>+W11/R11</f>
        <v>0</v>
      </c>
      <c r="Z11" s="257">
        <f>+X11/R11</f>
        <v>1</v>
      </c>
    </row>
    <row r="12" spans="1:26">
      <c r="A12" s="12">
        <v>2006</v>
      </c>
      <c r="B12" s="13">
        <v>218734.83384286685</v>
      </c>
      <c r="C12" s="13">
        <v>198641.24046927691</v>
      </c>
      <c r="D12" s="13">
        <v>0</v>
      </c>
      <c r="E12" s="13">
        <v>106618.93431456276</v>
      </c>
      <c r="F12" s="13">
        <v>0</v>
      </c>
      <c r="G12" s="13">
        <v>0</v>
      </c>
      <c r="H12" s="13">
        <v>0</v>
      </c>
      <c r="I12" s="13">
        <v>1367.8209417769035</v>
      </c>
      <c r="J12" s="20">
        <v>0</v>
      </c>
      <c r="K12" s="20">
        <v>0</v>
      </c>
      <c r="L12" s="20">
        <v>0</v>
      </c>
      <c r="M12" s="20">
        <v>0</v>
      </c>
      <c r="N12" s="20">
        <v>0</v>
      </c>
      <c r="O12" s="20"/>
      <c r="P12" s="20"/>
      <c r="Q12" s="20">
        <v>0</v>
      </c>
      <c r="R12" s="20">
        <f t="shared" ref="R12:R31" si="0">SUM(B12:Q12)</f>
        <v>525362.8295684834</v>
      </c>
      <c r="S12" s="271">
        <v>525362.8295684834</v>
      </c>
      <c r="T12" s="15">
        <f t="shared" ref="T12:T28" si="1">+R12*-0.5469</f>
        <v>-287320.9314910036</v>
      </c>
      <c r="U12" s="15">
        <f t="shared" ref="U12:U28" si="2">S12*-0.524</f>
        <v>-275290.12269388529</v>
      </c>
      <c r="W12" s="15">
        <f t="shared" ref="W12:W32" si="3">+Q12+P12+O12+G12+F12</f>
        <v>0</v>
      </c>
      <c r="X12" s="15">
        <f t="shared" ref="X12:X32" si="4">+B12+C12+D12+E12</f>
        <v>523995.00862670649</v>
      </c>
      <c r="Y12" s="257">
        <f t="shared" ref="Y12:Y32" si="5">+W12/R12</f>
        <v>0</v>
      </c>
      <c r="Z12" s="257">
        <f t="shared" ref="Z12:Z32" si="6">+X12/R12</f>
        <v>0.99739642611773582</v>
      </c>
    </row>
    <row r="13" spans="1:26">
      <c r="A13" s="12">
        <v>2007</v>
      </c>
      <c r="B13" s="13">
        <v>423764.90640928259</v>
      </c>
      <c r="C13" s="13">
        <v>346046.83723685768</v>
      </c>
      <c r="D13" s="13">
        <v>0</v>
      </c>
      <c r="E13" s="13">
        <v>169762.67034675862</v>
      </c>
      <c r="F13" s="13">
        <v>133321.02800311436</v>
      </c>
      <c r="G13" s="13">
        <v>0</v>
      </c>
      <c r="H13" s="13">
        <v>0</v>
      </c>
      <c r="I13" s="13">
        <v>2735.641883553807</v>
      </c>
      <c r="J13" s="20">
        <v>0</v>
      </c>
      <c r="K13" s="20">
        <v>0</v>
      </c>
      <c r="L13" s="20">
        <v>0</v>
      </c>
      <c r="M13" s="20">
        <v>0</v>
      </c>
      <c r="N13" s="20">
        <v>0</v>
      </c>
      <c r="O13" s="20"/>
      <c r="P13" s="20"/>
      <c r="Q13" s="20">
        <v>0</v>
      </c>
      <c r="R13" s="20">
        <f t="shared" si="0"/>
        <v>1075631.0838795668</v>
      </c>
      <c r="S13" s="271">
        <v>1075631.0838795668</v>
      </c>
      <c r="T13" s="15">
        <f t="shared" si="1"/>
        <v>-588262.63977373508</v>
      </c>
      <c r="U13" s="15">
        <f t="shared" si="2"/>
        <v>-563630.68795289297</v>
      </c>
      <c r="W13" s="15">
        <f t="shared" si="3"/>
        <v>133321.02800311436</v>
      </c>
      <c r="X13" s="15">
        <f t="shared" si="4"/>
        <v>939574.41399289877</v>
      </c>
      <c r="Y13" s="257">
        <f t="shared" si="5"/>
        <v>0.12394679737429537</v>
      </c>
      <c r="Z13" s="257">
        <f t="shared" si="6"/>
        <v>0.87350991252880006</v>
      </c>
    </row>
    <row r="14" spans="1:26">
      <c r="A14" s="12">
        <v>2008</v>
      </c>
      <c r="B14" s="13">
        <v>576960.60692933341</v>
      </c>
      <c r="C14" s="13">
        <v>461896.28095689428</v>
      </c>
      <c r="D14" s="13">
        <v>0</v>
      </c>
      <c r="E14" s="13">
        <v>219388.78261215033</v>
      </c>
      <c r="F14" s="13">
        <v>226214.66362417926</v>
      </c>
      <c r="G14" s="13">
        <v>0</v>
      </c>
      <c r="H14" s="13">
        <v>0</v>
      </c>
      <c r="I14" s="13">
        <v>4103.462825330711</v>
      </c>
      <c r="J14" s="20">
        <v>0</v>
      </c>
      <c r="K14" s="20">
        <v>0</v>
      </c>
      <c r="L14" s="20">
        <v>0</v>
      </c>
      <c r="M14" s="20">
        <v>0</v>
      </c>
      <c r="N14" s="20">
        <v>0</v>
      </c>
      <c r="O14" s="20">
        <v>0</v>
      </c>
      <c r="P14" s="20">
        <v>1524584.7350186543</v>
      </c>
      <c r="Q14" s="20">
        <v>0</v>
      </c>
      <c r="R14" s="20">
        <f t="shared" si="0"/>
        <v>3013148.5319665424</v>
      </c>
      <c r="S14" s="271">
        <v>3023324.347745738</v>
      </c>
      <c r="T14" s="15">
        <f t="shared" si="1"/>
        <v>-1647890.9321325021</v>
      </c>
      <c r="U14" s="15">
        <f t="shared" si="2"/>
        <v>-1584221.9582187668</v>
      </c>
      <c r="V14" s="15"/>
      <c r="W14" s="15">
        <f t="shared" si="3"/>
        <v>1750799.3986428336</v>
      </c>
      <c r="X14" s="15">
        <f t="shared" si="4"/>
        <v>1258245.6704983781</v>
      </c>
      <c r="Y14" s="257">
        <f t="shared" si="5"/>
        <v>0.58105313431069661</v>
      </c>
      <c r="Z14" s="257">
        <f t="shared" si="6"/>
        <v>0.41758501353306321</v>
      </c>
    </row>
    <row r="15" spans="1:26">
      <c r="A15" s="12">
        <v>2009</v>
      </c>
      <c r="B15" s="13">
        <v>709399.03504364204</v>
      </c>
      <c r="C15" s="13">
        <v>560347.19555775146</v>
      </c>
      <c r="D15" s="13">
        <v>0</v>
      </c>
      <c r="E15" s="13">
        <v>261561.93410711564</v>
      </c>
      <c r="F15" s="13">
        <v>296818.59991111967</v>
      </c>
      <c r="G15" s="13">
        <v>0</v>
      </c>
      <c r="H15" s="13">
        <v>0</v>
      </c>
      <c r="I15" s="13">
        <v>5471.283767107614</v>
      </c>
      <c r="J15" s="20">
        <v>34162.871651658126</v>
      </c>
      <c r="K15" s="20">
        <v>0</v>
      </c>
      <c r="L15" s="20">
        <v>0</v>
      </c>
      <c r="M15" s="20">
        <v>0</v>
      </c>
      <c r="N15" s="20">
        <v>17070.073138240936</v>
      </c>
      <c r="O15" s="20">
        <v>0</v>
      </c>
      <c r="P15" s="20">
        <v>1841767.2815556729</v>
      </c>
      <c r="Q15" s="20">
        <v>0</v>
      </c>
      <c r="R15" s="20">
        <f t="shared" si="0"/>
        <v>3726598.2747323085</v>
      </c>
      <c r="S15" s="271">
        <v>3799038.6550744944</v>
      </c>
      <c r="T15" s="15">
        <f t="shared" si="1"/>
        <v>-2038076.5964510997</v>
      </c>
      <c r="U15" s="15">
        <f t="shared" si="2"/>
        <v>-1990696.2552590352</v>
      </c>
      <c r="V15" s="15"/>
      <c r="W15" s="15">
        <f t="shared" si="3"/>
        <v>2138585.8814667924</v>
      </c>
      <c r="X15" s="15">
        <f t="shared" si="4"/>
        <v>1531308.1647085093</v>
      </c>
      <c r="Y15" s="257">
        <f t="shared" si="5"/>
        <v>0.57387078611804831</v>
      </c>
      <c r="Z15" s="257">
        <f t="shared" si="6"/>
        <v>0.41091313090851128</v>
      </c>
    </row>
    <row r="16" spans="1:26">
      <c r="A16" s="12">
        <v>2010</v>
      </c>
      <c r="B16" s="13">
        <v>849106.40951886517</v>
      </c>
      <c r="C16" s="13">
        <v>695991.72240568651</v>
      </c>
      <c r="D16" s="13">
        <v>709.89780195781111</v>
      </c>
      <c r="E16" s="13">
        <v>309822.22827948508</v>
      </c>
      <c r="F16" s="13">
        <v>385627.45961878035</v>
      </c>
      <c r="G16" s="13">
        <v>0</v>
      </c>
      <c r="H16" s="13">
        <v>7406.2041830256194</v>
      </c>
      <c r="I16" s="13">
        <v>6839.104708884518</v>
      </c>
      <c r="J16" s="20">
        <v>69368.932891923832</v>
      </c>
      <c r="K16" s="20">
        <v>0</v>
      </c>
      <c r="L16" s="20">
        <v>0</v>
      </c>
      <c r="M16" s="20">
        <v>0</v>
      </c>
      <c r="N16" s="20">
        <v>27247.048442467327</v>
      </c>
      <c r="O16" s="20">
        <v>0</v>
      </c>
      <c r="P16" s="20">
        <v>2141886.9768811991</v>
      </c>
      <c r="Q16" s="20">
        <v>0</v>
      </c>
      <c r="R16" s="20">
        <f t="shared" si="0"/>
        <v>4494005.9847322758</v>
      </c>
      <c r="S16" s="271">
        <v>4574660.3722333759</v>
      </c>
      <c r="T16" s="15">
        <f t="shared" si="1"/>
        <v>-2457771.873050082</v>
      </c>
      <c r="U16" s="15">
        <f t="shared" si="2"/>
        <v>-2397122.0350502892</v>
      </c>
      <c r="V16" s="15"/>
      <c r="W16" s="15">
        <f t="shared" si="3"/>
        <v>2527514.4364999793</v>
      </c>
      <c r="X16" s="15">
        <f t="shared" si="4"/>
        <v>1855630.2580059946</v>
      </c>
      <c r="Y16" s="257">
        <f t="shared" si="5"/>
        <v>0.56241901881903089</v>
      </c>
      <c r="Z16" s="257">
        <f t="shared" si="6"/>
        <v>0.41291228011494097</v>
      </c>
    </row>
    <row r="17" spans="1:26">
      <c r="A17" s="12">
        <v>2011</v>
      </c>
      <c r="B17" s="13">
        <v>1011440.3367795518</v>
      </c>
      <c r="C17" s="13">
        <v>843431.57779669075</v>
      </c>
      <c r="D17" s="13">
        <v>1479.1182465556058</v>
      </c>
      <c r="E17" s="13">
        <v>362279.12395562162</v>
      </c>
      <c r="F17" s="13">
        <v>486987.16839509062</v>
      </c>
      <c r="G17" s="13">
        <v>0</v>
      </c>
      <c r="H17" s="13">
        <v>15427.59404145056</v>
      </c>
      <c r="I17" s="13">
        <v>7929.3704728207504</v>
      </c>
      <c r="J17" s="20">
        <v>106945.69727851899</v>
      </c>
      <c r="K17" s="20">
        <v>0</v>
      </c>
      <c r="L17" s="20">
        <v>0</v>
      </c>
      <c r="M17" s="20">
        <v>0</v>
      </c>
      <c r="N17" s="20">
        <v>36899.194864462683</v>
      </c>
      <c r="O17" s="20">
        <v>0</v>
      </c>
      <c r="P17" s="20">
        <v>2418197.2220279546</v>
      </c>
      <c r="Q17" s="20">
        <v>0</v>
      </c>
      <c r="R17" s="20">
        <f t="shared" si="0"/>
        <v>5291016.4038587175</v>
      </c>
      <c r="S17" s="271">
        <v>5379579.426783463</v>
      </c>
      <c r="T17" s="15">
        <f t="shared" si="1"/>
        <v>-2893656.871270333</v>
      </c>
      <c r="U17" s="15">
        <f t="shared" si="2"/>
        <v>-2818899.6196345347</v>
      </c>
      <c r="V17" s="15"/>
      <c r="W17" s="15">
        <f t="shared" si="3"/>
        <v>2905184.3904230455</v>
      </c>
      <c r="X17" s="15">
        <f t="shared" si="4"/>
        <v>2218630.1567784199</v>
      </c>
      <c r="Y17" s="257">
        <f t="shared" si="5"/>
        <v>0.54907869654388253</v>
      </c>
      <c r="Z17" s="257">
        <f t="shared" si="6"/>
        <v>0.41932021892058047</v>
      </c>
    </row>
    <row r="18" spans="1:26">
      <c r="A18" s="12">
        <v>2012</v>
      </c>
      <c r="B18" s="13">
        <v>1175540.462624307</v>
      </c>
      <c r="C18" s="13">
        <v>989584.48868637835</v>
      </c>
      <c r="D18" s="13">
        <v>2241.857096710035</v>
      </c>
      <c r="E18" s="13">
        <v>414278.14402365015</v>
      </c>
      <c r="F18" s="13">
        <v>586977.50063078373</v>
      </c>
      <c r="G18" s="13">
        <v>0</v>
      </c>
      <c r="H18" s="13">
        <v>23402.373449901013</v>
      </c>
      <c r="I18" s="13">
        <v>9019.6362367569818</v>
      </c>
      <c r="J18" s="20">
        <v>144263.80304723146</v>
      </c>
      <c r="K18" s="20">
        <v>0</v>
      </c>
      <c r="L18" s="20">
        <v>0</v>
      </c>
      <c r="M18" s="20">
        <v>0</v>
      </c>
      <c r="N18" s="20">
        <v>51960.820867943905</v>
      </c>
      <c r="O18" s="20">
        <v>1898.3138067888226</v>
      </c>
      <c r="P18" s="20">
        <v>2668965.2592229559</v>
      </c>
      <c r="Q18" s="20">
        <v>0</v>
      </c>
      <c r="R18" s="20">
        <f t="shared" si="0"/>
        <v>6068132.6596934088</v>
      </c>
      <c r="S18" s="271">
        <v>6172940.7100143116</v>
      </c>
      <c r="T18" s="15">
        <f t="shared" si="1"/>
        <v>-3318661.7515863255</v>
      </c>
      <c r="U18" s="15">
        <f t="shared" si="2"/>
        <v>-3234620.9320474993</v>
      </c>
      <c r="V18" s="15"/>
      <c r="W18" s="15">
        <f t="shared" si="3"/>
        <v>3257841.0736605288</v>
      </c>
      <c r="X18" s="15">
        <f t="shared" si="4"/>
        <v>2581644.9524310459</v>
      </c>
      <c r="Y18" s="257">
        <f t="shared" si="5"/>
        <v>0.53687703555003208</v>
      </c>
      <c r="Z18" s="257">
        <f t="shared" si="6"/>
        <v>0.42544306415369026</v>
      </c>
    </row>
    <row r="19" spans="1:26">
      <c r="A19" s="12">
        <v>2013</v>
      </c>
      <c r="B19" s="13">
        <v>1351091.8860480848</v>
      </c>
      <c r="C19" s="13">
        <v>1141631.405865811</v>
      </c>
      <c r="D19" s="13">
        <v>3034.234692971761</v>
      </c>
      <c r="E19" s="13">
        <v>468374.16338834772</v>
      </c>
      <c r="F19" s="13">
        <v>693239.3651160592</v>
      </c>
      <c r="G19" s="13">
        <v>913.6251409127774</v>
      </c>
      <c r="H19" s="13">
        <v>31590.621492808154</v>
      </c>
      <c r="I19" s="13">
        <v>10109.902000693215</v>
      </c>
      <c r="J19" s="20">
        <v>182766.52518373475</v>
      </c>
      <c r="K19" s="20">
        <v>0</v>
      </c>
      <c r="L19" s="20">
        <v>0</v>
      </c>
      <c r="M19" s="20">
        <v>0</v>
      </c>
      <c r="N19" s="20">
        <v>72610.737659884762</v>
      </c>
      <c r="O19" s="20">
        <v>8739.2989568862758</v>
      </c>
      <c r="P19" s="20">
        <v>2910110.5878092027</v>
      </c>
      <c r="Q19" s="20">
        <v>318274.42528963659</v>
      </c>
      <c r="R19" s="20">
        <f t="shared" si="0"/>
        <v>7192486.7786450339</v>
      </c>
      <c r="S19" s="271">
        <v>7356637.4233127683</v>
      </c>
      <c r="T19" s="15">
        <f t="shared" si="1"/>
        <v>-3933571.0192409693</v>
      </c>
      <c r="U19" s="15">
        <f t="shared" si="2"/>
        <v>-3854878.0098158908</v>
      </c>
      <c r="V19" s="15"/>
      <c r="W19" s="15">
        <f t="shared" si="3"/>
        <v>3931277.3023126977</v>
      </c>
      <c r="X19" s="15">
        <f t="shared" si="4"/>
        <v>2964131.6899952153</v>
      </c>
      <c r="Y19" s="257">
        <f t="shared" si="5"/>
        <v>0.54658109542653854</v>
      </c>
      <c r="Z19" s="257">
        <f t="shared" si="6"/>
        <v>0.41211500016877572</v>
      </c>
    </row>
    <row r="20" spans="1:26">
      <c r="A20" s="12">
        <v>2014</v>
      </c>
      <c r="B20" s="13">
        <v>1536091.2737030308</v>
      </c>
      <c r="C20" s="13">
        <v>1310653.4246213259</v>
      </c>
      <c r="D20" s="13">
        <v>3911.9566272114871</v>
      </c>
      <c r="E20" s="13">
        <v>528509.67004165449</v>
      </c>
      <c r="F20" s="13">
        <v>817563.6292223793</v>
      </c>
      <c r="G20" s="13">
        <v>3585.9331665429354</v>
      </c>
      <c r="H20" s="13">
        <v>40393.672366773171</v>
      </c>
      <c r="I20" s="13">
        <v>11200.167764629448</v>
      </c>
      <c r="J20" s="20">
        <v>224681.01551039427</v>
      </c>
      <c r="K20" s="20">
        <v>0</v>
      </c>
      <c r="L20" s="20">
        <v>0</v>
      </c>
      <c r="M20" s="20">
        <v>0</v>
      </c>
      <c r="N20" s="20">
        <v>94917.383022124384</v>
      </c>
      <c r="O20" s="20">
        <v>27881.927055933254</v>
      </c>
      <c r="P20" s="20">
        <v>3149052.5391629003</v>
      </c>
      <c r="Q20" s="20">
        <v>636505.84872170922</v>
      </c>
      <c r="R20" s="20">
        <f t="shared" si="0"/>
        <v>8384948.4409866082</v>
      </c>
      <c r="S20" s="271">
        <v>8562844.4359336179</v>
      </c>
      <c r="T20" s="15">
        <f t="shared" si="1"/>
        <v>-4585728.3023755765</v>
      </c>
      <c r="U20" s="15">
        <f t="shared" si="2"/>
        <v>-4486930.484429216</v>
      </c>
      <c r="V20" s="15"/>
      <c r="W20" s="15">
        <f t="shared" si="3"/>
        <v>4634589.877329465</v>
      </c>
      <c r="X20" s="15">
        <f t="shared" si="4"/>
        <v>3379166.324993223</v>
      </c>
      <c r="Y20" s="257">
        <f t="shared" si="5"/>
        <v>0.5527272958143723</v>
      </c>
      <c r="Z20" s="257">
        <f t="shared" si="6"/>
        <v>0.40300382867895324</v>
      </c>
    </row>
    <row r="21" spans="1:26">
      <c r="A21" s="12">
        <v>2015</v>
      </c>
      <c r="B21" s="13">
        <v>1806021.7744174907</v>
      </c>
      <c r="C21" s="13">
        <v>1496801.5332590095</v>
      </c>
      <c r="D21" s="13">
        <v>4875.8055068079393</v>
      </c>
      <c r="E21" s="13">
        <v>594738.38336493773</v>
      </c>
      <c r="F21" s="13">
        <v>960110.95243742561</v>
      </c>
      <c r="G21" s="13">
        <v>8488.3435991066199</v>
      </c>
      <c r="H21" s="13">
        <v>49816.994553832563</v>
      </c>
      <c r="I21" s="13">
        <v>12290.433528565682</v>
      </c>
      <c r="J21" s="20">
        <v>270037.62065562169</v>
      </c>
      <c r="K21" s="20">
        <v>39903.391836208277</v>
      </c>
      <c r="L21" s="20">
        <v>15001.031043146464</v>
      </c>
      <c r="M21" s="20">
        <v>43993.963355618325</v>
      </c>
      <c r="N21" s="20">
        <v>137560.44604111684</v>
      </c>
      <c r="O21" s="20">
        <v>64530.190347438183</v>
      </c>
      <c r="P21" s="20">
        <v>3385636.2346315514</v>
      </c>
      <c r="Q21" s="20">
        <v>950478.78854926128</v>
      </c>
      <c r="R21" s="20">
        <f t="shared" si="0"/>
        <v>9840285.8871271368</v>
      </c>
      <c r="S21" s="271">
        <v>10025678.894340182</v>
      </c>
      <c r="T21" s="15">
        <f t="shared" si="1"/>
        <v>-5381652.3516698312</v>
      </c>
      <c r="U21" s="15">
        <f t="shared" si="2"/>
        <v>-5253455.7406342551</v>
      </c>
      <c r="V21" s="15"/>
      <c r="W21" s="15">
        <f t="shared" si="3"/>
        <v>5369244.5095647825</v>
      </c>
      <c r="X21" s="15">
        <f t="shared" si="4"/>
        <v>3902437.4965482457</v>
      </c>
      <c r="Y21" s="257">
        <f t="shared" si="5"/>
        <v>0.54563907707079118</v>
      </c>
      <c r="Z21" s="257">
        <f t="shared" si="6"/>
        <v>0.39657765448190235</v>
      </c>
    </row>
    <row r="22" spans="1:26">
      <c r="A22" s="12">
        <v>2016</v>
      </c>
      <c r="B22" s="13">
        <v>2068422.5563447899</v>
      </c>
      <c r="C22" s="13">
        <v>1664041.7855643516</v>
      </c>
      <c r="D22" s="13">
        <v>5744.5976901894146</v>
      </c>
      <c r="E22" s="13">
        <v>654239.96416048903</v>
      </c>
      <c r="F22" s="13">
        <v>1082539.3234611524</v>
      </c>
      <c r="G22" s="13">
        <v>21330.339049635277</v>
      </c>
      <c r="H22" s="13">
        <v>58555.513557225786</v>
      </c>
      <c r="I22" s="13">
        <v>13380.699292501913</v>
      </c>
      <c r="J22" s="20">
        <v>311593.99977630452</v>
      </c>
      <c r="K22" s="20">
        <v>78813.537238709076</v>
      </c>
      <c r="L22" s="20">
        <v>28626.63722906377</v>
      </c>
      <c r="M22" s="20">
        <v>86892.860723187623</v>
      </c>
      <c r="N22" s="20">
        <v>183490.29237909737</v>
      </c>
      <c r="O22" s="20">
        <v>125648.58233071771</v>
      </c>
      <c r="P22" s="20">
        <v>3591361.4449216984</v>
      </c>
      <c r="Q22" s="20">
        <v>1221087.5400246291</v>
      </c>
      <c r="R22" s="20">
        <f t="shared" si="0"/>
        <v>11195769.673743742</v>
      </c>
      <c r="S22" s="271">
        <v>11541466.554671986</v>
      </c>
      <c r="T22" s="15">
        <f t="shared" si="1"/>
        <v>-6122966.4345704531</v>
      </c>
      <c r="U22" s="15">
        <f t="shared" si="2"/>
        <v>-6047728.4746481208</v>
      </c>
      <c r="V22" s="15"/>
      <c r="W22" s="15">
        <f t="shared" si="3"/>
        <v>6041967.2297878331</v>
      </c>
      <c r="X22" s="15">
        <f t="shared" si="4"/>
        <v>4392448.9037598195</v>
      </c>
      <c r="Y22" s="257">
        <f t="shared" si="5"/>
        <v>0.53966519550303205</v>
      </c>
      <c r="Z22" s="257">
        <f t="shared" si="6"/>
        <v>0.39233112432287409</v>
      </c>
    </row>
    <row r="23" spans="1:26">
      <c r="A23" s="12">
        <v>2017</v>
      </c>
      <c r="B23" s="13">
        <v>2331013.1893770639</v>
      </c>
      <c r="C23" s="13">
        <v>1829319.3673579388</v>
      </c>
      <c r="D23" s="13">
        <v>6603.5169804871621</v>
      </c>
      <c r="E23" s="13">
        <v>713043.25613848423</v>
      </c>
      <c r="F23" s="13">
        <v>1213637.1052156545</v>
      </c>
      <c r="G23" s="13">
        <v>40242.954200621709</v>
      </c>
      <c r="H23" s="13">
        <v>72417.38382783487</v>
      </c>
      <c r="I23" s="13">
        <v>14470.965056438146</v>
      </c>
      <c r="J23" s="20">
        <v>357901.1469736789</v>
      </c>
      <c r="K23" s="20">
        <v>117748.72593144153</v>
      </c>
      <c r="L23" s="20">
        <v>42109.47176699694</v>
      </c>
      <c r="M23" s="20">
        <v>129819.36861562867</v>
      </c>
      <c r="N23" s="20">
        <v>227303.30462023482</v>
      </c>
      <c r="O23" s="20">
        <v>289060.86206986761</v>
      </c>
      <c r="P23" s="20">
        <v>3765966.9199525118</v>
      </c>
      <c r="Q23" s="20">
        <v>1432712.6940073648</v>
      </c>
      <c r="R23" s="20">
        <f t="shared" si="0"/>
        <v>12583370.232092248</v>
      </c>
      <c r="S23" s="271">
        <v>13066938.134362236</v>
      </c>
      <c r="T23" s="15">
        <f t="shared" si="1"/>
        <v>-6881845.1799312513</v>
      </c>
      <c r="U23" s="15">
        <f t="shared" si="2"/>
        <v>-6847075.5824058121</v>
      </c>
      <c r="V23" s="15"/>
      <c r="W23" s="15">
        <f t="shared" si="3"/>
        <v>6741620.5354460208</v>
      </c>
      <c r="X23" s="15">
        <f t="shared" si="4"/>
        <v>4879979.3298539743</v>
      </c>
      <c r="Y23" s="257">
        <f t="shared" si="5"/>
        <v>0.53575635232065211</v>
      </c>
      <c r="Z23" s="257">
        <f t="shared" si="6"/>
        <v>0.3878117896752511</v>
      </c>
    </row>
    <row r="24" spans="1:26">
      <c r="A24" s="12">
        <v>2018</v>
      </c>
      <c r="B24" s="13">
        <v>2592963.7091438556</v>
      </c>
      <c r="C24" s="13">
        <v>1992295.6486679697</v>
      </c>
      <c r="D24" s="13">
        <v>7450.8376280970033</v>
      </c>
      <c r="E24" s="13">
        <v>771027.77981895616</v>
      </c>
      <c r="F24" s="13">
        <v>1342067.280400218</v>
      </c>
      <c r="G24" s="13">
        <v>66218.171098081788</v>
      </c>
      <c r="H24" s="13">
        <v>86145.954747696349</v>
      </c>
      <c r="I24" s="13">
        <v>15561.230820374378</v>
      </c>
      <c r="J24" s="20">
        <v>408775.36950820347</v>
      </c>
      <c r="K24" s="20">
        <v>156599.47717888822</v>
      </c>
      <c r="L24" s="20">
        <v>57149.68622290167</v>
      </c>
      <c r="M24" s="20">
        <v>182050.40912976291</v>
      </c>
      <c r="N24" s="20">
        <v>282075.99718141934</v>
      </c>
      <c r="O24" s="20">
        <v>481574.39555053541</v>
      </c>
      <c r="P24" s="20">
        <v>3878082.8693543654</v>
      </c>
      <c r="Q24" s="20">
        <v>1446957.8421981528</v>
      </c>
      <c r="R24" s="20">
        <f t="shared" si="0"/>
        <v>13766996.658649476</v>
      </c>
      <c r="S24" s="271">
        <v>14356457.736845415</v>
      </c>
      <c r="T24" s="15">
        <f t="shared" si="1"/>
        <v>-7529170.4726153994</v>
      </c>
      <c r="U24" s="15">
        <f t="shared" si="2"/>
        <v>-7522783.8541069981</v>
      </c>
      <c r="V24" s="15"/>
      <c r="W24" s="15">
        <f t="shared" si="3"/>
        <v>7214900.5586013533</v>
      </c>
      <c r="X24" s="15">
        <f t="shared" si="4"/>
        <v>5363737.9752588784</v>
      </c>
      <c r="Y24" s="257">
        <f t="shared" si="5"/>
        <v>0.52407222413818222</v>
      </c>
      <c r="Z24" s="257">
        <f t="shared" si="6"/>
        <v>0.38960843154479663</v>
      </c>
    </row>
    <row r="25" spans="1:26">
      <c r="A25" s="12">
        <v>2019</v>
      </c>
      <c r="B25" s="13">
        <v>2853878.7157982639</v>
      </c>
      <c r="C25" s="13">
        <v>2154456.4923439901</v>
      </c>
      <c r="D25" s="13">
        <v>8294.084703967017</v>
      </c>
      <c r="E25" s="13">
        <v>828722.18298361544</v>
      </c>
      <c r="F25" s="13">
        <v>1469552.2218765374</v>
      </c>
      <c r="G25" s="13">
        <v>99394.840274000395</v>
      </c>
      <c r="H25" s="13">
        <v>99827.292675619305</v>
      </c>
      <c r="I25" s="13">
        <v>16651.496584310611</v>
      </c>
      <c r="J25" s="20">
        <v>459444.72698136995</v>
      </c>
      <c r="K25" s="20">
        <v>203837.4656380057</v>
      </c>
      <c r="L25" s="20">
        <v>72130.582839088456</v>
      </c>
      <c r="M25" s="20">
        <v>233803.9364519552</v>
      </c>
      <c r="N25" s="20">
        <v>333467.1197917675</v>
      </c>
      <c r="O25" s="20">
        <v>734890.23323373788</v>
      </c>
      <c r="P25" s="20">
        <v>3977818.631882431</v>
      </c>
      <c r="Q25" s="20">
        <v>1457999.8221043961</v>
      </c>
      <c r="R25" s="20">
        <f t="shared" si="0"/>
        <v>15004169.846163057</v>
      </c>
      <c r="S25" s="271">
        <v>15632901.603904948</v>
      </c>
      <c r="T25" s="15">
        <f t="shared" si="1"/>
        <v>-8205780.4888665769</v>
      </c>
      <c r="U25" s="15">
        <f>S25*-0.524</f>
        <v>-8191640.4404461933</v>
      </c>
      <c r="V25" s="15"/>
      <c r="W25" s="15">
        <f t="shared" si="3"/>
        <v>7739655.749371103</v>
      </c>
      <c r="X25" s="15">
        <f t="shared" si="4"/>
        <v>5845351.4758298369</v>
      </c>
      <c r="Y25" s="257">
        <f t="shared" si="5"/>
        <v>0.51583365349268739</v>
      </c>
      <c r="Z25" s="257">
        <f t="shared" si="6"/>
        <v>0.38958179864410425</v>
      </c>
    </row>
    <row r="26" spans="1:26">
      <c r="A26" s="12">
        <v>2020</v>
      </c>
      <c r="B26" s="13">
        <v>3113015.7818627823</v>
      </c>
      <c r="C26" s="13">
        <v>2262021.8180152983</v>
      </c>
      <c r="D26" s="13">
        <v>9133.759879493804</v>
      </c>
      <c r="E26" s="13">
        <v>839751.19514835428</v>
      </c>
      <c r="F26" s="13">
        <v>1596216.964859264</v>
      </c>
      <c r="G26" s="13">
        <v>139703.12657481557</v>
      </c>
      <c r="H26" s="13">
        <v>106061.44139374689</v>
      </c>
      <c r="I26" s="13">
        <v>17741.762348246837</v>
      </c>
      <c r="J26" s="20">
        <v>509936.31887841318</v>
      </c>
      <c r="K26" s="20">
        <v>250544.40649108638</v>
      </c>
      <c r="L26" s="20">
        <v>87060.008160551108</v>
      </c>
      <c r="M26" s="20">
        <v>277531.96618478152</v>
      </c>
      <c r="N26" s="20">
        <v>378776.5020698139</v>
      </c>
      <c r="O26" s="20">
        <v>1034767.405728768</v>
      </c>
      <c r="P26" s="20">
        <v>4065390.3708091993</v>
      </c>
      <c r="Q26" s="20">
        <v>1466271.456739397</v>
      </c>
      <c r="R26" s="20">
        <f t="shared" si="0"/>
        <v>16153924.285144014</v>
      </c>
      <c r="S26" s="271">
        <v>16791718.821807139</v>
      </c>
      <c r="T26" s="15">
        <f t="shared" si="1"/>
        <v>-8834581.1915452629</v>
      </c>
      <c r="U26" s="15">
        <f t="shared" si="2"/>
        <v>-8798860.6626269408</v>
      </c>
      <c r="V26" s="15"/>
      <c r="W26" s="15">
        <f t="shared" si="3"/>
        <v>8302349.3247114429</v>
      </c>
      <c r="X26" s="15">
        <f t="shared" si="4"/>
        <v>6223922.5549059287</v>
      </c>
      <c r="Y26" s="257">
        <f t="shared" si="5"/>
        <v>0.51395247236281238</v>
      </c>
      <c r="Z26" s="257">
        <f t="shared" si="6"/>
        <v>0.38528858035008684</v>
      </c>
    </row>
    <row r="27" spans="1:26">
      <c r="A27" s="12">
        <v>2021</v>
      </c>
      <c r="B27" s="13">
        <v>3327241.4258454787</v>
      </c>
      <c r="C27" s="13">
        <v>2318932.5234293859</v>
      </c>
      <c r="D27" s="13">
        <v>9971.428369434394</v>
      </c>
      <c r="E27" s="13">
        <v>850637.96716427791</v>
      </c>
      <c r="F27" s="13">
        <v>1722418.279108088</v>
      </c>
      <c r="G27" s="13">
        <v>184504.74154708051</v>
      </c>
      <c r="H27" s="13">
        <v>112641.1164433705</v>
      </c>
      <c r="I27" s="13">
        <v>18832.028112183067</v>
      </c>
      <c r="J27" s="20">
        <v>526164.59797873721</v>
      </c>
      <c r="K27" s="20">
        <v>289830.59514223889</v>
      </c>
      <c r="L27" s="20">
        <v>101960.351159707</v>
      </c>
      <c r="M27" s="20">
        <v>318604.57965406764</v>
      </c>
      <c r="N27" s="20">
        <v>437213.92518315965</v>
      </c>
      <c r="O27" s="20">
        <v>1383727.3817543457</v>
      </c>
      <c r="P27" s="20">
        <v>4134868.5572393909</v>
      </c>
      <c r="Q27" s="20">
        <v>1466271.456739397</v>
      </c>
      <c r="R27" s="20">
        <f t="shared" si="0"/>
        <v>17203820.954870343</v>
      </c>
      <c r="S27" s="271">
        <v>17662795.824254759</v>
      </c>
      <c r="T27" s="15">
        <f t="shared" si="1"/>
        <v>-9408769.6802185923</v>
      </c>
      <c r="U27" s="15">
        <f t="shared" si="2"/>
        <v>-9255305.0119094942</v>
      </c>
      <c r="V27" s="15"/>
      <c r="W27" s="15">
        <f t="shared" si="3"/>
        <v>8891790.4163883012</v>
      </c>
      <c r="X27" s="15">
        <f t="shared" si="4"/>
        <v>6506783.3448085766</v>
      </c>
      <c r="Y27" s="257">
        <f t="shared" si="5"/>
        <v>0.51684974167736064</v>
      </c>
      <c r="Z27" s="257">
        <f t="shared" si="6"/>
        <v>0.37821733682752195</v>
      </c>
    </row>
    <row r="28" spans="1:26">
      <c r="A28" s="12">
        <v>2022</v>
      </c>
      <c r="B28" s="13">
        <v>3532367.1704642097</v>
      </c>
      <c r="C28" s="13">
        <v>2376132.1240741285</v>
      </c>
      <c r="D28" s="13">
        <v>10810.561739852939</v>
      </c>
      <c r="E28" s="13">
        <v>861627.52378301951</v>
      </c>
      <c r="F28" s="13">
        <v>1848954.4730568151</v>
      </c>
      <c r="G28" s="13">
        <v>234078.35848610892</v>
      </c>
      <c r="H28" s="13">
        <v>119209.5914481012</v>
      </c>
      <c r="I28" s="13">
        <v>19922.2938761193</v>
      </c>
      <c r="J28" s="20">
        <v>542726.25456902012</v>
      </c>
      <c r="K28" s="20">
        <v>327109.10677712847</v>
      </c>
      <c r="L28" s="20">
        <v>116881.7094275636</v>
      </c>
      <c r="M28" s="20">
        <v>363039.68470363686</v>
      </c>
      <c r="N28" s="20">
        <v>488896.74703357689</v>
      </c>
      <c r="O28" s="20">
        <v>1970590.6808354482</v>
      </c>
      <c r="P28" s="20">
        <v>4186920.429215638</v>
      </c>
      <c r="Q28" s="20">
        <v>1466271.456739397</v>
      </c>
      <c r="R28" s="20">
        <f t="shared" si="0"/>
        <v>18465538.166229762</v>
      </c>
      <c r="S28" s="271">
        <v>18440751.631983571</v>
      </c>
      <c r="T28" s="15">
        <f t="shared" si="1"/>
        <v>-10098802.823111057</v>
      </c>
      <c r="U28" s="15">
        <f t="shared" si="2"/>
        <v>-9662953.8551593907</v>
      </c>
      <c r="V28" s="15"/>
      <c r="W28" s="15">
        <f t="shared" si="3"/>
        <v>9706815.3983334061</v>
      </c>
      <c r="X28" s="15">
        <f t="shared" si="4"/>
        <v>6780937.3800612101</v>
      </c>
      <c r="Y28" s="257">
        <f t="shared" si="5"/>
        <v>0.52567194689648811</v>
      </c>
      <c r="Z28" s="257">
        <f t="shared" si="6"/>
        <v>0.36722121603053831</v>
      </c>
    </row>
    <row r="29" spans="1:26">
      <c r="A29" s="12">
        <v>2023</v>
      </c>
      <c r="B29" s="13">
        <v>3517404.0626986953</v>
      </c>
      <c r="C29" s="13">
        <v>2432933.3047728818</v>
      </c>
      <c r="D29" s="13">
        <v>11647.668357829332</v>
      </c>
      <c r="E29" s="13">
        <v>872475.32854310039</v>
      </c>
      <c r="F29" s="13">
        <v>1975028.8291564165</v>
      </c>
      <c r="G29" s="13">
        <v>288107.17537071521</v>
      </c>
      <c r="H29" s="13">
        <v>125882.92134754173</v>
      </c>
      <c r="I29" s="13">
        <v>21012.559640055533</v>
      </c>
      <c r="J29" s="20">
        <v>559780.49060095567</v>
      </c>
      <c r="K29" s="20">
        <v>367489.44897786324</v>
      </c>
      <c r="L29" s="20">
        <v>131774.08520857978</v>
      </c>
      <c r="M29" s="20">
        <v>407863.23293591896</v>
      </c>
      <c r="N29" s="20">
        <v>535706.33897458331</v>
      </c>
      <c r="O29" s="20">
        <v>2462714.7711068131</v>
      </c>
      <c r="P29" s="20">
        <v>4224450.6853054184</v>
      </c>
      <c r="Q29" s="20">
        <v>1466271.456739397</v>
      </c>
      <c r="R29" s="20">
        <f t="shared" si="0"/>
        <v>19400542.359736763</v>
      </c>
      <c r="T29" s="15"/>
      <c r="U29" s="15"/>
      <c r="W29" s="15">
        <f t="shared" si="3"/>
        <v>10416572.917678759</v>
      </c>
      <c r="X29" s="15">
        <f t="shared" si="4"/>
        <v>6834460.3643725077</v>
      </c>
      <c r="Y29" s="257">
        <f t="shared" si="5"/>
        <v>0.53692173778074193</v>
      </c>
      <c r="Z29" s="257">
        <f t="shared" si="6"/>
        <v>0.35228192272379549</v>
      </c>
    </row>
    <row r="30" spans="1:26">
      <c r="A30" s="12">
        <v>2024</v>
      </c>
      <c r="B30" s="13">
        <v>3439420.9980045538</v>
      </c>
      <c r="C30" s="13">
        <v>2482251.3651065812</v>
      </c>
      <c r="D30" s="13">
        <v>12482.306752534834</v>
      </c>
      <c r="E30" s="13">
        <v>883147.91516874311</v>
      </c>
      <c r="F30" s="13">
        <v>2100532.3118501701</v>
      </c>
      <c r="G30" s="13">
        <v>346506.48939224862</v>
      </c>
      <c r="H30" s="13">
        <v>132896.17916603279</v>
      </c>
      <c r="I30" s="13">
        <v>22102.825403991759</v>
      </c>
      <c r="J30" s="20">
        <v>576646.33383130038</v>
      </c>
      <c r="K30" s="20">
        <v>408230.64215996495</v>
      </c>
      <c r="L30" s="20">
        <v>146630.63601118905</v>
      </c>
      <c r="M30" s="20">
        <v>453145.29955867451</v>
      </c>
      <c r="N30" s="20">
        <v>593348.51103077945</v>
      </c>
      <c r="O30" s="20">
        <v>2880535.5587236811</v>
      </c>
      <c r="P30" s="20">
        <v>4249562.6863526944</v>
      </c>
      <c r="Q30" s="20">
        <v>1466271.456739397</v>
      </c>
      <c r="R30" s="20">
        <f t="shared" si="0"/>
        <v>20193711.515252538</v>
      </c>
      <c r="T30" s="15"/>
      <c r="U30" s="15"/>
      <c r="W30" s="15">
        <f t="shared" si="3"/>
        <v>11043408.503058191</v>
      </c>
      <c r="X30" s="15">
        <f t="shared" si="4"/>
        <v>6817302.5850324128</v>
      </c>
      <c r="Y30" s="257">
        <f t="shared" si="5"/>
        <v>0.54687363908893027</v>
      </c>
      <c r="Z30" s="257">
        <f t="shared" si="6"/>
        <v>0.33759532416233773</v>
      </c>
    </row>
    <row r="31" spans="1:26">
      <c r="A31" s="12">
        <v>2025</v>
      </c>
      <c r="B31" s="13">
        <v>3454656.7357626795</v>
      </c>
      <c r="C31" s="13">
        <v>2513035.7456487315</v>
      </c>
      <c r="D31" s="13">
        <v>12637.102478648889</v>
      </c>
      <c r="E31" s="13">
        <v>894100.53740424034</v>
      </c>
      <c r="F31" s="13">
        <v>2226948.1708962205</v>
      </c>
      <c r="G31" s="13">
        <v>409979.04482170456</v>
      </c>
      <c r="H31" s="13">
        <v>140326.75965330203</v>
      </c>
      <c r="I31" s="13">
        <v>23193.091167927993</v>
      </c>
      <c r="J31" s="20">
        <v>594006.07488169416</v>
      </c>
      <c r="K31" s="20">
        <v>449099.62242318899</v>
      </c>
      <c r="L31" s="20">
        <v>161544.44270062933</v>
      </c>
      <c r="M31" s="20">
        <v>500566.56616381876</v>
      </c>
      <c r="N31" s="20">
        <v>646144.92617227638</v>
      </c>
      <c r="O31" s="20">
        <v>3240455.6812881352</v>
      </c>
      <c r="P31" s="20">
        <v>4263763.8338592071</v>
      </c>
      <c r="Q31" s="20">
        <v>1466271.456739397</v>
      </c>
      <c r="R31" s="20">
        <f t="shared" si="0"/>
        <v>20996729.792061798</v>
      </c>
      <c r="T31" s="15"/>
      <c r="U31" s="15"/>
      <c r="W31" s="15">
        <f t="shared" si="3"/>
        <v>11607418.187604664</v>
      </c>
      <c r="X31" s="15">
        <f t="shared" si="4"/>
        <v>6874430.1212942991</v>
      </c>
      <c r="Y31" s="257">
        <f t="shared" si="5"/>
        <v>0.55282028689977536</v>
      </c>
      <c r="Z31" s="257">
        <f t="shared" si="6"/>
        <v>0.32740480014622586</v>
      </c>
    </row>
    <row r="32" spans="1:26">
      <c r="A32" s="12">
        <v>2026</v>
      </c>
      <c r="B32" s="13">
        <v>3473413.2201326457</v>
      </c>
      <c r="C32" s="13">
        <v>2544503.1696734023</v>
      </c>
      <c r="D32" s="13">
        <v>12795.369770826932</v>
      </c>
      <c r="E32" s="13">
        <v>905296.17629632808</v>
      </c>
      <c r="F32" s="13">
        <v>2354155.7958566085</v>
      </c>
      <c r="G32" s="13">
        <v>478526.95044167701</v>
      </c>
      <c r="H32" s="13">
        <v>147386.49859738437</v>
      </c>
      <c r="I32" s="13">
        <v>24283.356931864222</v>
      </c>
      <c r="J32" s="20">
        <v>612390.36122569069</v>
      </c>
      <c r="K32" s="20">
        <v>491437.71015391941</v>
      </c>
      <c r="L32" s="20">
        <v>176507.93640735597</v>
      </c>
      <c r="M32" s="20">
        <v>549194.19617237733</v>
      </c>
      <c r="N32" s="20">
        <v>692604.15752924944</v>
      </c>
      <c r="O32" s="20">
        <v>3552319.0500768051</v>
      </c>
      <c r="P32" s="20">
        <v>4274144.7898707725</v>
      </c>
      <c r="Q32" s="20">
        <v>1466271.456739397</v>
      </c>
      <c r="R32" s="20">
        <f>SUM(B32:Q32)</f>
        <v>21755230.1958763</v>
      </c>
      <c r="T32" s="15"/>
      <c r="U32" s="15"/>
      <c r="W32" s="15">
        <f t="shared" si="3"/>
        <v>12125418.042985259</v>
      </c>
      <c r="X32" s="15">
        <f t="shared" si="4"/>
        <v>6936007.935873203</v>
      </c>
      <c r="Y32" s="257">
        <f t="shared" si="5"/>
        <v>0.55735645790976873</v>
      </c>
      <c r="Z32" s="257">
        <f t="shared" si="6"/>
        <v>0.31882025027654831</v>
      </c>
    </row>
    <row r="34" spans="1:21">
      <c r="A34" s="5" t="s">
        <v>103</v>
      </c>
      <c r="R34" s="15"/>
      <c r="T34" s="270"/>
    </row>
    <row r="35" spans="1:21">
      <c r="A35" s="5" t="s">
        <v>355</v>
      </c>
    </row>
    <row r="38" spans="1:21">
      <c r="A38" s="136" t="s">
        <v>358</v>
      </c>
    </row>
    <row r="40" spans="1:21">
      <c r="A40" s="12">
        <v>2005</v>
      </c>
      <c r="B40" s="115">
        <v>0</v>
      </c>
      <c r="C40" s="115">
        <v>0</v>
      </c>
      <c r="D40" s="115">
        <v>0</v>
      </c>
      <c r="E40" s="115">
        <v>0</v>
      </c>
      <c r="F40" s="115">
        <v>0</v>
      </c>
      <c r="G40" s="115">
        <f>G11</f>
        <v>0</v>
      </c>
      <c r="H40" s="115">
        <v>0</v>
      </c>
      <c r="I40" s="115">
        <v>0</v>
      </c>
      <c r="J40" s="115">
        <v>0</v>
      </c>
      <c r="K40" s="115">
        <f>+K11</f>
        <v>0</v>
      </c>
      <c r="L40" s="115">
        <v>0</v>
      </c>
      <c r="M40" s="115">
        <v>0</v>
      </c>
      <c r="N40" s="115">
        <v>0</v>
      </c>
      <c r="O40" s="115">
        <f>+O11</f>
        <v>0</v>
      </c>
      <c r="P40" s="115">
        <v>0</v>
      </c>
      <c r="Q40" s="115">
        <v>0</v>
      </c>
      <c r="R40" s="268">
        <v>0</v>
      </c>
      <c r="S40" s="268"/>
      <c r="T40" s="266"/>
      <c r="U40" s="266"/>
    </row>
    <row r="41" spans="1:21">
      <c r="A41" s="12">
        <v>2006</v>
      </c>
      <c r="B41" s="115">
        <v>0</v>
      </c>
      <c r="C41" s="115">
        <v>0</v>
      </c>
      <c r="D41" s="115">
        <v>0</v>
      </c>
      <c r="E41" s="115">
        <v>0</v>
      </c>
      <c r="F41" s="115">
        <v>0</v>
      </c>
      <c r="G41" s="115">
        <f t="shared" ref="G41:G57" si="7">G12</f>
        <v>0</v>
      </c>
      <c r="H41" s="115">
        <v>0</v>
      </c>
      <c r="I41" s="115">
        <v>0</v>
      </c>
      <c r="J41" s="115">
        <v>0</v>
      </c>
      <c r="K41" s="115">
        <f t="shared" ref="K41:K57" si="8">+K12</f>
        <v>0</v>
      </c>
      <c r="L41" s="115">
        <v>0</v>
      </c>
      <c r="M41" s="115">
        <v>0</v>
      </c>
      <c r="N41" s="115">
        <v>0</v>
      </c>
      <c r="O41" s="115">
        <f t="shared" ref="O41:O57" si="9">+O12</f>
        <v>0</v>
      </c>
      <c r="P41" s="115">
        <v>0</v>
      </c>
      <c r="Q41" s="115">
        <v>0</v>
      </c>
      <c r="R41" s="268">
        <v>0</v>
      </c>
      <c r="T41" s="266"/>
      <c r="U41" s="266"/>
    </row>
    <row r="42" spans="1:21">
      <c r="A42" s="12">
        <v>2007</v>
      </c>
      <c r="B42" s="115">
        <v>0</v>
      </c>
      <c r="C42" s="115">
        <v>0</v>
      </c>
      <c r="D42" s="115">
        <v>0</v>
      </c>
      <c r="E42" s="115">
        <v>0</v>
      </c>
      <c r="F42" s="115">
        <v>0</v>
      </c>
      <c r="G42" s="115">
        <f t="shared" si="7"/>
        <v>0</v>
      </c>
      <c r="H42" s="115">
        <v>0</v>
      </c>
      <c r="I42" s="115">
        <v>0</v>
      </c>
      <c r="J42" s="115">
        <v>0</v>
      </c>
      <c r="K42" s="115">
        <f t="shared" si="8"/>
        <v>0</v>
      </c>
      <c r="L42" s="115">
        <v>0</v>
      </c>
      <c r="M42" s="115">
        <v>0</v>
      </c>
      <c r="N42" s="115">
        <v>0</v>
      </c>
      <c r="O42" s="115">
        <f t="shared" si="9"/>
        <v>0</v>
      </c>
      <c r="P42" s="115">
        <v>0</v>
      </c>
      <c r="Q42" s="115">
        <v>0</v>
      </c>
      <c r="R42" s="268">
        <v>0</v>
      </c>
      <c r="T42" s="266"/>
      <c r="U42" s="266"/>
    </row>
    <row r="43" spans="1:21">
      <c r="A43" s="12">
        <v>2008</v>
      </c>
      <c r="B43" s="115">
        <v>0</v>
      </c>
      <c r="C43" s="115">
        <v>0</v>
      </c>
      <c r="D43" s="115">
        <v>0</v>
      </c>
      <c r="E43" s="115">
        <v>0</v>
      </c>
      <c r="F43" s="115">
        <v>-2.2992026060819626E-9</v>
      </c>
      <c r="G43" s="115">
        <f t="shared" si="7"/>
        <v>0</v>
      </c>
      <c r="H43" s="115">
        <v>0</v>
      </c>
      <c r="I43" s="115">
        <v>0</v>
      </c>
      <c r="J43" s="115">
        <v>0</v>
      </c>
      <c r="K43" s="115">
        <f t="shared" si="8"/>
        <v>0</v>
      </c>
      <c r="L43" s="115">
        <v>0</v>
      </c>
      <c r="M43" s="115">
        <v>0</v>
      </c>
      <c r="N43" s="115">
        <v>0</v>
      </c>
      <c r="O43" s="115">
        <f t="shared" si="9"/>
        <v>0</v>
      </c>
      <c r="P43" s="115">
        <v>-10175.815779193304</v>
      </c>
      <c r="Q43" s="115">
        <v>0</v>
      </c>
      <c r="R43" s="268">
        <v>-10175.815779195633</v>
      </c>
      <c r="T43" s="269"/>
      <c r="U43" s="266"/>
    </row>
    <row r="44" spans="1:21">
      <c r="A44" s="12">
        <v>2009</v>
      </c>
      <c r="B44" s="115">
        <v>0</v>
      </c>
      <c r="C44" s="115">
        <v>0</v>
      </c>
      <c r="D44" s="115">
        <v>0</v>
      </c>
      <c r="E44" s="115">
        <v>0</v>
      </c>
      <c r="F44" s="115">
        <v>0</v>
      </c>
      <c r="G44" s="115">
        <f t="shared" si="7"/>
        <v>0</v>
      </c>
      <c r="H44" s="115">
        <v>0</v>
      </c>
      <c r="I44" s="115">
        <v>0</v>
      </c>
      <c r="J44" s="115">
        <v>2395.4996184831107</v>
      </c>
      <c r="K44" s="115">
        <f t="shared" si="8"/>
        <v>0</v>
      </c>
      <c r="L44" s="115">
        <v>0</v>
      </c>
      <c r="M44" s="115">
        <v>0</v>
      </c>
      <c r="N44" s="115">
        <v>2328.9035330414954</v>
      </c>
      <c r="O44" s="115">
        <f t="shared" si="9"/>
        <v>0</v>
      </c>
      <c r="P44" s="115">
        <v>-77164.783493710449</v>
      </c>
      <c r="Q44" s="115">
        <v>0</v>
      </c>
      <c r="R44" s="268">
        <v>-72440.380342185963</v>
      </c>
      <c r="T44" s="269"/>
      <c r="U44" s="266"/>
    </row>
    <row r="45" spans="1:21">
      <c r="A45" s="12">
        <v>2010</v>
      </c>
      <c r="B45" s="115">
        <v>0</v>
      </c>
      <c r="C45" s="115">
        <v>0</v>
      </c>
      <c r="D45" s="115">
        <v>-1.7383471302429143</v>
      </c>
      <c r="E45" s="115">
        <v>0</v>
      </c>
      <c r="F45" s="115">
        <v>0</v>
      </c>
      <c r="G45" s="115">
        <f t="shared" si="7"/>
        <v>0</v>
      </c>
      <c r="H45" s="115">
        <v>2.4556356947869062E-11</v>
      </c>
      <c r="I45" s="115">
        <v>0</v>
      </c>
      <c r="J45" s="115">
        <v>2395.4996184831107</v>
      </c>
      <c r="K45" s="115">
        <f t="shared" si="8"/>
        <v>0</v>
      </c>
      <c r="L45" s="115">
        <v>0</v>
      </c>
      <c r="M45" s="115">
        <v>0</v>
      </c>
      <c r="N45" s="115">
        <v>3241.4471597537558</v>
      </c>
      <c r="O45" s="115">
        <f t="shared" si="9"/>
        <v>0</v>
      </c>
      <c r="P45" s="115">
        <v>-86289.59593220707</v>
      </c>
      <c r="Q45" s="115">
        <v>0</v>
      </c>
      <c r="R45" s="268">
        <v>-80654.387501100078</v>
      </c>
      <c r="T45" s="269"/>
      <c r="U45" s="266"/>
    </row>
    <row r="46" spans="1:21">
      <c r="A46" s="12">
        <v>2011</v>
      </c>
      <c r="B46" s="115">
        <v>0</v>
      </c>
      <c r="C46" s="115">
        <v>0</v>
      </c>
      <c r="D46" s="115">
        <v>-3.4683330704874606</v>
      </c>
      <c r="E46" s="115">
        <v>0</v>
      </c>
      <c r="F46" s="115">
        <v>0</v>
      </c>
      <c r="G46" s="115">
        <f t="shared" si="7"/>
        <v>0</v>
      </c>
      <c r="H46" s="115">
        <v>0</v>
      </c>
      <c r="I46" s="115">
        <v>0</v>
      </c>
      <c r="J46" s="115">
        <v>2395.4996184830961</v>
      </c>
      <c r="K46" s="115">
        <f t="shared" si="8"/>
        <v>0</v>
      </c>
      <c r="L46" s="115">
        <v>0</v>
      </c>
      <c r="M46" s="115">
        <v>0</v>
      </c>
      <c r="N46" s="115">
        <v>3242.049289150782</v>
      </c>
      <c r="O46" s="115">
        <f t="shared" si="9"/>
        <v>0</v>
      </c>
      <c r="P46" s="115">
        <v>-94197.103499307297</v>
      </c>
      <c r="Q46" s="115">
        <v>0</v>
      </c>
      <c r="R46" s="268">
        <v>-88563.022924745455</v>
      </c>
      <c r="T46" s="269"/>
      <c r="U46" s="266"/>
    </row>
    <row r="47" spans="1:21">
      <c r="A47" s="12">
        <v>2012</v>
      </c>
      <c r="B47" s="115">
        <v>282.60991087905131</v>
      </c>
      <c r="C47" s="115">
        <v>-5578.6395234921947</v>
      </c>
      <c r="D47" s="115">
        <v>-33.261237409081787</v>
      </c>
      <c r="E47" s="115">
        <v>-1984.7965173516423</v>
      </c>
      <c r="F47" s="115">
        <v>-5935.9654470097739</v>
      </c>
      <c r="G47" s="115">
        <f t="shared" si="7"/>
        <v>0</v>
      </c>
      <c r="H47" s="115">
        <v>-202.04670688563056</v>
      </c>
      <c r="I47" s="115">
        <v>0</v>
      </c>
      <c r="J47" s="115">
        <v>1274.2677492478397</v>
      </c>
      <c r="K47" s="115">
        <f t="shared" si="8"/>
        <v>0</v>
      </c>
      <c r="L47" s="115">
        <v>0</v>
      </c>
      <c r="M47" s="115">
        <v>0</v>
      </c>
      <c r="N47" s="115">
        <v>2042.4865444550596</v>
      </c>
      <c r="O47" s="115">
        <f t="shared" si="9"/>
        <v>1898.3138067888226</v>
      </c>
      <c r="P47" s="115">
        <v>-96571.018900126684</v>
      </c>
      <c r="Q47" s="115">
        <v>0</v>
      </c>
      <c r="R47" s="268">
        <v>-104808.05032090284</v>
      </c>
      <c r="T47" s="269"/>
      <c r="U47" s="266"/>
    </row>
    <row r="48" spans="1:21">
      <c r="A48" s="12">
        <v>2013</v>
      </c>
      <c r="B48" s="115">
        <v>7128.7994850503746</v>
      </c>
      <c r="C48" s="115">
        <v>-41386.312134762062</v>
      </c>
      <c r="D48" s="115">
        <v>-215.06460673647052</v>
      </c>
      <c r="E48" s="115">
        <v>-14724.630950810271</v>
      </c>
      <c r="F48" s="115">
        <v>-44037.209749168018</v>
      </c>
      <c r="G48" s="115">
        <f t="shared" si="7"/>
        <v>913.6251409127774</v>
      </c>
      <c r="H48" s="115">
        <v>-1498.9260449168214</v>
      </c>
      <c r="I48" s="115">
        <v>0</v>
      </c>
      <c r="J48" s="115">
        <v>-5922.5951284852054</v>
      </c>
      <c r="K48" s="115">
        <f t="shared" si="8"/>
        <v>0</v>
      </c>
      <c r="L48" s="115">
        <v>0</v>
      </c>
      <c r="M48" s="115">
        <v>0</v>
      </c>
      <c r="N48" s="115">
        <v>8827.3649072864719</v>
      </c>
      <c r="O48" s="115">
        <f t="shared" si="9"/>
        <v>8739.2989568862758</v>
      </c>
      <c r="P48" s="115">
        <v>-79155.149034087081</v>
      </c>
      <c r="Q48" s="115">
        <v>-2819.8455089046038</v>
      </c>
      <c r="R48" s="268">
        <v>-164150.64466773439</v>
      </c>
      <c r="T48" s="269"/>
      <c r="U48" s="266"/>
    </row>
    <row r="49" spans="1:21">
      <c r="A49" s="12">
        <v>2014</v>
      </c>
      <c r="B49" s="115">
        <v>12498.816190263256</v>
      </c>
      <c r="C49" s="115">
        <v>-43383.421110902214</v>
      </c>
      <c r="D49" s="115">
        <v>-226.86441632154038</v>
      </c>
      <c r="E49" s="115">
        <v>-15435.172458988498</v>
      </c>
      <c r="F49" s="115">
        <v>-46162.238589327317</v>
      </c>
      <c r="G49" s="115">
        <f t="shared" si="7"/>
        <v>3585.9331665429354</v>
      </c>
      <c r="H49" s="115">
        <v>-1571.257173361555</v>
      </c>
      <c r="I49" s="115">
        <v>0</v>
      </c>
      <c r="J49" s="115">
        <v>-6323.9872996325139</v>
      </c>
      <c r="K49" s="115">
        <f t="shared" si="8"/>
        <v>0</v>
      </c>
      <c r="L49" s="115">
        <v>0</v>
      </c>
      <c r="M49" s="115">
        <v>0</v>
      </c>
      <c r="N49" s="115">
        <v>22517.73840147203</v>
      </c>
      <c r="O49" s="115">
        <f t="shared" si="9"/>
        <v>27881.927055933254</v>
      </c>
      <c r="P49" s="115">
        <v>-59615.156429913826</v>
      </c>
      <c r="Q49" s="115">
        <v>-71662.312282772735</v>
      </c>
      <c r="R49" s="268">
        <v>-177895.99494700972</v>
      </c>
      <c r="T49" s="269"/>
      <c r="U49" s="266"/>
    </row>
    <row r="50" spans="1:21">
      <c r="A50" s="12">
        <v>2015</v>
      </c>
      <c r="B50" s="115">
        <v>18670.839840751141</v>
      </c>
      <c r="C50" s="115">
        <v>-30410.023710999405</v>
      </c>
      <c r="D50" s="115">
        <v>-163.3769011932518</v>
      </c>
      <c r="E50" s="115">
        <v>-10819.43167325051</v>
      </c>
      <c r="F50" s="115">
        <v>-32357.862384012667</v>
      </c>
      <c r="G50" s="115">
        <f t="shared" si="7"/>
        <v>8488.3435991066199</v>
      </c>
      <c r="H50" s="115">
        <v>-1101.3877346338486</v>
      </c>
      <c r="I50" s="115">
        <v>0</v>
      </c>
      <c r="J50" s="115">
        <v>-3716.508082565153</v>
      </c>
      <c r="K50" s="115">
        <f t="shared" si="8"/>
        <v>39903.391836208277</v>
      </c>
      <c r="L50" s="115">
        <v>-13687.336057014687</v>
      </c>
      <c r="M50" s="115">
        <v>-43957.772143320384</v>
      </c>
      <c r="N50" s="115">
        <v>50820.518591751781</v>
      </c>
      <c r="O50" s="115">
        <f t="shared" si="9"/>
        <v>64530.190347438183</v>
      </c>
      <c r="P50" s="115">
        <v>-17204.059900686145</v>
      </c>
      <c r="Q50" s="115">
        <v>-214388.53284062294</v>
      </c>
      <c r="R50" s="268">
        <v>-185393.00721304491</v>
      </c>
      <c r="T50" s="269"/>
      <c r="U50" s="266"/>
    </row>
    <row r="51" spans="1:21">
      <c r="A51" s="12">
        <v>2016</v>
      </c>
      <c r="B51" s="115">
        <v>14394.749172341311</v>
      </c>
      <c r="C51" s="115">
        <v>-35292.664877711795</v>
      </c>
      <c r="D51" s="115">
        <v>-189.65688539471557</v>
      </c>
      <c r="E51" s="115">
        <v>-12556.602383483201</v>
      </c>
      <c r="F51" s="115">
        <v>-37553.24902509246</v>
      </c>
      <c r="G51" s="115">
        <f t="shared" si="7"/>
        <v>21330.339049635277</v>
      </c>
      <c r="H51" s="115">
        <v>-1278.2268303459205</v>
      </c>
      <c r="I51" s="115">
        <v>0</v>
      </c>
      <c r="J51" s="115">
        <v>-4697.8535986358183</v>
      </c>
      <c r="K51" s="115">
        <f t="shared" si="8"/>
        <v>78813.537238709076</v>
      </c>
      <c r="L51" s="115">
        <v>-28593.948046854242</v>
      </c>
      <c r="M51" s="115">
        <v>-89876.793173444748</v>
      </c>
      <c r="N51" s="115">
        <v>86987.383115325705</v>
      </c>
      <c r="O51" s="115">
        <f t="shared" si="9"/>
        <v>125648.58233071771</v>
      </c>
      <c r="P51" s="115">
        <v>10381.866137132049</v>
      </c>
      <c r="Q51" s="115">
        <v>-473214.34315114049</v>
      </c>
      <c r="R51" s="268">
        <v>-345696.88092824444</v>
      </c>
      <c r="T51" s="269"/>
      <c r="U51" s="266"/>
    </row>
    <row r="52" spans="1:21">
      <c r="A52" s="12">
        <v>2017</v>
      </c>
      <c r="B52" s="115">
        <v>13415.745738930535</v>
      </c>
      <c r="C52" s="115">
        <v>-39582.131413828116</v>
      </c>
      <c r="D52" s="115">
        <v>-212.95737645235749</v>
      </c>
      <c r="E52" s="115">
        <v>-14082.730430710246</v>
      </c>
      <c r="F52" s="115">
        <v>-31359.671469175257</v>
      </c>
      <c r="G52" s="115">
        <f t="shared" si="7"/>
        <v>40242.954200621709</v>
      </c>
      <c r="H52" s="115">
        <v>3760.8527300609567</v>
      </c>
      <c r="I52" s="115">
        <v>0</v>
      </c>
      <c r="J52" s="115">
        <v>-414.74037663341733</v>
      </c>
      <c r="K52" s="115">
        <f t="shared" si="8"/>
        <v>117748.72593144153</v>
      </c>
      <c r="L52" s="115">
        <v>-43263.900491435794</v>
      </c>
      <c r="M52" s="115">
        <v>-134845.9726894598</v>
      </c>
      <c r="N52" s="115">
        <v>128416.5977969613</v>
      </c>
      <c r="O52" s="115">
        <f t="shared" si="9"/>
        <v>289060.86206986761</v>
      </c>
      <c r="P52" s="115">
        <v>26435.856385962106</v>
      </c>
      <c r="Q52" s="115">
        <v>-838887.39287613821</v>
      </c>
      <c r="R52" s="268">
        <v>-483567.90226998739</v>
      </c>
      <c r="T52" s="269"/>
      <c r="U52" s="266"/>
    </row>
    <row r="53" spans="1:21">
      <c r="A53" s="12">
        <v>2018</v>
      </c>
      <c r="B53" s="115">
        <v>13891.990855405107</v>
      </c>
      <c r="C53" s="115">
        <v>-44620.385250808205</v>
      </c>
      <c r="D53" s="115">
        <v>-240.04950392957471</v>
      </c>
      <c r="E53" s="115">
        <v>-15875.265801932779</v>
      </c>
      <c r="F53" s="115">
        <v>-26181.744917749893</v>
      </c>
      <c r="G53" s="115">
        <f t="shared" si="7"/>
        <v>66218.171098081788</v>
      </c>
      <c r="H53" s="115">
        <v>8722.8617343284131</v>
      </c>
      <c r="I53" s="115">
        <v>0</v>
      </c>
      <c r="J53" s="115">
        <v>8747.4825504882028</v>
      </c>
      <c r="K53" s="115">
        <f t="shared" si="8"/>
        <v>156599.47717888822</v>
      </c>
      <c r="L53" s="115">
        <v>-56588.666041768462</v>
      </c>
      <c r="M53" s="115">
        <v>-171364.0084587083</v>
      </c>
      <c r="N53" s="115">
        <v>175034.09576554643</v>
      </c>
      <c r="O53" s="115">
        <f t="shared" si="9"/>
        <v>481574.39555053541</v>
      </c>
      <c r="P53" s="115">
        <v>2914.5328159253113</v>
      </c>
      <c r="Q53" s="115">
        <v>-1188293.9657702383</v>
      </c>
      <c r="R53" s="268">
        <v>-589461.07819593884</v>
      </c>
      <c r="T53" s="269"/>
      <c r="U53" s="266"/>
    </row>
    <row r="54" spans="1:21">
      <c r="A54" s="12">
        <v>2019</v>
      </c>
      <c r="B54" s="115">
        <v>13536.122291747015</v>
      </c>
      <c r="C54" s="115">
        <v>-51070.260620480403</v>
      </c>
      <c r="D54" s="115">
        <v>-274.21318827551477</v>
      </c>
      <c r="E54" s="115">
        <v>-18170.035004558624</v>
      </c>
      <c r="F54" s="115">
        <v>-22583.423054749146</v>
      </c>
      <c r="G54" s="115">
        <f t="shared" si="7"/>
        <v>99394.840274000395</v>
      </c>
      <c r="H54" s="115">
        <v>13616.045207308009</v>
      </c>
      <c r="I54" s="115">
        <v>0</v>
      </c>
      <c r="J54" s="115">
        <v>17585.015433062101</v>
      </c>
      <c r="K54" s="115">
        <f t="shared" si="8"/>
        <v>203837.4656380057</v>
      </c>
      <c r="L54" s="115">
        <v>-70598.246032659139</v>
      </c>
      <c r="M54" s="115">
        <v>-209723.16156420091</v>
      </c>
      <c r="N54" s="115">
        <v>225806.66287996905</v>
      </c>
      <c r="O54" s="115">
        <f t="shared" si="9"/>
        <v>734890.23323373788</v>
      </c>
      <c r="P54" s="115">
        <v>-11832.090877127834</v>
      </c>
      <c r="Q54" s="115">
        <v>-1553146.7123576684</v>
      </c>
      <c r="R54" s="268">
        <v>-628731.75774189085</v>
      </c>
      <c r="T54" s="269"/>
      <c r="U54" s="266"/>
    </row>
    <row r="55" spans="1:21">
      <c r="A55" s="12">
        <v>2020</v>
      </c>
      <c r="B55" s="115">
        <v>11784.215218890924</v>
      </c>
      <c r="C55" s="115">
        <v>-61007.041471833829</v>
      </c>
      <c r="D55" s="115">
        <v>-314.05346278559045</v>
      </c>
      <c r="E55" s="115">
        <v>-20865.458597502555</v>
      </c>
      <c r="F55" s="115">
        <v>-20250.650174855487</v>
      </c>
      <c r="G55" s="115">
        <f t="shared" si="7"/>
        <v>139703.12657481557</v>
      </c>
      <c r="H55" s="115">
        <v>18453.084939974346</v>
      </c>
      <c r="I55" s="115">
        <v>0</v>
      </c>
      <c r="J55" s="115">
        <v>26160.661434178823</v>
      </c>
      <c r="K55" s="115">
        <f t="shared" si="8"/>
        <v>250544.40649108638</v>
      </c>
      <c r="L55" s="115">
        <v>-84824.54366543403</v>
      </c>
      <c r="M55" s="115">
        <v>-256199.13879275706</v>
      </c>
      <c r="N55" s="115">
        <v>278474.55148874439</v>
      </c>
      <c r="O55" s="115">
        <f t="shared" si="9"/>
        <v>1034767.405728768</v>
      </c>
      <c r="P55" s="115">
        <v>-20346.433137712535</v>
      </c>
      <c r="Q55" s="115">
        <v>-1933874.6692366998</v>
      </c>
      <c r="R55" s="268">
        <v>-637794.53666312434</v>
      </c>
      <c r="T55" s="269"/>
      <c r="U55" s="266"/>
    </row>
    <row r="56" spans="1:21">
      <c r="A56" s="12">
        <v>2021</v>
      </c>
      <c r="B56" s="115">
        <v>96110.803208355792</v>
      </c>
      <c r="C56" s="115">
        <v>-72556.84317270061</v>
      </c>
      <c r="D56" s="115">
        <v>-354.96419192307803</v>
      </c>
      <c r="E56" s="115">
        <v>-23636.882166519295</v>
      </c>
      <c r="F56" s="115">
        <v>-18183.200392759405</v>
      </c>
      <c r="G56" s="115">
        <f t="shared" si="7"/>
        <v>184504.74154708051</v>
      </c>
      <c r="H56" s="115">
        <v>23642.39406754353</v>
      </c>
      <c r="I56" s="115">
        <v>0</v>
      </c>
      <c r="J56" s="115">
        <v>34673.286041858257</v>
      </c>
      <c r="K56" s="115">
        <f t="shared" si="8"/>
        <v>289830.59514223889</v>
      </c>
      <c r="L56" s="115">
        <v>-98916.175843290112</v>
      </c>
      <c r="M56" s="115">
        <v>-304939.45776737866</v>
      </c>
      <c r="N56" s="115">
        <v>338441.59265714634</v>
      </c>
      <c r="O56" s="115">
        <f t="shared" si="9"/>
        <v>1383727.3817543457</v>
      </c>
      <c r="P56" s="115">
        <v>-28480.654002911411</v>
      </c>
      <c r="Q56" s="115">
        <v>-2262837.4862655029</v>
      </c>
      <c r="R56" s="268">
        <v>-458974.86938441545</v>
      </c>
      <c r="T56" s="269"/>
      <c r="U56" s="266"/>
    </row>
    <row r="57" spans="1:21">
      <c r="A57" s="12">
        <v>2022</v>
      </c>
      <c r="B57" s="115">
        <v>171513.10151925823</v>
      </c>
      <c r="C57" s="115">
        <v>-77420.075287329964</v>
      </c>
      <c r="D57" s="115">
        <v>-394.61101810156833</v>
      </c>
      <c r="E57" s="115">
        <v>-26319.740685538738</v>
      </c>
      <c r="F57" s="115">
        <v>-15823.397574573988</v>
      </c>
      <c r="G57" s="115">
        <f t="shared" si="7"/>
        <v>234078.35848610892</v>
      </c>
      <c r="H57" s="115">
        <v>28819.055639708735</v>
      </c>
      <c r="I57" s="115">
        <v>0</v>
      </c>
      <c r="J57" s="115">
        <v>43511.255368554092</v>
      </c>
      <c r="K57" s="115">
        <f t="shared" si="8"/>
        <v>327109.10677712847</v>
      </c>
      <c r="L57" s="115">
        <v>-113051.99828645929</v>
      </c>
      <c r="M57" s="115">
        <v>-350838.52873532596</v>
      </c>
      <c r="N57" s="115">
        <v>397314.36881986522</v>
      </c>
      <c r="O57" s="115">
        <f t="shared" si="9"/>
        <v>1970590.6808354482</v>
      </c>
      <c r="P57" s="115">
        <v>-34788.9756911695</v>
      </c>
      <c r="Q57" s="115">
        <v>-2529512.065921382</v>
      </c>
      <c r="R57" s="268">
        <v>24786.534246191382</v>
      </c>
      <c r="T57" s="269"/>
      <c r="U57" s="266"/>
    </row>
    <row r="60" spans="1:21">
      <c r="B60" s="15"/>
      <c r="C60" s="15"/>
      <c r="D60" s="15"/>
      <c r="E60" s="15"/>
      <c r="F60" s="15"/>
      <c r="G60" s="15"/>
      <c r="H60" s="15"/>
      <c r="I60" s="15"/>
      <c r="J60" s="15"/>
      <c r="K60" s="15"/>
      <c r="L60" s="15"/>
      <c r="M60" s="15"/>
      <c r="N60" s="15"/>
      <c r="O60" s="15"/>
      <c r="P60" s="15"/>
      <c r="Q60" s="15"/>
      <c r="R60" s="15"/>
    </row>
  </sheetData>
  <mergeCells count="1">
    <mergeCell ref="T9:U9"/>
  </mergeCells>
  <phoneticPr fontId="0" type="noConversion"/>
  <pageMargins left="0.5" right="0.5" top="1" bottom="1" header="0.5" footer="0.5"/>
  <pageSetup scale="2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pageSetUpPr fitToPage="1"/>
  </sheetPr>
  <dimension ref="A1:N38"/>
  <sheetViews>
    <sheetView zoomScale="80" zoomScaleNormal="80" workbookViewId="0">
      <selection activeCell="A2" sqref="A1:A2"/>
    </sheetView>
  </sheetViews>
  <sheetFormatPr defaultColWidth="9.109375" defaultRowHeight="13.2"/>
  <cols>
    <col min="1" max="1" width="11.44140625" style="5" customWidth="1"/>
    <col min="2" max="10" width="20.6640625" style="5" customWidth="1"/>
    <col min="11" max="11" width="15.44140625" style="5" customWidth="1"/>
    <col min="12" max="12" width="16.44140625" style="5" customWidth="1"/>
    <col min="13" max="16384" width="9.109375" style="5"/>
  </cols>
  <sheetData>
    <row r="1" spans="1:14">
      <c r="A1" s="416" t="s">
        <v>391</v>
      </c>
    </row>
    <row r="2" spans="1:14">
      <c r="A2" s="416" t="s">
        <v>380</v>
      </c>
    </row>
    <row r="3" spans="1:14" s="2" customFormat="1" ht="15.6">
      <c r="A3" s="1" t="s">
        <v>0</v>
      </c>
      <c r="B3" s="1"/>
      <c r="C3" s="1"/>
      <c r="D3" s="1"/>
      <c r="E3" s="1"/>
      <c r="F3" s="1"/>
      <c r="G3" s="1"/>
      <c r="H3" s="1"/>
      <c r="I3" s="1"/>
      <c r="J3" s="1"/>
    </row>
    <row r="4" spans="1:14" s="2" customFormat="1" ht="15.6">
      <c r="A4" s="1" t="s">
        <v>262</v>
      </c>
      <c r="B4" s="3"/>
      <c r="C4" s="1"/>
      <c r="D4" s="1"/>
      <c r="E4" s="1"/>
      <c r="F4" s="1"/>
      <c r="G4" s="1"/>
      <c r="H4" s="1"/>
      <c r="I4" s="1"/>
      <c r="J4" s="1"/>
    </row>
    <row r="5" spans="1:14" s="2" customFormat="1" ht="15.6">
      <c r="A5" s="1" t="s">
        <v>263</v>
      </c>
      <c r="B5" s="3"/>
      <c r="C5" s="1"/>
      <c r="D5" s="1"/>
      <c r="E5" s="1"/>
      <c r="F5" s="1"/>
      <c r="G5" s="1"/>
      <c r="H5" s="1"/>
      <c r="I5" s="1"/>
      <c r="J5" s="1"/>
    </row>
    <row r="6" spans="1:14" s="2" customFormat="1" ht="15.6">
      <c r="A6" s="1" t="s">
        <v>264</v>
      </c>
      <c r="B6" s="3"/>
      <c r="C6" s="1"/>
      <c r="D6" s="1"/>
      <c r="E6" s="1"/>
      <c r="F6" s="1"/>
      <c r="G6" s="1"/>
      <c r="H6" s="1"/>
      <c r="I6" s="1"/>
      <c r="J6" s="1"/>
    </row>
    <row r="7" spans="1:14" s="2" customFormat="1" ht="15.6">
      <c r="A7" s="1" t="s">
        <v>189</v>
      </c>
      <c r="B7" s="3"/>
      <c r="C7" s="1"/>
      <c r="D7" s="1"/>
      <c r="E7" s="1"/>
      <c r="F7" s="1"/>
      <c r="G7" s="1"/>
      <c r="H7" s="1"/>
      <c r="I7" s="1"/>
      <c r="J7" s="1"/>
    </row>
    <row r="8" spans="1:14" s="2" customFormat="1" ht="15.6">
      <c r="A8" s="1"/>
      <c r="B8" s="3"/>
      <c r="C8" s="1"/>
      <c r="D8" s="1"/>
      <c r="E8" s="1"/>
      <c r="F8" s="1"/>
      <c r="G8" s="1"/>
      <c r="H8" s="1"/>
      <c r="I8" s="1"/>
      <c r="J8" s="1"/>
    </row>
    <row r="9" spans="1:14" s="2" customFormat="1" ht="15.6">
      <c r="A9" s="1" t="s">
        <v>73</v>
      </c>
      <c r="B9" s="3"/>
      <c r="C9" s="1"/>
      <c r="D9" s="1"/>
      <c r="E9" s="1"/>
      <c r="F9" s="1"/>
      <c r="G9" s="1"/>
      <c r="H9" s="1"/>
      <c r="I9" s="1"/>
      <c r="J9" s="1"/>
    </row>
    <row r="10" spans="1:14" s="9" customFormat="1">
      <c r="A10" s="6"/>
      <c r="B10" s="409" t="s">
        <v>190</v>
      </c>
      <c r="C10" s="410"/>
      <c r="D10" s="410"/>
      <c r="E10" s="411"/>
      <c r="F10" s="409" t="s">
        <v>191</v>
      </c>
      <c r="G10" s="410"/>
      <c r="H10" s="411"/>
      <c r="I10" s="409" t="s">
        <v>192</v>
      </c>
      <c r="J10" s="411"/>
      <c r="K10" s="142"/>
      <c r="L10" s="142"/>
    </row>
    <row r="11" spans="1:14" s="9" customFormat="1" ht="26.4">
      <c r="A11" s="10"/>
      <c r="B11" s="43" t="s">
        <v>4</v>
      </c>
      <c r="C11" s="54" t="s">
        <v>104</v>
      </c>
      <c r="D11" s="54" t="s">
        <v>26</v>
      </c>
      <c r="E11" s="54" t="s">
        <v>193</v>
      </c>
      <c r="F11" s="43" t="s">
        <v>24</v>
      </c>
      <c r="G11" s="43" t="s">
        <v>24</v>
      </c>
      <c r="H11" s="43" t="s">
        <v>24</v>
      </c>
      <c r="I11" s="54" t="s">
        <v>192</v>
      </c>
      <c r="J11" s="54" t="s">
        <v>192</v>
      </c>
      <c r="K11" s="142"/>
      <c r="L11" s="142"/>
    </row>
    <row r="12" spans="1:14" s="9" customFormat="1" ht="26.4">
      <c r="A12" s="10"/>
      <c r="B12" s="44" t="s">
        <v>179</v>
      </c>
      <c r="C12" s="44" t="s">
        <v>265</v>
      </c>
      <c r="D12" s="44" t="s">
        <v>266</v>
      </c>
      <c r="E12" s="44" t="s">
        <v>196</v>
      </c>
      <c r="F12" s="44" t="s">
        <v>260</v>
      </c>
      <c r="G12" s="44" t="s">
        <v>260</v>
      </c>
      <c r="H12" s="44" t="s">
        <v>260</v>
      </c>
      <c r="I12" s="143" t="s">
        <v>24</v>
      </c>
      <c r="J12" s="143" t="s">
        <v>24</v>
      </c>
      <c r="K12" s="142"/>
      <c r="L12" s="142"/>
    </row>
    <row r="13" spans="1:14" s="9" customFormat="1" ht="26.4">
      <c r="A13" s="10"/>
      <c r="B13" s="44" t="s">
        <v>198</v>
      </c>
      <c r="C13" s="55" t="s">
        <v>12</v>
      </c>
      <c r="D13" s="55" t="s">
        <v>199</v>
      </c>
      <c r="E13" s="44" t="s">
        <v>200</v>
      </c>
      <c r="F13" s="44" t="s">
        <v>201</v>
      </c>
      <c r="G13" s="44" t="s">
        <v>201</v>
      </c>
      <c r="H13" s="44" t="s">
        <v>201</v>
      </c>
      <c r="I13" s="44" t="s">
        <v>267</v>
      </c>
      <c r="J13" s="44" t="s">
        <v>267</v>
      </c>
      <c r="K13" s="60" t="s">
        <v>244</v>
      </c>
      <c r="L13" s="60" t="s">
        <v>245</v>
      </c>
      <c r="M13" s="145" t="s">
        <v>253</v>
      </c>
      <c r="N13" s="145"/>
    </row>
    <row r="14" spans="1:14" s="9" customFormat="1">
      <c r="A14" s="11" t="s">
        <v>17</v>
      </c>
      <c r="B14" s="46" t="s">
        <v>203</v>
      </c>
      <c r="C14" s="46" t="s">
        <v>199</v>
      </c>
      <c r="D14" s="46" t="s">
        <v>196</v>
      </c>
      <c r="E14" s="46" t="s">
        <v>268</v>
      </c>
      <c r="F14" s="46" t="s">
        <v>22</v>
      </c>
      <c r="G14" s="46" t="s">
        <v>112</v>
      </c>
      <c r="H14" s="46" t="s">
        <v>102</v>
      </c>
      <c r="I14" s="46" t="s">
        <v>22</v>
      </c>
      <c r="J14" s="46" t="s">
        <v>102</v>
      </c>
      <c r="K14" s="142"/>
      <c r="L14" s="142"/>
      <c r="M14" s="142" t="s">
        <v>255</v>
      </c>
      <c r="N14" s="142"/>
    </row>
    <row r="15" spans="1:14">
      <c r="A15" s="12">
        <v>2008</v>
      </c>
      <c r="B15" s="13">
        <v>162936361.49482131</v>
      </c>
      <c r="C15" s="13">
        <v>0</v>
      </c>
      <c r="D15" s="13">
        <v>0</v>
      </c>
      <c r="E15" s="144">
        <f>D15/B15</f>
        <v>0</v>
      </c>
      <c r="F15" s="13">
        <v>0</v>
      </c>
      <c r="G15" s="13">
        <v>0</v>
      </c>
      <c r="H15" s="112">
        <v>0</v>
      </c>
      <c r="I15" s="13">
        <v>0</v>
      </c>
      <c r="J15" s="112">
        <v>0</v>
      </c>
      <c r="K15" s="115">
        <f>+J15+H15</f>
        <v>0</v>
      </c>
      <c r="L15" s="115">
        <f>+I15+F15</f>
        <v>0</v>
      </c>
      <c r="M15" s="138"/>
      <c r="N15" s="138"/>
    </row>
    <row r="16" spans="1:14">
      <c r="A16" s="12">
        <f>A15+1</f>
        <v>2009</v>
      </c>
      <c r="B16" s="13">
        <v>162585221.04966378</v>
      </c>
      <c r="C16" s="13">
        <v>0</v>
      </c>
      <c r="D16" s="13">
        <v>0</v>
      </c>
      <c r="E16" s="144">
        <f t="shared" ref="E16:E33" si="0">D16/B16</f>
        <v>0</v>
      </c>
      <c r="F16" s="13">
        <v>0</v>
      </c>
      <c r="G16" s="13">
        <v>0</v>
      </c>
      <c r="H16" s="112">
        <v>0</v>
      </c>
      <c r="I16" s="13">
        <v>0</v>
      </c>
      <c r="J16" s="112">
        <v>0</v>
      </c>
      <c r="K16" s="115">
        <f t="shared" ref="K16:K29" si="1">+J16+H16</f>
        <v>0</v>
      </c>
      <c r="L16" s="115">
        <f t="shared" ref="L16:L29" si="2">+I16+F16</f>
        <v>0</v>
      </c>
      <c r="M16" s="138"/>
      <c r="N16" s="138"/>
    </row>
    <row r="17" spans="1:14">
      <c r="A17" s="12">
        <f t="shared" ref="A17:A33" si="3">A16+1</f>
        <v>2010</v>
      </c>
      <c r="B17" s="13">
        <v>163374789.49753302</v>
      </c>
      <c r="C17" s="13">
        <v>0</v>
      </c>
      <c r="D17" s="13">
        <v>0</v>
      </c>
      <c r="E17" s="144">
        <f t="shared" si="0"/>
        <v>0</v>
      </c>
      <c r="F17" s="13">
        <v>0</v>
      </c>
      <c r="G17" s="13">
        <v>0</v>
      </c>
      <c r="H17" s="112">
        <v>0</v>
      </c>
      <c r="I17" s="13">
        <v>0</v>
      </c>
      <c r="J17" s="112">
        <v>0</v>
      </c>
      <c r="K17" s="115">
        <f t="shared" si="1"/>
        <v>0</v>
      </c>
      <c r="L17" s="115">
        <f t="shared" si="2"/>
        <v>0</v>
      </c>
      <c r="M17" s="138"/>
      <c r="N17" s="138"/>
    </row>
    <row r="18" spans="1:14">
      <c r="A18" s="12">
        <f t="shared" si="3"/>
        <v>2011</v>
      </c>
      <c r="B18" s="13">
        <v>164312333.33769226</v>
      </c>
      <c r="C18" s="13">
        <v>25942.356544805243</v>
      </c>
      <c r="D18" s="13">
        <v>0</v>
      </c>
      <c r="E18" s="144">
        <f t="shared" si="0"/>
        <v>0</v>
      </c>
      <c r="F18" s="13">
        <v>0</v>
      </c>
      <c r="G18" s="13">
        <v>0</v>
      </c>
      <c r="H18" s="112">
        <v>0</v>
      </c>
      <c r="I18" s="13">
        <v>0</v>
      </c>
      <c r="J18" s="112">
        <v>0</v>
      </c>
      <c r="K18" s="115">
        <f t="shared" si="1"/>
        <v>0</v>
      </c>
      <c r="L18" s="115">
        <f t="shared" si="2"/>
        <v>0</v>
      </c>
      <c r="M18" s="138"/>
      <c r="N18" s="138"/>
    </row>
    <row r="19" spans="1:14">
      <c r="A19" s="12">
        <f t="shared" si="3"/>
        <v>2012</v>
      </c>
      <c r="B19" s="13">
        <v>165360926.13152072</v>
      </c>
      <c r="C19" s="13">
        <v>81695.706432599123</v>
      </c>
      <c r="D19" s="13">
        <v>25942.356544805243</v>
      </c>
      <c r="E19" s="144">
        <f t="shared" si="0"/>
        <v>1.5688323204099527E-4</v>
      </c>
      <c r="F19" s="13">
        <v>6.9579944281659908E-2</v>
      </c>
      <c r="G19" s="13">
        <v>0.1466496197170602</v>
      </c>
      <c r="H19" s="112">
        <v>1898.3138067888226</v>
      </c>
      <c r="I19" s="13">
        <v>0</v>
      </c>
      <c r="J19" s="112">
        <v>0</v>
      </c>
      <c r="K19" s="115">
        <f>+J19+H19</f>
        <v>1898.3138067888226</v>
      </c>
      <c r="L19" s="115">
        <f t="shared" si="2"/>
        <v>6.9579944281659908E-2</v>
      </c>
      <c r="M19" s="138">
        <f>+K19*1000/D19</f>
        <v>73.174301012717578</v>
      </c>
      <c r="N19" s="138"/>
    </row>
    <row r="20" spans="1:14">
      <c r="A20" s="12">
        <f t="shared" si="3"/>
        <v>2013</v>
      </c>
      <c r="B20" s="13">
        <v>167190830.4335016</v>
      </c>
      <c r="C20" s="13">
        <v>274581.25830005913</v>
      </c>
      <c r="D20" s="13">
        <v>107638.06297740438</v>
      </c>
      <c r="E20" s="144">
        <f t="shared" si="0"/>
        <v>6.4380362666011332E-4</v>
      </c>
      <c r="F20" s="13">
        <v>0.65388215587064336</v>
      </c>
      <c r="G20" s="13">
        <v>0.81912712938617416</v>
      </c>
      <c r="H20" s="112">
        <v>8495.7138234334743</v>
      </c>
      <c r="I20" s="13">
        <v>0.10092618977509472</v>
      </c>
      <c r="J20" s="112">
        <v>243.58513345280144</v>
      </c>
      <c r="K20" s="115">
        <f t="shared" si="1"/>
        <v>8739.2989568862758</v>
      </c>
      <c r="L20" s="115">
        <f>+I20+F20</f>
        <v>0.75480834564573807</v>
      </c>
      <c r="M20" s="138">
        <f t="shared" ref="M20:M33" si="4">+K20*1000/D20</f>
        <v>81.191529419484723</v>
      </c>
      <c r="N20" s="138"/>
    </row>
    <row r="21" spans="1:14">
      <c r="A21" s="12">
        <f t="shared" si="3"/>
        <v>2014</v>
      </c>
      <c r="B21" s="13">
        <v>169717522.08665246</v>
      </c>
      <c r="C21" s="13">
        <v>525174.8096297282</v>
      </c>
      <c r="D21" s="13">
        <v>382219.32127746352</v>
      </c>
      <c r="E21" s="144">
        <f>D21/B21</f>
        <v>2.2520911016030171E-3</v>
      </c>
      <c r="F21" s="13">
        <v>2.2294544349272218</v>
      </c>
      <c r="G21" s="13">
        <v>2.5139328019905767</v>
      </c>
      <c r="H21" s="112">
        <v>26241.24026236017</v>
      </c>
      <c r="I21" s="13">
        <v>0.40752681836348803</v>
      </c>
      <c r="J21" s="112">
        <v>1640.6867935730843</v>
      </c>
      <c r="K21" s="115">
        <f t="shared" si="1"/>
        <v>27881.927055933254</v>
      </c>
      <c r="L21" s="115">
        <f>+I21+F21</f>
        <v>2.6369812532907098</v>
      </c>
      <c r="M21" s="138">
        <f t="shared" si="4"/>
        <v>72.947455829144232</v>
      </c>
      <c r="N21" s="138"/>
    </row>
    <row r="22" spans="1:14">
      <c r="A22" s="12">
        <f t="shared" si="3"/>
        <v>2015</v>
      </c>
      <c r="B22" s="13">
        <v>172665421.88952142</v>
      </c>
      <c r="C22" s="13">
        <v>890648.01384649705</v>
      </c>
      <c r="D22" s="13">
        <v>907394.13090719166</v>
      </c>
      <c r="E22" s="144">
        <f t="shared" si="0"/>
        <v>5.2552162498857502E-3</v>
      </c>
      <c r="F22" s="13">
        <v>5.3793787228095304</v>
      </c>
      <c r="G22" s="13">
        <v>5.7903039684265609</v>
      </c>
      <c r="H22" s="112">
        <v>60039.47853182134</v>
      </c>
      <c r="I22" s="13">
        <v>1.0384991928876777</v>
      </c>
      <c r="J22" s="112">
        <v>4490.7118156168417</v>
      </c>
      <c r="K22" s="115">
        <f t="shared" si="1"/>
        <v>64530.190347438183</v>
      </c>
      <c r="L22" s="115">
        <f>+I22+F22</f>
        <v>6.4178779156972077</v>
      </c>
      <c r="M22" s="138">
        <f t="shared" si="4"/>
        <v>71.115944163009289</v>
      </c>
      <c r="N22" s="138"/>
    </row>
    <row r="23" spans="1:14">
      <c r="A23" s="12">
        <f t="shared" si="3"/>
        <v>2016</v>
      </c>
      <c r="B23" s="13">
        <v>175181540.76288602</v>
      </c>
      <c r="C23" s="13">
        <v>2988178.8553992538</v>
      </c>
      <c r="D23" s="13">
        <v>1798042.1447536887</v>
      </c>
      <c r="E23" s="144">
        <f t="shared" si="0"/>
        <v>1.0263879041841503E-2</v>
      </c>
      <c r="F23" s="13">
        <v>11.037450407647388</v>
      </c>
      <c r="G23" s="13">
        <v>11.283073840416506</v>
      </c>
      <c r="H23" s="112">
        <v>115605.97002625938</v>
      </c>
      <c r="I23" s="13">
        <v>2.2382204079877424</v>
      </c>
      <c r="J23" s="112">
        <v>10042.612304458329</v>
      </c>
      <c r="K23" s="115">
        <f t="shared" si="1"/>
        <v>125648.58233071771</v>
      </c>
      <c r="L23" s="115">
        <f t="shared" si="2"/>
        <v>13.275670815635131</v>
      </c>
      <c r="M23" s="138">
        <f t="shared" si="4"/>
        <v>69.880777098208753</v>
      </c>
      <c r="N23" s="138"/>
    </row>
    <row r="24" spans="1:14">
      <c r="A24" s="12">
        <f t="shared" si="3"/>
        <v>2017</v>
      </c>
      <c r="B24" s="13">
        <v>177698041.04100701</v>
      </c>
      <c r="C24" s="13">
        <v>4935132.6159992842</v>
      </c>
      <c r="D24" s="13">
        <v>4786221.0001529418</v>
      </c>
      <c r="E24" s="144">
        <f t="shared" si="0"/>
        <v>2.6934573797853155E-2</v>
      </c>
      <c r="F24" s="13">
        <v>24.438200076601348</v>
      </c>
      <c r="G24" s="13">
        <v>23.778651829150032</v>
      </c>
      <c r="H24" s="112">
        <v>257849.07831618999</v>
      </c>
      <c r="I24" s="13">
        <v>5.3578645678793837</v>
      </c>
      <c r="J24" s="112">
        <v>31211.783753677602</v>
      </c>
      <c r="K24" s="115">
        <f t="shared" si="1"/>
        <v>289060.86206986761</v>
      </c>
      <c r="L24" s="115">
        <f t="shared" si="2"/>
        <v>29.79606464448073</v>
      </c>
      <c r="M24" s="138">
        <f t="shared" si="4"/>
        <v>60.394382553716341</v>
      </c>
      <c r="N24" s="138"/>
    </row>
    <row r="25" spans="1:14">
      <c r="A25" s="12">
        <f t="shared" si="3"/>
        <v>2018</v>
      </c>
      <c r="B25" s="13">
        <v>180174846.5913403</v>
      </c>
      <c r="C25" s="13">
        <v>6610427.324573894</v>
      </c>
      <c r="D25" s="13">
        <v>9721353.6161522269</v>
      </c>
      <c r="E25" s="144">
        <f t="shared" si="0"/>
        <v>5.3955109717404151E-2</v>
      </c>
      <c r="F25" s="13">
        <v>41.13873623645236</v>
      </c>
      <c r="G25" s="13">
        <v>38.49775145015002</v>
      </c>
      <c r="H25" s="112">
        <v>423863.77713167912</v>
      </c>
      <c r="I25" s="13">
        <v>9.3430019126890791</v>
      </c>
      <c r="J25" s="112">
        <v>57710.61841885632</v>
      </c>
      <c r="K25" s="115">
        <f t="shared" si="1"/>
        <v>481574.39555053541</v>
      </c>
      <c r="L25" s="115">
        <f t="shared" si="2"/>
        <v>50.481738149141435</v>
      </c>
      <c r="M25" s="138">
        <f t="shared" si="4"/>
        <v>49.537792221691198</v>
      </c>
      <c r="N25" s="138"/>
    </row>
    <row r="26" spans="1:14">
      <c r="A26" s="12">
        <f t="shared" si="3"/>
        <v>2019</v>
      </c>
      <c r="B26" s="13">
        <v>182599958.55198753</v>
      </c>
      <c r="C26" s="13">
        <v>7929138.8315360276</v>
      </c>
      <c r="D26" s="13">
        <v>16331780.940726122</v>
      </c>
      <c r="E26" s="144">
        <f t="shared" si="0"/>
        <v>8.9440222605945141E-2</v>
      </c>
      <c r="F26" s="13">
        <v>63.036835285310119</v>
      </c>
      <c r="G26" s="13">
        <v>57.606833095760962</v>
      </c>
      <c r="H26" s="112">
        <v>641185.11505770357</v>
      </c>
      <c r="I26" s="13">
        <v>14.631195872164191</v>
      </c>
      <c r="J26" s="112">
        <v>93705.118176034259</v>
      </c>
      <c r="K26" s="115">
        <f t="shared" si="1"/>
        <v>734890.23323373788</v>
      </c>
      <c r="L26" s="115">
        <f t="shared" si="2"/>
        <v>77.668031157474303</v>
      </c>
      <c r="M26" s="138">
        <f t="shared" si="4"/>
        <v>44.997556353524303</v>
      </c>
      <c r="N26" s="138"/>
    </row>
    <row r="27" spans="1:14">
      <c r="A27" s="12">
        <f t="shared" si="3"/>
        <v>2020</v>
      </c>
      <c r="B27" s="13">
        <v>184939296.67812085</v>
      </c>
      <c r="C27" s="13">
        <v>8843131.1427481007</v>
      </c>
      <c r="D27" s="13">
        <v>24260919.772262149</v>
      </c>
      <c r="E27" s="144">
        <f t="shared" si="0"/>
        <v>0.13118315148828141</v>
      </c>
      <c r="F27" s="13">
        <v>88.821572891800045</v>
      </c>
      <c r="G27" s="13">
        <v>79.946642051003167</v>
      </c>
      <c r="H27" s="112">
        <v>897504.62807393749</v>
      </c>
      <c r="I27" s="13">
        <v>20.907833837677149</v>
      </c>
      <c r="J27" s="112">
        <v>137262.77765483051</v>
      </c>
      <c r="K27" s="115">
        <f t="shared" si="1"/>
        <v>1034767.405728768</v>
      </c>
      <c r="L27" s="115">
        <f t="shared" si="2"/>
        <v>109.72940672947719</v>
      </c>
      <c r="M27" s="138">
        <f t="shared" si="4"/>
        <v>42.651614837448669</v>
      </c>
      <c r="N27" s="138"/>
    </row>
    <row r="28" spans="1:14">
      <c r="A28" s="12">
        <f t="shared" si="3"/>
        <v>2021</v>
      </c>
      <c r="B28" s="13">
        <v>187144285.64383924</v>
      </c>
      <c r="C28" s="13">
        <v>14892670.092135971</v>
      </c>
      <c r="D28" s="13">
        <v>33104050.915010251</v>
      </c>
      <c r="E28" s="144">
        <f t="shared" si="0"/>
        <v>0.17689052487561235</v>
      </c>
      <c r="F28" s="13">
        <v>118.71811753103708</v>
      </c>
      <c r="G28" s="13">
        <v>105.6529735721852</v>
      </c>
      <c r="H28" s="112">
        <v>1194800.4177166221</v>
      </c>
      <c r="I28" s="13">
        <v>28.236224515633594</v>
      </c>
      <c r="J28" s="112">
        <v>188926.96403772366</v>
      </c>
      <c r="K28" s="115">
        <f t="shared" si="1"/>
        <v>1383727.3817543457</v>
      </c>
      <c r="L28" s="115">
        <f t="shared" si="2"/>
        <v>146.95434204667066</v>
      </c>
      <c r="M28" s="138">
        <f t="shared" si="4"/>
        <v>41.799337045090368</v>
      </c>
      <c r="N28" s="138"/>
    </row>
    <row r="29" spans="1:14">
      <c r="A29" s="12">
        <f t="shared" si="3"/>
        <v>2022</v>
      </c>
      <c r="B29" s="13">
        <v>189359281.315631</v>
      </c>
      <c r="C29" s="13">
        <v>12456868.447514337</v>
      </c>
      <c r="D29" s="13">
        <v>47996721.007146217</v>
      </c>
      <c r="E29" s="144">
        <f t="shared" si="0"/>
        <v>0.25346907040243527</v>
      </c>
      <c r="F29" s="13">
        <v>172.32023073238673</v>
      </c>
      <c r="G29" s="13">
        <v>149.50156635296835</v>
      </c>
      <c r="H29" s="112">
        <v>1689870.2115034056</v>
      </c>
      <c r="I29" s="13">
        <v>41.681620750865925</v>
      </c>
      <c r="J29" s="112">
        <v>280720.46933204267</v>
      </c>
      <c r="K29" s="115">
        <f t="shared" si="1"/>
        <v>1970590.6808354482</v>
      </c>
      <c r="L29" s="115">
        <f t="shared" si="2"/>
        <v>214.00185148325266</v>
      </c>
      <c r="M29" s="138">
        <f t="shared" si="4"/>
        <v>41.056777202385298</v>
      </c>
      <c r="N29" s="138"/>
    </row>
    <row r="30" spans="1:14">
      <c r="A30" s="12">
        <f t="shared" si="3"/>
        <v>2023</v>
      </c>
      <c r="B30" s="13">
        <v>191599660.55066624</v>
      </c>
      <c r="C30" s="13">
        <v>10540622.366682203</v>
      </c>
      <c r="D30" s="13">
        <v>60453589.454660565</v>
      </c>
      <c r="E30" s="144">
        <f t="shared" si="0"/>
        <v>0.31552033694065096</v>
      </c>
      <c r="F30" s="13">
        <v>217.32437616877891</v>
      </c>
      <c r="G30" s="13">
        <v>186.33478753560655</v>
      </c>
      <c r="H30" s="112">
        <v>2105276.457713448</v>
      </c>
      <c r="I30" s="13">
        <v>52.954806490603453</v>
      </c>
      <c r="J30" s="112">
        <v>357438.31339336489</v>
      </c>
      <c r="K30" s="115">
        <f t="shared" ref="K30:K32" si="5">+J30+H30</f>
        <v>2462714.7711068131</v>
      </c>
      <c r="L30" s="115">
        <f t="shared" ref="L30:L33" si="6">+I30+F30</f>
        <v>270.27918265938234</v>
      </c>
      <c r="M30" s="138">
        <f t="shared" si="4"/>
        <v>40.737279511811586</v>
      </c>
      <c r="N30" s="138"/>
    </row>
    <row r="31" spans="1:14">
      <c r="A31" s="12">
        <f t="shared" si="3"/>
        <v>2024</v>
      </c>
      <c r="B31" s="13">
        <v>193868025.46701157</v>
      </c>
      <c r="C31" s="13">
        <v>9034413.1578753423</v>
      </c>
      <c r="D31" s="13">
        <v>70994211.821342766</v>
      </c>
      <c r="E31" s="144">
        <f t="shared" si="0"/>
        <v>0.36619866349968622</v>
      </c>
      <c r="F31" s="13">
        <v>255.64470797547472</v>
      </c>
      <c r="G31" s="13">
        <v>217.70742864435917</v>
      </c>
      <c r="H31" s="112">
        <v>2458204.9320826358</v>
      </c>
      <c r="I31" s="13">
        <v>62.540318183286885</v>
      </c>
      <c r="J31" s="112">
        <v>422330.62664104532</v>
      </c>
      <c r="K31" s="115">
        <f t="shared" si="5"/>
        <v>2880535.5587236811</v>
      </c>
      <c r="L31" s="115">
        <f t="shared" si="6"/>
        <v>318.18502615876162</v>
      </c>
      <c r="M31" s="138">
        <f t="shared" si="4"/>
        <v>40.574231121440732</v>
      </c>
      <c r="N31" s="138"/>
    </row>
    <row r="32" spans="1:14">
      <c r="A32" s="12">
        <f t="shared" si="3"/>
        <v>2025</v>
      </c>
      <c r="B32" s="13">
        <v>196068263.93603703</v>
      </c>
      <c r="C32" s="13">
        <v>7743470.9991936693</v>
      </c>
      <c r="D32" s="13">
        <v>80028624.979218096</v>
      </c>
      <c r="E32" s="144">
        <f t="shared" si="0"/>
        <v>0.40816715246341795</v>
      </c>
      <c r="F32" s="13">
        <v>288.85574431195215</v>
      </c>
      <c r="G32" s="13">
        <v>244.88470394231183</v>
      </c>
      <c r="H32" s="112">
        <v>2762467.6288658595</v>
      </c>
      <c r="I32" s="13">
        <v>70.835360369816783</v>
      </c>
      <c r="J32" s="112">
        <v>477988.05242227577</v>
      </c>
      <c r="K32" s="115">
        <f t="shared" si="5"/>
        <v>3240455.6812881352</v>
      </c>
      <c r="L32" s="115">
        <f t="shared" si="6"/>
        <v>359.69110468176893</v>
      </c>
      <c r="M32" s="138">
        <f t="shared" si="4"/>
        <v>40.491207766341347</v>
      </c>
      <c r="N32" s="138"/>
    </row>
    <row r="33" spans="1:14">
      <c r="A33" s="12">
        <f t="shared" si="3"/>
        <v>2026</v>
      </c>
      <c r="B33" s="13">
        <v>198033722.43076125</v>
      </c>
      <c r="C33" s="13">
        <v>6383031.4561074199</v>
      </c>
      <c r="D33" s="13">
        <v>87772095.978411764</v>
      </c>
      <c r="E33" s="144">
        <f t="shared" si="0"/>
        <v>0.44321792723509312</v>
      </c>
      <c r="F33" s="13">
        <v>318.14361954743089</v>
      </c>
      <c r="G33" s="13">
        <v>268.73706952503869</v>
      </c>
      <c r="H33" s="112">
        <v>3026354.8650862072</v>
      </c>
      <c r="I33" s="13">
        <v>78.139059683779124</v>
      </c>
      <c r="J33" s="112">
        <v>525964.18499059766</v>
      </c>
      <c r="K33" s="115">
        <f>+J33+H33</f>
        <v>3552319.0500768051</v>
      </c>
      <c r="L33" s="115">
        <f t="shared" si="6"/>
        <v>396.28267923121001</v>
      </c>
      <c r="M33" s="138">
        <f t="shared" si="4"/>
        <v>40.472077264174324</v>
      </c>
      <c r="N33" s="138"/>
    </row>
    <row r="34" spans="1:14">
      <c r="A34" s="16"/>
      <c r="B34" s="17"/>
      <c r="C34" s="17"/>
      <c r="D34" s="17"/>
      <c r="E34" s="17"/>
      <c r="F34" s="17"/>
      <c r="G34" s="17"/>
      <c r="H34" s="17"/>
      <c r="I34" s="17"/>
      <c r="J34" s="310"/>
    </row>
    <row r="36" spans="1:14">
      <c r="A36" s="5" t="s">
        <v>103</v>
      </c>
    </row>
    <row r="37" spans="1:14">
      <c r="A37" s="5" t="s">
        <v>269</v>
      </c>
      <c r="E37" s="19"/>
    </row>
    <row r="38" spans="1:14">
      <c r="E38" s="19"/>
    </row>
  </sheetData>
  <mergeCells count="3">
    <mergeCell ref="B10:E10"/>
    <mergeCell ref="F10:H10"/>
    <mergeCell ref="I10:J10"/>
  </mergeCells>
  <printOptions horizontalCentered="1"/>
  <pageMargins left="0.75" right="0.75" top="0.75" bottom="0.75" header="0.5" footer="0.5"/>
  <pageSetup scale="5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N83"/>
  <sheetViews>
    <sheetView zoomScale="75" zoomScaleNormal="75" workbookViewId="0">
      <selection activeCell="A2" sqref="A1:A2"/>
    </sheetView>
  </sheetViews>
  <sheetFormatPr defaultColWidth="9.109375" defaultRowHeight="13.2"/>
  <cols>
    <col min="1" max="1" width="14.109375" style="5" customWidth="1"/>
    <col min="2" max="10" width="20.6640625" style="5" customWidth="1"/>
    <col min="11" max="11" width="15.44140625" style="5" customWidth="1"/>
    <col min="12" max="12" width="16.44140625" style="5" customWidth="1"/>
    <col min="13" max="16384" width="9.109375" style="5"/>
  </cols>
  <sheetData>
    <row r="1" spans="1:14">
      <c r="A1" s="416" t="s">
        <v>392</v>
      </c>
    </row>
    <row r="2" spans="1:14">
      <c r="A2" s="416" t="s">
        <v>380</v>
      </c>
    </row>
    <row r="3" spans="1:14" s="2" customFormat="1" ht="15.6">
      <c r="A3" s="1" t="s">
        <v>0</v>
      </c>
      <c r="B3" s="1"/>
      <c r="C3" s="1"/>
      <c r="D3" s="1"/>
      <c r="E3" s="1"/>
      <c r="F3" s="1"/>
      <c r="G3" s="1"/>
      <c r="H3" s="1"/>
      <c r="I3" s="1"/>
      <c r="J3" s="1"/>
    </row>
    <row r="4" spans="1:14" s="2" customFormat="1" ht="15.6">
      <c r="A4" s="1" t="s">
        <v>270</v>
      </c>
      <c r="B4" s="3"/>
      <c r="C4" s="1"/>
      <c r="D4" s="1"/>
      <c r="E4" s="1"/>
      <c r="F4" s="1"/>
      <c r="G4" s="1"/>
      <c r="H4" s="1"/>
      <c r="I4" s="1"/>
      <c r="J4" s="1"/>
    </row>
    <row r="5" spans="1:14" s="2" customFormat="1" ht="15.6">
      <c r="A5" s="1" t="s">
        <v>188</v>
      </c>
      <c r="B5" s="3"/>
      <c r="C5" s="1"/>
      <c r="D5" s="1"/>
      <c r="E5" s="1"/>
      <c r="F5" s="1"/>
      <c r="G5" s="1"/>
      <c r="H5" s="1"/>
      <c r="I5" s="1"/>
      <c r="J5" s="1"/>
    </row>
    <row r="6" spans="1:14" s="2" customFormat="1" ht="15.6">
      <c r="A6" s="1" t="s">
        <v>264</v>
      </c>
      <c r="B6" s="3"/>
      <c r="C6" s="1"/>
      <c r="D6" s="1"/>
      <c r="E6" s="1"/>
      <c r="F6" s="1"/>
      <c r="G6" s="1"/>
      <c r="H6" s="1"/>
      <c r="I6" s="1"/>
      <c r="J6" s="1"/>
    </row>
    <row r="7" spans="1:14" s="2" customFormat="1" ht="15.6">
      <c r="A7" s="1" t="s">
        <v>189</v>
      </c>
      <c r="B7" s="3"/>
      <c r="C7" s="1"/>
      <c r="D7" s="1"/>
      <c r="E7" s="1"/>
      <c r="F7" s="1"/>
      <c r="G7" s="1"/>
      <c r="H7" s="1"/>
      <c r="I7" s="1"/>
      <c r="J7" s="1"/>
    </row>
    <row r="8" spans="1:14" s="2" customFormat="1" ht="15.6">
      <c r="A8" s="1"/>
      <c r="B8" s="3"/>
      <c r="C8" s="1"/>
      <c r="D8" s="1"/>
      <c r="E8" s="1"/>
      <c r="F8" s="1"/>
      <c r="G8" s="1"/>
      <c r="H8" s="1"/>
      <c r="I8" s="1"/>
      <c r="J8" s="1"/>
    </row>
    <row r="9" spans="1:14" s="2" customFormat="1" ht="15.6">
      <c r="A9" s="1" t="s">
        <v>73</v>
      </c>
      <c r="B9" s="3"/>
      <c r="C9" s="1"/>
      <c r="D9" s="1"/>
      <c r="E9" s="1"/>
      <c r="F9" s="1"/>
      <c r="G9" s="1"/>
      <c r="H9" s="1"/>
      <c r="I9" s="1"/>
      <c r="J9" s="1"/>
    </row>
    <row r="10" spans="1:14" s="9" customFormat="1">
      <c r="A10" s="6"/>
      <c r="B10" s="409" t="s">
        <v>190</v>
      </c>
      <c r="C10" s="410"/>
      <c r="D10" s="410"/>
      <c r="E10" s="411"/>
      <c r="F10" s="409" t="s">
        <v>191</v>
      </c>
      <c r="G10" s="410"/>
      <c r="H10" s="411"/>
      <c r="I10" s="409" t="s">
        <v>192</v>
      </c>
      <c r="J10" s="411"/>
      <c r="K10" s="114"/>
      <c r="L10" s="114"/>
    </row>
    <row r="11" spans="1:14" s="9" customFormat="1" ht="26.4">
      <c r="A11" s="10"/>
      <c r="B11" s="43" t="s">
        <v>4</v>
      </c>
      <c r="C11" s="54" t="s">
        <v>104</v>
      </c>
      <c r="D11" s="54" t="s">
        <v>26</v>
      </c>
      <c r="E11" s="54" t="s">
        <v>193</v>
      </c>
      <c r="F11" s="43" t="s">
        <v>24</v>
      </c>
      <c r="G11" s="43" t="s">
        <v>24</v>
      </c>
      <c r="H11" s="43" t="s">
        <v>24</v>
      </c>
      <c r="I11" s="54" t="s">
        <v>192</v>
      </c>
      <c r="J11" s="54" t="s">
        <v>192</v>
      </c>
      <c r="K11" s="114"/>
      <c r="L11" s="114"/>
    </row>
    <row r="12" spans="1:14" s="9" customFormat="1" ht="26.4">
      <c r="A12" s="10"/>
      <c r="B12" s="44" t="s">
        <v>179</v>
      </c>
      <c r="C12" s="44" t="s">
        <v>194</v>
      </c>
      <c r="D12" s="44" t="s">
        <v>195</v>
      </c>
      <c r="E12" s="44" t="s">
        <v>196</v>
      </c>
      <c r="F12" s="44" t="s">
        <v>197</v>
      </c>
      <c r="G12" s="44" t="s">
        <v>197</v>
      </c>
      <c r="H12" s="44" t="s">
        <v>197</v>
      </c>
      <c r="I12" s="143" t="s">
        <v>24</v>
      </c>
      <c r="J12" s="143" t="s">
        <v>24</v>
      </c>
      <c r="K12" s="114"/>
      <c r="L12" s="114"/>
    </row>
    <row r="13" spans="1:14" s="9" customFormat="1" ht="26.4">
      <c r="A13" s="10"/>
      <c r="B13" s="44" t="s">
        <v>198</v>
      </c>
      <c r="C13" s="55" t="s">
        <v>12</v>
      </c>
      <c r="D13" s="55" t="s">
        <v>199</v>
      </c>
      <c r="E13" s="44" t="s">
        <v>200</v>
      </c>
      <c r="F13" s="44" t="s">
        <v>201</v>
      </c>
      <c r="G13" s="44" t="s">
        <v>201</v>
      </c>
      <c r="H13" s="44" t="s">
        <v>201</v>
      </c>
      <c r="I13" s="44" t="s">
        <v>271</v>
      </c>
      <c r="J13" s="44" t="s">
        <v>271</v>
      </c>
      <c r="K13" s="60" t="s">
        <v>244</v>
      </c>
      <c r="L13" s="60" t="s">
        <v>245</v>
      </c>
      <c r="M13" s="412" t="s">
        <v>253</v>
      </c>
      <c r="N13" s="412"/>
    </row>
    <row r="14" spans="1:14" s="9" customFormat="1">
      <c r="A14" s="11" t="s">
        <v>17</v>
      </c>
      <c r="B14" s="46" t="s">
        <v>203</v>
      </c>
      <c r="C14" s="46" t="s">
        <v>199</v>
      </c>
      <c r="D14" s="46" t="s">
        <v>196</v>
      </c>
      <c r="E14" s="46" t="s">
        <v>204</v>
      </c>
      <c r="F14" s="46" t="s">
        <v>22</v>
      </c>
      <c r="G14" s="46" t="s">
        <v>112</v>
      </c>
      <c r="H14" s="46" t="s">
        <v>102</v>
      </c>
      <c r="I14" s="46" t="s">
        <v>22</v>
      </c>
      <c r="J14" s="46" t="s">
        <v>102</v>
      </c>
      <c r="K14" s="114"/>
      <c r="L14" s="114"/>
      <c r="M14" s="114" t="s">
        <v>255</v>
      </c>
      <c r="N14" s="114" t="s">
        <v>254</v>
      </c>
    </row>
    <row r="15" spans="1:14">
      <c r="A15" s="12">
        <v>2008</v>
      </c>
      <c r="B15" s="13">
        <v>162936361.49482131</v>
      </c>
      <c r="C15" s="13">
        <v>6184368.1914135786</v>
      </c>
      <c r="D15" s="13">
        <v>24238444.795443375</v>
      </c>
      <c r="E15" s="144">
        <f>D15/B15</f>
        <v>0.14876019430576126</v>
      </c>
      <c r="F15" s="13">
        <v>208.49688710557953</v>
      </c>
      <c r="G15" s="13">
        <v>154.24369650964437</v>
      </c>
      <c r="H15" s="112">
        <v>1306536.1003046196</v>
      </c>
      <c r="I15" s="13">
        <v>51.575896738644872</v>
      </c>
      <c r="J15" s="112">
        <v>218048.63471403474</v>
      </c>
      <c r="K15" s="115">
        <f>+J15+H15</f>
        <v>1524584.7350186543</v>
      </c>
      <c r="L15" s="115">
        <f>+I15+F15</f>
        <v>260.07278384422443</v>
      </c>
      <c r="M15" s="138">
        <f>+K15*1000/D15</f>
        <v>62.899445401103605</v>
      </c>
      <c r="N15" s="138">
        <v>63.180675617023581</v>
      </c>
    </row>
    <row r="16" spans="1:14">
      <c r="A16" s="12">
        <f>A15+1</f>
        <v>2009</v>
      </c>
      <c r="B16" s="13">
        <v>162585221.04966378</v>
      </c>
      <c r="C16" s="13">
        <v>5315120.7351039685</v>
      </c>
      <c r="D16" s="13">
        <v>30422812.986856956</v>
      </c>
      <c r="E16" s="144">
        <f t="shared" ref="E16:E33" si="0">D16/B16</f>
        <v>0.18711917842498063</v>
      </c>
      <c r="F16" s="13">
        <v>248.90036587828175</v>
      </c>
      <c r="G16" s="13">
        <v>184.1398639816816</v>
      </c>
      <c r="H16" s="112">
        <v>1577863.1357445573</v>
      </c>
      <c r="I16" s="13">
        <v>61.52760469126455</v>
      </c>
      <c r="J16" s="112">
        <v>263904.14581111562</v>
      </c>
      <c r="K16" s="115">
        <f>+J16+H16</f>
        <v>1841767.2815556729</v>
      </c>
      <c r="L16" s="115">
        <f t="shared" ref="L16:L29" si="1">+I16+F16</f>
        <v>310.42797056954629</v>
      </c>
      <c r="M16" s="138">
        <f t="shared" ref="M16:M29" si="2">+K16*1000/D16</f>
        <v>60.539019924007022</v>
      </c>
      <c r="N16" s="138">
        <v>63.133001803133084</v>
      </c>
    </row>
    <row r="17" spans="1:14">
      <c r="A17" s="12">
        <f t="shared" ref="A17:A33" si="3">A16+1</f>
        <v>2010</v>
      </c>
      <c r="B17" s="13">
        <v>163374789.49753302</v>
      </c>
      <c r="C17" s="13">
        <v>5194784.7506142575</v>
      </c>
      <c r="D17" s="13">
        <v>35737933.721960925</v>
      </c>
      <c r="E17" s="144">
        <f t="shared" si="0"/>
        <v>0.21874815466862818</v>
      </c>
      <c r="F17" s="13">
        <v>285.74745578768517</v>
      </c>
      <c r="G17" s="13">
        <v>211.71301107982231</v>
      </c>
      <c r="H17" s="112">
        <v>1834334.680892549</v>
      </c>
      <c r="I17" s="13">
        <v>70.60787311895173</v>
      </c>
      <c r="J17" s="112">
        <v>307552.29598864994</v>
      </c>
      <c r="K17" s="115">
        <f t="shared" ref="K17:K29" si="4">+J17+H17</f>
        <v>2141886.9768811991</v>
      </c>
      <c r="L17" s="115">
        <f>+I17+F17</f>
        <v>356.35532890663688</v>
      </c>
      <c r="M17" s="138">
        <f t="shared" si="2"/>
        <v>59.933150963482028</v>
      </c>
      <c r="N17" s="138">
        <v>62.746632852281806</v>
      </c>
    </row>
    <row r="18" spans="1:14">
      <c r="A18" s="12">
        <f t="shared" si="3"/>
        <v>2011</v>
      </c>
      <c r="B18" s="13">
        <v>164312333.33769226</v>
      </c>
      <c r="C18" s="13">
        <v>4862350.9906357545</v>
      </c>
      <c r="D18" s="13">
        <v>40932718.47257518</v>
      </c>
      <c r="E18" s="144">
        <f t="shared" si="0"/>
        <v>0.2491153137509822</v>
      </c>
      <c r="F18" s="13">
        <v>319.04277930004662</v>
      </c>
      <c r="G18" s="13">
        <v>236.75548417664749</v>
      </c>
      <c r="H18" s="112">
        <v>2070273.5067223357</v>
      </c>
      <c r="I18" s="13">
        <v>78.81849550258994</v>
      </c>
      <c r="J18" s="112">
        <v>347923.71530561877</v>
      </c>
      <c r="K18" s="115">
        <f t="shared" si="4"/>
        <v>2418197.2220279546</v>
      </c>
      <c r="L18" s="115">
        <f>+I18+F18</f>
        <v>397.86127480263656</v>
      </c>
      <c r="M18" s="138">
        <f t="shared" si="2"/>
        <v>59.077366768301516</v>
      </c>
      <c r="N18" s="138">
        <v>62.32745885353583</v>
      </c>
    </row>
    <row r="19" spans="1:14">
      <c r="A19" s="12">
        <f t="shared" si="3"/>
        <v>2012</v>
      </c>
      <c r="B19" s="13">
        <v>165360926.13152072</v>
      </c>
      <c r="C19" s="13">
        <v>4542899.2255435949</v>
      </c>
      <c r="D19" s="13">
        <v>45795069.46321094</v>
      </c>
      <c r="E19" s="144">
        <f t="shared" si="0"/>
        <v>0.27694008817287091</v>
      </c>
      <c r="F19" s="13">
        <v>348.15824105813829</v>
      </c>
      <c r="G19" s="13">
        <v>258.90744534219351</v>
      </c>
      <c r="H19" s="112">
        <v>2284208.0886908555</v>
      </c>
      <c r="I19" s="13">
        <v>86.000909520308198</v>
      </c>
      <c r="J19" s="112">
        <v>384757.17053210025</v>
      </c>
      <c r="K19" s="115">
        <f t="shared" si="4"/>
        <v>2668965.2592229559</v>
      </c>
      <c r="L19" s="115">
        <f t="shared" si="1"/>
        <v>434.15915057844649</v>
      </c>
      <c r="M19" s="138">
        <f t="shared" si="2"/>
        <v>58.280624759550697</v>
      </c>
      <c r="N19" s="138">
        <v>61.886090543838236</v>
      </c>
    </row>
    <row r="20" spans="1:14">
      <c r="A20" s="12">
        <f t="shared" si="3"/>
        <v>2013</v>
      </c>
      <c r="B20" s="13">
        <v>167190830.4335016</v>
      </c>
      <c r="C20" s="13">
        <v>4467993.895450253</v>
      </c>
      <c r="D20" s="13">
        <v>50337968.688754529</v>
      </c>
      <c r="E20" s="144">
        <f t="shared" si="0"/>
        <v>0.30108091788428509</v>
      </c>
      <c r="F20" s="13">
        <v>375.30694860630132</v>
      </c>
      <c r="G20" s="13">
        <v>279.78070515247384</v>
      </c>
      <c r="H20" s="112">
        <v>2489810.5463459333</v>
      </c>
      <c r="I20" s="13">
        <v>92.699428327418417</v>
      </c>
      <c r="J20" s="112">
        <v>420300.04146326921</v>
      </c>
      <c r="K20" s="115">
        <f t="shared" si="4"/>
        <v>2910110.5878092027</v>
      </c>
      <c r="L20" s="115">
        <f t="shared" si="1"/>
        <v>468.00637693371971</v>
      </c>
      <c r="M20" s="138">
        <f t="shared" si="2"/>
        <v>57.811442607125294</v>
      </c>
      <c r="N20" s="138">
        <v>61.523779552795688</v>
      </c>
    </row>
    <row r="21" spans="1:14">
      <c r="A21" s="12">
        <f t="shared" si="3"/>
        <v>2014</v>
      </c>
      <c r="B21" s="13">
        <v>169717522.08665246</v>
      </c>
      <c r="C21" s="13">
        <v>4420264.6531357691</v>
      </c>
      <c r="D21" s="13">
        <v>54805962.584204786</v>
      </c>
      <c r="E21" s="144">
        <f t="shared" si="0"/>
        <v>0.32292459794588901</v>
      </c>
      <c r="F21" s="13">
        <v>402.37583067597939</v>
      </c>
      <c r="G21" s="13">
        <v>300.53400735365301</v>
      </c>
      <c r="H21" s="112">
        <v>2693409.056031948</v>
      </c>
      <c r="I21" s="13">
        <v>99.387679730356183</v>
      </c>
      <c r="J21" s="112">
        <v>455643.48313095252</v>
      </c>
      <c r="K21" s="115">
        <f t="shared" si="4"/>
        <v>3149052.5391629003</v>
      </c>
      <c r="L21" s="115">
        <f t="shared" si="1"/>
        <v>501.76351040633557</v>
      </c>
      <c r="M21" s="138">
        <f t="shared" si="2"/>
        <v>57.458210579271267</v>
      </c>
      <c r="N21" s="138">
        <v>61.203217040679824</v>
      </c>
    </row>
    <row r="22" spans="1:14">
      <c r="A22" s="12">
        <f t="shared" si="3"/>
        <v>2015</v>
      </c>
      <c r="B22" s="13">
        <v>172665421.88952142</v>
      </c>
      <c r="C22" s="13">
        <v>4328063.7297194954</v>
      </c>
      <c r="D22" s="13">
        <v>59226227.237340555</v>
      </c>
      <c r="E22" s="144">
        <f t="shared" si="0"/>
        <v>0.34301151087005699</v>
      </c>
      <c r="F22" s="13">
        <v>429.70259944904706</v>
      </c>
      <c r="G22" s="13">
        <v>321.32667069800993</v>
      </c>
      <c r="H22" s="112">
        <v>2894915.4158419771</v>
      </c>
      <c r="I22" s="13">
        <v>106.14847465402656</v>
      </c>
      <c r="J22" s="112">
        <v>490720.81878957432</v>
      </c>
      <c r="K22" s="115">
        <f t="shared" si="4"/>
        <v>3385636.2346315514</v>
      </c>
      <c r="L22" s="115">
        <f t="shared" si="1"/>
        <v>535.85107410307364</v>
      </c>
      <c r="M22" s="138">
        <f t="shared" si="2"/>
        <v>57.16447581683876</v>
      </c>
      <c r="N22" s="138">
        <v>60.956742787691276</v>
      </c>
    </row>
    <row r="23" spans="1:14">
      <c r="A23" s="12">
        <f t="shared" si="3"/>
        <v>2016</v>
      </c>
      <c r="B23" s="13">
        <v>175181540.76288602</v>
      </c>
      <c r="C23" s="13">
        <v>3935220.8244675575</v>
      </c>
      <c r="D23" s="13">
        <v>63554290.967060052</v>
      </c>
      <c r="E23" s="144">
        <f t="shared" si="0"/>
        <v>0.36279102632784166</v>
      </c>
      <c r="F23" s="13">
        <v>452.03886585788746</v>
      </c>
      <c r="G23" s="13">
        <v>338.64769160620216</v>
      </c>
      <c r="H23" s="112">
        <v>3069834.2505090013</v>
      </c>
      <c r="I23" s="13">
        <v>111.68173098217409</v>
      </c>
      <c r="J23" s="112">
        <v>521527.19441269722</v>
      </c>
      <c r="K23" s="115">
        <f t="shared" si="4"/>
        <v>3591361.4449216984</v>
      </c>
      <c r="L23" s="115">
        <f t="shared" si="1"/>
        <v>563.72059684006149</v>
      </c>
      <c r="M23" s="138">
        <f t="shared" si="2"/>
        <v>56.50855969399592</v>
      </c>
      <c r="N23" s="138">
        <v>60.767309801203886</v>
      </c>
    </row>
    <row r="24" spans="1:14">
      <c r="A24" s="12">
        <f t="shared" si="3"/>
        <v>2017</v>
      </c>
      <c r="B24" s="13">
        <v>177698041.04100701</v>
      </c>
      <c r="C24" s="13">
        <v>3651644.2431222284</v>
      </c>
      <c r="D24" s="13">
        <v>67489511.791527599</v>
      </c>
      <c r="E24" s="144">
        <f t="shared" si="0"/>
        <v>0.37979885088296039</v>
      </c>
      <c r="F24" s="13">
        <v>468.93814062362185</v>
      </c>
      <c r="G24" s="13">
        <v>352.29865253148915</v>
      </c>
      <c r="H24" s="112">
        <v>3217961.1740424586</v>
      </c>
      <c r="I24" s="13">
        <v>115.87495421258943</v>
      </c>
      <c r="J24" s="112">
        <v>548005.74591005326</v>
      </c>
      <c r="K24" s="115">
        <f t="shared" si="4"/>
        <v>3765966.9199525118</v>
      </c>
      <c r="L24" s="115">
        <f t="shared" si="1"/>
        <v>584.81309483621123</v>
      </c>
      <c r="M24" s="138">
        <f t="shared" si="2"/>
        <v>55.800772890244531</v>
      </c>
      <c r="N24" s="138">
        <v>60.624187034023642</v>
      </c>
    </row>
    <row r="25" spans="1:14">
      <c r="A25" s="12">
        <f t="shared" si="3"/>
        <v>2018</v>
      </c>
      <c r="B25" s="13">
        <v>180174846.5913403</v>
      </c>
      <c r="C25" s="13">
        <v>3328372.860607753</v>
      </c>
      <c r="D25" s="13">
        <v>71141156.034649834</v>
      </c>
      <c r="E25" s="144">
        <f t="shared" si="0"/>
        <v>0.39484510396729861</v>
      </c>
      <c r="F25" s="13">
        <v>480.58682885015151</v>
      </c>
      <c r="G25" s="13">
        <v>361.43618434262362</v>
      </c>
      <c r="H25" s="112">
        <v>3313056.8566191988</v>
      </c>
      <c r="I25" s="13">
        <v>118.77025929928234</v>
      </c>
      <c r="J25" s="112">
        <v>565026.0127351667</v>
      </c>
      <c r="K25" s="115">
        <f t="shared" si="4"/>
        <v>3878082.8693543654</v>
      </c>
      <c r="L25" s="115">
        <f t="shared" si="1"/>
        <v>599.35708814943382</v>
      </c>
      <c r="M25" s="138">
        <f t="shared" si="2"/>
        <v>54.512508448211271</v>
      </c>
      <c r="N25" s="138">
        <v>60.525828575391273</v>
      </c>
    </row>
    <row r="26" spans="1:14">
      <c r="A26" s="12">
        <f t="shared" si="3"/>
        <v>2019</v>
      </c>
      <c r="B26" s="13">
        <v>182599958.55198753</v>
      </c>
      <c r="C26" s="13">
        <v>2990484.8905893601</v>
      </c>
      <c r="D26" s="13">
        <v>74469528.895257592</v>
      </c>
      <c r="E26" s="144">
        <f t="shared" si="0"/>
        <v>0.40782883789130531</v>
      </c>
      <c r="F26" s="13">
        <v>490.7969222427991</v>
      </c>
      <c r="G26" s="13">
        <v>369.47303042299046</v>
      </c>
      <c r="H26" s="112">
        <v>3397591.3377470057</v>
      </c>
      <c r="I26" s="13">
        <v>121.31012886158831</v>
      </c>
      <c r="J26" s="112">
        <v>580227.29413542547</v>
      </c>
      <c r="K26" s="115">
        <f t="shared" si="4"/>
        <v>3977818.631882431</v>
      </c>
      <c r="L26" s="115">
        <f t="shared" si="1"/>
        <v>612.10705110438744</v>
      </c>
      <c r="M26" s="138">
        <f t="shared" si="2"/>
        <v>53.415386009454785</v>
      </c>
      <c r="N26" s="138">
        <v>60.477761829913881</v>
      </c>
    </row>
    <row r="27" spans="1:14">
      <c r="A27" s="12">
        <f t="shared" si="3"/>
        <v>2020</v>
      </c>
      <c r="B27" s="13">
        <v>184939296.67812085</v>
      </c>
      <c r="C27" s="13">
        <v>2642112.2021569111</v>
      </c>
      <c r="D27" s="13">
        <v>77460013.785846949</v>
      </c>
      <c r="E27" s="144">
        <f t="shared" si="0"/>
        <v>0.41884020961030732</v>
      </c>
      <c r="F27" s="13">
        <v>499.67253275128917</v>
      </c>
      <c r="G27" s="13">
        <v>376.47320278530344</v>
      </c>
      <c r="H27" s="112">
        <v>3471783.964619285</v>
      </c>
      <c r="I27" s="13">
        <v>123.51882453887609</v>
      </c>
      <c r="J27" s="112">
        <v>593606.40618991456</v>
      </c>
      <c r="K27" s="115">
        <f t="shared" si="4"/>
        <v>4065390.3708091993</v>
      </c>
      <c r="L27" s="115">
        <f t="shared" si="1"/>
        <v>623.19135729016523</v>
      </c>
      <c r="M27" s="138">
        <f t="shared" si="2"/>
        <v>52.483728986270904</v>
      </c>
      <c r="N27" s="138">
        <v>60.476672036188347</v>
      </c>
    </row>
    <row r="28" spans="1:14">
      <c r="A28" s="12">
        <f t="shared" si="3"/>
        <v>2021</v>
      </c>
      <c r="B28" s="13">
        <v>187144285.64383924</v>
      </c>
      <c r="C28" s="13">
        <v>2149262.3843254242</v>
      </c>
      <c r="D28" s="13">
        <v>80102125.98800385</v>
      </c>
      <c r="E28" s="144">
        <f t="shared" si="0"/>
        <v>0.42802336022404114</v>
      </c>
      <c r="F28" s="13">
        <v>506.44332780893245</v>
      </c>
      <c r="G28" s="13">
        <v>381.84995767105681</v>
      </c>
      <c r="H28" s="112">
        <v>3530520.2367025958</v>
      </c>
      <c r="I28" s="13">
        <v>125.20793475386748</v>
      </c>
      <c r="J28" s="112">
        <v>604348.32053679484</v>
      </c>
      <c r="K28" s="115">
        <f t="shared" si="4"/>
        <v>4134868.5572393909</v>
      </c>
      <c r="L28" s="115">
        <f t="shared" si="1"/>
        <v>631.65126256279996</v>
      </c>
      <c r="M28" s="138">
        <f t="shared" si="2"/>
        <v>51.619960222511843</v>
      </c>
      <c r="N28" s="138">
        <v>60.517880882623977</v>
      </c>
    </row>
    <row r="29" spans="1:14">
      <c r="A29" s="12">
        <f t="shared" si="3"/>
        <v>2022</v>
      </c>
      <c r="B29" s="13">
        <v>189359281.315631</v>
      </c>
      <c r="C29" s="13">
        <v>1618136.3044883446</v>
      </c>
      <c r="D29" s="13">
        <v>82251388.37232928</v>
      </c>
      <c r="E29" s="144">
        <f t="shared" si="0"/>
        <v>0.43436681741112887</v>
      </c>
      <c r="F29" s="13">
        <v>511.52179604972616</v>
      </c>
      <c r="G29" s="13">
        <v>385.87140274454543</v>
      </c>
      <c r="H29" s="112">
        <v>3574450.6436262317</v>
      </c>
      <c r="I29" s="13">
        <v>126.4794621248697</v>
      </c>
      <c r="J29" s="112">
        <v>612469.78558940638</v>
      </c>
      <c r="K29" s="115">
        <f t="shared" si="4"/>
        <v>4186920.429215638</v>
      </c>
      <c r="L29" s="115">
        <f t="shared" si="1"/>
        <v>638.00125817459582</v>
      </c>
      <c r="M29" s="138">
        <f t="shared" si="2"/>
        <v>50.903948396136585</v>
      </c>
      <c r="N29" s="138">
        <v>60.592748378949061</v>
      </c>
    </row>
    <row r="30" spans="1:14">
      <c r="A30" s="12">
        <f t="shared" si="3"/>
        <v>2023</v>
      </c>
      <c r="B30" s="13">
        <v>191599660.55066624</v>
      </c>
      <c r="C30" s="13">
        <v>1183903.7392684992</v>
      </c>
      <c r="D30" s="13">
        <v>83869524.676817626</v>
      </c>
      <c r="E30" s="144">
        <f t="shared" si="0"/>
        <v>0.43773315900337584</v>
      </c>
      <c r="F30" s="13">
        <v>515.12387515676767</v>
      </c>
      <c r="G30" s="13">
        <v>388.7235761343718</v>
      </c>
      <c r="H30" s="112">
        <v>3606048.178367448</v>
      </c>
      <c r="I30" s="13">
        <v>127.38523296813653</v>
      </c>
      <c r="J30" s="112">
        <v>618402.50693797087</v>
      </c>
      <c r="K30" s="115">
        <f t="shared" ref="K30:K33" si="5">+J30+H30</f>
        <v>4224450.6853054184</v>
      </c>
      <c r="L30" s="115">
        <f t="shared" ref="L30:L33" si="6">+I30+F30</f>
        <v>642.50910812490417</v>
      </c>
      <c r="M30" s="138"/>
      <c r="N30" s="138"/>
    </row>
    <row r="31" spans="1:14">
      <c r="A31" s="12">
        <f t="shared" si="3"/>
        <v>2024</v>
      </c>
      <c r="B31" s="13">
        <v>193868025.46701157</v>
      </c>
      <c r="C31" s="13">
        <v>820015.32749070763</v>
      </c>
      <c r="D31" s="13">
        <v>85053428.416086122</v>
      </c>
      <c r="E31" s="144">
        <f t="shared" si="0"/>
        <v>0.438718185792627</v>
      </c>
      <c r="F31" s="13">
        <v>517.41368762617617</v>
      </c>
      <c r="G31" s="13">
        <v>390.54525482073467</v>
      </c>
      <c r="H31" s="112">
        <v>3627094.1426839381</v>
      </c>
      <c r="I31" s="13">
        <v>127.96545136741173</v>
      </c>
      <c r="J31" s="112">
        <v>622468.54366875649</v>
      </c>
      <c r="K31" s="115">
        <f t="shared" si="5"/>
        <v>4249562.6863526944</v>
      </c>
      <c r="L31" s="115">
        <f t="shared" si="6"/>
        <v>645.37913899358796</v>
      </c>
      <c r="M31" s="138"/>
      <c r="N31" s="138"/>
    </row>
    <row r="32" spans="1:14">
      <c r="A32" s="12">
        <f t="shared" si="3"/>
        <v>2025</v>
      </c>
      <c r="B32" s="13">
        <v>196068263.93603703</v>
      </c>
      <c r="C32" s="13">
        <v>506944.83949763165</v>
      </c>
      <c r="D32" s="13">
        <v>85873443.743576825</v>
      </c>
      <c r="E32" s="144">
        <f t="shared" si="0"/>
        <v>0.43797727393348651</v>
      </c>
      <c r="F32" s="13">
        <v>518.51658033301635</v>
      </c>
      <c r="G32" s="13">
        <v>391.44117332827943</v>
      </c>
      <c r="H32" s="112">
        <v>3638855.6927966815</v>
      </c>
      <c r="I32" s="13">
        <v>128.25169239422382</v>
      </c>
      <c r="J32" s="112">
        <v>624908.1410625258</v>
      </c>
      <c r="K32" s="115">
        <f t="shared" si="5"/>
        <v>4263763.8338592071</v>
      </c>
      <c r="L32" s="115">
        <f t="shared" si="6"/>
        <v>646.76827272724017</v>
      </c>
      <c r="M32" s="138"/>
      <c r="N32" s="138"/>
    </row>
    <row r="33" spans="1:14">
      <c r="A33" s="12">
        <f t="shared" si="3"/>
        <v>2026</v>
      </c>
      <c r="B33" s="13">
        <v>198033722.43076125</v>
      </c>
      <c r="C33" s="13">
        <v>371735.38643545454</v>
      </c>
      <c r="D33" s="13">
        <v>86380388.58307445</v>
      </c>
      <c r="E33" s="144">
        <f t="shared" si="0"/>
        <v>0.43619029891879008</v>
      </c>
      <c r="F33" s="13">
        <v>519.32968953494617</v>
      </c>
      <c r="G33" s="13">
        <v>392.09166068982324</v>
      </c>
      <c r="H33" s="112">
        <v>3647427.9108078834</v>
      </c>
      <c r="I33" s="13">
        <v>128.46391389592753</v>
      </c>
      <c r="J33" s="112">
        <v>626716.87906288938</v>
      </c>
      <c r="K33" s="115">
        <f t="shared" si="5"/>
        <v>4274144.7898707725</v>
      </c>
      <c r="L33" s="115">
        <f t="shared" si="6"/>
        <v>647.79360343087365</v>
      </c>
      <c r="M33" s="138"/>
      <c r="N33" s="138"/>
    </row>
    <row r="34" spans="1:14">
      <c r="A34" s="16"/>
      <c r="B34" s="17"/>
      <c r="C34" s="17"/>
      <c r="D34" s="17"/>
      <c r="E34" s="17"/>
      <c r="F34" s="17"/>
      <c r="G34" s="17"/>
      <c r="H34" s="17"/>
      <c r="I34" s="17"/>
      <c r="J34" s="310"/>
    </row>
    <row r="36" spans="1:14">
      <c r="A36" s="5" t="s">
        <v>103</v>
      </c>
    </row>
    <row r="37" spans="1:14">
      <c r="A37" s="5" t="s">
        <v>269</v>
      </c>
      <c r="E37" s="19"/>
    </row>
    <row r="38" spans="1:14">
      <c r="E38" s="19"/>
    </row>
    <row r="39" spans="1:14">
      <c r="E39" s="19"/>
    </row>
    <row r="40" spans="1:14">
      <c r="A40" s="136" t="s">
        <v>252</v>
      </c>
      <c r="E40" s="19"/>
    </row>
    <row r="41" spans="1:14">
      <c r="A41" s="6"/>
      <c r="B41" s="7" t="s">
        <v>190</v>
      </c>
      <c r="C41" s="8"/>
      <c r="D41" s="8"/>
      <c r="E41" s="8"/>
      <c r="F41" s="8" t="s">
        <v>191</v>
      </c>
      <c r="G41" s="8"/>
      <c r="H41" s="8"/>
      <c r="I41" s="8" t="s">
        <v>192</v>
      </c>
      <c r="J41" s="8"/>
    </row>
    <row r="42" spans="1:14" ht="26.4">
      <c r="A42" s="10"/>
      <c r="B42" s="43" t="s">
        <v>4</v>
      </c>
      <c r="C42" s="54" t="s">
        <v>104</v>
      </c>
      <c r="D42" s="54" t="s">
        <v>26</v>
      </c>
      <c r="E42" s="54" t="s">
        <v>193</v>
      </c>
      <c r="F42" s="108" t="s">
        <v>24</v>
      </c>
      <c r="G42" s="43" t="s">
        <v>24</v>
      </c>
      <c r="H42" s="108" t="s">
        <v>24</v>
      </c>
      <c r="I42" s="113" t="s">
        <v>192</v>
      </c>
      <c r="J42" s="113" t="s">
        <v>192</v>
      </c>
    </row>
    <row r="43" spans="1:14" ht="26.4">
      <c r="A43" s="10"/>
      <c r="B43" s="44" t="s">
        <v>179</v>
      </c>
      <c r="C43" s="44" t="s">
        <v>194</v>
      </c>
      <c r="D43" s="44" t="s">
        <v>195</v>
      </c>
      <c r="E43" s="44" t="s">
        <v>196</v>
      </c>
      <c r="F43" s="110" t="s">
        <v>197</v>
      </c>
      <c r="G43" s="44" t="s">
        <v>197</v>
      </c>
      <c r="H43" s="110" t="s">
        <v>197</v>
      </c>
      <c r="I43" s="109" t="s">
        <v>24</v>
      </c>
      <c r="J43" s="109" t="s">
        <v>24</v>
      </c>
    </row>
    <row r="44" spans="1:14" ht="26.4">
      <c r="A44" s="10"/>
      <c r="B44" s="44" t="s">
        <v>198</v>
      </c>
      <c r="C44" s="55" t="s">
        <v>12</v>
      </c>
      <c r="D44" s="55" t="s">
        <v>199</v>
      </c>
      <c r="E44" s="44" t="s">
        <v>200</v>
      </c>
      <c r="F44" s="110" t="s">
        <v>201</v>
      </c>
      <c r="G44" s="44" t="s">
        <v>201</v>
      </c>
      <c r="H44" s="110" t="s">
        <v>201</v>
      </c>
      <c r="I44" s="110" t="s">
        <v>202</v>
      </c>
      <c r="J44" s="110" t="s">
        <v>202</v>
      </c>
      <c r="K44" s="60" t="s">
        <v>244</v>
      </c>
      <c r="L44" s="60" t="s">
        <v>245</v>
      </c>
    </row>
    <row r="45" spans="1:14">
      <c r="A45" s="11" t="s">
        <v>17</v>
      </c>
      <c r="B45" s="46" t="s">
        <v>203</v>
      </c>
      <c r="C45" s="46" t="s">
        <v>199</v>
      </c>
      <c r="D45" s="46" t="s">
        <v>196</v>
      </c>
      <c r="E45" s="46" t="s">
        <v>204</v>
      </c>
      <c r="F45" s="111" t="s">
        <v>22</v>
      </c>
      <c r="G45" s="46" t="s">
        <v>112</v>
      </c>
      <c r="H45" s="111" t="s">
        <v>102</v>
      </c>
      <c r="I45" s="111" t="s">
        <v>22</v>
      </c>
      <c r="J45" s="111" t="s">
        <v>102</v>
      </c>
    </row>
    <row r="46" spans="1:14">
      <c r="A46" s="12">
        <v>2008</v>
      </c>
      <c r="B46" s="13">
        <v>0</v>
      </c>
      <c r="C46" s="13">
        <v>80910.774439727888</v>
      </c>
      <c r="D46" s="13">
        <v>-53168.673538226634</v>
      </c>
      <c r="E46" s="256">
        <v>-3.2631558143586537E-4</v>
      </c>
      <c r="F46" s="112">
        <v>-2.4505338008115416</v>
      </c>
      <c r="G46" s="13">
        <v>-1.5436397832420141</v>
      </c>
      <c r="H46" s="112">
        <v>-8690.2728916571941</v>
      </c>
      <c r="I46" s="112">
        <v>-0.61551450723307255</v>
      </c>
      <c r="J46" s="112">
        <v>-1485.5428875359939</v>
      </c>
      <c r="K46" s="13">
        <v>-10175.815779193304</v>
      </c>
      <c r="L46" s="13">
        <v>-3.0660483080445715</v>
      </c>
    </row>
    <row r="47" spans="1:14">
      <c r="A47" s="12">
        <v>2009</v>
      </c>
      <c r="B47" s="13">
        <v>0</v>
      </c>
      <c r="C47" s="13">
        <v>203385.70824646205</v>
      </c>
      <c r="D47" s="13">
        <v>27742.100901503116</v>
      </c>
      <c r="E47" s="256">
        <v>1.7063113561241461E-4</v>
      </c>
      <c r="F47" s="112">
        <v>-13.944093487317986</v>
      </c>
      <c r="G47" s="13">
        <v>-9.3646731688126295</v>
      </c>
      <c r="H47" s="112">
        <v>-66311.831436355133</v>
      </c>
      <c r="I47" s="112">
        <v>-3.4521452253820044</v>
      </c>
      <c r="J47" s="112">
        <v>-10852.952057355375</v>
      </c>
      <c r="K47" s="13">
        <v>-77164.783493710449</v>
      </c>
      <c r="L47" s="13">
        <v>-17.396238712699983</v>
      </c>
    </row>
    <row r="48" spans="1:14">
      <c r="A48" s="12">
        <v>2010</v>
      </c>
      <c r="B48" s="13">
        <v>0</v>
      </c>
      <c r="C48" s="13">
        <v>392064.83722456824</v>
      </c>
      <c r="D48" s="13">
        <v>231127.80914796144</v>
      </c>
      <c r="E48" s="256">
        <v>1.4147091473464546E-3</v>
      </c>
      <c r="F48" s="112">
        <v>-16.965808277499377</v>
      </c>
      <c r="G48" s="13">
        <v>-11.248684712956162</v>
      </c>
      <c r="H48" s="112">
        <v>-74680.799281188753</v>
      </c>
      <c r="I48" s="112">
        <v>-4.1797561624715911</v>
      </c>
      <c r="J48" s="112">
        <v>-11608.796651018376</v>
      </c>
      <c r="K48" s="13">
        <v>-86289.59593220707</v>
      </c>
      <c r="L48" s="13">
        <v>-21.145564439970997</v>
      </c>
    </row>
    <row r="49" spans="1:12">
      <c r="A49" s="12">
        <v>2011</v>
      </c>
      <c r="B49" s="13">
        <v>0</v>
      </c>
      <c r="C49" s="13">
        <v>564510.78678936232</v>
      </c>
      <c r="D49" s="13">
        <v>623192.64637253433</v>
      </c>
      <c r="E49" s="256">
        <v>3.792732010516553E-3</v>
      </c>
      <c r="F49" s="112">
        <v>-19.330039847863588</v>
      </c>
      <c r="G49" s="13">
        <v>-12.836806723886866</v>
      </c>
      <c r="H49" s="112">
        <v>-82179.166224199813</v>
      </c>
      <c r="I49" s="112">
        <v>-4.7340706275886504</v>
      </c>
      <c r="J49" s="112">
        <v>-12017.937275107601</v>
      </c>
      <c r="K49" s="13">
        <v>-94197.103499307297</v>
      </c>
      <c r="L49" s="13">
        <v>-24.064110475452253</v>
      </c>
    </row>
    <row r="50" spans="1:12">
      <c r="A50" s="12">
        <v>2012</v>
      </c>
      <c r="B50" s="13">
        <v>-5368.7056238651276</v>
      </c>
      <c r="C50" s="13">
        <v>713977.88635555701</v>
      </c>
      <c r="D50" s="13">
        <v>1187703.4331618994</v>
      </c>
      <c r="E50" s="256">
        <v>7.1912492454516141E-3</v>
      </c>
      <c r="F50" s="112">
        <v>-21.729458074044828</v>
      </c>
      <c r="G50" s="13">
        <v>-14.326515526631852</v>
      </c>
      <c r="H50" s="112">
        <v>-85174.573341956362</v>
      </c>
      <c r="I50" s="112">
        <v>-5.2911701921951817</v>
      </c>
      <c r="J50" s="112">
        <v>-11396.445558170381</v>
      </c>
      <c r="K50" s="13">
        <v>-96571.018900126684</v>
      </c>
      <c r="L50" s="13">
        <v>-27.02062826624001</v>
      </c>
    </row>
    <row r="51" spans="1:12">
      <c r="A51" s="12">
        <v>2013</v>
      </c>
      <c r="B51" s="13">
        <v>292359.16398850083</v>
      </c>
      <c r="C51" s="13">
        <v>903973.10571273509</v>
      </c>
      <c r="D51" s="13">
        <v>1901681.3195174485</v>
      </c>
      <c r="E51" s="256">
        <v>1.0866831435161317E-2</v>
      </c>
      <c r="F51" s="112">
        <v>-22.078525174103618</v>
      </c>
      <c r="G51" s="13">
        <v>-14.2207851729504</v>
      </c>
      <c r="H51" s="112">
        <v>-71424.643577666953</v>
      </c>
      <c r="I51" s="112">
        <v>-5.336924683461632</v>
      </c>
      <c r="J51" s="112">
        <v>-7730.5054564204183</v>
      </c>
      <c r="K51" s="13">
        <v>-79155.149034087081</v>
      </c>
      <c r="L51" s="13">
        <v>-27.41544985756525</v>
      </c>
    </row>
    <row r="52" spans="1:12">
      <c r="A52" s="12">
        <v>2014</v>
      </c>
      <c r="B52" s="13">
        <v>638246.85893371701</v>
      </c>
      <c r="C52" s="13">
        <v>1122727.9581890986</v>
      </c>
      <c r="D52" s="13">
        <v>2805654.4252301902</v>
      </c>
      <c r="E52" s="256">
        <v>1.5374733605982627E-2</v>
      </c>
      <c r="F52" s="112">
        <v>-23.671413776279223</v>
      </c>
      <c r="G52" s="13">
        <v>-14.712004049257189</v>
      </c>
      <c r="H52" s="112">
        <v>-56161.825017941184</v>
      </c>
      <c r="I52" s="112">
        <v>-5.6837607390525591</v>
      </c>
      <c r="J52" s="112">
        <v>-3453.3314119723509</v>
      </c>
      <c r="K52" s="13">
        <v>-59615.156429913826</v>
      </c>
      <c r="L52" s="13">
        <v>-29.355174515331839</v>
      </c>
    </row>
    <row r="53" spans="1:12">
      <c r="A53" s="12">
        <v>2015</v>
      </c>
      <c r="B53" s="13">
        <v>981298.09196028113</v>
      </c>
      <c r="C53" s="13">
        <v>1295757.8007488558</v>
      </c>
      <c r="D53" s="13">
        <v>3928382.3834192902</v>
      </c>
      <c r="E53" s="256">
        <v>2.0920896835617098E-2</v>
      </c>
      <c r="F53" s="112">
        <v>-20.263800828111016</v>
      </c>
      <c r="G53" s="13">
        <v>-12.086271651522168</v>
      </c>
      <c r="H53" s="112">
        <v>-21510.187370431144</v>
      </c>
      <c r="I53" s="112">
        <v>-4.7740038234365443</v>
      </c>
      <c r="J53" s="112">
        <v>4306.1274697448243</v>
      </c>
      <c r="K53" s="13">
        <v>-17204.059900686145</v>
      </c>
      <c r="L53" s="13">
        <v>-25.037804651547503</v>
      </c>
    </row>
    <row r="54" spans="1:12">
      <c r="A54" s="12">
        <v>2016</v>
      </c>
      <c r="B54" s="13">
        <v>761306.61364656687</v>
      </c>
      <c r="C54" s="13">
        <v>1236376.4895131895</v>
      </c>
      <c r="D54" s="13">
        <v>5224140.1841681525</v>
      </c>
      <c r="E54" s="256">
        <v>2.8367952838657007E-2</v>
      </c>
      <c r="F54" s="112">
        <v>-19.674728231184645</v>
      </c>
      <c r="G54" s="13">
        <v>-11.409470073713862</v>
      </c>
      <c r="H54" s="112">
        <v>100.90400035260245</v>
      </c>
      <c r="I54" s="112">
        <v>-4.5476606406307951</v>
      </c>
      <c r="J54" s="112">
        <v>10280.96213677933</v>
      </c>
      <c r="K54" s="13">
        <v>10381.866137132049</v>
      </c>
      <c r="L54" s="13">
        <v>-24.222388871815497</v>
      </c>
    </row>
    <row r="55" spans="1:12">
      <c r="A55" s="12">
        <v>2017</v>
      </c>
      <c r="B55" s="13">
        <v>697281.43280002475</v>
      </c>
      <c r="C55" s="13">
        <v>1359499.4162038565</v>
      </c>
      <c r="D55" s="13">
        <v>6460516.6736813262</v>
      </c>
      <c r="E55" s="256">
        <v>3.5003748009195423E-2</v>
      </c>
      <c r="F55" s="112">
        <v>-21.973143894083023</v>
      </c>
      <c r="G55" s="13">
        <v>-12.575599616736895</v>
      </c>
      <c r="H55" s="112">
        <v>11507.177355125081</v>
      </c>
      <c r="I55" s="112">
        <v>-5.024326707433076</v>
      </c>
      <c r="J55" s="112">
        <v>14928.679030837258</v>
      </c>
      <c r="K55" s="13">
        <v>26435.856385962106</v>
      </c>
      <c r="L55" s="13">
        <v>-26.99747060151617</v>
      </c>
    </row>
    <row r="56" spans="1:12">
      <c r="A56" s="12">
        <v>2018</v>
      </c>
      <c r="B56" s="13">
        <v>697743.55862027407</v>
      </c>
      <c r="C56" s="13">
        <v>1422511.4784292823</v>
      </c>
      <c r="D56" s="13">
        <v>7820016.0898851901</v>
      </c>
      <c r="E56" s="256">
        <v>4.203608891861732E-2</v>
      </c>
      <c r="F56" s="112">
        <v>-26.714188583858004</v>
      </c>
      <c r="G56" s="13">
        <v>-16.184840359442262</v>
      </c>
      <c r="H56" s="112">
        <v>-10674.062107634731</v>
      </c>
      <c r="I56" s="112">
        <v>-6.0995519004931396</v>
      </c>
      <c r="J56" s="112">
        <v>13588.594923560042</v>
      </c>
      <c r="K56" s="13">
        <v>2914.5328159253113</v>
      </c>
      <c r="L56" s="13">
        <v>-32.813740484351229</v>
      </c>
    </row>
    <row r="57" spans="1:12">
      <c r="A57" s="12">
        <v>2019</v>
      </c>
      <c r="B57" s="13">
        <v>653408.69135534763</v>
      </c>
      <c r="C57" s="13">
        <v>1437910.7261665757</v>
      </c>
      <c r="D57" s="13">
        <v>9242527.5683144778</v>
      </c>
      <c r="E57" s="256">
        <v>4.9333437033713678E-2</v>
      </c>
      <c r="F57" s="112">
        <v>-30.384343218159358</v>
      </c>
      <c r="G57" s="13">
        <v>-19.029435644929606</v>
      </c>
      <c r="H57" s="112">
        <v>-25494.250201820862</v>
      </c>
      <c r="I57" s="112">
        <v>-6.9039990545458352</v>
      </c>
      <c r="J57" s="112">
        <v>13662.159324693494</v>
      </c>
      <c r="K57" s="13">
        <v>-11832.090877127834</v>
      </c>
      <c r="L57" s="13">
        <v>-37.288342272705222</v>
      </c>
    </row>
    <row r="58" spans="1:12">
      <c r="A58" s="12">
        <v>2020</v>
      </c>
      <c r="B58" s="13">
        <v>539267.24130862951</v>
      </c>
      <c r="C58" s="13">
        <v>1447243.2475268666</v>
      </c>
      <c r="D58" s="13">
        <v>10680438.294481046</v>
      </c>
      <c r="E58" s="256">
        <v>5.6695064106146498E-2</v>
      </c>
      <c r="F58" s="112">
        <v>-33.33793351058182</v>
      </c>
      <c r="G58" s="13">
        <v>-21.364430443391598</v>
      </c>
      <c r="H58" s="112">
        <v>-35122.695063745137</v>
      </c>
      <c r="I58" s="112">
        <v>-7.5256274177519913</v>
      </c>
      <c r="J58" s="112">
        <v>14776.261926032836</v>
      </c>
      <c r="K58" s="13">
        <v>-20346.433137712535</v>
      </c>
      <c r="L58" s="13">
        <v>-40.863560928333868</v>
      </c>
    </row>
    <row r="59" spans="1:12">
      <c r="A59" s="12">
        <v>2021</v>
      </c>
      <c r="B59" s="13">
        <v>329824.6618539691</v>
      </c>
      <c r="C59" s="13">
        <v>1325020.1316342349</v>
      </c>
      <c r="D59" s="13">
        <v>12127681.542007908</v>
      </c>
      <c r="E59" s="256">
        <v>6.4162639331825033E-2</v>
      </c>
      <c r="F59" s="112">
        <v>-36.353457524844941</v>
      </c>
      <c r="G59" s="13">
        <v>-23.779898167441388</v>
      </c>
      <c r="H59" s="112">
        <v>-44622.670523474924</v>
      </c>
      <c r="I59" s="112">
        <v>-8.1540680082726169</v>
      </c>
      <c r="J59" s="112">
        <v>16142.01652056328</v>
      </c>
      <c r="K59" s="13">
        <v>-28480.654002911411</v>
      </c>
      <c r="L59" s="13">
        <v>-44.507525533117587</v>
      </c>
    </row>
    <row r="60" spans="1:12">
      <c r="A60" s="12">
        <v>2022</v>
      </c>
      <c r="B60" s="13">
        <v>107517.9689835906</v>
      </c>
      <c r="C60" s="13">
        <v>1155548.2697996432</v>
      </c>
      <c r="D60" s="13">
        <v>13452701.673642144</v>
      </c>
      <c r="E60" s="256">
        <v>7.0836853504423203E-2</v>
      </c>
      <c r="F60" s="112">
        <v>-38.907383362377914</v>
      </c>
      <c r="G60" s="13">
        <v>-25.929564662380642</v>
      </c>
      <c r="H60" s="112">
        <v>-52690.554263345897</v>
      </c>
      <c r="I60" s="112">
        <v>-8.6590242299887308</v>
      </c>
      <c r="J60" s="112">
        <v>17901.578572176048</v>
      </c>
      <c r="K60" s="13">
        <v>-34788.9756911695</v>
      </c>
      <c r="L60" s="13">
        <v>-47.566407592366659</v>
      </c>
    </row>
    <row r="61" spans="1:12">
      <c r="E61" s="257"/>
    </row>
    <row r="63" spans="1:12">
      <c r="A63" s="137" t="s">
        <v>348</v>
      </c>
      <c r="E63" s="19"/>
    </row>
    <row r="64" spans="1:12">
      <c r="A64" s="6"/>
      <c r="B64" s="7" t="s">
        <v>190</v>
      </c>
      <c r="C64" s="8"/>
      <c r="D64" s="8"/>
      <c r="E64" s="8"/>
      <c r="F64" s="8" t="s">
        <v>191</v>
      </c>
      <c r="G64" s="8"/>
      <c r="H64" s="8"/>
      <c r="I64" s="8" t="s">
        <v>192</v>
      </c>
      <c r="J64" s="8"/>
    </row>
    <row r="65" spans="1:12" ht="26.4">
      <c r="A65" s="10"/>
      <c r="B65" s="43" t="s">
        <v>4</v>
      </c>
      <c r="C65" s="54" t="s">
        <v>104</v>
      </c>
      <c r="D65" s="54" t="s">
        <v>26</v>
      </c>
      <c r="E65" s="54" t="s">
        <v>193</v>
      </c>
      <c r="F65" s="108" t="s">
        <v>24</v>
      </c>
      <c r="G65" s="43" t="s">
        <v>24</v>
      </c>
      <c r="H65" s="108" t="s">
        <v>24</v>
      </c>
      <c r="I65" s="113" t="s">
        <v>192</v>
      </c>
      <c r="J65" s="113" t="s">
        <v>192</v>
      </c>
    </row>
    <row r="66" spans="1:12" ht="26.4">
      <c r="A66" s="10"/>
      <c r="B66" s="44" t="s">
        <v>179</v>
      </c>
      <c r="C66" s="143" t="s">
        <v>349</v>
      </c>
      <c r="D66" s="143" t="s">
        <v>350</v>
      </c>
      <c r="E66" s="44" t="s">
        <v>196</v>
      </c>
      <c r="F66" s="110" t="s">
        <v>197</v>
      </c>
      <c r="G66" s="44" t="s">
        <v>197</v>
      </c>
      <c r="H66" s="110" t="s">
        <v>197</v>
      </c>
      <c r="I66" s="109" t="s">
        <v>24</v>
      </c>
      <c r="J66" s="109" t="s">
        <v>24</v>
      </c>
    </row>
    <row r="67" spans="1:12" ht="26.4">
      <c r="A67" s="10"/>
      <c r="B67" s="44" t="s">
        <v>198</v>
      </c>
      <c r="C67" s="55" t="s">
        <v>12</v>
      </c>
      <c r="D67" s="55" t="s">
        <v>199</v>
      </c>
      <c r="E67" s="44" t="s">
        <v>200</v>
      </c>
      <c r="F67" s="110" t="s">
        <v>201</v>
      </c>
      <c r="G67" s="44" t="s">
        <v>201</v>
      </c>
      <c r="H67" s="110" t="s">
        <v>201</v>
      </c>
      <c r="I67" s="110" t="s">
        <v>202</v>
      </c>
      <c r="J67" s="110" t="s">
        <v>202</v>
      </c>
      <c r="K67" s="60" t="s">
        <v>244</v>
      </c>
      <c r="L67" s="60" t="s">
        <v>245</v>
      </c>
    </row>
    <row r="68" spans="1:12">
      <c r="A68" s="11" t="s">
        <v>17</v>
      </c>
      <c r="B68" s="46" t="s">
        <v>203</v>
      </c>
      <c r="C68" s="46" t="s">
        <v>199</v>
      </c>
      <c r="D68" s="46" t="s">
        <v>196</v>
      </c>
      <c r="E68" s="255" t="s">
        <v>351</v>
      </c>
      <c r="F68" s="111" t="s">
        <v>22</v>
      </c>
      <c r="G68" s="46" t="s">
        <v>112</v>
      </c>
      <c r="H68" s="111" t="s">
        <v>102</v>
      </c>
      <c r="I68" s="111" t="s">
        <v>22</v>
      </c>
      <c r="J68" s="111" t="s">
        <v>102</v>
      </c>
    </row>
    <row r="69" spans="1:12">
      <c r="A69" s="12">
        <v>2008</v>
      </c>
      <c r="B69" s="13">
        <v>0</v>
      </c>
      <c r="C69" s="13">
        <v>80910.774439727888</v>
      </c>
      <c r="D69" s="13">
        <v>-53168.673538226634</v>
      </c>
      <c r="E69" s="256">
        <v>-3.2631558143586537E-4</v>
      </c>
      <c r="F69" s="112">
        <v>-2.4505338008115416</v>
      </c>
      <c r="G69" s="13">
        <v>-1.5436397832420141</v>
      </c>
      <c r="H69" s="112">
        <v>-8690.2728916571941</v>
      </c>
      <c r="I69" s="112">
        <v>-0.61551450723307255</v>
      </c>
      <c r="J69" s="112">
        <v>-1485.5428875359939</v>
      </c>
      <c r="K69" s="14">
        <v>-10175.815779193304</v>
      </c>
      <c r="L69" s="14">
        <v>-3.0660483080445715</v>
      </c>
    </row>
    <row r="70" spans="1:12">
      <c r="A70" s="12">
        <v>2009</v>
      </c>
      <c r="B70" s="13">
        <v>0</v>
      </c>
      <c r="C70" s="13">
        <v>203385.70824646205</v>
      </c>
      <c r="D70" s="13">
        <v>27742.100901503116</v>
      </c>
      <c r="E70" s="256">
        <v>1.7063113561241461E-4</v>
      </c>
      <c r="F70" s="112">
        <v>-13.944093487317986</v>
      </c>
      <c r="G70" s="13">
        <v>-9.3646731688126295</v>
      </c>
      <c r="H70" s="112">
        <v>-66311.831436355133</v>
      </c>
      <c r="I70" s="112">
        <v>-3.4521452253820044</v>
      </c>
      <c r="J70" s="112">
        <v>-10852.952057355375</v>
      </c>
      <c r="K70" s="14">
        <v>-77164.783493710449</v>
      </c>
      <c r="L70" s="14">
        <v>-17.396238712699983</v>
      </c>
    </row>
    <row r="71" spans="1:12">
      <c r="A71" s="12">
        <v>2010</v>
      </c>
      <c r="B71" s="13">
        <v>0</v>
      </c>
      <c r="C71" s="13">
        <v>392064.83722456824</v>
      </c>
      <c r="D71" s="13">
        <v>231127.80914796144</v>
      </c>
      <c r="E71" s="256">
        <v>1.4147091473464546E-3</v>
      </c>
      <c r="F71" s="112">
        <v>-16.965808277499377</v>
      </c>
      <c r="G71" s="13">
        <v>-11.248684712956162</v>
      </c>
      <c r="H71" s="112">
        <v>-74680.799281188753</v>
      </c>
      <c r="I71" s="112">
        <v>-4.1797561624715911</v>
      </c>
      <c r="J71" s="112">
        <v>-11608.796651018376</v>
      </c>
      <c r="K71" s="14">
        <v>-86289.59593220707</v>
      </c>
      <c r="L71" s="14">
        <v>-21.145564439970997</v>
      </c>
    </row>
    <row r="72" spans="1:12">
      <c r="A72" s="12">
        <v>2011</v>
      </c>
      <c r="B72" s="13">
        <v>0</v>
      </c>
      <c r="C72" s="13">
        <v>590453.14333416801</v>
      </c>
      <c r="D72" s="13">
        <v>623192.64637253433</v>
      </c>
      <c r="E72" s="256">
        <v>3.792732010516553E-3</v>
      </c>
      <c r="F72" s="112">
        <v>-19.330039847863588</v>
      </c>
      <c r="G72" s="13">
        <v>-12.836806723886866</v>
      </c>
      <c r="H72" s="112">
        <v>-82179.166224199813</v>
      </c>
      <c r="I72" s="112">
        <v>-4.7340706275886504</v>
      </c>
      <c r="J72" s="112">
        <v>-12017.937275107601</v>
      </c>
      <c r="K72" s="14">
        <v>-94197.103499307297</v>
      </c>
      <c r="L72" s="14">
        <v>-24.064110475452253</v>
      </c>
    </row>
    <row r="73" spans="1:12">
      <c r="A73" s="12">
        <v>2012</v>
      </c>
      <c r="B73" s="13">
        <v>-5368.7056238651276</v>
      </c>
      <c r="C73" s="13">
        <v>795673.59278815659</v>
      </c>
      <c r="D73" s="13">
        <v>1213645.789706707</v>
      </c>
      <c r="E73" s="256">
        <v>7.3481324774926082E-3</v>
      </c>
      <c r="F73" s="112">
        <v>-21.659878129763172</v>
      </c>
      <c r="G73" s="13">
        <v>-14.179865906914813</v>
      </c>
      <c r="H73" s="112">
        <v>-83276.259535167366</v>
      </c>
      <c r="I73" s="112">
        <v>-5.2911701921951817</v>
      </c>
      <c r="J73" s="112">
        <v>-11396.445558170381</v>
      </c>
      <c r="K73" s="14">
        <v>-94672.705093337689</v>
      </c>
      <c r="L73" s="14">
        <v>-26.951048321958353</v>
      </c>
    </row>
    <row r="74" spans="1:12">
      <c r="A74" s="12">
        <v>2013</v>
      </c>
      <c r="B74" s="13">
        <v>292359.16398850083</v>
      </c>
      <c r="C74" s="13">
        <v>1178554.3640127946</v>
      </c>
      <c r="D74" s="13">
        <v>2009319.3824948519</v>
      </c>
      <c r="E74" s="256">
        <v>1.1510635061821428E-2</v>
      </c>
      <c r="F74" s="112">
        <v>-21.424643018232985</v>
      </c>
      <c r="G74" s="13">
        <v>-13.401658043564225</v>
      </c>
      <c r="H74" s="112">
        <v>-62928.929754233453</v>
      </c>
      <c r="I74" s="112">
        <v>-5.2359984936865374</v>
      </c>
      <c r="J74" s="112">
        <v>-7486.920322967635</v>
      </c>
      <c r="K74" s="14">
        <v>-70415.850077200681</v>
      </c>
      <c r="L74" s="14">
        <v>-26.660641511919493</v>
      </c>
    </row>
    <row r="75" spans="1:12">
      <c r="A75" s="12">
        <v>2014</v>
      </c>
      <c r="B75" s="13">
        <v>638246.85893371701</v>
      </c>
      <c r="C75" s="13">
        <v>1647902.7678188267</v>
      </c>
      <c r="D75" s="13">
        <v>3187873.7465076521</v>
      </c>
      <c r="E75" s="256">
        <v>1.7626824707585642E-2</v>
      </c>
      <c r="F75" s="112">
        <v>-21.441959341352003</v>
      </c>
      <c r="G75" s="13">
        <v>-12.198071247266626</v>
      </c>
      <c r="H75" s="112">
        <v>-29920.584755580872</v>
      </c>
      <c r="I75" s="112">
        <v>-5.2762339206890658</v>
      </c>
      <c r="J75" s="112">
        <v>-1812.6446183992666</v>
      </c>
      <c r="K75" s="14">
        <v>-31733.229373980779</v>
      </c>
      <c r="L75" s="14">
        <v>-26.718193262041154</v>
      </c>
    </row>
    <row r="76" spans="1:12">
      <c r="A76" s="12">
        <v>2015</v>
      </c>
      <c r="B76" s="13">
        <v>981298.09196028113</v>
      </c>
      <c r="C76" s="13">
        <v>2186405.8145953529</v>
      </c>
      <c r="D76" s="13">
        <v>4835776.514326483</v>
      </c>
      <c r="E76" s="256">
        <v>2.6176113085502828E-2</v>
      </c>
      <c r="F76" s="112">
        <v>-14.884422105301496</v>
      </c>
      <c r="G76" s="13">
        <v>-6.2959676830956255</v>
      </c>
      <c r="H76" s="112">
        <v>38529.291161390021</v>
      </c>
      <c r="I76" s="112">
        <v>-3.73550463054886</v>
      </c>
      <c r="J76" s="112">
        <v>8796.8392853616388</v>
      </c>
      <c r="K76" s="14">
        <v>47326.130446752068</v>
      </c>
      <c r="L76" s="14">
        <v>-18.619926735850299</v>
      </c>
    </row>
    <row r="77" spans="1:12">
      <c r="A77" s="12">
        <v>2016</v>
      </c>
      <c r="B77" s="13">
        <v>761306.61364656687</v>
      </c>
      <c r="C77" s="13">
        <v>4224555.3449124433</v>
      </c>
      <c r="D77" s="13">
        <v>7022182.3289218396</v>
      </c>
      <c r="E77" s="256">
        <v>3.8631831880498513E-2</v>
      </c>
      <c r="F77" s="112">
        <v>-8.6372778235372607</v>
      </c>
      <c r="G77" s="13">
        <v>-0.12639623329732785</v>
      </c>
      <c r="H77" s="112">
        <v>115706.87402661191</v>
      </c>
      <c r="I77" s="112">
        <v>-2.3094402326430554</v>
      </c>
      <c r="J77" s="112">
        <v>20323.574441237608</v>
      </c>
      <c r="K77" s="14">
        <v>136030.44846784975</v>
      </c>
      <c r="L77" s="14">
        <v>-10.946718056180316</v>
      </c>
    </row>
    <row r="78" spans="1:12">
      <c r="A78" s="12">
        <v>2017</v>
      </c>
      <c r="B78" s="13">
        <v>697281.43280002475</v>
      </c>
      <c r="C78" s="13">
        <v>6294632.0322031407</v>
      </c>
      <c r="D78" s="13">
        <v>11246737.673834272</v>
      </c>
      <c r="E78" s="256">
        <v>6.1938321807048557E-2</v>
      </c>
      <c r="F78" s="112">
        <v>2.4650561825183104</v>
      </c>
      <c r="G78" s="13">
        <v>11.203052212413127</v>
      </c>
      <c r="H78" s="112">
        <v>269356.2556713149</v>
      </c>
      <c r="I78" s="112">
        <v>0.33353786044631306</v>
      </c>
      <c r="J78" s="112">
        <v>46140.462784514879</v>
      </c>
      <c r="K78" s="14">
        <v>315496.71845582966</v>
      </c>
      <c r="L78" s="14">
        <v>2.7985940429645098</v>
      </c>
    </row>
    <row r="79" spans="1:12">
      <c r="A79" s="12">
        <v>2018</v>
      </c>
      <c r="B79" s="13">
        <v>697743.55862027407</v>
      </c>
      <c r="C79" s="13">
        <v>8032938.803003177</v>
      </c>
      <c r="D79" s="13">
        <v>17541369.706037417</v>
      </c>
      <c r="E79" s="256">
        <v>9.5991198636021458E-2</v>
      </c>
      <c r="F79" s="112">
        <v>14.424547652594356</v>
      </c>
      <c r="G79" s="13">
        <v>22.312911090707757</v>
      </c>
      <c r="H79" s="112">
        <v>413189.71502404427</v>
      </c>
      <c r="I79" s="112">
        <v>3.2434500121959502</v>
      </c>
      <c r="J79" s="112">
        <v>71299.213342416333</v>
      </c>
      <c r="K79" s="14">
        <v>484488.92836646037</v>
      </c>
      <c r="L79" s="14">
        <v>17.667997664790164</v>
      </c>
    </row>
    <row r="80" spans="1:12">
      <c r="A80" s="12">
        <v>2019</v>
      </c>
      <c r="B80" s="13">
        <v>653408.69135534763</v>
      </c>
      <c r="C80" s="13">
        <v>9367049.5577026047</v>
      </c>
      <c r="D80" s="13">
        <v>25574308.509040594</v>
      </c>
      <c r="E80" s="256">
        <v>0.13877365963965882</v>
      </c>
      <c r="F80" s="112">
        <v>32.652492067150774</v>
      </c>
      <c r="G80" s="13">
        <v>38.57739745083137</v>
      </c>
      <c r="H80" s="112">
        <v>615690.86485588271</v>
      </c>
      <c r="I80" s="112">
        <v>7.7271968176183634</v>
      </c>
      <c r="J80" s="112">
        <v>107367.2775007278</v>
      </c>
      <c r="K80" s="14">
        <v>723058.14235660993</v>
      </c>
      <c r="L80" s="14">
        <v>40.379688884769052</v>
      </c>
    </row>
    <row r="81" spans="1:12">
      <c r="A81" s="12">
        <v>2020</v>
      </c>
      <c r="B81" s="13">
        <v>539267.24130862951</v>
      </c>
      <c r="C81" s="13">
        <v>10290374.390274966</v>
      </c>
      <c r="D81" s="13">
        <v>34941358.066743203</v>
      </c>
      <c r="E81" s="256">
        <v>0.18787821559442791</v>
      </c>
      <c r="F81" s="112">
        <v>55.483639381218268</v>
      </c>
      <c r="G81" s="13">
        <v>58.582211607611555</v>
      </c>
      <c r="H81" s="112">
        <v>862381.93301019259</v>
      </c>
      <c r="I81" s="112">
        <v>13.382206419925154</v>
      </c>
      <c r="J81" s="112">
        <v>152039.03958086332</v>
      </c>
      <c r="K81" s="14">
        <v>1014420.9725910551</v>
      </c>
      <c r="L81" s="14">
        <v>68.865845801143337</v>
      </c>
    </row>
    <row r="82" spans="1:12">
      <c r="A82" s="12">
        <v>2021</v>
      </c>
      <c r="B82" s="13">
        <v>329824.6618539691</v>
      </c>
      <c r="C82" s="13">
        <v>16217690.223770207</v>
      </c>
      <c r="D82" s="13">
        <v>45231732.457018152</v>
      </c>
      <c r="E82" s="256">
        <v>0.24105316420743739</v>
      </c>
      <c r="F82" s="112">
        <v>82.364660006192139</v>
      </c>
      <c r="G82" s="13">
        <v>81.873075404743815</v>
      </c>
      <c r="H82" s="112">
        <v>1150177.7471931474</v>
      </c>
      <c r="I82" s="112">
        <v>20.082156507360992</v>
      </c>
      <c r="J82" s="112">
        <v>205068.98055828689</v>
      </c>
      <c r="K82" s="14">
        <v>1355246.7277514348</v>
      </c>
      <c r="L82" s="14">
        <v>102.44681651355313</v>
      </c>
    </row>
    <row r="83" spans="1:12">
      <c r="A83" s="12">
        <v>2022</v>
      </c>
      <c r="B83" s="13">
        <v>107517.9689835906</v>
      </c>
      <c r="C83" s="13">
        <v>13612416.717313979</v>
      </c>
      <c r="D83" s="13">
        <v>61449422.680788368</v>
      </c>
      <c r="E83" s="256">
        <v>0.32430592390685853</v>
      </c>
      <c r="F83" s="112">
        <v>133.41284737000888</v>
      </c>
      <c r="G83" s="13">
        <v>123.57200169058768</v>
      </c>
      <c r="H83" s="112">
        <v>1637179.6572400592</v>
      </c>
      <c r="I83" s="112">
        <v>33.022596520877187</v>
      </c>
      <c r="J83" s="112">
        <v>298622.04790421878</v>
      </c>
      <c r="K83" s="14">
        <v>1935801.7051442787</v>
      </c>
      <c r="L83" s="14">
        <v>166.43544389088595</v>
      </c>
    </row>
  </sheetData>
  <mergeCells count="4">
    <mergeCell ref="M13:N13"/>
    <mergeCell ref="B10:E10"/>
    <mergeCell ref="F10:H10"/>
    <mergeCell ref="I10:J10"/>
  </mergeCells>
  <printOptions horizontalCentered="1"/>
  <pageMargins left="0.75" right="0.75" top="0.75" bottom="0.75" header="0.5" footer="0.5"/>
  <pageSetup scale="5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L37"/>
  <sheetViews>
    <sheetView zoomScale="75" zoomScaleNormal="75" workbookViewId="0">
      <selection activeCell="A2" sqref="A1:A2"/>
    </sheetView>
  </sheetViews>
  <sheetFormatPr defaultColWidth="9.109375" defaultRowHeight="13.2"/>
  <cols>
    <col min="1" max="1" width="14.109375" style="5" customWidth="1"/>
    <col min="2" max="2" width="15.6640625" style="5" bestFit="1" customWidth="1"/>
    <col min="3" max="3" width="18.6640625" style="5" bestFit="1" customWidth="1"/>
    <col min="4" max="4" width="17.6640625" style="5" customWidth="1"/>
    <col min="5" max="5" width="26.44140625" style="5" customWidth="1"/>
    <col min="6" max="6" width="24.6640625" style="5" customWidth="1"/>
    <col min="7" max="7" width="28.33203125" style="5" customWidth="1"/>
    <col min="8" max="8" width="28" style="5" customWidth="1"/>
    <col min="9" max="9" width="27.5546875" style="5" customWidth="1"/>
    <col min="10" max="16384" width="9.109375" style="5"/>
  </cols>
  <sheetData>
    <row r="1" spans="1:12">
      <c r="A1" s="416" t="s">
        <v>393</v>
      </c>
    </row>
    <row r="2" spans="1:12">
      <c r="A2" s="416" t="s">
        <v>380</v>
      </c>
    </row>
    <row r="3" spans="1:12" s="2" customFormat="1" ht="15.6">
      <c r="A3" s="1" t="s">
        <v>0</v>
      </c>
      <c r="B3" s="1"/>
      <c r="C3" s="1"/>
      <c r="D3" s="1"/>
      <c r="E3" s="1"/>
      <c r="F3" s="1"/>
      <c r="G3" s="1"/>
      <c r="H3" s="1"/>
      <c r="I3" s="1"/>
    </row>
    <row r="4" spans="1:12" s="2" customFormat="1" ht="15.6">
      <c r="A4" s="1" t="s">
        <v>205</v>
      </c>
      <c r="B4" s="3"/>
      <c r="C4" s="1"/>
      <c r="D4" s="1"/>
      <c r="E4" s="1"/>
      <c r="F4" s="1"/>
      <c r="G4" s="1"/>
      <c r="H4" s="1"/>
      <c r="I4" s="1"/>
    </row>
    <row r="5" spans="1:12" s="2" customFormat="1" ht="15.6">
      <c r="A5" s="1" t="s">
        <v>206</v>
      </c>
      <c r="B5" s="3"/>
      <c r="C5" s="1"/>
      <c r="D5" s="1"/>
      <c r="E5" s="1"/>
      <c r="F5" s="1"/>
      <c r="G5" s="1"/>
      <c r="H5" s="1"/>
      <c r="I5" s="1"/>
    </row>
    <row r="6" spans="1:12" s="2" customFormat="1" ht="15.6">
      <c r="A6" s="1" t="s">
        <v>264</v>
      </c>
      <c r="B6" s="3"/>
      <c r="C6" s="1"/>
      <c r="D6" s="1"/>
      <c r="E6" s="1"/>
      <c r="F6" s="1"/>
      <c r="G6" s="1"/>
      <c r="H6" s="1"/>
      <c r="I6" s="1"/>
    </row>
    <row r="7" spans="1:12" s="2" customFormat="1" ht="15.6">
      <c r="A7" s="1" t="s">
        <v>189</v>
      </c>
      <c r="B7" s="3"/>
      <c r="C7" s="1"/>
      <c r="D7" s="1"/>
      <c r="E7" s="1"/>
      <c r="F7" s="1"/>
      <c r="G7" s="1"/>
      <c r="H7" s="1"/>
      <c r="I7" s="1"/>
    </row>
    <row r="8" spans="1:12" s="2" customFormat="1" ht="15.6">
      <c r="A8" s="1"/>
      <c r="B8" s="3"/>
      <c r="C8" s="1"/>
      <c r="D8" s="1"/>
      <c r="E8" s="1"/>
      <c r="F8" s="1"/>
      <c r="G8" s="1"/>
      <c r="H8" s="1"/>
      <c r="I8" s="1"/>
    </row>
    <row r="9" spans="1:12" s="2" customFormat="1" ht="15.6">
      <c r="A9" s="1" t="s">
        <v>73</v>
      </c>
      <c r="B9" s="3"/>
      <c r="C9" s="1"/>
      <c r="D9" s="1"/>
      <c r="E9" s="1"/>
      <c r="F9" s="1"/>
      <c r="G9" s="1"/>
      <c r="H9" s="1"/>
      <c r="I9" s="1"/>
    </row>
    <row r="10" spans="1:12" s="9" customFormat="1">
      <c r="A10" s="51"/>
      <c r="B10" s="206" t="s">
        <v>190</v>
      </c>
      <c r="C10" s="47"/>
      <c r="D10" s="47"/>
      <c r="E10" s="47" t="s">
        <v>191</v>
      </c>
      <c r="F10" s="47"/>
      <c r="G10" s="47"/>
      <c r="H10" s="47" t="s">
        <v>192</v>
      </c>
      <c r="I10" s="47"/>
      <c r="J10" s="49"/>
      <c r="K10" s="49"/>
      <c r="L10" s="49"/>
    </row>
    <row r="11" spans="1:12" s="9" customFormat="1" ht="26.4">
      <c r="A11" s="52"/>
      <c r="B11" s="43" t="s">
        <v>4</v>
      </c>
      <c r="C11" s="54" t="s">
        <v>104</v>
      </c>
      <c r="D11" s="54" t="s">
        <v>26</v>
      </c>
      <c r="E11" s="43" t="s">
        <v>24</v>
      </c>
      <c r="F11" s="43" t="s">
        <v>24</v>
      </c>
      <c r="G11" s="43" t="s">
        <v>24</v>
      </c>
      <c r="H11" s="54" t="s">
        <v>192</v>
      </c>
      <c r="I11" s="54" t="s">
        <v>192</v>
      </c>
      <c r="J11" s="49"/>
      <c r="K11" s="49"/>
      <c r="L11" s="49"/>
    </row>
    <row r="12" spans="1:12" s="9" customFormat="1" ht="26.4">
      <c r="A12" s="52"/>
      <c r="B12" s="44" t="s">
        <v>179</v>
      </c>
      <c r="C12" s="44" t="s">
        <v>207</v>
      </c>
      <c r="D12" s="44" t="s">
        <v>207</v>
      </c>
      <c r="E12" s="44" t="s">
        <v>208</v>
      </c>
      <c r="F12" s="44" t="s">
        <v>208</v>
      </c>
      <c r="G12" s="44" t="s">
        <v>208</v>
      </c>
      <c r="H12" s="143" t="s">
        <v>24</v>
      </c>
      <c r="I12" s="143" t="s">
        <v>24</v>
      </c>
      <c r="J12" s="49"/>
      <c r="K12" s="49"/>
      <c r="L12" s="49"/>
    </row>
    <row r="13" spans="1:12" s="9" customFormat="1" ht="26.4">
      <c r="A13" s="52"/>
      <c r="B13" s="44" t="s">
        <v>198</v>
      </c>
      <c r="C13" s="55" t="s">
        <v>209</v>
      </c>
      <c r="D13" s="55" t="s">
        <v>210</v>
      </c>
      <c r="E13" s="44" t="s">
        <v>210</v>
      </c>
      <c r="F13" s="44" t="s">
        <v>210</v>
      </c>
      <c r="G13" s="44" t="s">
        <v>210</v>
      </c>
      <c r="H13" s="44" t="s">
        <v>346</v>
      </c>
      <c r="I13" s="44" t="s">
        <v>346</v>
      </c>
      <c r="J13" s="49"/>
      <c r="K13" s="49"/>
      <c r="L13" s="49"/>
    </row>
    <row r="14" spans="1:12" s="9" customFormat="1" ht="26.4">
      <c r="A14" s="46" t="s">
        <v>17</v>
      </c>
      <c r="B14" s="46" t="s">
        <v>203</v>
      </c>
      <c r="C14" s="46" t="s">
        <v>211</v>
      </c>
      <c r="D14" s="46" t="s">
        <v>347</v>
      </c>
      <c r="E14" s="46" t="s">
        <v>22</v>
      </c>
      <c r="F14" s="46" t="s">
        <v>112</v>
      </c>
      <c r="G14" s="46" t="s">
        <v>102</v>
      </c>
      <c r="H14" s="46" t="s">
        <v>22</v>
      </c>
      <c r="I14" s="46" t="s">
        <v>102</v>
      </c>
      <c r="J14" s="49"/>
      <c r="K14" s="49"/>
      <c r="L14" s="49"/>
    </row>
    <row r="15" spans="1:12">
      <c r="A15" s="12">
        <v>2008</v>
      </c>
      <c r="B15" s="13">
        <v>162936361.49482131</v>
      </c>
      <c r="C15" s="13">
        <v>0</v>
      </c>
      <c r="D15" s="13">
        <v>0</v>
      </c>
      <c r="E15" s="112">
        <v>0</v>
      </c>
      <c r="F15" s="112">
        <v>0</v>
      </c>
      <c r="G15" s="112">
        <v>0</v>
      </c>
      <c r="H15" s="112">
        <v>0</v>
      </c>
      <c r="I15" s="112">
        <v>0</v>
      </c>
    </row>
    <row r="16" spans="1:12">
      <c r="A16" s="12">
        <f t="shared" ref="A16:A33" si="0">A15+1</f>
        <v>2009</v>
      </c>
      <c r="B16" s="13">
        <v>162585221.04966378</v>
      </c>
      <c r="C16" s="13">
        <v>0</v>
      </c>
      <c r="D16" s="13">
        <f>C16+D15</f>
        <v>0</v>
      </c>
      <c r="E16" s="112">
        <v>0</v>
      </c>
      <c r="F16" s="112">
        <v>0</v>
      </c>
      <c r="G16" s="112">
        <v>0</v>
      </c>
      <c r="H16" s="112">
        <v>0</v>
      </c>
      <c r="I16" s="112">
        <v>0</v>
      </c>
    </row>
    <row r="17" spans="1:9">
      <c r="A17" s="12">
        <f t="shared" si="0"/>
        <v>2010</v>
      </c>
      <c r="B17" s="13">
        <v>163374789.49753302</v>
      </c>
      <c r="C17" s="13">
        <v>0</v>
      </c>
      <c r="D17" s="13">
        <f t="shared" ref="D17:D33" si="1">C17+D16</f>
        <v>0</v>
      </c>
      <c r="E17" s="112">
        <v>0</v>
      </c>
      <c r="F17" s="112">
        <v>0</v>
      </c>
      <c r="G17" s="112">
        <v>0</v>
      </c>
      <c r="H17" s="112">
        <v>0</v>
      </c>
      <c r="I17" s="112">
        <v>0</v>
      </c>
    </row>
    <row r="18" spans="1:9">
      <c r="A18" s="12">
        <f t="shared" si="0"/>
        <v>2011</v>
      </c>
      <c r="B18" s="13">
        <v>164312333.33769226</v>
      </c>
      <c r="C18" s="13">
        <v>0</v>
      </c>
      <c r="D18" s="13">
        <f t="shared" si="1"/>
        <v>0</v>
      </c>
      <c r="E18" s="112">
        <v>0</v>
      </c>
      <c r="F18" s="112">
        <v>0</v>
      </c>
      <c r="G18" s="112">
        <v>0</v>
      </c>
      <c r="H18" s="112">
        <v>0</v>
      </c>
      <c r="I18" s="112">
        <v>0</v>
      </c>
    </row>
    <row r="19" spans="1:9">
      <c r="A19" s="12">
        <f t="shared" si="0"/>
        <v>2012</v>
      </c>
      <c r="B19" s="13">
        <v>165360926.13152072</v>
      </c>
      <c r="C19" s="13">
        <v>0</v>
      </c>
      <c r="D19" s="13">
        <f t="shared" si="1"/>
        <v>0</v>
      </c>
      <c r="E19" s="112">
        <v>0</v>
      </c>
      <c r="F19" s="112">
        <v>0</v>
      </c>
      <c r="G19" s="112">
        <v>0</v>
      </c>
      <c r="H19" s="112">
        <v>0</v>
      </c>
      <c r="I19" s="112">
        <v>0</v>
      </c>
    </row>
    <row r="20" spans="1:9">
      <c r="A20" s="12">
        <f t="shared" si="0"/>
        <v>2013</v>
      </c>
      <c r="B20" s="13">
        <v>167190830.4335016</v>
      </c>
      <c r="C20" s="13">
        <v>20565743.205739867</v>
      </c>
      <c r="D20" s="13">
        <f t="shared" si="1"/>
        <v>20565743.205739867</v>
      </c>
      <c r="E20" s="112">
        <v>27.911135269022278</v>
      </c>
      <c r="F20" s="112">
        <v>23.386392712526202</v>
      </c>
      <c r="G20" s="112">
        <v>269533.69216667785</v>
      </c>
      <c r="H20" s="112">
        <v>6.935351424738057</v>
      </c>
      <c r="I20" s="112">
        <v>48740.733122958758</v>
      </c>
    </row>
    <row r="21" spans="1:9">
      <c r="A21" s="12">
        <f t="shared" si="0"/>
        <v>2014</v>
      </c>
      <c r="B21" s="13">
        <v>169717522.08665246</v>
      </c>
      <c r="C21" s="13">
        <v>20587909.719457813</v>
      </c>
      <c r="D21" s="13">
        <f t="shared" si="1"/>
        <v>41153652.925197676</v>
      </c>
      <c r="E21" s="112">
        <v>56.058591127483353</v>
      </c>
      <c r="F21" s="112">
        <v>46.789270699924629</v>
      </c>
      <c r="G21" s="112">
        <v>538577.1469565304</v>
      </c>
      <c r="H21" s="112">
        <v>13.955959053395626</v>
      </c>
      <c r="I21" s="112">
        <v>97928.701765178805</v>
      </c>
    </row>
    <row r="22" spans="1:9">
      <c r="A22" s="12">
        <f t="shared" si="0"/>
        <v>2015</v>
      </c>
      <c r="B22" s="13">
        <v>172665421.88952142</v>
      </c>
      <c r="C22" s="13">
        <v>20331596.289841015</v>
      </c>
      <c r="D22" s="13">
        <f t="shared" si="1"/>
        <v>61485249.215038687</v>
      </c>
      <c r="E22" s="112">
        <v>84.053632932547046</v>
      </c>
      <c r="F22" s="112">
        <v>69.897864611483897</v>
      </c>
      <c r="G22" s="112">
        <v>803611.0750711814</v>
      </c>
      <c r="H22" s="112">
        <v>20.96211276224788</v>
      </c>
      <c r="I22" s="112">
        <v>146867.71347807991</v>
      </c>
    </row>
    <row r="23" spans="1:9">
      <c r="A23" s="12">
        <f t="shared" si="0"/>
        <v>2016</v>
      </c>
      <c r="B23" s="13">
        <v>175181540.76288602</v>
      </c>
      <c r="C23" s="13">
        <v>17645470.4180548</v>
      </c>
      <c r="D23" s="13">
        <f t="shared" si="1"/>
        <v>79130719.633093491</v>
      </c>
      <c r="E23" s="112">
        <v>108.09653203004457</v>
      </c>
      <c r="F23" s="112">
        <v>89.693062965963634</v>
      </c>
      <c r="G23" s="112">
        <v>1031623.4209041148</v>
      </c>
      <c r="H23" s="112">
        <v>27.002652878226872</v>
      </c>
      <c r="I23" s="112">
        <v>189464.11912051422</v>
      </c>
    </row>
    <row r="24" spans="1:9">
      <c r="A24" s="12">
        <f t="shared" si="0"/>
        <v>2017</v>
      </c>
      <c r="B24" s="13">
        <v>177698041.04100701</v>
      </c>
      <c r="C24" s="13">
        <v>14792380.262268687</v>
      </c>
      <c r="D24" s="13">
        <f t="shared" si="1"/>
        <v>93923099.895362183</v>
      </c>
      <c r="E24" s="112">
        <v>124.01221211922005</v>
      </c>
      <c r="F24" s="112">
        <v>103.57840416407436</v>
      </c>
      <c r="G24" s="112">
        <v>1209416.5945381108</v>
      </c>
      <c r="H24" s="112">
        <v>31.015440970034955</v>
      </c>
      <c r="I24" s="112">
        <v>223296.09946925406</v>
      </c>
    </row>
    <row r="25" spans="1:9">
      <c r="A25" s="12">
        <f t="shared" si="0"/>
        <v>2018</v>
      </c>
      <c r="B25" s="13">
        <v>180174846.5913403</v>
      </c>
      <c r="C25" s="13">
        <v>1005521.3429595525</v>
      </c>
      <c r="D25" s="13">
        <f t="shared" si="1"/>
        <v>94928621.238321736</v>
      </c>
      <c r="E25" s="112">
        <v>125.14732694695101</v>
      </c>
      <c r="F25" s="112">
        <v>104.49889880143641</v>
      </c>
      <c r="G25" s="112">
        <v>1221230.5373166304</v>
      </c>
      <c r="H25" s="112">
        <v>31.309346262656774</v>
      </c>
      <c r="I25" s="112">
        <v>225727.30488152237</v>
      </c>
    </row>
    <row r="26" spans="1:9">
      <c r="A26" s="12">
        <f t="shared" si="0"/>
        <v>2019</v>
      </c>
      <c r="B26" s="13">
        <v>182599958.55198753</v>
      </c>
      <c r="C26" s="13">
        <v>790812.45752066316</v>
      </c>
      <c r="D26" s="13">
        <f t="shared" si="1"/>
        <v>95719433.6958424</v>
      </c>
      <c r="E26" s="112">
        <v>126.01221217132613</v>
      </c>
      <c r="F26" s="112">
        <v>105.1908069809365</v>
      </c>
      <c r="G26" s="112">
        <v>1230348.6049518436</v>
      </c>
      <c r="H26" s="112">
        <v>31.535081306218672</v>
      </c>
      <c r="I26" s="112">
        <v>227651.21715255239</v>
      </c>
    </row>
    <row r="27" spans="1:9">
      <c r="A27" s="12">
        <f t="shared" si="0"/>
        <v>2020</v>
      </c>
      <c r="B27" s="13">
        <v>184939296.67812085</v>
      </c>
      <c r="C27" s="13">
        <v>592403.87765238597</v>
      </c>
      <c r="D27" s="13">
        <f t="shared" si="1"/>
        <v>96311837.573494792</v>
      </c>
      <c r="E27" s="112">
        <v>126.66010454551861</v>
      </c>
      <c r="F27" s="112">
        <v>105.7091208802905</v>
      </c>
      <c r="G27" s="112">
        <v>1237179.0216611756</v>
      </c>
      <c r="H27" s="112">
        <v>31.704181215882912</v>
      </c>
      <c r="I27" s="112">
        <v>229092.43507822143</v>
      </c>
    </row>
    <row r="28" spans="1:9">
      <c r="A28" s="12">
        <f t="shared" si="0"/>
        <v>2021</v>
      </c>
      <c r="B28" s="13">
        <v>187144285.64383924</v>
      </c>
      <c r="C28" s="13">
        <v>0</v>
      </c>
      <c r="D28" s="13">
        <f t="shared" si="1"/>
        <v>96311837.573494792</v>
      </c>
      <c r="E28" s="112">
        <v>126.66010454551861</v>
      </c>
      <c r="F28" s="112">
        <v>105.7091208802905</v>
      </c>
      <c r="G28" s="112">
        <v>1237179.0216611756</v>
      </c>
      <c r="H28" s="112">
        <v>31.704181215882912</v>
      </c>
      <c r="I28" s="112">
        <v>229092.43507822143</v>
      </c>
    </row>
    <row r="29" spans="1:9">
      <c r="A29" s="12">
        <f t="shared" si="0"/>
        <v>2022</v>
      </c>
      <c r="B29" s="13">
        <v>189359281.315631</v>
      </c>
      <c r="C29" s="13">
        <v>0</v>
      </c>
      <c r="D29" s="13">
        <f t="shared" si="1"/>
        <v>96311837.573494792</v>
      </c>
      <c r="E29" s="112">
        <v>126.66010454551861</v>
      </c>
      <c r="F29" s="112">
        <v>105.7091208802905</v>
      </c>
      <c r="G29" s="112">
        <v>1237179.0216611756</v>
      </c>
      <c r="H29" s="112">
        <v>31.704181215882912</v>
      </c>
      <c r="I29" s="112">
        <v>229092.43507822143</v>
      </c>
    </row>
    <row r="30" spans="1:9">
      <c r="A30" s="12">
        <f t="shared" si="0"/>
        <v>2023</v>
      </c>
      <c r="B30" s="13">
        <v>191599660.55066624</v>
      </c>
      <c r="C30" s="13">
        <v>0</v>
      </c>
      <c r="D30" s="13">
        <f t="shared" si="1"/>
        <v>96311837.573494792</v>
      </c>
      <c r="E30" s="112">
        <v>126.66010454551861</v>
      </c>
      <c r="F30" s="112">
        <v>105.7091208802905</v>
      </c>
      <c r="G30" s="112">
        <v>1237179.0216611756</v>
      </c>
      <c r="H30" s="112">
        <v>31.704181215882912</v>
      </c>
      <c r="I30" s="112">
        <v>229092.43507822143</v>
      </c>
    </row>
    <row r="31" spans="1:9">
      <c r="A31" s="12">
        <f t="shared" si="0"/>
        <v>2024</v>
      </c>
      <c r="B31" s="13">
        <v>193868025.46701157</v>
      </c>
      <c r="C31" s="13">
        <v>0</v>
      </c>
      <c r="D31" s="13">
        <f t="shared" si="1"/>
        <v>96311837.573494792</v>
      </c>
      <c r="E31" s="112">
        <v>126.66010454551861</v>
      </c>
      <c r="F31" s="112">
        <v>105.7091208802905</v>
      </c>
      <c r="G31" s="112">
        <v>1237179.0216611756</v>
      </c>
      <c r="H31" s="112">
        <v>31.704181215882912</v>
      </c>
      <c r="I31" s="112">
        <v>229092.43507822143</v>
      </c>
    </row>
    <row r="32" spans="1:9">
      <c r="A32" s="12">
        <f t="shared" si="0"/>
        <v>2025</v>
      </c>
      <c r="B32" s="13">
        <v>196068263.93603703</v>
      </c>
      <c r="C32" s="13">
        <v>0</v>
      </c>
      <c r="D32" s="13">
        <f t="shared" si="1"/>
        <v>96311837.573494792</v>
      </c>
      <c r="E32" s="112">
        <v>126.66010454551861</v>
      </c>
      <c r="F32" s="112">
        <v>105.7091208802905</v>
      </c>
      <c r="G32" s="112">
        <v>1237179.0216611756</v>
      </c>
      <c r="H32" s="112">
        <v>31.704181215882912</v>
      </c>
      <c r="I32" s="112">
        <v>229092.43507822143</v>
      </c>
    </row>
    <row r="33" spans="1:9">
      <c r="A33" s="12">
        <f t="shared" si="0"/>
        <v>2026</v>
      </c>
      <c r="B33" s="13">
        <v>198033722.43076125</v>
      </c>
      <c r="C33" s="13">
        <v>0</v>
      </c>
      <c r="D33" s="13">
        <f t="shared" si="1"/>
        <v>96311837.573494792</v>
      </c>
      <c r="E33" s="112">
        <v>126.66010454551861</v>
      </c>
      <c r="F33" s="112">
        <v>105.7091208802905</v>
      </c>
      <c r="G33" s="112">
        <v>1237179.0216611756</v>
      </c>
      <c r="H33" s="112">
        <v>31.704181215882912</v>
      </c>
      <c r="I33" s="112">
        <v>229092.43507822143</v>
      </c>
    </row>
    <row r="34" spans="1:9">
      <c r="A34" s="16"/>
      <c r="B34" s="17"/>
      <c r="C34" s="17"/>
      <c r="D34" s="17"/>
      <c r="E34" s="17"/>
      <c r="F34" s="17"/>
      <c r="G34" s="17"/>
      <c r="H34" s="17"/>
      <c r="I34" s="310"/>
    </row>
    <row r="36" spans="1:9">
      <c r="A36" s="5" t="s">
        <v>103</v>
      </c>
    </row>
    <row r="37" spans="1:9">
      <c r="A37" s="5" t="s">
        <v>269</v>
      </c>
    </row>
  </sheetData>
  <printOptions horizontalCentered="1"/>
  <pageMargins left="0.75" right="0.75" top="0.75" bottom="0.75" header="0.5" footer="0.5"/>
  <pageSetup scale="4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R38"/>
  <sheetViews>
    <sheetView zoomScale="75" zoomScaleNormal="75" workbookViewId="0">
      <pane xSplit="1" ySplit="11" topLeftCell="H12" activePane="bottomRight" state="frozen"/>
      <selection pane="topRight" activeCell="B1" sqref="B1"/>
      <selection pane="bottomLeft" activeCell="A12" sqref="A12"/>
      <selection pane="bottomRight" activeCell="A2" sqref="A1:A2"/>
    </sheetView>
  </sheetViews>
  <sheetFormatPr defaultColWidth="9.109375" defaultRowHeight="13.2"/>
  <cols>
    <col min="1" max="1" width="11.109375" style="33" customWidth="1"/>
    <col min="2" max="4" width="13.88671875" style="33" customWidth="1"/>
    <col min="5" max="5" width="17.109375" style="33" customWidth="1"/>
    <col min="6" max="6" width="14" style="33" customWidth="1"/>
    <col min="7" max="7" width="12.33203125" style="33" customWidth="1"/>
    <col min="8" max="8" width="14" style="33" customWidth="1"/>
    <col min="9" max="11" width="12.33203125" style="33" customWidth="1"/>
    <col min="12" max="12" width="20.88671875" style="33" bestFit="1" customWidth="1"/>
    <col min="13" max="13" width="22" style="33" bestFit="1" customWidth="1"/>
    <col min="14" max="14" width="25.6640625" style="33" bestFit="1" customWidth="1"/>
    <col min="15" max="15" width="19.88671875" style="33" customWidth="1"/>
    <col min="16" max="16" width="20.88671875" style="33" customWidth="1"/>
    <col min="17" max="17" width="25.6640625" style="33" bestFit="1" customWidth="1"/>
    <col min="18" max="18" width="16.6640625" style="33" customWidth="1"/>
    <col min="19" max="19" width="20.44140625" style="33" customWidth="1"/>
    <col min="20" max="20" width="22.5546875" style="33" bestFit="1" customWidth="1"/>
    <col min="21" max="16384" width="9.109375" style="33"/>
  </cols>
  <sheetData>
    <row r="1" spans="1:18" s="26" customFormat="1" ht="15.6">
      <c r="A1" s="416" t="s">
        <v>394</v>
      </c>
      <c r="B1" s="25"/>
      <c r="C1" s="25"/>
      <c r="D1" s="25"/>
      <c r="E1" s="25"/>
      <c r="F1" s="25"/>
      <c r="G1" s="25"/>
      <c r="H1" s="25"/>
      <c r="I1" s="25"/>
      <c r="J1" s="25"/>
      <c r="K1" s="25"/>
      <c r="L1" s="25"/>
      <c r="M1" s="25"/>
      <c r="N1" s="25"/>
      <c r="O1" s="25"/>
      <c r="P1" s="25"/>
      <c r="Q1" s="25"/>
      <c r="R1" s="25"/>
    </row>
    <row r="2" spans="1:18" s="26" customFormat="1" ht="15.6">
      <c r="A2" s="416" t="s">
        <v>380</v>
      </c>
      <c r="B2" s="27"/>
      <c r="C2" s="27"/>
      <c r="D2" s="25"/>
      <c r="E2" s="25"/>
      <c r="F2" s="25"/>
      <c r="G2" s="25"/>
      <c r="H2" s="25"/>
      <c r="I2" s="25"/>
      <c r="J2" s="25"/>
      <c r="K2" s="25"/>
      <c r="L2" s="25"/>
      <c r="M2" s="25"/>
      <c r="N2" s="25"/>
      <c r="O2" s="25"/>
      <c r="P2" s="25"/>
      <c r="Q2" s="25"/>
      <c r="R2" s="25"/>
    </row>
    <row r="3" spans="1:18" s="26" customFormat="1" ht="15.6">
      <c r="A3" s="25" t="s">
        <v>172</v>
      </c>
      <c r="B3" s="27"/>
      <c r="C3" s="27"/>
      <c r="D3" s="25"/>
      <c r="E3" s="25"/>
      <c r="F3" s="25"/>
      <c r="G3" s="25"/>
      <c r="H3" s="25"/>
      <c r="I3" s="25"/>
      <c r="J3" s="25"/>
      <c r="K3" s="25"/>
      <c r="L3" s="25"/>
      <c r="M3" s="25"/>
      <c r="N3" s="25"/>
      <c r="O3" s="25"/>
      <c r="P3" s="25"/>
      <c r="Q3" s="25"/>
      <c r="R3" s="25"/>
    </row>
    <row r="4" spans="1:18" s="26" customFormat="1" ht="15.6">
      <c r="A4" s="25" t="s">
        <v>290</v>
      </c>
      <c r="B4" s="27"/>
      <c r="C4" s="27"/>
      <c r="D4" s="25"/>
      <c r="E4" s="25"/>
      <c r="F4" s="25"/>
      <c r="G4" s="25"/>
      <c r="H4" s="25"/>
      <c r="I4" s="25"/>
      <c r="J4" s="25"/>
      <c r="K4" s="25"/>
      <c r="L4" s="25"/>
      <c r="M4" s="25"/>
      <c r="N4" s="25"/>
      <c r="O4" s="25"/>
      <c r="P4" s="25"/>
      <c r="Q4" s="25"/>
      <c r="R4" s="25"/>
    </row>
    <row r="5" spans="1:18" s="26" customFormat="1" ht="15.6">
      <c r="A5" s="25"/>
      <c r="B5" s="27"/>
      <c r="C5" s="27"/>
      <c r="D5" s="25"/>
      <c r="E5" s="25"/>
      <c r="F5" s="25"/>
      <c r="G5" s="25"/>
      <c r="H5" s="25"/>
      <c r="I5" s="25"/>
      <c r="J5" s="25"/>
      <c r="K5" s="25"/>
      <c r="L5" s="25"/>
      <c r="M5" s="25"/>
      <c r="N5" s="25"/>
      <c r="O5" s="25"/>
      <c r="P5" s="25"/>
      <c r="Q5" s="25"/>
      <c r="R5" s="25"/>
    </row>
    <row r="6" spans="1:18" s="26" customFormat="1" ht="15.6">
      <c r="A6" s="25" t="s">
        <v>27</v>
      </c>
      <c r="B6" s="27"/>
      <c r="C6" s="27"/>
      <c r="D6" s="25"/>
      <c r="E6" s="25"/>
      <c r="F6" s="25"/>
      <c r="G6" s="25"/>
      <c r="H6" s="25"/>
      <c r="I6" s="25"/>
      <c r="J6" s="25"/>
      <c r="K6" s="25"/>
      <c r="L6" s="25"/>
      <c r="M6" s="25"/>
      <c r="N6" s="25"/>
      <c r="O6" s="25"/>
      <c r="P6" s="25"/>
      <c r="Q6" s="25"/>
      <c r="R6" s="25"/>
    </row>
    <row r="7" spans="1:18" s="30" customFormat="1">
      <c r="A7" s="28"/>
      <c r="B7" s="413" t="s">
        <v>173</v>
      </c>
      <c r="C7" s="414"/>
      <c r="D7" s="414"/>
      <c r="E7" s="414"/>
      <c r="F7" s="414"/>
      <c r="G7" s="414"/>
      <c r="H7" s="414"/>
      <c r="I7" s="414"/>
      <c r="J7" s="414"/>
      <c r="K7" s="415"/>
      <c r="L7" s="23" t="s">
        <v>2</v>
      </c>
      <c r="M7" s="23" t="s">
        <v>3</v>
      </c>
      <c r="N7" s="23" t="s">
        <v>174</v>
      </c>
      <c r="O7" s="23" t="s">
        <v>2</v>
      </c>
      <c r="P7" s="23" t="s">
        <v>3</v>
      </c>
      <c r="Q7" s="23" t="s">
        <v>174</v>
      </c>
      <c r="R7" s="23" t="s">
        <v>174</v>
      </c>
    </row>
    <row r="8" spans="1:18" s="30" customFormat="1" ht="26.4">
      <c r="A8" s="31"/>
      <c r="B8" s="56" t="s">
        <v>175</v>
      </c>
      <c r="C8" s="56" t="s">
        <v>176</v>
      </c>
      <c r="D8" s="57" t="s">
        <v>177</v>
      </c>
      <c r="E8" s="57" t="s">
        <v>32</v>
      </c>
      <c r="F8" s="57" t="s">
        <v>32</v>
      </c>
      <c r="G8" s="56"/>
      <c r="H8" s="56"/>
      <c r="I8" s="56"/>
      <c r="J8" s="55" t="s">
        <v>291</v>
      </c>
      <c r="K8" s="55" t="s">
        <v>292</v>
      </c>
      <c r="L8" s="57" t="s">
        <v>4</v>
      </c>
      <c r="M8" s="57" t="s">
        <v>4</v>
      </c>
      <c r="N8" s="57" t="s">
        <v>178</v>
      </c>
      <c r="O8" s="57" t="s">
        <v>4</v>
      </c>
      <c r="P8" s="57" t="s">
        <v>4</v>
      </c>
      <c r="Q8" s="57" t="s">
        <v>178</v>
      </c>
      <c r="R8" s="57" t="s">
        <v>178</v>
      </c>
    </row>
    <row r="9" spans="1:18" s="30" customFormat="1" ht="26.4">
      <c r="A9" s="31"/>
      <c r="B9" s="55" t="s">
        <v>179</v>
      </c>
      <c r="C9" s="55" t="s">
        <v>179</v>
      </c>
      <c r="D9" s="55" t="s">
        <v>8</v>
      </c>
      <c r="E9" s="55" t="s">
        <v>180</v>
      </c>
      <c r="F9" s="55" t="s">
        <v>180</v>
      </c>
      <c r="G9" s="55" t="s">
        <v>181</v>
      </c>
      <c r="H9" s="55" t="s">
        <v>122</v>
      </c>
      <c r="I9" s="55" t="s">
        <v>105</v>
      </c>
      <c r="J9" s="59" t="s">
        <v>179</v>
      </c>
      <c r="K9" s="59" t="s">
        <v>179</v>
      </c>
      <c r="L9" s="55" t="s">
        <v>182</v>
      </c>
      <c r="M9" s="55" t="s">
        <v>182</v>
      </c>
      <c r="N9" s="55" t="s">
        <v>183</v>
      </c>
      <c r="O9" s="55" t="s">
        <v>182</v>
      </c>
      <c r="P9" s="55" t="s">
        <v>182</v>
      </c>
      <c r="Q9" s="55" t="s">
        <v>183</v>
      </c>
      <c r="R9" s="55" t="s">
        <v>183</v>
      </c>
    </row>
    <row r="10" spans="1:18" s="30" customFormat="1" ht="26.4">
      <c r="A10" s="31"/>
      <c r="B10" s="55" t="s">
        <v>12</v>
      </c>
      <c r="C10" s="55" t="s">
        <v>12</v>
      </c>
      <c r="D10" s="55" t="s">
        <v>15</v>
      </c>
      <c r="E10" s="55" t="s">
        <v>9</v>
      </c>
      <c r="F10" s="55" t="s">
        <v>10</v>
      </c>
      <c r="G10" s="55" t="s">
        <v>184</v>
      </c>
      <c r="H10" s="55" t="s">
        <v>184</v>
      </c>
      <c r="I10" s="55" t="s">
        <v>108</v>
      </c>
      <c r="J10" s="55" t="s">
        <v>12</v>
      </c>
      <c r="K10" s="55" t="s">
        <v>12</v>
      </c>
      <c r="L10" s="55" t="s">
        <v>293</v>
      </c>
      <c r="M10" s="55" t="s">
        <v>294</v>
      </c>
      <c r="N10" s="55" t="s">
        <v>185</v>
      </c>
      <c r="O10" s="55" t="s">
        <v>293</v>
      </c>
      <c r="P10" s="55" t="s">
        <v>294</v>
      </c>
      <c r="Q10" s="55" t="s">
        <v>185</v>
      </c>
      <c r="R10" s="55" t="s">
        <v>185</v>
      </c>
    </row>
    <row r="11" spans="1:18" s="30" customFormat="1">
      <c r="A11" s="24" t="s">
        <v>17</v>
      </c>
      <c r="B11" s="58" t="s">
        <v>186</v>
      </c>
      <c r="C11" s="58" t="s">
        <v>37</v>
      </c>
      <c r="D11" s="58" t="s">
        <v>21</v>
      </c>
      <c r="E11" s="58" t="s">
        <v>38</v>
      </c>
      <c r="F11" s="58" t="s">
        <v>38</v>
      </c>
      <c r="G11" s="58"/>
      <c r="H11" s="58"/>
      <c r="I11" s="58"/>
      <c r="J11" s="58" t="s">
        <v>37</v>
      </c>
      <c r="K11" s="58" t="s">
        <v>37</v>
      </c>
      <c r="L11" s="58" t="s">
        <v>22</v>
      </c>
      <c r="M11" s="58" t="s">
        <v>22</v>
      </c>
      <c r="N11" s="58" t="s">
        <v>22</v>
      </c>
      <c r="O11" s="58" t="s">
        <v>102</v>
      </c>
      <c r="P11" s="58" t="s">
        <v>102</v>
      </c>
      <c r="Q11" s="58" t="s">
        <v>102</v>
      </c>
      <c r="R11" s="58" t="s">
        <v>112</v>
      </c>
    </row>
    <row r="12" spans="1:18">
      <c r="A12" s="32">
        <v>2008</v>
      </c>
      <c r="B12" s="14">
        <v>514125</v>
      </c>
      <c r="C12" s="14">
        <v>60843.272152346013</v>
      </c>
      <c r="D12" s="14">
        <v>15</v>
      </c>
      <c r="E12" s="14">
        <v>0</v>
      </c>
      <c r="F12" s="14">
        <v>0</v>
      </c>
      <c r="G12" s="42">
        <v>1.3953488372093024</v>
      </c>
      <c r="H12" s="42">
        <v>1.3333333333333333</v>
      </c>
      <c r="I12" s="42">
        <v>0.72899999999999998</v>
      </c>
      <c r="J12" s="14">
        <f>C12-SUM($E$12:E12)-SUM($F$12:F12)</f>
        <v>60843.272152346013</v>
      </c>
      <c r="K12" s="42">
        <f>SUM($E$12:E12)+SUM($F$12:F12)</f>
        <v>0</v>
      </c>
      <c r="L12" s="14">
        <f t="shared" ref="L12:L30" si="0">(C12*G12/1000)*I12</f>
        <v>61.890342417293368</v>
      </c>
      <c r="M12" s="14">
        <f t="shared" ref="M12:M30" si="1">((J12*G12/1000)*I12)+((K12*H12/1000)*I12)</f>
        <v>61.890342417293368</v>
      </c>
      <c r="N12" s="112">
        <f t="shared" ref="N12:N30" si="2">L12-M12</f>
        <v>0</v>
      </c>
      <c r="O12" s="14">
        <f>O$14*L12/L$14</f>
        <v>232129.62606795729</v>
      </c>
      <c r="P12" s="14">
        <f>P$14*M12/M$14</f>
        <v>232129.62606795729</v>
      </c>
      <c r="Q12" s="112">
        <v>0</v>
      </c>
      <c r="R12" s="112">
        <v>0</v>
      </c>
    </row>
    <row r="13" spans="1:18">
      <c r="A13" s="32">
        <v>2009</v>
      </c>
      <c r="B13" s="14">
        <v>511138.25</v>
      </c>
      <c r="C13" s="14">
        <f>(C12/B12)*B13</f>
        <v>60489.810167223681</v>
      </c>
      <c r="D13" s="14">
        <v>15</v>
      </c>
      <c r="E13" s="14">
        <v>0</v>
      </c>
      <c r="F13" s="14">
        <v>0</v>
      </c>
      <c r="G13" s="42">
        <v>1.3953488372093024</v>
      </c>
      <c r="H13" s="42">
        <v>1.3333333333333333</v>
      </c>
      <c r="I13" s="42">
        <v>0.72899999999999998</v>
      </c>
      <c r="J13" s="14">
        <f>C13-SUM($E$12:E13)-SUM($F$12:F13)</f>
        <v>60489.810167223681</v>
      </c>
      <c r="K13" s="42">
        <f>SUM($E$12:E13)+SUM($F$12:F13)</f>
        <v>0</v>
      </c>
      <c r="L13" s="14">
        <f t="shared" si="0"/>
        <v>61.530797598008455</v>
      </c>
      <c r="M13" s="14">
        <f t="shared" si="1"/>
        <v>61.530797598008455</v>
      </c>
      <c r="N13" s="112">
        <f t="shared" si="2"/>
        <v>0</v>
      </c>
      <c r="O13" s="14">
        <f>O$14*L13/L$14</f>
        <v>230781.09572872365</v>
      </c>
      <c r="P13" s="14">
        <f>P$14*M13/M$14</f>
        <v>230781.09572872362</v>
      </c>
      <c r="Q13" s="112">
        <v>0</v>
      </c>
      <c r="R13" s="112">
        <v>0</v>
      </c>
    </row>
    <row r="14" spans="1:18">
      <c r="A14" s="32">
        <v>2010</v>
      </c>
      <c r="B14" s="14">
        <v>512439</v>
      </c>
      <c r="C14" s="14">
        <f t="shared" ref="C14:C30" si="3">(C13/B13)*B14</f>
        <v>60643.745272990112</v>
      </c>
      <c r="D14" s="14">
        <v>15</v>
      </c>
      <c r="E14" s="14">
        <f>C$13/D$13</f>
        <v>4032.6540111482454</v>
      </c>
      <c r="F14" s="14">
        <f t="shared" ref="F14:F30" si="4">C14-C13</f>
        <v>153.93510576643166</v>
      </c>
      <c r="G14" s="42">
        <v>1.3953488372093024</v>
      </c>
      <c r="H14" s="42">
        <v>1.3333333333333333</v>
      </c>
      <c r="I14" s="42">
        <v>0.72899999999999998</v>
      </c>
      <c r="J14" s="14">
        <f>C14-SUM($E$12:E14)-SUM($F$12:F14)</f>
        <v>56457.156156075434</v>
      </c>
      <c r="K14" s="14">
        <f>SUM($E$12:E14)+SUM($F$12:F14)</f>
        <v>4186.5891169146771</v>
      </c>
      <c r="L14" s="14">
        <f t="shared" si="0"/>
        <v>61.687381819548541</v>
      </c>
      <c r="M14" s="14">
        <f t="shared" si="1"/>
        <v>61.498109046448953</v>
      </c>
      <c r="N14" s="112">
        <f t="shared" si="2"/>
        <v>0.18927277309958868</v>
      </c>
      <c r="O14" s="14">
        <f t="shared" ref="O14:O30" si="5">L14*Q14/N14</f>
        <v>231368.38989085914</v>
      </c>
      <c r="P14" s="14">
        <f t="shared" ref="P14:P30" si="6">M14*Q14/N14</f>
        <v>230658.49208890132</v>
      </c>
      <c r="Q14" s="112">
        <v>709.89780195781111</v>
      </c>
      <c r="R14" s="112">
        <v>0</v>
      </c>
    </row>
    <row r="15" spans="1:18">
      <c r="A15" s="32">
        <v>2011</v>
      </c>
      <c r="B15" s="14">
        <v>516696</v>
      </c>
      <c r="C15" s="14">
        <f t="shared" si="3"/>
        <v>61147.532891862051</v>
      </c>
      <c r="D15" s="14">
        <v>15</v>
      </c>
      <c r="E15" s="14">
        <f t="shared" ref="E15:E28" si="7">C$13/D$13</f>
        <v>4032.6540111482454</v>
      </c>
      <c r="F15" s="14">
        <f t="shared" si="4"/>
        <v>503.78761887193832</v>
      </c>
      <c r="G15" s="42">
        <v>1.3953488372093024</v>
      </c>
      <c r="H15" s="42">
        <v>1.3333333333333333</v>
      </c>
      <c r="I15" s="42">
        <v>0.72899999999999998</v>
      </c>
      <c r="J15" s="14">
        <f>C15-SUM($E$12:E15)-SUM($F$12:F15)</f>
        <v>52424.502144927188</v>
      </c>
      <c r="K15" s="14">
        <f>SUM($E$12:E15)+SUM($F$12:F15)</f>
        <v>8723.0307469348609</v>
      </c>
      <c r="L15" s="14">
        <f t="shared" si="0"/>
        <v>62.199839271861542</v>
      </c>
      <c r="M15" s="14">
        <f t="shared" si="1"/>
        <v>61.805477137628003</v>
      </c>
      <c r="N15" s="112">
        <f t="shared" si="2"/>
        <v>0.39436213423353905</v>
      </c>
      <c r="O15" s="14">
        <f t="shared" si="5"/>
        <v>233290.44351239339</v>
      </c>
      <c r="P15" s="14">
        <f t="shared" si="6"/>
        <v>231811.3252658378</v>
      </c>
      <c r="Q15" s="112">
        <v>1479.1182465556058</v>
      </c>
      <c r="R15" s="112">
        <v>0</v>
      </c>
    </row>
    <row r="16" spans="1:18">
      <c r="A16" s="32">
        <v>2012</v>
      </c>
      <c r="B16" s="14">
        <v>520630</v>
      </c>
      <c r="C16" s="14">
        <f t="shared" si="3"/>
        <v>61613.095610359167</v>
      </c>
      <c r="D16" s="14">
        <v>15</v>
      </c>
      <c r="E16" s="14">
        <f t="shared" si="7"/>
        <v>4032.6540111482454</v>
      </c>
      <c r="F16" s="14">
        <f t="shared" si="4"/>
        <v>465.56271849711629</v>
      </c>
      <c r="G16" s="42">
        <v>1.3953488372093024</v>
      </c>
      <c r="H16" s="42">
        <v>1.3333333333333333</v>
      </c>
      <c r="I16" s="42">
        <v>0.72899999999999998</v>
      </c>
      <c r="J16" s="14">
        <f>C16-SUM($E$12:E16)-SUM($F$12:F16)</f>
        <v>48391.848133778949</v>
      </c>
      <c r="K16" s="14">
        <f>SUM($E$12:E16)+SUM($F$12:F16)</f>
        <v>13221.247476580222</v>
      </c>
      <c r="L16" s="14">
        <f t="shared" si="0"/>
        <v>62.673413999932784</v>
      </c>
      <c r="M16" s="14">
        <f t="shared" si="1"/>
        <v>62.07569062564275</v>
      </c>
      <c r="N16" s="112">
        <f t="shared" si="2"/>
        <v>0.59772337429003386</v>
      </c>
      <c r="O16" s="14">
        <f t="shared" si="5"/>
        <v>235066.66125895569</v>
      </c>
      <c r="P16" s="14">
        <f t="shared" si="6"/>
        <v>232824.80416224568</v>
      </c>
      <c r="Q16" s="112">
        <v>2241.857096710035</v>
      </c>
      <c r="R16" s="112">
        <v>0</v>
      </c>
    </row>
    <row r="17" spans="1:18">
      <c r="A17" s="32">
        <v>2013</v>
      </c>
      <c r="B17" s="14">
        <v>526041</v>
      </c>
      <c r="C17" s="14">
        <f t="shared" si="3"/>
        <v>62253.451449146123</v>
      </c>
      <c r="D17" s="14">
        <v>15</v>
      </c>
      <c r="E17" s="14">
        <f t="shared" si="7"/>
        <v>4032.6540111482454</v>
      </c>
      <c r="F17" s="14">
        <f t="shared" si="4"/>
        <v>640.35583878695616</v>
      </c>
      <c r="G17" s="42">
        <v>1.3953488372093024</v>
      </c>
      <c r="H17" s="42">
        <v>1.3333333333333333</v>
      </c>
      <c r="I17" s="42">
        <v>0.72899999999999998</v>
      </c>
      <c r="J17" s="14">
        <f>C17-SUM($E$12:E17)-SUM($F$12:F17)</f>
        <v>44359.194122630703</v>
      </c>
      <c r="K17" s="14">
        <f>SUM($E$12:E17)+SUM($F$12:F17)</f>
        <v>17894.257326515424</v>
      </c>
      <c r="L17" s="14">
        <f t="shared" si="0"/>
        <v>63.324789915945381</v>
      </c>
      <c r="M17" s="14">
        <f t="shared" si="1"/>
        <v>62.515803026579192</v>
      </c>
      <c r="N17" s="112">
        <f t="shared" si="2"/>
        <v>0.80898688936618868</v>
      </c>
      <c r="O17" s="14">
        <f t="shared" si="5"/>
        <v>237509.75079292839</v>
      </c>
      <c r="P17" s="14">
        <f t="shared" si="6"/>
        <v>234475.51609995661</v>
      </c>
      <c r="Q17" s="112">
        <v>3034.234692971761</v>
      </c>
      <c r="R17" s="112">
        <v>0</v>
      </c>
    </row>
    <row r="18" spans="1:18">
      <c r="A18" s="32">
        <v>2014</v>
      </c>
      <c r="B18" s="14">
        <v>535705</v>
      </c>
      <c r="C18" s="14">
        <f>(C17/B17)*B18</f>
        <v>63397.121533425765</v>
      </c>
      <c r="D18" s="14">
        <v>15</v>
      </c>
      <c r="E18" s="14">
        <f t="shared" si="7"/>
        <v>4032.6540111482454</v>
      </c>
      <c r="F18" s="14">
        <f t="shared" si="4"/>
        <v>1143.6700842796417</v>
      </c>
      <c r="G18" s="42">
        <v>1.3953488372093024</v>
      </c>
      <c r="H18" s="42">
        <v>1.3333333333333333</v>
      </c>
      <c r="I18" s="42">
        <v>0.72899999999999998</v>
      </c>
      <c r="J18" s="14">
        <f>C18-SUM($E$12:E18)-SUM($F$12:F18)</f>
        <v>40326.540111482456</v>
      </c>
      <c r="K18" s="14">
        <f>SUM($E$12:E18)+SUM($F$12:F18)</f>
        <v>23070.581421943312</v>
      </c>
      <c r="L18" s="14">
        <f t="shared" si="0"/>
        <v>64.488141764466121</v>
      </c>
      <c r="M18" s="14">
        <f t="shared" si="1"/>
        <v>63.445136874134548</v>
      </c>
      <c r="N18" s="112">
        <f t="shared" si="2"/>
        <v>1.0430048903315736</v>
      </c>
      <c r="O18" s="14">
        <f t="shared" si="5"/>
        <v>241873.08793140788</v>
      </c>
      <c r="P18" s="14">
        <f t="shared" si="6"/>
        <v>237961.13130419637</v>
      </c>
      <c r="Q18" s="112">
        <v>3911.9566272114871</v>
      </c>
      <c r="R18" s="112">
        <v>0</v>
      </c>
    </row>
    <row r="19" spans="1:18">
      <c r="A19" s="32">
        <v>2015</v>
      </c>
      <c r="B19" s="14">
        <v>549661</v>
      </c>
      <c r="C19" s="14">
        <f t="shared" si="3"/>
        <v>65048.721253645832</v>
      </c>
      <c r="D19" s="14">
        <v>15</v>
      </c>
      <c r="E19" s="14">
        <f t="shared" si="7"/>
        <v>4032.6540111482454</v>
      </c>
      <c r="F19" s="14">
        <f t="shared" si="4"/>
        <v>1651.599720220067</v>
      </c>
      <c r="G19" s="42">
        <v>1.3953488372093024</v>
      </c>
      <c r="H19" s="42">
        <v>1.3333333333333333</v>
      </c>
      <c r="I19" s="42">
        <v>0.72899999999999998</v>
      </c>
      <c r="J19" s="14">
        <f>C19-SUM($E$12:E19)-SUM($F$12:F19)</f>
        <v>36293.88610033421</v>
      </c>
      <c r="K19" s="14">
        <f>SUM($E$12:E19)+SUM($F$12:F19)</f>
        <v>28754.835153311626</v>
      </c>
      <c r="L19" s="14">
        <f t="shared" si="0"/>
        <v>66.168164363592297</v>
      </c>
      <c r="M19" s="14">
        <f t="shared" si="1"/>
        <v>64.868178327823969</v>
      </c>
      <c r="N19" s="112">
        <f t="shared" si="2"/>
        <v>1.2999860357683275</v>
      </c>
      <c r="O19" s="14">
        <f t="shared" si="5"/>
        <v>248174.28134041224</v>
      </c>
      <c r="P19" s="14">
        <f t="shared" si="6"/>
        <v>243298.47583360435</v>
      </c>
      <c r="Q19" s="112">
        <v>4875.8055068079393</v>
      </c>
      <c r="R19" s="112">
        <v>0</v>
      </c>
    </row>
    <row r="20" spans="1:18">
      <c r="A20" s="32">
        <v>2016</v>
      </c>
      <c r="B20" s="14">
        <v>558880</v>
      </c>
      <c r="C20" s="14">
        <f t="shared" si="3"/>
        <v>66139.728549483378</v>
      </c>
      <c r="D20" s="14">
        <v>15</v>
      </c>
      <c r="E20" s="14">
        <f t="shared" si="7"/>
        <v>4032.6540111482454</v>
      </c>
      <c r="F20" s="14">
        <f t="shared" si="4"/>
        <v>1091.0072958375458</v>
      </c>
      <c r="G20" s="42">
        <v>1.3953488372093024</v>
      </c>
      <c r="H20" s="42">
        <v>1.3333333333333333</v>
      </c>
      <c r="I20" s="42">
        <v>0.72899999999999998</v>
      </c>
      <c r="J20" s="14">
        <f>C20-SUM($E$12:E20)-SUM($F$12:F20)</f>
        <v>32261.232089185956</v>
      </c>
      <c r="K20" s="14">
        <f>SUM($E$12:E20)+SUM($F$12:F20)</f>
        <v>33878.496460297421</v>
      </c>
      <c r="L20" s="14">
        <f t="shared" si="0"/>
        <v>67.277947133823318</v>
      </c>
      <c r="M20" s="14">
        <f t="shared" si="1"/>
        <v>65.746323945013586</v>
      </c>
      <c r="N20" s="112">
        <f t="shared" si="2"/>
        <v>1.531623188809732</v>
      </c>
      <c r="O20" s="14">
        <f t="shared" si="5"/>
        <v>252336.6990845805</v>
      </c>
      <c r="P20" s="14">
        <f t="shared" si="6"/>
        <v>246592.10139439107</v>
      </c>
      <c r="Q20" s="112">
        <v>5744.5976901894146</v>
      </c>
      <c r="R20" s="112">
        <v>0</v>
      </c>
    </row>
    <row r="21" spans="1:18">
      <c r="A21" s="32">
        <v>2017</v>
      </c>
      <c r="B21" s="14">
        <v>567607</v>
      </c>
      <c r="C21" s="14">
        <f t="shared" si="3"/>
        <v>67172.510919672583</v>
      </c>
      <c r="D21" s="14">
        <v>15</v>
      </c>
      <c r="E21" s="14">
        <f t="shared" si="7"/>
        <v>4032.6540111482454</v>
      </c>
      <c r="F21" s="14">
        <f t="shared" si="4"/>
        <v>1032.7823701892048</v>
      </c>
      <c r="G21" s="42">
        <v>1.3953488372093024</v>
      </c>
      <c r="H21" s="42">
        <v>1.3333333333333333</v>
      </c>
      <c r="I21" s="42">
        <v>0.72899999999999998</v>
      </c>
      <c r="J21" s="14">
        <f>C21-SUM($E$12:E21)-SUM($F$12:F21)</f>
        <v>28228.57807803771</v>
      </c>
      <c r="K21" s="14">
        <f>SUM($E$12:E21)+SUM($F$12:F21)</f>
        <v>38943.932841634873</v>
      </c>
      <c r="L21" s="14">
        <f t="shared" si="0"/>
        <v>68.328502968057649</v>
      </c>
      <c r="M21" s="14">
        <f t="shared" si="1"/>
        <v>66.567874934473025</v>
      </c>
      <c r="N21" s="112">
        <f t="shared" si="2"/>
        <v>1.7606280335846236</v>
      </c>
      <c r="O21" s="14">
        <f t="shared" si="5"/>
        <v>256276.97673436429</v>
      </c>
      <c r="P21" s="14">
        <f t="shared" si="6"/>
        <v>249673.4597538771</v>
      </c>
      <c r="Q21" s="112">
        <v>6603.5169804871621</v>
      </c>
      <c r="R21" s="112">
        <v>0</v>
      </c>
    </row>
    <row r="22" spans="1:18">
      <c r="A22" s="32">
        <v>2018</v>
      </c>
      <c r="B22" s="14">
        <v>575756</v>
      </c>
      <c r="C22" s="14">
        <f t="shared" si="3"/>
        <v>68136.890836559454</v>
      </c>
      <c r="D22" s="14">
        <v>15</v>
      </c>
      <c r="E22" s="14">
        <f t="shared" si="7"/>
        <v>4032.6540111482454</v>
      </c>
      <c r="F22" s="14">
        <f t="shared" si="4"/>
        <v>964.3799168868718</v>
      </c>
      <c r="G22" s="42">
        <v>1.3953488372093024</v>
      </c>
      <c r="H22" s="42">
        <v>1.3333333333333333</v>
      </c>
      <c r="I22" s="42">
        <v>0.72899999999999998</v>
      </c>
      <c r="J22" s="14">
        <f>C22-SUM($E$12:E22)-SUM($F$12:F22)</f>
        <v>24195.924066889471</v>
      </c>
      <c r="K22" s="14">
        <f>SUM($E$12:E22)+SUM($F$12:F22)</f>
        <v>43940.966769669983</v>
      </c>
      <c r="L22" s="14">
        <f t="shared" si="0"/>
        <v>69.309479190490947</v>
      </c>
      <c r="M22" s="14">
        <f t="shared" si="1"/>
        <v>67.322938739322609</v>
      </c>
      <c r="N22" s="112">
        <f t="shared" si="2"/>
        <v>1.986540451168338</v>
      </c>
      <c r="O22" s="14">
        <f t="shared" si="5"/>
        <v>259956.28492367189</v>
      </c>
      <c r="P22" s="14">
        <f t="shared" si="6"/>
        <v>252505.44729557488</v>
      </c>
      <c r="Q22" s="112">
        <v>7450.8376280970033</v>
      </c>
      <c r="R22" s="112">
        <v>0</v>
      </c>
    </row>
    <row r="23" spans="1:18">
      <c r="A23" s="32">
        <v>2019</v>
      </c>
      <c r="B23" s="14">
        <v>583702</v>
      </c>
      <c r="C23" s="14">
        <f t="shared" si="3"/>
        <v>69077.247054449152</v>
      </c>
      <c r="D23" s="14">
        <v>15</v>
      </c>
      <c r="E23" s="14">
        <f t="shared" si="7"/>
        <v>4032.6540111482454</v>
      </c>
      <c r="F23" s="14">
        <f t="shared" si="4"/>
        <v>940.35621788969729</v>
      </c>
      <c r="G23" s="42">
        <v>1.3953488372093024</v>
      </c>
      <c r="H23" s="42">
        <v>1.3333333333333333</v>
      </c>
      <c r="I23" s="42">
        <v>0.72899999999999998</v>
      </c>
      <c r="J23" s="14">
        <f>C23-SUM($E$12:E23)-SUM($F$12:F23)</f>
        <v>20163.270055741224</v>
      </c>
      <c r="K23" s="14">
        <f>SUM($E$12:E23)+SUM($F$12:F23)</f>
        <v>48913.976998707927</v>
      </c>
      <c r="L23" s="14">
        <f t="shared" si="0"/>
        <v>70.266018282828043</v>
      </c>
      <c r="M23" s="14">
        <f t="shared" si="1"/>
        <v>68.054651508746929</v>
      </c>
      <c r="N23" s="112">
        <f t="shared" si="2"/>
        <v>2.2113667740811138</v>
      </c>
      <c r="O23" s="14">
        <f t="shared" si="5"/>
        <v>263543.93774883304</v>
      </c>
      <c r="P23" s="14">
        <f t="shared" si="6"/>
        <v>255249.85304486603</v>
      </c>
      <c r="Q23" s="112">
        <v>8294.084703967017</v>
      </c>
      <c r="R23" s="112">
        <v>0</v>
      </c>
    </row>
    <row r="24" spans="1:18">
      <c r="A24" s="32">
        <v>2020</v>
      </c>
      <c r="B24" s="14">
        <v>591470</v>
      </c>
      <c r="C24" s="14">
        <f t="shared" si="3"/>
        <v>69996.538156962008</v>
      </c>
      <c r="D24" s="14">
        <v>15</v>
      </c>
      <c r="E24" s="14">
        <f t="shared" si="7"/>
        <v>4032.6540111482454</v>
      </c>
      <c r="F24" s="14">
        <f t="shared" si="4"/>
        <v>919.29110251285601</v>
      </c>
      <c r="G24" s="42">
        <v>1.3953488372093024</v>
      </c>
      <c r="H24" s="42">
        <v>1.3333333333333333</v>
      </c>
      <c r="I24" s="42">
        <v>0.72899999999999998</v>
      </c>
      <c r="J24" s="14">
        <f>C24-SUM($E$12:E24)-SUM($F$12:F24)</f>
        <v>16130.616044592978</v>
      </c>
      <c r="K24" s="14">
        <f>SUM($E$12:E24)+SUM($F$12:F24)</f>
        <v>53865.922112369029</v>
      </c>
      <c r="L24" s="14">
        <f t="shared" si="0"/>
        <v>71.201129743849265</v>
      </c>
      <c r="M24" s="14">
        <f t="shared" si="1"/>
        <v>68.765888986024947</v>
      </c>
      <c r="N24" s="112">
        <f t="shared" si="2"/>
        <v>2.4352407578243174</v>
      </c>
      <c r="O24" s="14">
        <f t="shared" si="5"/>
        <v>267051.22281626973</v>
      </c>
      <c r="P24" s="14">
        <f t="shared" si="6"/>
        <v>257917.46293677596</v>
      </c>
      <c r="Q24" s="112">
        <v>9133.759879493804</v>
      </c>
      <c r="R24" s="112">
        <v>0</v>
      </c>
    </row>
    <row r="25" spans="1:18">
      <c r="A25" s="32">
        <v>2021</v>
      </c>
      <c r="B25" s="14">
        <v>599138</v>
      </c>
      <c r="C25" s="14">
        <f t="shared" si="3"/>
        <v>70903.994924993502</v>
      </c>
      <c r="D25" s="14">
        <v>15</v>
      </c>
      <c r="E25" s="14">
        <f t="shared" si="7"/>
        <v>4032.6540111482454</v>
      </c>
      <c r="F25" s="14">
        <f t="shared" si="4"/>
        <v>907.45676803149399</v>
      </c>
      <c r="G25" s="42">
        <v>1.3953488372093024</v>
      </c>
      <c r="H25" s="42">
        <v>1.3333333333333333</v>
      </c>
      <c r="I25" s="42">
        <v>0.72899999999999998</v>
      </c>
      <c r="J25" s="14">
        <f>C25-SUM($E$12:E25)-SUM($F$12:F25)</f>
        <v>12097.962033444732</v>
      </c>
      <c r="K25" s="14">
        <f>SUM($E$12:E25)+SUM($F$12:F25)</f>
        <v>58806.03289154877</v>
      </c>
      <c r="L25" s="14">
        <f t="shared" si="0"/>
        <v>72.124203209749211</v>
      </c>
      <c r="M25" s="14">
        <f t="shared" si="1"/>
        <v>69.465623490187099</v>
      </c>
      <c r="N25" s="112">
        <f t="shared" si="2"/>
        <v>2.6585797195621126</v>
      </c>
      <c r="O25" s="14">
        <f t="shared" si="5"/>
        <v>270513.35745801852</v>
      </c>
      <c r="P25" s="14">
        <f t="shared" si="6"/>
        <v>260541.92908858412</v>
      </c>
      <c r="Q25" s="112">
        <v>9971.428369434394</v>
      </c>
      <c r="R25" s="112">
        <v>0</v>
      </c>
    </row>
    <row r="26" spans="1:18">
      <c r="A26" s="32">
        <v>2022</v>
      </c>
      <c r="B26" s="14">
        <v>606879</v>
      </c>
      <c r="C26" s="14">
        <f t="shared" si="3"/>
        <v>71820.090757196391</v>
      </c>
      <c r="D26" s="14">
        <v>15</v>
      </c>
      <c r="E26" s="14">
        <f t="shared" si="7"/>
        <v>4032.6540111482454</v>
      </c>
      <c r="F26" s="14">
        <f t="shared" si="4"/>
        <v>916.09583220288914</v>
      </c>
      <c r="G26" s="42">
        <v>1.3953488372093024</v>
      </c>
      <c r="H26" s="42">
        <v>1.3333333333333333</v>
      </c>
      <c r="I26" s="42">
        <v>0.72899999999999998</v>
      </c>
      <c r="J26" s="14">
        <f>C26-SUM($E$12:E26)-SUM($F$12:F26)</f>
        <v>8065.3080222964854</v>
      </c>
      <c r="K26" s="14">
        <f>SUM($E$12:E26)+SUM($F$12:F26)</f>
        <v>63754.782734899905</v>
      </c>
      <c r="L26" s="14">
        <f t="shared" si="0"/>
        <v>73.056064412087679</v>
      </c>
      <c r="M26" s="14">
        <f t="shared" si="1"/>
        <v>70.173755164723815</v>
      </c>
      <c r="N26" s="112">
        <f t="shared" si="2"/>
        <v>2.8823092473638638</v>
      </c>
      <c r="O26" s="14">
        <f t="shared" si="5"/>
        <v>274008.45191051951</v>
      </c>
      <c r="P26" s="14">
        <f t="shared" si="6"/>
        <v>263197.89017066656</v>
      </c>
      <c r="Q26" s="112">
        <v>10810.561739852939</v>
      </c>
      <c r="R26" s="112">
        <v>0</v>
      </c>
    </row>
    <row r="27" spans="1:18">
      <c r="A27" s="32">
        <v>2023</v>
      </c>
      <c r="B27" s="14">
        <v>614519</v>
      </c>
      <c r="C27" s="14">
        <f t="shared" si="3"/>
        <v>72724.233911573101</v>
      </c>
      <c r="D27" s="14">
        <v>15</v>
      </c>
      <c r="E27" s="14">
        <f t="shared" si="7"/>
        <v>4032.6540111482454</v>
      </c>
      <c r="F27" s="14">
        <f t="shared" si="4"/>
        <v>904.1431543767103</v>
      </c>
      <c r="G27" s="42">
        <v>1.3953488372093024</v>
      </c>
      <c r="H27" s="42">
        <v>1.3333333333333333</v>
      </c>
      <c r="I27" s="42">
        <v>0.72899999999999998</v>
      </c>
      <c r="J27" s="14">
        <f>C27-SUM($E$12:E27)-SUM($F$12:F27)</f>
        <v>4032.6540111482391</v>
      </c>
      <c r="K27" s="14">
        <f>SUM($E$12:E27)+SUM($F$12:F27)</f>
        <v>68691.579900424869</v>
      </c>
      <c r="L27" s="14">
        <f t="shared" si="0"/>
        <v>73.975767239353658</v>
      </c>
      <c r="M27" s="14">
        <f t="shared" si="1"/>
        <v>70.87026883641353</v>
      </c>
      <c r="N27" s="112">
        <f t="shared" si="2"/>
        <v>3.1054984029401282</v>
      </c>
      <c r="O27" s="14">
        <f t="shared" si="5"/>
        <v>277457.94443307567</v>
      </c>
      <c r="P27" s="14">
        <f t="shared" si="6"/>
        <v>265810.27607524634</v>
      </c>
      <c r="Q27" s="112">
        <v>11647.668357829332</v>
      </c>
      <c r="R27" s="112">
        <v>0</v>
      </c>
    </row>
    <row r="28" spans="1:18">
      <c r="A28" s="32">
        <v>2024</v>
      </c>
      <c r="B28" s="14">
        <v>622036</v>
      </c>
      <c r="C28" s="14">
        <f t="shared" si="3"/>
        <v>73613.820834537721</v>
      </c>
      <c r="D28" s="14">
        <v>15</v>
      </c>
      <c r="E28" s="14">
        <f t="shared" si="7"/>
        <v>4032.6540111482454</v>
      </c>
      <c r="F28" s="14">
        <f t="shared" si="4"/>
        <v>889.58692296461959</v>
      </c>
      <c r="G28" s="42">
        <v>1.3953488372093024</v>
      </c>
      <c r="H28" s="42">
        <v>1.3333333333333333</v>
      </c>
      <c r="I28" s="42">
        <v>0.72899999999999998</v>
      </c>
      <c r="J28" s="14">
        <f>C28-SUM($E$12:E28)-SUM($F$12:F28)</f>
        <v>0</v>
      </c>
      <c r="K28" s="14">
        <f>SUM($E$12:E28)+SUM($F$12:F28)</f>
        <v>73613.820834537735</v>
      </c>
      <c r="L28" s="14">
        <f t="shared" si="0"/>
        <v>74.880663332620458</v>
      </c>
      <c r="M28" s="14">
        <f t="shared" si="1"/>
        <v>71.552633851170683</v>
      </c>
      <c r="N28" s="112">
        <f t="shared" si="2"/>
        <v>3.3280294814497751</v>
      </c>
      <c r="O28" s="14">
        <f t="shared" si="5"/>
        <v>280851.90193203569</v>
      </c>
      <c r="P28" s="14">
        <f t="shared" si="6"/>
        <v>268369.59517950087</v>
      </c>
      <c r="Q28" s="112">
        <v>12482.306752534834</v>
      </c>
      <c r="R28" s="112">
        <v>0</v>
      </c>
    </row>
    <row r="29" spans="1:18">
      <c r="A29" s="32">
        <v>2025</v>
      </c>
      <c r="B29" s="14">
        <v>629750</v>
      </c>
      <c r="C29" s="14">
        <f t="shared" si="3"/>
        <v>74526.721396430643</v>
      </c>
      <c r="D29" s="14">
        <v>15</v>
      </c>
      <c r="E29" s="151">
        <f>E14+F14</f>
        <v>4186.5891169146771</v>
      </c>
      <c r="F29" s="14">
        <f t="shared" si="4"/>
        <v>912.90056189292227</v>
      </c>
      <c r="G29" s="42">
        <v>1.3953488372093024</v>
      </c>
      <c r="H29" s="42">
        <v>1.3333333333333333</v>
      </c>
      <c r="I29" s="42">
        <v>0.72899999999999998</v>
      </c>
      <c r="J29" s="152">
        <v>0</v>
      </c>
      <c r="K29" s="153">
        <f>C29</f>
        <v>74526.721396430643</v>
      </c>
      <c r="L29" s="14">
        <f t="shared" si="0"/>
        <v>75.809274276276184</v>
      </c>
      <c r="M29" s="14">
        <f t="shared" si="1"/>
        <v>72.439973197330588</v>
      </c>
      <c r="N29" s="112">
        <f t="shared" si="2"/>
        <v>3.3693010789455968</v>
      </c>
      <c r="O29" s="14">
        <f t="shared" si="5"/>
        <v>284334.80576960096</v>
      </c>
      <c r="P29" s="14">
        <f t="shared" si="6"/>
        <v>271697.70329095208</v>
      </c>
      <c r="Q29" s="112">
        <v>12637.102478648889</v>
      </c>
      <c r="R29" s="112">
        <v>0</v>
      </c>
    </row>
    <row r="30" spans="1:18">
      <c r="A30" s="32">
        <v>2026</v>
      </c>
      <c r="B30" s="14">
        <v>637637</v>
      </c>
      <c r="C30" s="14">
        <f t="shared" si="3"/>
        <v>75460.095356976337</v>
      </c>
      <c r="D30" s="14">
        <v>15</v>
      </c>
      <c r="E30" s="151">
        <f>E15+F15</f>
        <v>4536.4416300201838</v>
      </c>
      <c r="F30" s="14">
        <f t="shared" si="4"/>
        <v>933.37396054569399</v>
      </c>
      <c r="G30" s="42">
        <v>1.3953488372093024</v>
      </c>
      <c r="H30" s="42">
        <v>1.3333333333333333</v>
      </c>
      <c r="I30" s="42">
        <v>0.72899999999999998</v>
      </c>
      <c r="J30" s="152">
        <v>0</v>
      </c>
      <c r="K30" s="153">
        <f>C30</f>
        <v>75460.095356976337</v>
      </c>
      <c r="L30" s="14">
        <f t="shared" si="0"/>
        <v>76.758710951491736</v>
      </c>
      <c r="M30" s="14">
        <f t="shared" si="1"/>
        <v>73.347212686980995</v>
      </c>
      <c r="N30" s="112">
        <f t="shared" si="2"/>
        <v>3.4114982645107403</v>
      </c>
      <c r="O30" s="14">
        <f t="shared" si="5"/>
        <v>287895.81984360627</v>
      </c>
      <c r="P30" s="14">
        <f t="shared" si="6"/>
        <v>275100.45007277932</v>
      </c>
      <c r="Q30" s="112">
        <v>12795.369770826932</v>
      </c>
      <c r="R30" s="112">
        <v>0</v>
      </c>
    </row>
    <row r="31" spans="1:18">
      <c r="A31" s="34"/>
      <c r="B31" s="18"/>
      <c r="C31" s="18"/>
      <c r="D31" s="18"/>
      <c r="E31" s="18"/>
      <c r="F31" s="18"/>
      <c r="G31" s="154"/>
      <c r="H31" s="154"/>
      <c r="I31" s="154"/>
      <c r="J31" s="154"/>
      <c r="K31" s="154"/>
      <c r="L31" s="18"/>
      <c r="M31" s="18"/>
      <c r="N31" s="18"/>
      <c r="O31" s="18"/>
      <c r="P31" s="18"/>
      <c r="Q31" s="18"/>
      <c r="R31" s="18"/>
    </row>
    <row r="32" spans="1:18">
      <c r="A32" s="34"/>
      <c r="B32" s="18"/>
      <c r="C32" s="214"/>
      <c r="D32" s="18"/>
      <c r="E32" s="18"/>
      <c r="F32" s="18"/>
      <c r="G32" s="154"/>
      <c r="H32" s="18"/>
      <c r="I32" s="18"/>
      <c r="J32" s="18"/>
      <c r="K32" s="18"/>
      <c r="L32" s="18"/>
      <c r="M32" s="18"/>
      <c r="N32" s="18"/>
      <c r="O32" s="18"/>
      <c r="P32" s="18"/>
      <c r="Q32" s="18"/>
      <c r="R32" s="18"/>
    </row>
    <row r="33" spans="1:18">
      <c r="A33" s="33" t="s">
        <v>103</v>
      </c>
    </row>
    <row r="34" spans="1:18">
      <c r="A34" s="33" t="s">
        <v>295</v>
      </c>
      <c r="E34" s="38"/>
    </row>
    <row r="35" spans="1:18">
      <c r="G35" s="35"/>
      <c r="H35" s="35"/>
      <c r="I35" s="35"/>
      <c r="J35" s="35"/>
      <c r="K35" s="35"/>
      <c r="Q35" s="35"/>
      <c r="R35" s="35"/>
    </row>
    <row r="36" spans="1:18">
      <c r="A36" s="155"/>
    </row>
    <row r="37" spans="1:18">
      <c r="A37" s="155"/>
    </row>
    <row r="38" spans="1:18">
      <c r="A38" s="155"/>
    </row>
  </sheetData>
  <mergeCells count="1">
    <mergeCell ref="B7:K7"/>
  </mergeCells>
  <printOptions horizontalCentered="1"/>
  <pageMargins left="0.75" right="0.75" top="0.75" bottom="0.75" header="0.5" footer="0.5"/>
  <pageSetup scale="4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O117"/>
  <sheetViews>
    <sheetView zoomScale="75" zoomScaleNormal="75" workbookViewId="0">
      <selection activeCell="A2" sqref="A1:A2"/>
    </sheetView>
  </sheetViews>
  <sheetFormatPr defaultRowHeight="13.2"/>
  <cols>
    <col min="1" max="1" width="11.6640625" style="5" customWidth="1"/>
    <col min="2" max="2" width="11.109375" style="5" bestFit="1" customWidth="1"/>
    <col min="3" max="3" width="13.6640625" style="5" bestFit="1" customWidth="1"/>
    <col min="4" max="4" width="15.44140625" style="5" bestFit="1" customWidth="1"/>
    <col min="5" max="7" width="14" style="5" customWidth="1"/>
    <col min="8" max="8" width="16.33203125" style="5" customWidth="1"/>
    <col min="9" max="9" width="15.5546875" style="5" customWidth="1"/>
    <col min="10" max="10" width="15.5546875" style="33" customWidth="1"/>
    <col min="11" max="11" width="15.88671875" style="33" customWidth="1"/>
    <col min="12" max="12" width="24.109375" style="33" customWidth="1"/>
    <col min="13" max="13" width="25.5546875" style="5" customWidth="1"/>
    <col min="14" max="14" width="25.33203125" style="5" customWidth="1"/>
    <col min="15" max="256" width="9.109375" style="5"/>
    <col min="257" max="257" width="11.6640625" style="5" customWidth="1"/>
    <col min="258" max="258" width="11.109375" style="5" bestFit="1" customWidth="1"/>
    <col min="259" max="259" width="13.6640625" style="5" bestFit="1" customWidth="1"/>
    <col min="260" max="260" width="15.44140625" style="5" bestFit="1" customWidth="1"/>
    <col min="261" max="263" width="14" style="5" customWidth="1"/>
    <col min="264" max="264" width="16.33203125" style="5" customWidth="1"/>
    <col min="265" max="266" width="15.5546875" style="5" customWidth="1"/>
    <col min="267" max="267" width="15.88671875" style="5" customWidth="1"/>
    <col min="268" max="268" width="24.109375" style="5" customWidth="1"/>
    <col min="269" max="269" width="25.5546875" style="5" customWidth="1"/>
    <col min="270" max="270" width="25.33203125" style="5" customWidth="1"/>
    <col min="271" max="512" width="9.109375" style="5"/>
    <col min="513" max="513" width="11.6640625" style="5" customWidth="1"/>
    <col min="514" max="514" width="11.109375" style="5" bestFit="1" customWidth="1"/>
    <col min="515" max="515" width="13.6640625" style="5" bestFit="1" customWidth="1"/>
    <col min="516" max="516" width="15.44140625" style="5" bestFit="1" customWidth="1"/>
    <col min="517" max="519" width="14" style="5" customWidth="1"/>
    <col min="520" max="520" width="16.33203125" style="5" customWidth="1"/>
    <col min="521" max="522" width="15.5546875" style="5" customWidth="1"/>
    <col min="523" max="523" width="15.88671875" style="5" customWidth="1"/>
    <col min="524" max="524" width="24.109375" style="5" customWidth="1"/>
    <col min="525" max="525" width="25.5546875" style="5" customWidth="1"/>
    <col min="526" max="526" width="25.33203125" style="5" customWidth="1"/>
    <col min="527" max="768" width="9.109375" style="5"/>
    <col min="769" max="769" width="11.6640625" style="5" customWidth="1"/>
    <col min="770" max="770" width="11.109375" style="5" bestFit="1" customWidth="1"/>
    <col min="771" max="771" width="13.6640625" style="5" bestFit="1" customWidth="1"/>
    <col min="772" max="772" width="15.44140625" style="5" bestFit="1" customWidth="1"/>
    <col min="773" max="775" width="14" style="5" customWidth="1"/>
    <col min="776" max="776" width="16.33203125" style="5" customWidth="1"/>
    <col min="777" max="778" width="15.5546875" style="5" customWidth="1"/>
    <col min="779" max="779" width="15.88671875" style="5" customWidth="1"/>
    <col min="780" max="780" width="24.109375" style="5" customWidth="1"/>
    <col min="781" max="781" width="25.5546875" style="5" customWidth="1"/>
    <col min="782" max="782" width="25.33203125" style="5" customWidth="1"/>
    <col min="783" max="1024" width="9.109375" style="5"/>
    <col min="1025" max="1025" width="11.6640625" style="5" customWidth="1"/>
    <col min="1026" max="1026" width="11.109375" style="5" bestFit="1" customWidth="1"/>
    <col min="1027" max="1027" width="13.6640625" style="5" bestFit="1" customWidth="1"/>
    <col min="1028" max="1028" width="15.44140625" style="5" bestFit="1" customWidth="1"/>
    <col min="1029" max="1031" width="14" style="5" customWidth="1"/>
    <col min="1032" max="1032" width="16.33203125" style="5" customWidth="1"/>
    <col min="1033" max="1034" width="15.5546875" style="5" customWidth="1"/>
    <col min="1035" max="1035" width="15.88671875" style="5" customWidth="1"/>
    <col min="1036" max="1036" width="24.109375" style="5" customWidth="1"/>
    <col min="1037" max="1037" width="25.5546875" style="5" customWidth="1"/>
    <col min="1038" max="1038" width="25.33203125" style="5" customWidth="1"/>
    <col min="1039" max="1280" width="9.109375" style="5"/>
    <col min="1281" max="1281" width="11.6640625" style="5" customWidth="1"/>
    <col min="1282" max="1282" width="11.109375" style="5" bestFit="1" customWidth="1"/>
    <col min="1283" max="1283" width="13.6640625" style="5" bestFit="1" customWidth="1"/>
    <col min="1284" max="1284" width="15.44140625" style="5" bestFit="1" customWidth="1"/>
    <col min="1285" max="1287" width="14" style="5" customWidth="1"/>
    <col min="1288" max="1288" width="16.33203125" style="5" customWidth="1"/>
    <col min="1289" max="1290" width="15.5546875" style="5" customWidth="1"/>
    <col min="1291" max="1291" width="15.88671875" style="5" customWidth="1"/>
    <col min="1292" max="1292" width="24.109375" style="5" customWidth="1"/>
    <col min="1293" max="1293" width="25.5546875" style="5" customWidth="1"/>
    <col min="1294" max="1294" width="25.33203125" style="5" customWidth="1"/>
    <col min="1295" max="1536" width="9.109375" style="5"/>
    <col min="1537" max="1537" width="11.6640625" style="5" customWidth="1"/>
    <col min="1538" max="1538" width="11.109375" style="5" bestFit="1" customWidth="1"/>
    <col min="1539" max="1539" width="13.6640625" style="5" bestFit="1" customWidth="1"/>
    <col min="1540" max="1540" width="15.44140625" style="5" bestFit="1" customWidth="1"/>
    <col min="1541" max="1543" width="14" style="5" customWidth="1"/>
    <col min="1544" max="1544" width="16.33203125" style="5" customWidth="1"/>
    <col min="1545" max="1546" width="15.5546875" style="5" customWidth="1"/>
    <col min="1547" max="1547" width="15.88671875" style="5" customWidth="1"/>
    <col min="1548" max="1548" width="24.109375" style="5" customWidth="1"/>
    <col min="1549" max="1549" width="25.5546875" style="5" customWidth="1"/>
    <col min="1550" max="1550" width="25.33203125" style="5" customWidth="1"/>
    <col min="1551" max="1792" width="9.109375" style="5"/>
    <col min="1793" max="1793" width="11.6640625" style="5" customWidth="1"/>
    <col min="1794" max="1794" width="11.109375" style="5" bestFit="1" customWidth="1"/>
    <col min="1795" max="1795" width="13.6640625" style="5" bestFit="1" customWidth="1"/>
    <col min="1796" max="1796" width="15.44140625" style="5" bestFit="1" customWidth="1"/>
    <col min="1797" max="1799" width="14" style="5" customWidth="1"/>
    <col min="1800" max="1800" width="16.33203125" style="5" customWidth="1"/>
    <col min="1801" max="1802" width="15.5546875" style="5" customWidth="1"/>
    <col min="1803" max="1803" width="15.88671875" style="5" customWidth="1"/>
    <col min="1804" max="1804" width="24.109375" style="5" customWidth="1"/>
    <col min="1805" max="1805" width="25.5546875" style="5" customWidth="1"/>
    <col min="1806" max="1806" width="25.33203125" style="5" customWidth="1"/>
    <col min="1807" max="2048" width="9.109375" style="5"/>
    <col min="2049" max="2049" width="11.6640625" style="5" customWidth="1"/>
    <col min="2050" max="2050" width="11.109375" style="5" bestFit="1" customWidth="1"/>
    <col min="2051" max="2051" width="13.6640625" style="5" bestFit="1" customWidth="1"/>
    <col min="2052" max="2052" width="15.44140625" style="5" bestFit="1" customWidth="1"/>
    <col min="2053" max="2055" width="14" style="5" customWidth="1"/>
    <col min="2056" max="2056" width="16.33203125" style="5" customWidth="1"/>
    <col min="2057" max="2058" width="15.5546875" style="5" customWidth="1"/>
    <col min="2059" max="2059" width="15.88671875" style="5" customWidth="1"/>
    <col min="2060" max="2060" width="24.109375" style="5" customWidth="1"/>
    <col min="2061" max="2061" width="25.5546875" style="5" customWidth="1"/>
    <col min="2062" max="2062" width="25.33203125" style="5" customWidth="1"/>
    <col min="2063" max="2304" width="9.109375" style="5"/>
    <col min="2305" max="2305" width="11.6640625" style="5" customWidth="1"/>
    <col min="2306" max="2306" width="11.109375" style="5" bestFit="1" customWidth="1"/>
    <col min="2307" max="2307" width="13.6640625" style="5" bestFit="1" customWidth="1"/>
    <col min="2308" max="2308" width="15.44140625" style="5" bestFit="1" customWidth="1"/>
    <col min="2309" max="2311" width="14" style="5" customWidth="1"/>
    <col min="2312" max="2312" width="16.33203125" style="5" customWidth="1"/>
    <col min="2313" max="2314" width="15.5546875" style="5" customWidth="1"/>
    <col min="2315" max="2315" width="15.88671875" style="5" customWidth="1"/>
    <col min="2316" max="2316" width="24.109375" style="5" customWidth="1"/>
    <col min="2317" max="2317" width="25.5546875" style="5" customWidth="1"/>
    <col min="2318" max="2318" width="25.33203125" style="5" customWidth="1"/>
    <col min="2319" max="2560" width="9.109375" style="5"/>
    <col min="2561" max="2561" width="11.6640625" style="5" customWidth="1"/>
    <col min="2562" max="2562" width="11.109375" style="5" bestFit="1" customWidth="1"/>
    <col min="2563" max="2563" width="13.6640625" style="5" bestFit="1" customWidth="1"/>
    <col min="2564" max="2564" width="15.44140625" style="5" bestFit="1" customWidth="1"/>
    <col min="2565" max="2567" width="14" style="5" customWidth="1"/>
    <col min="2568" max="2568" width="16.33203125" style="5" customWidth="1"/>
    <col min="2569" max="2570" width="15.5546875" style="5" customWidth="1"/>
    <col min="2571" max="2571" width="15.88671875" style="5" customWidth="1"/>
    <col min="2572" max="2572" width="24.109375" style="5" customWidth="1"/>
    <col min="2573" max="2573" width="25.5546875" style="5" customWidth="1"/>
    <col min="2574" max="2574" width="25.33203125" style="5" customWidth="1"/>
    <col min="2575" max="2816" width="9.109375" style="5"/>
    <col min="2817" max="2817" width="11.6640625" style="5" customWidth="1"/>
    <col min="2818" max="2818" width="11.109375" style="5" bestFit="1" customWidth="1"/>
    <col min="2819" max="2819" width="13.6640625" style="5" bestFit="1" customWidth="1"/>
    <col min="2820" max="2820" width="15.44140625" style="5" bestFit="1" customWidth="1"/>
    <col min="2821" max="2823" width="14" style="5" customWidth="1"/>
    <col min="2824" max="2824" width="16.33203125" style="5" customWidth="1"/>
    <col min="2825" max="2826" width="15.5546875" style="5" customWidth="1"/>
    <col min="2827" max="2827" width="15.88671875" style="5" customWidth="1"/>
    <col min="2828" max="2828" width="24.109375" style="5" customWidth="1"/>
    <col min="2829" max="2829" width="25.5546875" style="5" customWidth="1"/>
    <col min="2830" max="2830" width="25.33203125" style="5" customWidth="1"/>
    <col min="2831" max="3072" width="9.109375" style="5"/>
    <col min="3073" max="3073" width="11.6640625" style="5" customWidth="1"/>
    <col min="3074" max="3074" width="11.109375" style="5" bestFit="1" customWidth="1"/>
    <col min="3075" max="3075" width="13.6640625" style="5" bestFit="1" customWidth="1"/>
    <col min="3076" max="3076" width="15.44140625" style="5" bestFit="1" customWidth="1"/>
    <col min="3077" max="3079" width="14" style="5" customWidth="1"/>
    <col min="3080" max="3080" width="16.33203125" style="5" customWidth="1"/>
    <col min="3081" max="3082" width="15.5546875" style="5" customWidth="1"/>
    <col min="3083" max="3083" width="15.88671875" style="5" customWidth="1"/>
    <col min="3084" max="3084" width="24.109375" style="5" customWidth="1"/>
    <col min="3085" max="3085" width="25.5546875" style="5" customWidth="1"/>
    <col min="3086" max="3086" width="25.33203125" style="5" customWidth="1"/>
    <col min="3087" max="3328" width="9.109375" style="5"/>
    <col min="3329" max="3329" width="11.6640625" style="5" customWidth="1"/>
    <col min="3330" max="3330" width="11.109375" style="5" bestFit="1" customWidth="1"/>
    <col min="3331" max="3331" width="13.6640625" style="5" bestFit="1" customWidth="1"/>
    <col min="3332" max="3332" width="15.44140625" style="5" bestFit="1" customWidth="1"/>
    <col min="3333" max="3335" width="14" style="5" customWidth="1"/>
    <col min="3336" max="3336" width="16.33203125" style="5" customWidth="1"/>
    <col min="3337" max="3338" width="15.5546875" style="5" customWidth="1"/>
    <col min="3339" max="3339" width="15.88671875" style="5" customWidth="1"/>
    <col min="3340" max="3340" width="24.109375" style="5" customWidth="1"/>
    <col min="3341" max="3341" width="25.5546875" style="5" customWidth="1"/>
    <col min="3342" max="3342" width="25.33203125" style="5" customWidth="1"/>
    <col min="3343" max="3584" width="9.109375" style="5"/>
    <col min="3585" max="3585" width="11.6640625" style="5" customWidth="1"/>
    <col min="3586" max="3586" width="11.109375" style="5" bestFit="1" customWidth="1"/>
    <col min="3587" max="3587" width="13.6640625" style="5" bestFit="1" customWidth="1"/>
    <col min="3588" max="3588" width="15.44140625" style="5" bestFit="1" customWidth="1"/>
    <col min="3589" max="3591" width="14" style="5" customWidth="1"/>
    <col min="3592" max="3592" width="16.33203125" style="5" customWidth="1"/>
    <col min="3593" max="3594" width="15.5546875" style="5" customWidth="1"/>
    <col min="3595" max="3595" width="15.88671875" style="5" customWidth="1"/>
    <col min="3596" max="3596" width="24.109375" style="5" customWidth="1"/>
    <col min="3597" max="3597" width="25.5546875" style="5" customWidth="1"/>
    <col min="3598" max="3598" width="25.33203125" style="5" customWidth="1"/>
    <col min="3599" max="3840" width="9.109375" style="5"/>
    <col min="3841" max="3841" width="11.6640625" style="5" customWidth="1"/>
    <col min="3842" max="3842" width="11.109375" style="5" bestFit="1" customWidth="1"/>
    <col min="3843" max="3843" width="13.6640625" style="5" bestFit="1" customWidth="1"/>
    <col min="3844" max="3844" width="15.44140625" style="5" bestFit="1" customWidth="1"/>
    <col min="3845" max="3847" width="14" style="5" customWidth="1"/>
    <col min="3848" max="3848" width="16.33203125" style="5" customWidth="1"/>
    <col min="3849" max="3850" width="15.5546875" style="5" customWidth="1"/>
    <col min="3851" max="3851" width="15.88671875" style="5" customWidth="1"/>
    <col min="3852" max="3852" width="24.109375" style="5" customWidth="1"/>
    <col min="3853" max="3853" width="25.5546875" style="5" customWidth="1"/>
    <col min="3854" max="3854" width="25.33203125" style="5" customWidth="1"/>
    <col min="3855" max="4096" width="9.109375" style="5"/>
    <col min="4097" max="4097" width="11.6640625" style="5" customWidth="1"/>
    <col min="4098" max="4098" width="11.109375" style="5" bestFit="1" customWidth="1"/>
    <col min="4099" max="4099" width="13.6640625" style="5" bestFit="1" customWidth="1"/>
    <col min="4100" max="4100" width="15.44140625" style="5" bestFit="1" customWidth="1"/>
    <col min="4101" max="4103" width="14" style="5" customWidth="1"/>
    <col min="4104" max="4104" width="16.33203125" style="5" customWidth="1"/>
    <col min="4105" max="4106" width="15.5546875" style="5" customWidth="1"/>
    <col min="4107" max="4107" width="15.88671875" style="5" customWidth="1"/>
    <col min="4108" max="4108" width="24.109375" style="5" customWidth="1"/>
    <col min="4109" max="4109" width="25.5546875" style="5" customWidth="1"/>
    <col min="4110" max="4110" width="25.33203125" style="5" customWidth="1"/>
    <col min="4111" max="4352" width="9.109375" style="5"/>
    <col min="4353" max="4353" width="11.6640625" style="5" customWidth="1"/>
    <col min="4354" max="4354" width="11.109375" style="5" bestFit="1" customWidth="1"/>
    <col min="4355" max="4355" width="13.6640625" style="5" bestFit="1" customWidth="1"/>
    <col min="4356" max="4356" width="15.44140625" style="5" bestFit="1" customWidth="1"/>
    <col min="4357" max="4359" width="14" style="5" customWidth="1"/>
    <col min="4360" max="4360" width="16.33203125" style="5" customWidth="1"/>
    <col min="4361" max="4362" width="15.5546875" style="5" customWidth="1"/>
    <col min="4363" max="4363" width="15.88671875" style="5" customWidth="1"/>
    <col min="4364" max="4364" width="24.109375" style="5" customWidth="1"/>
    <col min="4365" max="4365" width="25.5546875" style="5" customWidth="1"/>
    <col min="4366" max="4366" width="25.33203125" style="5" customWidth="1"/>
    <col min="4367" max="4608" width="9.109375" style="5"/>
    <col min="4609" max="4609" width="11.6640625" style="5" customWidth="1"/>
    <col min="4610" max="4610" width="11.109375" style="5" bestFit="1" customWidth="1"/>
    <col min="4611" max="4611" width="13.6640625" style="5" bestFit="1" customWidth="1"/>
    <col min="4612" max="4612" width="15.44140625" style="5" bestFit="1" customWidth="1"/>
    <col min="4613" max="4615" width="14" style="5" customWidth="1"/>
    <col min="4616" max="4616" width="16.33203125" style="5" customWidth="1"/>
    <col min="4617" max="4618" width="15.5546875" style="5" customWidth="1"/>
    <col min="4619" max="4619" width="15.88671875" style="5" customWidth="1"/>
    <col min="4620" max="4620" width="24.109375" style="5" customWidth="1"/>
    <col min="4621" max="4621" width="25.5546875" style="5" customWidth="1"/>
    <col min="4622" max="4622" width="25.33203125" style="5" customWidth="1"/>
    <col min="4623" max="4864" width="9.109375" style="5"/>
    <col min="4865" max="4865" width="11.6640625" style="5" customWidth="1"/>
    <col min="4866" max="4866" width="11.109375" style="5" bestFit="1" customWidth="1"/>
    <col min="4867" max="4867" width="13.6640625" style="5" bestFit="1" customWidth="1"/>
    <col min="4868" max="4868" width="15.44140625" style="5" bestFit="1" customWidth="1"/>
    <col min="4869" max="4871" width="14" style="5" customWidth="1"/>
    <col min="4872" max="4872" width="16.33203125" style="5" customWidth="1"/>
    <col min="4873" max="4874" width="15.5546875" style="5" customWidth="1"/>
    <col min="4875" max="4875" width="15.88671875" style="5" customWidth="1"/>
    <col min="4876" max="4876" width="24.109375" style="5" customWidth="1"/>
    <col min="4877" max="4877" width="25.5546875" style="5" customWidth="1"/>
    <col min="4878" max="4878" width="25.33203125" style="5" customWidth="1"/>
    <col min="4879" max="5120" width="9.109375" style="5"/>
    <col min="5121" max="5121" width="11.6640625" style="5" customWidth="1"/>
    <col min="5122" max="5122" width="11.109375" style="5" bestFit="1" customWidth="1"/>
    <col min="5123" max="5123" width="13.6640625" style="5" bestFit="1" customWidth="1"/>
    <col min="5124" max="5124" width="15.44140625" style="5" bestFit="1" customWidth="1"/>
    <col min="5125" max="5127" width="14" style="5" customWidth="1"/>
    <col min="5128" max="5128" width="16.33203125" style="5" customWidth="1"/>
    <col min="5129" max="5130" width="15.5546875" style="5" customWidth="1"/>
    <col min="5131" max="5131" width="15.88671875" style="5" customWidth="1"/>
    <col min="5132" max="5132" width="24.109375" style="5" customWidth="1"/>
    <col min="5133" max="5133" width="25.5546875" style="5" customWidth="1"/>
    <col min="5134" max="5134" width="25.33203125" style="5" customWidth="1"/>
    <col min="5135" max="5376" width="9.109375" style="5"/>
    <col min="5377" max="5377" width="11.6640625" style="5" customWidth="1"/>
    <col min="5378" max="5378" width="11.109375" style="5" bestFit="1" customWidth="1"/>
    <col min="5379" max="5379" width="13.6640625" style="5" bestFit="1" customWidth="1"/>
    <col min="5380" max="5380" width="15.44140625" style="5" bestFit="1" customWidth="1"/>
    <col min="5381" max="5383" width="14" style="5" customWidth="1"/>
    <col min="5384" max="5384" width="16.33203125" style="5" customWidth="1"/>
    <col min="5385" max="5386" width="15.5546875" style="5" customWidth="1"/>
    <col min="5387" max="5387" width="15.88671875" style="5" customWidth="1"/>
    <col min="5388" max="5388" width="24.109375" style="5" customWidth="1"/>
    <col min="5389" max="5389" width="25.5546875" style="5" customWidth="1"/>
    <col min="5390" max="5390" width="25.33203125" style="5" customWidth="1"/>
    <col min="5391" max="5632" width="9.109375" style="5"/>
    <col min="5633" max="5633" width="11.6640625" style="5" customWidth="1"/>
    <col min="5634" max="5634" width="11.109375" style="5" bestFit="1" customWidth="1"/>
    <col min="5635" max="5635" width="13.6640625" style="5" bestFit="1" customWidth="1"/>
    <col min="5636" max="5636" width="15.44140625" style="5" bestFit="1" customWidth="1"/>
    <col min="5637" max="5639" width="14" style="5" customWidth="1"/>
    <col min="5640" max="5640" width="16.33203125" style="5" customWidth="1"/>
    <col min="5641" max="5642" width="15.5546875" style="5" customWidth="1"/>
    <col min="5643" max="5643" width="15.88671875" style="5" customWidth="1"/>
    <col min="5644" max="5644" width="24.109375" style="5" customWidth="1"/>
    <col min="5645" max="5645" width="25.5546875" style="5" customWidth="1"/>
    <col min="5646" max="5646" width="25.33203125" style="5" customWidth="1"/>
    <col min="5647" max="5888" width="9.109375" style="5"/>
    <col min="5889" max="5889" width="11.6640625" style="5" customWidth="1"/>
    <col min="5890" max="5890" width="11.109375" style="5" bestFit="1" customWidth="1"/>
    <col min="5891" max="5891" width="13.6640625" style="5" bestFit="1" customWidth="1"/>
    <col min="5892" max="5892" width="15.44140625" style="5" bestFit="1" customWidth="1"/>
    <col min="5893" max="5895" width="14" style="5" customWidth="1"/>
    <col min="5896" max="5896" width="16.33203125" style="5" customWidth="1"/>
    <col min="5897" max="5898" width="15.5546875" style="5" customWidth="1"/>
    <col min="5899" max="5899" width="15.88671875" style="5" customWidth="1"/>
    <col min="5900" max="5900" width="24.109375" style="5" customWidth="1"/>
    <col min="5901" max="5901" width="25.5546875" style="5" customWidth="1"/>
    <col min="5902" max="5902" width="25.33203125" style="5" customWidth="1"/>
    <col min="5903" max="6144" width="9.109375" style="5"/>
    <col min="6145" max="6145" width="11.6640625" style="5" customWidth="1"/>
    <col min="6146" max="6146" width="11.109375" style="5" bestFit="1" customWidth="1"/>
    <col min="6147" max="6147" width="13.6640625" style="5" bestFit="1" customWidth="1"/>
    <col min="6148" max="6148" width="15.44140625" style="5" bestFit="1" customWidth="1"/>
    <col min="6149" max="6151" width="14" style="5" customWidth="1"/>
    <col min="6152" max="6152" width="16.33203125" style="5" customWidth="1"/>
    <col min="6153" max="6154" width="15.5546875" style="5" customWidth="1"/>
    <col min="6155" max="6155" width="15.88671875" style="5" customWidth="1"/>
    <col min="6156" max="6156" width="24.109375" style="5" customWidth="1"/>
    <col min="6157" max="6157" width="25.5546875" style="5" customWidth="1"/>
    <col min="6158" max="6158" width="25.33203125" style="5" customWidth="1"/>
    <col min="6159" max="6400" width="9.109375" style="5"/>
    <col min="6401" max="6401" width="11.6640625" style="5" customWidth="1"/>
    <col min="6402" max="6402" width="11.109375" style="5" bestFit="1" customWidth="1"/>
    <col min="6403" max="6403" width="13.6640625" style="5" bestFit="1" customWidth="1"/>
    <col min="6404" max="6404" width="15.44140625" style="5" bestFit="1" customWidth="1"/>
    <col min="6405" max="6407" width="14" style="5" customWidth="1"/>
    <col min="6408" max="6408" width="16.33203125" style="5" customWidth="1"/>
    <col min="6409" max="6410" width="15.5546875" style="5" customWidth="1"/>
    <col min="6411" max="6411" width="15.88671875" style="5" customWidth="1"/>
    <col min="6412" max="6412" width="24.109375" style="5" customWidth="1"/>
    <col min="6413" max="6413" width="25.5546875" style="5" customWidth="1"/>
    <col min="6414" max="6414" width="25.33203125" style="5" customWidth="1"/>
    <col min="6415" max="6656" width="9.109375" style="5"/>
    <col min="6657" max="6657" width="11.6640625" style="5" customWidth="1"/>
    <col min="6658" max="6658" width="11.109375" style="5" bestFit="1" customWidth="1"/>
    <col min="6659" max="6659" width="13.6640625" style="5" bestFit="1" customWidth="1"/>
    <col min="6660" max="6660" width="15.44140625" style="5" bestFit="1" customWidth="1"/>
    <col min="6661" max="6663" width="14" style="5" customWidth="1"/>
    <col min="6664" max="6664" width="16.33203125" style="5" customWidth="1"/>
    <col min="6665" max="6666" width="15.5546875" style="5" customWidth="1"/>
    <col min="6667" max="6667" width="15.88671875" style="5" customWidth="1"/>
    <col min="6668" max="6668" width="24.109375" style="5" customWidth="1"/>
    <col min="6669" max="6669" width="25.5546875" style="5" customWidth="1"/>
    <col min="6670" max="6670" width="25.33203125" style="5" customWidth="1"/>
    <col min="6671" max="6912" width="9.109375" style="5"/>
    <col min="6913" max="6913" width="11.6640625" style="5" customWidth="1"/>
    <col min="6914" max="6914" width="11.109375" style="5" bestFit="1" customWidth="1"/>
    <col min="6915" max="6915" width="13.6640625" style="5" bestFit="1" customWidth="1"/>
    <col min="6916" max="6916" width="15.44140625" style="5" bestFit="1" customWidth="1"/>
    <col min="6917" max="6919" width="14" style="5" customWidth="1"/>
    <col min="6920" max="6920" width="16.33203125" style="5" customWidth="1"/>
    <col min="6921" max="6922" width="15.5546875" style="5" customWidth="1"/>
    <col min="6923" max="6923" width="15.88671875" style="5" customWidth="1"/>
    <col min="6924" max="6924" width="24.109375" style="5" customWidth="1"/>
    <col min="6925" max="6925" width="25.5546875" style="5" customWidth="1"/>
    <col min="6926" max="6926" width="25.33203125" style="5" customWidth="1"/>
    <col min="6927" max="7168" width="9.109375" style="5"/>
    <col min="7169" max="7169" width="11.6640625" style="5" customWidth="1"/>
    <col min="7170" max="7170" width="11.109375" style="5" bestFit="1" customWidth="1"/>
    <col min="7171" max="7171" width="13.6640625" style="5" bestFit="1" customWidth="1"/>
    <col min="7172" max="7172" width="15.44140625" style="5" bestFit="1" customWidth="1"/>
    <col min="7173" max="7175" width="14" style="5" customWidth="1"/>
    <col min="7176" max="7176" width="16.33203125" style="5" customWidth="1"/>
    <col min="7177" max="7178" width="15.5546875" style="5" customWidth="1"/>
    <col min="7179" max="7179" width="15.88671875" style="5" customWidth="1"/>
    <col min="7180" max="7180" width="24.109375" style="5" customWidth="1"/>
    <col min="7181" max="7181" width="25.5546875" style="5" customWidth="1"/>
    <col min="7182" max="7182" width="25.33203125" style="5" customWidth="1"/>
    <col min="7183" max="7424" width="9.109375" style="5"/>
    <col min="7425" max="7425" width="11.6640625" style="5" customWidth="1"/>
    <col min="7426" max="7426" width="11.109375" style="5" bestFit="1" customWidth="1"/>
    <col min="7427" max="7427" width="13.6640625" style="5" bestFit="1" customWidth="1"/>
    <col min="7428" max="7428" width="15.44140625" style="5" bestFit="1" customWidth="1"/>
    <col min="7429" max="7431" width="14" style="5" customWidth="1"/>
    <col min="7432" max="7432" width="16.33203125" style="5" customWidth="1"/>
    <col min="7433" max="7434" width="15.5546875" style="5" customWidth="1"/>
    <col min="7435" max="7435" width="15.88671875" style="5" customWidth="1"/>
    <col min="7436" max="7436" width="24.109375" style="5" customWidth="1"/>
    <col min="7437" max="7437" width="25.5546875" style="5" customWidth="1"/>
    <col min="7438" max="7438" width="25.33203125" style="5" customWidth="1"/>
    <col min="7439" max="7680" width="9.109375" style="5"/>
    <col min="7681" max="7681" width="11.6640625" style="5" customWidth="1"/>
    <col min="7682" max="7682" width="11.109375" style="5" bestFit="1" customWidth="1"/>
    <col min="7683" max="7683" width="13.6640625" style="5" bestFit="1" customWidth="1"/>
    <col min="7684" max="7684" width="15.44140625" style="5" bestFit="1" customWidth="1"/>
    <col min="7685" max="7687" width="14" style="5" customWidth="1"/>
    <col min="7688" max="7688" width="16.33203125" style="5" customWidth="1"/>
    <col min="7689" max="7690" width="15.5546875" style="5" customWidth="1"/>
    <col min="7691" max="7691" width="15.88671875" style="5" customWidth="1"/>
    <col min="7692" max="7692" width="24.109375" style="5" customWidth="1"/>
    <col min="7693" max="7693" width="25.5546875" style="5" customWidth="1"/>
    <col min="7694" max="7694" width="25.33203125" style="5" customWidth="1"/>
    <col min="7695" max="7936" width="9.109375" style="5"/>
    <col min="7937" max="7937" width="11.6640625" style="5" customWidth="1"/>
    <col min="7938" max="7938" width="11.109375" style="5" bestFit="1" customWidth="1"/>
    <col min="7939" max="7939" width="13.6640625" style="5" bestFit="1" customWidth="1"/>
    <col min="7940" max="7940" width="15.44140625" style="5" bestFit="1" customWidth="1"/>
    <col min="7941" max="7943" width="14" style="5" customWidth="1"/>
    <col min="7944" max="7944" width="16.33203125" style="5" customWidth="1"/>
    <col min="7945" max="7946" width="15.5546875" style="5" customWidth="1"/>
    <col min="7947" max="7947" width="15.88671875" style="5" customWidth="1"/>
    <col min="7948" max="7948" width="24.109375" style="5" customWidth="1"/>
    <col min="7949" max="7949" width="25.5546875" style="5" customWidth="1"/>
    <col min="7950" max="7950" width="25.33203125" style="5" customWidth="1"/>
    <col min="7951" max="8192" width="9.109375" style="5"/>
    <col min="8193" max="8193" width="11.6640625" style="5" customWidth="1"/>
    <col min="8194" max="8194" width="11.109375" style="5" bestFit="1" customWidth="1"/>
    <col min="8195" max="8195" width="13.6640625" style="5" bestFit="1" customWidth="1"/>
    <col min="8196" max="8196" width="15.44140625" style="5" bestFit="1" customWidth="1"/>
    <col min="8197" max="8199" width="14" style="5" customWidth="1"/>
    <col min="8200" max="8200" width="16.33203125" style="5" customWidth="1"/>
    <col min="8201" max="8202" width="15.5546875" style="5" customWidth="1"/>
    <col min="8203" max="8203" width="15.88671875" style="5" customWidth="1"/>
    <col min="8204" max="8204" width="24.109375" style="5" customWidth="1"/>
    <col min="8205" max="8205" width="25.5546875" style="5" customWidth="1"/>
    <col min="8206" max="8206" width="25.33203125" style="5" customWidth="1"/>
    <col min="8207" max="8448" width="9.109375" style="5"/>
    <col min="8449" max="8449" width="11.6640625" style="5" customWidth="1"/>
    <col min="8450" max="8450" width="11.109375" style="5" bestFit="1" customWidth="1"/>
    <col min="8451" max="8451" width="13.6640625" style="5" bestFit="1" customWidth="1"/>
    <col min="8452" max="8452" width="15.44140625" style="5" bestFit="1" customWidth="1"/>
    <col min="8453" max="8455" width="14" style="5" customWidth="1"/>
    <col min="8456" max="8456" width="16.33203125" style="5" customWidth="1"/>
    <col min="8457" max="8458" width="15.5546875" style="5" customWidth="1"/>
    <col min="8459" max="8459" width="15.88671875" style="5" customWidth="1"/>
    <col min="8460" max="8460" width="24.109375" style="5" customWidth="1"/>
    <col min="8461" max="8461" width="25.5546875" style="5" customWidth="1"/>
    <col min="8462" max="8462" width="25.33203125" style="5" customWidth="1"/>
    <col min="8463" max="8704" width="9.109375" style="5"/>
    <col min="8705" max="8705" width="11.6640625" style="5" customWidth="1"/>
    <col min="8706" max="8706" width="11.109375" style="5" bestFit="1" customWidth="1"/>
    <col min="8707" max="8707" width="13.6640625" style="5" bestFit="1" customWidth="1"/>
    <col min="8708" max="8708" width="15.44140625" style="5" bestFit="1" customWidth="1"/>
    <col min="8709" max="8711" width="14" style="5" customWidth="1"/>
    <col min="8712" max="8712" width="16.33203125" style="5" customWidth="1"/>
    <col min="8713" max="8714" width="15.5546875" style="5" customWidth="1"/>
    <col min="8715" max="8715" width="15.88671875" style="5" customWidth="1"/>
    <col min="8716" max="8716" width="24.109375" style="5" customWidth="1"/>
    <col min="8717" max="8717" width="25.5546875" style="5" customWidth="1"/>
    <col min="8718" max="8718" width="25.33203125" style="5" customWidth="1"/>
    <col min="8719" max="8960" width="9.109375" style="5"/>
    <col min="8961" max="8961" width="11.6640625" style="5" customWidth="1"/>
    <col min="8962" max="8962" width="11.109375" style="5" bestFit="1" customWidth="1"/>
    <col min="8963" max="8963" width="13.6640625" style="5" bestFit="1" customWidth="1"/>
    <col min="8964" max="8964" width="15.44140625" style="5" bestFit="1" customWidth="1"/>
    <col min="8965" max="8967" width="14" style="5" customWidth="1"/>
    <col min="8968" max="8968" width="16.33203125" style="5" customWidth="1"/>
    <col min="8969" max="8970" width="15.5546875" style="5" customWidth="1"/>
    <col min="8971" max="8971" width="15.88671875" style="5" customWidth="1"/>
    <col min="8972" max="8972" width="24.109375" style="5" customWidth="1"/>
    <col min="8973" max="8973" width="25.5546875" style="5" customWidth="1"/>
    <col min="8974" max="8974" width="25.33203125" style="5" customWidth="1"/>
    <col min="8975" max="9216" width="9.109375" style="5"/>
    <col min="9217" max="9217" width="11.6640625" style="5" customWidth="1"/>
    <col min="9218" max="9218" width="11.109375" style="5" bestFit="1" customWidth="1"/>
    <col min="9219" max="9219" width="13.6640625" style="5" bestFit="1" customWidth="1"/>
    <col min="9220" max="9220" width="15.44140625" style="5" bestFit="1" customWidth="1"/>
    <col min="9221" max="9223" width="14" style="5" customWidth="1"/>
    <col min="9224" max="9224" width="16.33203125" style="5" customWidth="1"/>
    <col min="9225" max="9226" width="15.5546875" style="5" customWidth="1"/>
    <col min="9227" max="9227" width="15.88671875" style="5" customWidth="1"/>
    <col min="9228" max="9228" width="24.109375" style="5" customWidth="1"/>
    <col min="9229" max="9229" width="25.5546875" style="5" customWidth="1"/>
    <col min="9230" max="9230" width="25.33203125" style="5" customWidth="1"/>
    <col min="9231" max="9472" width="9.109375" style="5"/>
    <col min="9473" max="9473" width="11.6640625" style="5" customWidth="1"/>
    <col min="9474" max="9474" width="11.109375" style="5" bestFit="1" customWidth="1"/>
    <col min="9475" max="9475" width="13.6640625" style="5" bestFit="1" customWidth="1"/>
    <col min="9476" max="9476" width="15.44140625" style="5" bestFit="1" customWidth="1"/>
    <col min="9477" max="9479" width="14" style="5" customWidth="1"/>
    <col min="9480" max="9480" width="16.33203125" style="5" customWidth="1"/>
    <col min="9481" max="9482" width="15.5546875" style="5" customWidth="1"/>
    <col min="9483" max="9483" width="15.88671875" style="5" customWidth="1"/>
    <col min="9484" max="9484" width="24.109375" style="5" customWidth="1"/>
    <col min="9485" max="9485" width="25.5546875" style="5" customWidth="1"/>
    <col min="9486" max="9486" width="25.33203125" style="5" customWidth="1"/>
    <col min="9487" max="9728" width="9.109375" style="5"/>
    <col min="9729" max="9729" width="11.6640625" style="5" customWidth="1"/>
    <col min="9730" max="9730" width="11.109375" style="5" bestFit="1" customWidth="1"/>
    <col min="9731" max="9731" width="13.6640625" style="5" bestFit="1" customWidth="1"/>
    <col min="9732" max="9732" width="15.44140625" style="5" bestFit="1" customWidth="1"/>
    <col min="9733" max="9735" width="14" style="5" customWidth="1"/>
    <col min="9736" max="9736" width="16.33203125" style="5" customWidth="1"/>
    <col min="9737" max="9738" width="15.5546875" style="5" customWidth="1"/>
    <col min="9739" max="9739" width="15.88671875" style="5" customWidth="1"/>
    <col min="9740" max="9740" width="24.109375" style="5" customWidth="1"/>
    <col min="9741" max="9741" width="25.5546875" style="5" customWidth="1"/>
    <col min="9742" max="9742" width="25.33203125" style="5" customWidth="1"/>
    <col min="9743" max="9984" width="9.109375" style="5"/>
    <col min="9985" max="9985" width="11.6640625" style="5" customWidth="1"/>
    <col min="9986" max="9986" width="11.109375" style="5" bestFit="1" customWidth="1"/>
    <col min="9987" max="9987" width="13.6640625" style="5" bestFit="1" customWidth="1"/>
    <col min="9988" max="9988" width="15.44140625" style="5" bestFit="1" customWidth="1"/>
    <col min="9989" max="9991" width="14" style="5" customWidth="1"/>
    <col min="9992" max="9992" width="16.33203125" style="5" customWidth="1"/>
    <col min="9993" max="9994" width="15.5546875" style="5" customWidth="1"/>
    <col min="9995" max="9995" width="15.88671875" style="5" customWidth="1"/>
    <col min="9996" max="9996" width="24.109375" style="5" customWidth="1"/>
    <col min="9997" max="9997" width="25.5546875" style="5" customWidth="1"/>
    <col min="9998" max="9998" width="25.33203125" style="5" customWidth="1"/>
    <col min="9999" max="10240" width="9.109375" style="5"/>
    <col min="10241" max="10241" width="11.6640625" style="5" customWidth="1"/>
    <col min="10242" max="10242" width="11.109375" style="5" bestFit="1" customWidth="1"/>
    <col min="10243" max="10243" width="13.6640625" style="5" bestFit="1" customWidth="1"/>
    <col min="10244" max="10244" width="15.44140625" style="5" bestFit="1" customWidth="1"/>
    <col min="10245" max="10247" width="14" style="5" customWidth="1"/>
    <col min="10248" max="10248" width="16.33203125" style="5" customWidth="1"/>
    <col min="10249" max="10250" width="15.5546875" style="5" customWidth="1"/>
    <col min="10251" max="10251" width="15.88671875" style="5" customWidth="1"/>
    <col min="10252" max="10252" width="24.109375" style="5" customWidth="1"/>
    <col min="10253" max="10253" width="25.5546875" style="5" customWidth="1"/>
    <col min="10254" max="10254" width="25.33203125" style="5" customWidth="1"/>
    <col min="10255" max="10496" width="9.109375" style="5"/>
    <col min="10497" max="10497" width="11.6640625" style="5" customWidth="1"/>
    <col min="10498" max="10498" width="11.109375" style="5" bestFit="1" customWidth="1"/>
    <col min="10499" max="10499" width="13.6640625" style="5" bestFit="1" customWidth="1"/>
    <col min="10500" max="10500" width="15.44140625" style="5" bestFit="1" customWidth="1"/>
    <col min="10501" max="10503" width="14" style="5" customWidth="1"/>
    <col min="10504" max="10504" width="16.33203125" style="5" customWidth="1"/>
    <col min="10505" max="10506" width="15.5546875" style="5" customWidth="1"/>
    <col min="10507" max="10507" width="15.88671875" style="5" customWidth="1"/>
    <col min="10508" max="10508" width="24.109375" style="5" customWidth="1"/>
    <col min="10509" max="10509" width="25.5546875" style="5" customWidth="1"/>
    <col min="10510" max="10510" width="25.33203125" style="5" customWidth="1"/>
    <col min="10511" max="10752" width="9.109375" style="5"/>
    <col min="10753" max="10753" width="11.6640625" style="5" customWidth="1"/>
    <col min="10754" max="10754" width="11.109375" style="5" bestFit="1" customWidth="1"/>
    <col min="10755" max="10755" width="13.6640625" style="5" bestFit="1" customWidth="1"/>
    <col min="10756" max="10756" width="15.44140625" style="5" bestFit="1" customWidth="1"/>
    <col min="10757" max="10759" width="14" style="5" customWidth="1"/>
    <col min="10760" max="10760" width="16.33203125" style="5" customWidth="1"/>
    <col min="10761" max="10762" width="15.5546875" style="5" customWidth="1"/>
    <col min="10763" max="10763" width="15.88671875" style="5" customWidth="1"/>
    <col min="10764" max="10764" width="24.109375" style="5" customWidth="1"/>
    <col min="10765" max="10765" width="25.5546875" style="5" customWidth="1"/>
    <col min="10766" max="10766" width="25.33203125" style="5" customWidth="1"/>
    <col min="10767" max="11008" width="9.109375" style="5"/>
    <col min="11009" max="11009" width="11.6640625" style="5" customWidth="1"/>
    <col min="11010" max="11010" width="11.109375" style="5" bestFit="1" customWidth="1"/>
    <col min="11011" max="11011" width="13.6640625" style="5" bestFit="1" customWidth="1"/>
    <col min="11012" max="11012" width="15.44140625" style="5" bestFit="1" customWidth="1"/>
    <col min="11013" max="11015" width="14" style="5" customWidth="1"/>
    <col min="11016" max="11016" width="16.33203125" style="5" customWidth="1"/>
    <col min="11017" max="11018" width="15.5546875" style="5" customWidth="1"/>
    <col min="11019" max="11019" width="15.88671875" style="5" customWidth="1"/>
    <col min="11020" max="11020" width="24.109375" style="5" customWidth="1"/>
    <col min="11021" max="11021" width="25.5546875" style="5" customWidth="1"/>
    <col min="11022" max="11022" width="25.33203125" style="5" customWidth="1"/>
    <col min="11023" max="11264" width="9.109375" style="5"/>
    <col min="11265" max="11265" width="11.6640625" style="5" customWidth="1"/>
    <col min="11266" max="11266" width="11.109375" style="5" bestFit="1" customWidth="1"/>
    <col min="11267" max="11267" width="13.6640625" style="5" bestFit="1" customWidth="1"/>
    <col min="11268" max="11268" width="15.44140625" style="5" bestFit="1" customWidth="1"/>
    <col min="11269" max="11271" width="14" style="5" customWidth="1"/>
    <col min="11272" max="11272" width="16.33203125" style="5" customWidth="1"/>
    <col min="11273" max="11274" width="15.5546875" style="5" customWidth="1"/>
    <col min="11275" max="11275" width="15.88671875" style="5" customWidth="1"/>
    <col min="11276" max="11276" width="24.109375" style="5" customWidth="1"/>
    <col min="11277" max="11277" width="25.5546875" style="5" customWidth="1"/>
    <col min="11278" max="11278" width="25.33203125" style="5" customWidth="1"/>
    <col min="11279" max="11520" width="9.109375" style="5"/>
    <col min="11521" max="11521" width="11.6640625" style="5" customWidth="1"/>
    <col min="11522" max="11522" width="11.109375" style="5" bestFit="1" customWidth="1"/>
    <col min="11523" max="11523" width="13.6640625" style="5" bestFit="1" customWidth="1"/>
    <col min="11524" max="11524" width="15.44140625" style="5" bestFit="1" customWidth="1"/>
    <col min="11525" max="11527" width="14" style="5" customWidth="1"/>
    <col min="11528" max="11528" width="16.33203125" style="5" customWidth="1"/>
    <col min="11529" max="11530" width="15.5546875" style="5" customWidth="1"/>
    <col min="11531" max="11531" width="15.88671875" style="5" customWidth="1"/>
    <col min="11532" max="11532" width="24.109375" style="5" customWidth="1"/>
    <col min="11533" max="11533" width="25.5546875" style="5" customWidth="1"/>
    <col min="11534" max="11534" width="25.33203125" style="5" customWidth="1"/>
    <col min="11535" max="11776" width="9.109375" style="5"/>
    <col min="11777" max="11777" width="11.6640625" style="5" customWidth="1"/>
    <col min="11778" max="11778" width="11.109375" style="5" bestFit="1" customWidth="1"/>
    <col min="11779" max="11779" width="13.6640625" style="5" bestFit="1" customWidth="1"/>
    <col min="11780" max="11780" width="15.44140625" style="5" bestFit="1" customWidth="1"/>
    <col min="11781" max="11783" width="14" style="5" customWidth="1"/>
    <col min="11784" max="11784" width="16.33203125" style="5" customWidth="1"/>
    <col min="11785" max="11786" width="15.5546875" style="5" customWidth="1"/>
    <col min="11787" max="11787" width="15.88671875" style="5" customWidth="1"/>
    <col min="11788" max="11788" width="24.109375" style="5" customWidth="1"/>
    <col min="11789" max="11789" width="25.5546875" style="5" customWidth="1"/>
    <col min="11790" max="11790" width="25.33203125" style="5" customWidth="1"/>
    <col min="11791" max="12032" width="9.109375" style="5"/>
    <col min="12033" max="12033" width="11.6640625" style="5" customWidth="1"/>
    <col min="12034" max="12034" width="11.109375" style="5" bestFit="1" customWidth="1"/>
    <col min="12035" max="12035" width="13.6640625" style="5" bestFit="1" customWidth="1"/>
    <col min="12036" max="12036" width="15.44140625" style="5" bestFit="1" customWidth="1"/>
    <col min="12037" max="12039" width="14" style="5" customWidth="1"/>
    <col min="12040" max="12040" width="16.33203125" style="5" customWidth="1"/>
    <col min="12041" max="12042" width="15.5546875" style="5" customWidth="1"/>
    <col min="12043" max="12043" width="15.88671875" style="5" customWidth="1"/>
    <col min="12044" max="12044" width="24.109375" style="5" customWidth="1"/>
    <col min="12045" max="12045" width="25.5546875" style="5" customWidth="1"/>
    <col min="12046" max="12046" width="25.33203125" style="5" customWidth="1"/>
    <col min="12047" max="12288" width="9.109375" style="5"/>
    <col min="12289" max="12289" width="11.6640625" style="5" customWidth="1"/>
    <col min="12290" max="12290" width="11.109375" style="5" bestFit="1" customWidth="1"/>
    <col min="12291" max="12291" width="13.6640625" style="5" bestFit="1" customWidth="1"/>
    <col min="12292" max="12292" width="15.44140625" style="5" bestFit="1" customWidth="1"/>
    <col min="12293" max="12295" width="14" style="5" customWidth="1"/>
    <col min="12296" max="12296" width="16.33203125" style="5" customWidth="1"/>
    <col min="12297" max="12298" width="15.5546875" style="5" customWidth="1"/>
    <col min="12299" max="12299" width="15.88671875" style="5" customWidth="1"/>
    <col min="12300" max="12300" width="24.109375" style="5" customWidth="1"/>
    <col min="12301" max="12301" width="25.5546875" style="5" customWidth="1"/>
    <col min="12302" max="12302" width="25.33203125" style="5" customWidth="1"/>
    <col min="12303" max="12544" width="9.109375" style="5"/>
    <col min="12545" max="12545" width="11.6640625" style="5" customWidth="1"/>
    <col min="12546" max="12546" width="11.109375" style="5" bestFit="1" customWidth="1"/>
    <col min="12547" max="12547" width="13.6640625" style="5" bestFit="1" customWidth="1"/>
    <col min="12548" max="12548" width="15.44140625" style="5" bestFit="1" customWidth="1"/>
    <col min="12549" max="12551" width="14" style="5" customWidth="1"/>
    <col min="12552" max="12552" width="16.33203125" style="5" customWidth="1"/>
    <col min="12553" max="12554" width="15.5546875" style="5" customWidth="1"/>
    <col min="12555" max="12555" width="15.88671875" style="5" customWidth="1"/>
    <col min="12556" max="12556" width="24.109375" style="5" customWidth="1"/>
    <col min="12557" max="12557" width="25.5546875" style="5" customWidth="1"/>
    <col min="12558" max="12558" width="25.33203125" style="5" customWidth="1"/>
    <col min="12559" max="12800" width="9.109375" style="5"/>
    <col min="12801" max="12801" width="11.6640625" style="5" customWidth="1"/>
    <col min="12802" max="12802" width="11.109375" style="5" bestFit="1" customWidth="1"/>
    <col min="12803" max="12803" width="13.6640625" style="5" bestFit="1" customWidth="1"/>
    <col min="12804" max="12804" width="15.44140625" style="5" bestFit="1" customWidth="1"/>
    <col min="12805" max="12807" width="14" style="5" customWidth="1"/>
    <col min="12808" max="12808" width="16.33203125" style="5" customWidth="1"/>
    <col min="12809" max="12810" width="15.5546875" style="5" customWidth="1"/>
    <col min="12811" max="12811" width="15.88671875" style="5" customWidth="1"/>
    <col min="12812" max="12812" width="24.109375" style="5" customWidth="1"/>
    <col min="12813" max="12813" width="25.5546875" style="5" customWidth="1"/>
    <col min="12814" max="12814" width="25.33203125" style="5" customWidth="1"/>
    <col min="12815" max="13056" width="9.109375" style="5"/>
    <col min="13057" max="13057" width="11.6640625" style="5" customWidth="1"/>
    <col min="13058" max="13058" width="11.109375" style="5" bestFit="1" customWidth="1"/>
    <col min="13059" max="13059" width="13.6640625" style="5" bestFit="1" customWidth="1"/>
    <col min="13060" max="13060" width="15.44140625" style="5" bestFit="1" customWidth="1"/>
    <col min="13061" max="13063" width="14" style="5" customWidth="1"/>
    <col min="13064" max="13064" width="16.33203125" style="5" customWidth="1"/>
    <col min="13065" max="13066" width="15.5546875" style="5" customWidth="1"/>
    <col min="13067" max="13067" width="15.88671875" style="5" customWidth="1"/>
    <col min="13068" max="13068" width="24.109375" style="5" customWidth="1"/>
    <col min="13069" max="13069" width="25.5546875" style="5" customWidth="1"/>
    <col min="13070" max="13070" width="25.33203125" style="5" customWidth="1"/>
    <col min="13071" max="13312" width="9.109375" style="5"/>
    <col min="13313" max="13313" width="11.6640625" style="5" customWidth="1"/>
    <col min="13314" max="13314" width="11.109375" style="5" bestFit="1" customWidth="1"/>
    <col min="13315" max="13315" width="13.6640625" style="5" bestFit="1" customWidth="1"/>
    <col min="13316" max="13316" width="15.44140625" style="5" bestFit="1" customWidth="1"/>
    <col min="13317" max="13319" width="14" style="5" customWidth="1"/>
    <col min="13320" max="13320" width="16.33203125" style="5" customWidth="1"/>
    <col min="13321" max="13322" width="15.5546875" style="5" customWidth="1"/>
    <col min="13323" max="13323" width="15.88671875" style="5" customWidth="1"/>
    <col min="13324" max="13324" width="24.109375" style="5" customWidth="1"/>
    <col min="13325" max="13325" width="25.5546875" style="5" customWidth="1"/>
    <col min="13326" max="13326" width="25.33203125" style="5" customWidth="1"/>
    <col min="13327" max="13568" width="9.109375" style="5"/>
    <col min="13569" max="13569" width="11.6640625" style="5" customWidth="1"/>
    <col min="13570" max="13570" width="11.109375" style="5" bestFit="1" customWidth="1"/>
    <col min="13571" max="13571" width="13.6640625" style="5" bestFit="1" customWidth="1"/>
    <col min="13572" max="13572" width="15.44140625" style="5" bestFit="1" customWidth="1"/>
    <col min="13573" max="13575" width="14" style="5" customWidth="1"/>
    <col min="13576" max="13576" width="16.33203125" style="5" customWidth="1"/>
    <col min="13577" max="13578" width="15.5546875" style="5" customWidth="1"/>
    <col min="13579" max="13579" width="15.88671875" style="5" customWidth="1"/>
    <col min="13580" max="13580" width="24.109375" style="5" customWidth="1"/>
    <col min="13581" max="13581" width="25.5546875" style="5" customWidth="1"/>
    <col min="13582" max="13582" width="25.33203125" style="5" customWidth="1"/>
    <col min="13583" max="13824" width="9.109375" style="5"/>
    <col min="13825" max="13825" width="11.6640625" style="5" customWidth="1"/>
    <col min="13826" max="13826" width="11.109375" style="5" bestFit="1" customWidth="1"/>
    <col min="13827" max="13827" width="13.6640625" style="5" bestFit="1" customWidth="1"/>
    <col min="13828" max="13828" width="15.44140625" style="5" bestFit="1" customWidth="1"/>
    <col min="13829" max="13831" width="14" style="5" customWidth="1"/>
    <col min="13832" max="13832" width="16.33203125" style="5" customWidth="1"/>
    <col min="13833" max="13834" width="15.5546875" style="5" customWidth="1"/>
    <col min="13835" max="13835" width="15.88671875" style="5" customWidth="1"/>
    <col min="13836" max="13836" width="24.109375" style="5" customWidth="1"/>
    <col min="13837" max="13837" width="25.5546875" style="5" customWidth="1"/>
    <col min="13838" max="13838" width="25.33203125" style="5" customWidth="1"/>
    <col min="13839" max="14080" width="9.109375" style="5"/>
    <col min="14081" max="14081" width="11.6640625" style="5" customWidth="1"/>
    <col min="14082" max="14082" width="11.109375" style="5" bestFit="1" customWidth="1"/>
    <col min="14083" max="14083" width="13.6640625" style="5" bestFit="1" customWidth="1"/>
    <col min="14084" max="14084" width="15.44140625" style="5" bestFit="1" customWidth="1"/>
    <col min="14085" max="14087" width="14" style="5" customWidth="1"/>
    <col min="14088" max="14088" width="16.33203125" style="5" customWidth="1"/>
    <col min="14089" max="14090" width="15.5546875" style="5" customWidth="1"/>
    <col min="14091" max="14091" width="15.88671875" style="5" customWidth="1"/>
    <col min="14092" max="14092" width="24.109375" style="5" customWidth="1"/>
    <col min="14093" max="14093" width="25.5546875" style="5" customWidth="1"/>
    <col min="14094" max="14094" width="25.33203125" style="5" customWidth="1"/>
    <col min="14095" max="14336" width="9.109375" style="5"/>
    <col min="14337" max="14337" width="11.6640625" style="5" customWidth="1"/>
    <col min="14338" max="14338" width="11.109375" style="5" bestFit="1" customWidth="1"/>
    <col min="14339" max="14339" width="13.6640625" style="5" bestFit="1" customWidth="1"/>
    <col min="14340" max="14340" width="15.44140625" style="5" bestFit="1" customWidth="1"/>
    <col min="14341" max="14343" width="14" style="5" customWidth="1"/>
    <col min="14344" max="14344" width="16.33203125" style="5" customWidth="1"/>
    <col min="14345" max="14346" width="15.5546875" style="5" customWidth="1"/>
    <col min="14347" max="14347" width="15.88671875" style="5" customWidth="1"/>
    <col min="14348" max="14348" width="24.109375" style="5" customWidth="1"/>
    <col min="14349" max="14349" width="25.5546875" style="5" customWidth="1"/>
    <col min="14350" max="14350" width="25.33203125" style="5" customWidth="1"/>
    <col min="14351" max="14592" width="9.109375" style="5"/>
    <col min="14593" max="14593" width="11.6640625" style="5" customWidth="1"/>
    <col min="14594" max="14594" width="11.109375" style="5" bestFit="1" customWidth="1"/>
    <col min="14595" max="14595" width="13.6640625" style="5" bestFit="1" customWidth="1"/>
    <col min="14596" max="14596" width="15.44140625" style="5" bestFit="1" customWidth="1"/>
    <col min="14597" max="14599" width="14" style="5" customWidth="1"/>
    <col min="14600" max="14600" width="16.33203125" style="5" customWidth="1"/>
    <col min="14601" max="14602" width="15.5546875" style="5" customWidth="1"/>
    <col min="14603" max="14603" width="15.88671875" style="5" customWidth="1"/>
    <col min="14604" max="14604" width="24.109375" style="5" customWidth="1"/>
    <col min="14605" max="14605" width="25.5546875" style="5" customWidth="1"/>
    <col min="14606" max="14606" width="25.33203125" style="5" customWidth="1"/>
    <col min="14607" max="14848" width="9.109375" style="5"/>
    <col min="14849" max="14849" width="11.6640625" style="5" customWidth="1"/>
    <col min="14850" max="14850" width="11.109375" style="5" bestFit="1" customWidth="1"/>
    <col min="14851" max="14851" width="13.6640625" style="5" bestFit="1" customWidth="1"/>
    <col min="14852" max="14852" width="15.44140625" style="5" bestFit="1" customWidth="1"/>
    <col min="14853" max="14855" width="14" style="5" customWidth="1"/>
    <col min="14856" max="14856" width="16.33203125" style="5" customWidth="1"/>
    <col min="14857" max="14858" width="15.5546875" style="5" customWidth="1"/>
    <col min="14859" max="14859" width="15.88671875" style="5" customWidth="1"/>
    <col min="14860" max="14860" width="24.109375" style="5" customWidth="1"/>
    <col min="14861" max="14861" width="25.5546875" style="5" customWidth="1"/>
    <col min="14862" max="14862" width="25.33203125" style="5" customWidth="1"/>
    <col min="14863" max="15104" width="9.109375" style="5"/>
    <col min="15105" max="15105" width="11.6640625" style="5" customWidth="1"/>
    <col min="15106" max="15106" width="11.109375" style="5" bestFit="1" customWidth="1"/>
    <col min="15107" max="15107" width="13.6640625" style="5" bestFit="1" customWidth="1"/>
    <col min="15108" max="15108" width="15.44140625" style="5" bestFit="1" customWidth="1"/>
    <col min="15109" max="15111" width="14" style="5" customWidth="1"/>
    <col min="15112" max="15112" width="16.33203125" style="5" customWidth="1"/>
    <col min="15113" max="15114" width="15.5546875" style="5" customWidth="1"/>
    <col min="15115" max="15115" width="15.88671875" style="5" customWidth="1"/>
    <col min="15116" max="15116" width="24.109375" style="5" customWidth="1"/>
    <col min="15117" max="15117" width="25.5546875" style="5" customWidth="1"/>
    <col min="15118" max="15118" width="25.33203125" style="5" customWidth="1"/>
    <col min="15119" max="15360" width="9.109375" style="5"/>
    <col min="15361" max="15361" width="11.6640625" style="5" customWidth="1"/>
    <col min="15362" max="15362" width="11.109375" style="5" bestFit="1" customWidth="1"/>
    <col min="15363" max="15363" width="13.6640625" style="5" bestFit="1" customWidth="1"/>
    <col min="15364" max="15364" width="15.44140625" style="5" bestFit="1" customWidth="1"/>
    <col min="15365" max="15367" width="14" style="5" customWidth="1"/>
    <col min="15368" max="15368" width="16.33203125" style="5" customWidth="1"/>
    <col min="15369" max="15370" width="15.5546875" style="5" customWidth="1"/>
    <col min="15371" max="15371" width="15.88671875" style="5" customWidth="1"/>
    <col min="15372" max="15372" width="24.109375" style="5" customWidth="1"/>
    <col min="15373" max="15373" width="25.5546875" style="5" customWidth="1"/>
    <col min="15374" max="15374" width="25.33203125" style="5" customWidth="1"/>
    <col min="15375" max="15616" width="9.109375" style="5"/>
    <col min="15617" max="15617" width="11.6640625" style="5" customWidth="1"/>
    <col min="15618" max="15618" width="11.109375" style="5" bestFit="1" customWidth="1"/>
    <col min="15619" max="15619" width="13.6640625" style="5" bestFit="1" customWidth="1"/>
    <col min="15620" max="15620" width="15.44140625" style="5" bestFit="1" customWidth="1"/>
    <col min="15621" max="15623" width="14" style="5" customWidth="1"/>
    <col min="15624" max="15624" width="16.33203125" style="5" customWidth="1"/>
    <col min="15625" max="15626" width="15.5546875" style="5" customWidth="1"/>
    <col min="15627" max="15627" width="15.88671875" style="5" customWidth="1"/>
    <col min="15628" max="15628" width="24.109375" style="5" customWidth="1"/>
    <col min="15629" max="15629" width="25.5546875" style="5" customWidth="1"/>
    <col min="15630" max="15630" width="25.33203125" style="5" customWidth="1"/>
    <col min="15631" max="15872" width="9.109375" style="5"/>
    <col min="15873" max="15873" width="11.6640625" style="5" customWidth="1"/>
    <col min="15874" max="15874" width="11.109375" style="5" bestFit="1" customWidth="1"/>
    <col min="15875" max="15875" width="13.6640625" style="5" bestFit="1" customWidth="1"/>
    <col min="15876" max="15876" width="15.44140625" style="5" bestFit="1" customWidth="1"/>
    <col min="15877" max="15879" width="14" style="5" customWidth="1"/>
    <col min="15880" max="15880" width="16.33203125" style="5" customWidth="1"/>
    <col min="15881" max="15882" width="15.5546875" style="5" customWidth="1"/>
    <col min="15883" max="15883" width="15.88671875" style="5" customWidth="1"/>
    <col min="15884" max="15884" width="24.109375" style="5" customWidth="1"/>
    <col min="15885" max="15885" width="25.5546875" style="5" customWidth="1"/>
    <col min="15886" max="15886" width="25.33203125" style="5" customWidth="1"/>
    <col min="15887" max="16128" width="9.109375" style="5"/>
    <col min="16129" max="16129" width="11.6640625" style="5" customWidth="1"/>
    <col min="16130" max="16130" width="11.109375" style="5" bestFit="1" customWidth="1"/>
    <col min="16131" max="16131" width="13.6640625" style="5" bestFit="1" customWidth="1"/>
    <col min="16132" max="16132" width="15.44140625" style="5" bestFit="1" customWidth="1"/>
    <col min="16133" max="16135" width="14" style="5" customWidth="1"/>
    <col min="16136" max="16136" width="16.33203125" style="5" customWidth="1"/>
    <col min="16137" max="16138" width="15.5546875" style="5" customWidth="1"/>
    <col min="16139" max="16139" width="15.88671875" style="5" customWidth="1"/>
    <col min="16140" max="16140" width="24.109375" style="5" customWidth="1"/>
    <col min="16141" max="16141" width="25.5546875" style="5" customWidth="1"/>
    <col min="16142" max="16142" width="25.33203125" style="5" customWidth="1"/>
    <col min="16143" max="16384" width="9.109375" style="5"/>
  </cols>
  <sheetData>
    <row r="1" spans="1:15">
      <c r="A1" s="416" t="s">
        <v>395</v>
      </c>
    </row>
    <row r="2" spans="1:15">
      <c r="A2" s="416" t="s">
        <v>380</v>
      </c>
    </row>
    <row r="3" spans="1:15" s="2" customFormat="1" ht="15.6">
      <c r="A3" s="41" t="s">
        <v>0</v>
      </c>
      <c r="B3" s="1"/>
      <c r="C3" s="1"/>
      <c r="D3" s="1"/>
      <c r="E3" s="1"/>
      <c r="F3" s="1"/>
      <c r="G3" s="1"/>
      <c r="H3" s="1"/>
      <c r="I3" s="1"/>
      <c r="J3" s="25"/>
      <c r="K3" s="25"/>
      <c r="L3" s="25"/>
      <c r="M3" s="1"/>
      <c r="N3" s="1"/>
    </row>
    <row r="4" spans="1:15" s="2" customFormat="1" ht="15.6">
      <c r="A4" s="41" t="s">
        <v>215</v>
      </c>
      <c r="B4" s="3"/>
      <c r="C4" s="3"/>
      <c r="D4" s="3"/>
      <c r="E4" s="3"/>
      <c r="F4" s="3"/>
      <c r="G4" s="3"/>
      <c r="H4" s="3"/>
      <c r="I4" s="3"/>
      <c r="J4" s="27"/>
      <c r="K4" s="27"/>
      <c r="L4" s="27"/>
      <c r="M4" s="3"/>
      <c r="N4" s="1"/>
    </row>
    <row r="5" spans="1:15" s="2" customFormat="1" ht="15.6">
      <c r="A5" s="41" t="s">
        <v>344</v>
      </c>
      <c r="B5" s="3"/>
      <c r="C5" s="3"/>
      <c r="D5" s="3"/>
      <c r="E5" s="3"/>
      <c r="F5" s="3"/>
      <c r="G5" s="3"/>
      <c r="H5" s="3"/>
      <c r="I5" s="3"/>
      <c r="J5" s="27"/>
      <c r="K5" s="27"/>
      <c r="L5" s="27"/>
      <c r="M5" s="3"/>
      <c r="N5" s="1"/>
    </row>
    <row r="6" spans="1:15">
      <c r="A6" s="5" t="s">
        <v>103</v>
      </c>
      <c r="B6" s="4"/>
      <c r="C6" s="4"/>
      <c r="D6" s="4"/>
      <c r="E6" s="4"/>
      <c r="F6" s="4"/>
      <c r="G6" s="4" t="s">
        <v>148</v>
      </c>
      <c r="H6" s="4"/>
      <c r="I6" s="4"/>
      <c r="J6" s="36"/>
      <c r="K6" s="36"/>
      <c r="L6" s="36"/>
      <c r="M6" s="4"/>
      <c r="N6" s="4"/>
    </row>
    <row r="7" spans="1:15" s="9" customFormat="1">
      <c r="A7" s="233" t="s">
        <v>149</v>
      </c>
      <c r="B7" s="234"/>
      <c r="C7" s="235"/>
      <c r="D7" s="235"/>
      <c r="E7" s="235"/>
      <c r="F7" s="235"/>
      <c r="G7" s="235"/>
      <c r="H7" s="235"/>
      <c r="I7" s="235"/>
      <c r="J7" s="236"/>
      <c r="K7" s="236"/>
      <c r="L7" s="236"/>
      <c r="M7" s="235"/>
      <c r="N7" s="237"/>
    </row>
    <row r="8" spans="1:15" s="30" customFormat="1" ht="26.4">
      <c r="A8" s="238"/>
      <c r="B8" s="239"/>
      <c r="C8" s="239"/>
      <c r="D8" s="239"/>
      <c r="E8" s="239"/>
      <c r="F8" s="23" t="s">
        <v>2</v>
      </c>
      <c r="G8" s="23" t="s">
        <v>3</v>
      </c>
      <c r="H8" s="240" t="s">
        <v>150</v>
      </c>
      <c r="I8" s="240" t="s">
        <v>151</v>
      </c>
      <c r="J8" s="240" t="s">
        <v>150</v>
      </c>
      <c r="K8" s="241" t="s">
        <v>151</v>
      </c>
      <c r="L8" s="413" t="s">
        <v>152</v>
      </c>
      <c r="M8" s="414"/>
      <c r="N8" s="414"/>
    </row>
    <row r="9" spans="1:15" s="9" customFormat="1" ht="66">
      <c r="A9" s="242" t="s">
        <v>17</v>
      </c>
      <c r="B9" s="243" t="s">
        <v>153</v>
      </c>
      <c r="C9" s="244" t="s">
        <v>154</v>
      </c>
      <c r="D9" s="244" t="s">
        <v>155</v>
      </c>
      <c r="E9" s="244" t="s">
        <v>156</v>
      </c>
      <c r="F9" s="244" t="s">
        <v>157</v>
      </c>
      <c r="G9" s="244" t="s">
        <v>158</v>
      </c>
      <c r="H9" s="244" t="s">
        <v>159</v>
      </c>
      <c r="I9" s="244" t="s">
        <v>159</v>
      </c>
      <c r="J9" s="243" t="s">
        <v>160</v>
      </c>
      <c r="K9" s="243" t="s">
        <v>160</v>
      </c>
      <c r="L9" s="58" t="s">
        <v>161</v>
      </c>
      <c r="M9" s="245" t="s">
        <v>162</v>
      </c>
      <c r="N9" s="245" t="s">
        <v>163</v>
      </c>
      <c r="O9" s="30"/>
    </row>
    <row r="10" spans="1:15">
      <c r="A10" s="12">
        <v>2007</v>
      </c>
      <c r="B10" s="14">
        <f t="shared" ref="B10:B29" si="0">B35+B60+B85</f>
        <v>68970.13199965276</v>
      </c>
      <c r="C10" s="14">
        <f t="shared" ref="C10:C25" si="1">D10/B10</f>
        <v>1876.3226795982985</v>
      </c>
      <c r="D10" s="14">
        <f t="shared" ref="D10:D29" si="2">D35+D60+D85</f>
        <v>129410222.88583682</v>
      </c>
      <c r="E10" s="159">
        <f>F10</f>
        <v>3.6120781666211492</v>
      </c>
      <c r="F10" s="159">
        <f>(H10*1000)/$D10</f>
        <v>3.6120781666211492</v>
      </c>
      <c r="G10" s="159">
        <f>(I10*1000)/$D10</f>
        <v>3.6120781666211492</v>
      </c>
      <c r="H10" s="14">
        <f t="shared" ref="H10:N25" si="3">H35+H60+H85</f>
        <v>467439.84062350774</v>
      </c>
      <c r="I10" s="14">
        <f t="shared" si="3"/>
        <v>467439.84062350774</v>
      </c>
      <c r="J10" s="14" t="s">
        <v>111</v>
      </c>
      <c r="K10" s="14" t="s">
        <v>111</v>
      </c>
      <c r="L10" s="112" t="s">
        <v>111</v>
      </c>
      <c r="M10" s="112" t="s">
        <v>111</v>
      </c>
      <c r="N10" s="112" t="s">
        <v>111</v>
      </c>
      <c r="O10" s="33"/>
    </row>
    <row r="11" spans="1:15">
      <c r="A11" s="12">
        <v>2008</v>
      </c>
      <c r="B11" s="14">
        <f t="shared" si="0"/>
        <v>42847.538583614631</v>
      </c>
      <c r="C11" s="14">
        <f t="shared" si="1"/>
        <v>1859.8481002725464</v>
      </c>
      <c r="D11" s="14">
        <f t="shared" si="2"/>
        <v>79689913.236090302</v>
      </c>
      <c r="E11" s="159">
        <f>E10</f>
        <v>3.6120781666211492</v>
      </c>
      <c r="F11" s="159">
        <f t="shared" ref="F11:G26" si="4">(H11*1000)/$D11</f>
        <v>3.6471563703492835</v>
      </c>
      <c r="G11" s="159">
        <f t="shared" si="4"/>
        <v>3.6471563703492835</v>
      </c>
      <c r="H11" s="14">
        <f t="shared" si="3"/>
        <v>290641.57471158844</v>
      </c>
      <c r="I11" s="14">
        <f t="shared" si="3"/>
        <v>290641.57471158844</v>
      </c>
      <c r="J11" s="14" t="s">
        <v>111</v>
      </c>
      <c r="K11" s="14" t="s">
        <v>111</v>
      </c>
      <c r="L11" s="112" t="s">
        <v>111</v>
      </c>
      <c r="M11" s="112" t="s">
        <v>111</v>
      </c>
      <c r="N11" s="112" t="s">
        <v>111</v>
      </c>
      <c r="O11" s="33"/>
    </row>
    <row r="12" spans="1:15">
      <c r="A12" s="12">
        <v>2009</v>
      </c>
      <c r="B12" s="14">
        <f t="shared" si="0"/>
        <v>24150.732995095659</v>
      </c>
      <c r="C12" s="14">
        <f t="shared" si="1"/>
        <v>1863.3359187115784</v>
      </c>
      <c r="D12" s="14">
        <f t="shared" si="2"/>
        <v>45000928.2529746</v>
      </c>
      <c r="E12" s="159">
        <f t="shared" ref="E12:E29" si="5">E11</f>
        <v>3.6120781666211492</v>
      </c>
      <c r="F12" s="159">
        <f t="shared" si="4"/>
        <v>3.548500788237356</v>
      </c>
      <c r="G12" s="159">
        <f t="shared" si="4"/>
        <v>3.1691736543106788</v>
      </c>
      <c r="H12" s="14">
        <f t="shared" si="3"/>
        <v>159685.82937709309</v>
      </c>
      <c r="I12" s="14">
        <f t="shared" si="3"/>
        <v>142615.75623885216</v>
      </c>
      <c r="J12" s="14">
        <f t="shared" si="3"/>
        <v>159685.82937709309</v>
      </c>
      <c r="K12" s="14">
        <f t="shared" si="3"/>
        <v>142615.75623885216</v>
      </c>
      <c r="L12" s="112">
        <f t="shared" si="3"/>
        <v>17070.073138240936</v>
      </c>
      <c r="M12" s="112">
        <f t="shared" si="3"/>
        <v>9.1352082282129956</v>
      </c>
      <c r="N12" s="112">
        <f t="shared" si="3"/>
        <v>3.969668762269615</v>
      </c>
      <c r="O12" s="33"/>
    </row>
    <row r="13" spans="1:15">
      <c r="A13" s="12">
        <v>2010</v>
      </c>
      <c r="B13" s="14">
        <f t="shared" si="0"/>
        <v>16891.349397825703</v>
      </c>
      <c r="C13" s="14">
        <f t="shared" si="1"/>
        <v>1875.8536661301889</v>
      </c>
      <c r="D13" s="14">
        <f t="shared" si="2"/>
        <v>31685699.693797305</v>
      </c>
      <c r="E13" s="159">
        <f t="shared" si="5"/>
        <v>3.6120781666211492</v>
      </c>
      <c r="F13" s="159">
        <f>(H13*1000)/$D13</f>
        <v>3.4656448175606624</v>
      </c>
      <c r="G13" s="159">
        <f t="shared" si="4"/>
        <v>3.1444596961155269</v>
      </c>
      <c r="H13" s="14">
        <f t="shared" si="3"/>
        <v>109811.3809345921</v>
      </c>
      <c r="I13" s="14">
        <f t="shared" si="3"/>
        <v>99634.405630365713</v>
      </c>
      <c r="J13" s="14">
        <f t="shared" si="3"/>
        <v>269497.21031168522</v>
      </c>
      <c r="K13" s="14">
        <f t="shared" si="3"/>
        <v>242250.16186921787</v>
      </c>
      <c r="L13" s="112">
        <f t="shared" si="3"/>
        <v>27247.048442467327</v>
      </c>
      <c r="M13" s="112">
        <f t="shared" si="3"/>
        <v>14.606292884759542</v>
      </c>
      <c r="N13" s="112">
        <f t="shared" si="3"/>
        <v>6.4501899275782861</v>
      </c>
      <c r="O13" s="33"/>
    </row>
    <row r="14" spans="1:15">
      <c r="A14" s="12">
        <v>2011</v>
      </c>
      <c r="B14" s="14">
        <f t="shared" si="0"/>
        <v>17454.416077613801</v>
      </c>
      <c r="C14" s="14">
        <f t="shared" si="1"/>
        <v>1872.4500029883807</v>
      </c>
      <c r="D14" s="14">
        <f t="shared" si="2"/>
        <v>32682521.436688401</v>
      </c>
      <c r="E14" s="159">
        <f t="shared" si="5"/>
        <v>3.6120781666211492</v>
      </c>
      <c r="F14" s="159">
        <f t="shared" si="4"/>
        <v>3.446000868271363</v>
      </c>
      <c r="G14" s="159">
        <f t="shared" si="4"/>
        <v>3.1506703369140063</v>
      </c>
      <c r="H14" s="14">
        <f t="shared" si="3"/>
        <v>112623.99724812566</v>
      </c>
      <c r="I14" s="14">
        <f t="shared" si="3"/>
        <v>102971.85082613028</v>
      </c>
      <c r="J14" s="14">
        <f t="shared" si="3"/>
        <v>382121.20755981083</v>
      </c>
      <c r="K14" s="14">
        <f t="shared" si="3"/>
        <v>345222.01269534812</v>
      </c>
      <c r="L14" s="112">
        <f t="shared" si="3"/>
        <v>36899.194864462683</v>
      </c>
      <c r="M14" s="112">
        <f t="shared" si="3"/>
        <v>19.789405587940252</v>
      </c>
      <c r="N14" s="112">
        <f t="shared" si="3"/>
        <v>8.7744466429669714</v>
      </c>
      <c r="O14" s="33"/>
    </row>
    <row r="15" spans="1:15">
      <c r="A15" s="12">
        <v>2012</v>
      </c>
      <c r="B15" s="14">
        <f t="shared" si="0"/>
        <v>21220.342035390197</v>
      </c>
      <c r="C15" s="14">
        <f t="shared" si="1"/>
        <v>1865.3536589747505</v>
      </c>
      <c r="D15" s="14">
        <f t="shared" si="2"/>
        <v>39583442.660410807</v>
      </c>
      <c r="E15" s="159">
        <f t="shared" si="5"/>
        <v>3.6120781666211492</v>
      </c>
      <c r="F15" s="159">
        <f t="shared" si="4"/>
        <v>3.4093669885499835</v>
      </c>
      <c r="G15" s="159">
        <f t="shared" si="4"/>
        <v>3.028863803602277</v>
      </c>
      <c r="H15" s="14">
        <f t="shared" si="3"/>
        <v>134954.48269956573</v>
      </c>
      <c r="I15" s="14">
        <f t="shared" si="3"/>
        <v>119892.85669608452</v>
      </c>
      <c r="J15" s="14">
        <f t="shared" si="3"/>
        <v>517075.69025937654</v>
      </c>
      <c r="K15" s="14">
        <f t="shared" si="3"/>
        <v>465114.86939143267</v>
      </c>
      <c r="L15" s="112">
        <f t="shared" si="3"/>
        <v>51960.820867943905</v>
      </c>
      <c r="M15" s="112">
        <f t="shared" si="3"/>
        <v>27.859846001550864</v>
      </c>
      <c r="N15" s="112">
        <f t="shared" si="3"/>
        <v>12.319632548535164</v>
      </c>
      <c r="O15" s="33"/>
    </row>
    <row r="16" spans="1:15">
      <c r="A16" s="12">
        <v>2013</v>
      </c>
      <c r="B16" s="14">
        <f t="shared" si="0"/>
        <v>31331.831970093383</v>
      </c>
      <c r="C16" s="14">
        <f t="shared" si="1"/>
        <v>1865.60445662744</v>
      </c>
      <c r="D16" s="14">
        <f t="shared" si="2"/>
        <v>58452805.35770832</v>
      </c>
      <c r="E16" s="159">
        <f t="shared" si="5"/>
        <v>3.6120781666211492</v>
      </c>
      <c r="F16" s="159">
        <f t="shared" si="4"/>
        <v>3.3814251871136598</v>
      </c>
      <c r="G16" s="159">
        <f t="shared" si="4"/>
        <v>3.0281501532539252</v>
      </c>
      <c r="H16" s="14">
        <f t="shared" si="3"/>
        <v>197653.78829400719</v>
      </c>
      <c r="I16" s="14">
        <f t="shared" si="3"/>
        <v>177003.87150206632</v>
      </c>
      <c r="J16" s="14">
        <f t="shared" si="3"/>
        <v>714729.47855338384</v>
      </c>
      <c r="K16" s="14">
        <f t="shared" si="3"/>
        <v>642118.74089349899</v>
      </c>
      <c r="L16" s="112">
        <f t="shared" si="3"/>
        <v>72610.737659884762</v>
      </c>
      <c r="M16" s="112">
        <f t="shared" si="3"/>
        <v>38.92645531226384</v>
      </c>
      <c r="N16" s="112">
        <f t="shared" si="3"/>
        <v>17.186747631569631</v>
      </c>
      <c r="O16" s="33"/>
    </row>
    <row r="17" spans="1:15">
      <c r="A17" s="12">
        <v>2014</v>
      </c>
      <c r="B17" s="14">
        <f t="shared" si="0"/>
        <v>39971.515573599099</v>
      </c>
      <c r="C17" s="14">
        <f t="shared" si="1"/>
        <v>1867.3547525766407</v>
      </c>
      <c r="D17" s="14">
        <f t="shared" si="2"/>
        <v>74640999.574051484</v>
      </c>
      <c r="E17" s="159">
        <f t="shared" si="5"/>
        <v>3.6120781666211492</v>
      </c>
      <c r="F17" s="159">
        <f t="shared" si="4"/>
        <v>3.3239731037359377</v>
      </c>
      <c r="G17" s="159">
        <f t="shared" si="4"/>
        <v>3.0251206568296078</v>
      </c>
      <c r="H17" s="14">
        <f t="shared" si="3"/>
        <v>248104.67502011271</v>
      </c>
      <c r="I17" s="14">
        <f t="shared" si="3"/>
        <v>225798.02965787309</v>
      </c>
      <c r="J17" s="14">
        <f t="shared" si="3"/>
        <v>962834.1535734965</v>
      </c>
      <c r="K17" s="14">
        <f t="shared" si="3"/>
        <v>867916.77055137209</v>
      </c>
      <c r="L17" s="112">
        <f t="shared" si="3"/>
        <v>94917.383022124384</v>
      </c>
      <c r="M17" s="112">
        <f t="shared" si="3"/>
        <v>50.88852872473835</v>
      </c>
      <c r="N17" s="112">
        <f t="shared" si="3"/>
        <v>22.481734849405328</v>
      </c>
      <c r="O17" s="33"/>
    </row>
    <row r="18" spans="1:15">
      <c r="A18" s="12">
        <v>2015</v>
      </c>
      <c r="B18" s="14">
        <f t="shared" si="0"/>
        <v>56094.127253273735</v>
      </c>
      <c r="C18" s="14">
        <f t="shared" si="1"/>
        <v>1865.1100983493973</v>
      </c>
      <c r="D18" s="14">
        <f t="shared" si="2"/>
        <v>104621723.19817698</v>
      </c>
      <c r="E18" s="159">
        <f t="shared" si="5"/>
        <v>3.6120781666211492</v>
      </c>
      <c r="F18" s="159">
        <f t="shared" si="4"/>
        <v>3.3016923002246044</v>
      </c>
      <c r="G18" s="159">
        <f t="shared" si="4"/>
        <v>2.8940994818744716</v>
      </c>
      <c r="H18" s="14">
        <f t="shared" si="3"/>
        <v>345428.7379196508</v>
      </c>
      <c r="I18" s="14">
        <f t="shared" si="3"/>
        <v>302785.67490065837</v>
      </c>
      <c r="J18" s="14">
        <f t="shared" si="3"/>
        <v>1308262.8914931472</v>
      </c>
      <c r="K18" s="14">
        <f t="shared" si="3"/>
        <v>1170702.4454520305</v>
      </c>
      <c r="L18" s="112">
        <f t="shared" si="3"/>
        <v>137560.44604111684</v>
      </c>
      <c r="M18" s="112">
        <f t="shared" si="3"/>
        <v>73.735788424749884</v>
      </c>
      <c r="N18" s="112">
        <f t="shared" si="3"/>
        <v>32.508031388603229</v>
      </c>
      <c r="O18" s="33"/>
    </row>
    <row r="19" spans="1:15">
      <c r="A19" s="12">
        <v>2016</v>
      </c>
      <c r="B19" s="14">
        <f t="shared" si="0"/>
        <v>69239.675709496456</v>
      </c>
      <c r="C19" s="14">
        <f t="shared" si="1"/>
        <v>1865.097521966017</v>
      </c>
      <c r="D19" s="14">
        <f t="shared" si="2"/>
        <v>129138747.58751246</v>
      </c>
      <c r="E19" s="159">
        <f t="shared" si="5"/>
        <v>3.6120781666211492</v>
      </c>
      <c r="F19" s="159">
        <f t="shared" si="4"/>
        <v>3.2497931989593458</v>
      </c>
      <c r="G19" s="159">
        <f t="shared" si="4"/>
        <v>2.8941304161307011</v>
      </c>
      <c r="H19" s="14">
        <f t="shared" si="3"/>
        <v>419674.22363202565</v>
      </c>
      <c r="I19" s="14">
        <f t="shared" si="3"/>
        <v>373744.37729404506</v>
      </c>
      <c r="J19" s="14">
        <f t="shared" si="3"/>
        <v>1727937.1151251728</v>
      </c>
      <c r="K19" s="14">
        <f t="shared" si="3"/>
        <v>1544446.8227460755</v>
      </c>
      <c r="L19" s="112">
        <f t="shared" si="3"/>
        <v>183490.29237909737</v>
      </c>
      <c r="M19" s="112">
        <f t="shared" si="3"/>
        <v>98.350981486416202</v>
      </c>
      <c r="N19" s="112">
        <f t="shared" si="3"/>
        <v>43.347693742109549</v>
      </c>
      <c r="O19" s="33"/>
    </row>
    <row r="20" spans="1:15" s="217" customFormat="1">
      <c r="A20" s="12">
        <v>2017</v>
      </c>
      <c r="B20" s="14">
        <f t="shared" si="0"/>
        <v>71945.593835268184</v>
      </c>
      <c r="C20" s="14">
        <f t="shared" si="1"/>
        <v>1865.0676632574107</v>
      </c>
      <c r="D20" s="14">
        <f t="shared" si="2"/>
        <v>134183400.57601041</v>
      </c>
      <c r="E20" s="159">
        <f t="shared" si="5"/>
        <v>3.6120781666211492</v>
      </c>
      <c r="F20" s="159">
        <f t="shared" si="4"/>
        <v>3.2206973733171229</v>
      </c>
      <c r="G20" s="159">
        <f t="shared" si="4"/>
        <v>2.8941814849653538</v>
      </c>
      <c r="H20" s="14">
        <f t="shared" si="3"/>
        <v>432164.12577791599</v>
      </c>
      <c r="I20" s="14">
        <f t="shared" si="3"/>
        <v>388351.11353677866</v>
      </c>
      <c r="J20" s="14">
        <f t="shared" si="3"/>
        <v>2160101.2409030888</v>
      </c>
      <c r="K20" s="14">
        <f t="shared" si="3"/>
        <v>1932797.9362828543</v>
      </c>
      <c r="L20" s="112">
        <f t="shared" si="3"/>
        <v>227303.30462023482</v>
      </c>
      <c r="M20" s="112">
        <f t="shared" si="3"/>
        <v>121.82596824660564</v>
      </c>
      <c r="N20" s="112">
        <f t="shared" si="3"/>
        <v>53.654891180012442</v>
      </c>
      <c r="O20" s="167"/>
    </row>
    <row r="21" spans="1:15" s="217" customFormat="1">
      <c r="A21" s="12">
        <v>2018</v>
      </c>
      <c r="B21" s="14">
        <f t="shared" si="0"/>
        <v>71673.899278359706</v>
      </c>
      <c r="C21" s="14">
        <f t="shared" si="1"/>
        <v>1865.0573790913147</v>
      </c>
      <c r="D21" s="14">
        <f t="shared" si="2"/>
        <v>133675934.73735243</v>
      </c>
      <c r="E21" s="159">
        <f t="shared" si="5"/>
        <v>3.6120781666211492</v>
      </c>
      <c r="F21" s="159">
        <f t="shared" si="4"/>
        <v>3.1687778535756399</v>
      </c>
      <c r="G21" s="159">
        <f t="shared" si="4"/>
        <v>2.7590354966674764</v>
      </c>
      <c r="H21" s="14">
        <f t="shared" si="3"/>
        <v>423589.34155174496</v>
      </c>
      <c r="I21" s="14">
        <f t="shared" si="3"/>
        <v>368816.64899056038</v>
      </c>
      <c r="J21" s="14">
        <f t="shared" si="3"/>
        <v>2583690.5824548341</v>
      </c>
      <c r="K21" s="14">
        <f t="shared" si="3"/>
        <v>2301614.5852734149</v>
      </c>
      <c r="L21" s="112">
        <f t="shared" si="3"/>
        <v>282075.99718141934</v>
      </c>
      <c r="M21" s="112">
        <f t="shared" si="3"/>
        <v>151.1778928255423</v>
      </c>
      <c r="N21" s="112">
        <f t="shared" si="3"/>
        <v>66.56805209043165</v>
      </c>
      <c r="O21" s="167"/>
    </row>
    <row r="22" spans="1:15" s="217" customFormat="1">
      <c r="A22" s="12">
        <v>2019</v>
      </c>
      <c r="B22" s="14">
        <f t="shared" si="0"/>
        <v>71999.155120724885</v>
      </c>
      <c r="C22" s="14">
        <f t="shared" si="1"/>
        <v>1865.0636437707599</v>
      </c>
      <c r="D22" s="14">
        <f t="shared" si="2"/>
        <v>134283006.59787533</v>
      </c>
      <c r="E22" s="159">
        <f t="shared" si="5"/>
        <v>3.6120781666211492</v>
      </c>
      <c r="F22" s="159">
        <f t="shared" si="4"/>
        <v>3.1417335059484159</v>
      </c>
      <c r="G22" s="159">
        <f t="shared" si="4"/>
        <v>2.7590259399475712</v>
      </c>
      <c r="H22" s="14">
        <f t="shared" si="3"/>
        <v>421881.42110803712</v>
      </c>
      <c r="I22" s="14">
        <f t="shared" si="3"/>
        <v>370490.2984976889</v>
      </c>
      <c r="J22" s="14">
        <f t="shared" si="3"/>
        <v>3005572.0035628714</v>
      </c>
      <c r="K22" s="14">
        <f t="shared" si="3"/>
        <v>2672104.8837711038</v>
      </c>
      <c r="L22" s="112">
        <f t="shared" si="3"/>
        <v>333467.1197917675</v>
      </c>
      <c r="M22" s="112">
        <f t="shared" si="3"/>
        <v>178.71860666896211</v>
      </c>
      <c r="N22" s="112">
        <f t="shared" si="3"/>
        <v>78.68927326538946</v>
      </c>
      <c r="O22" s="167"/>
    </row>
    <row r="23" spans="1:15" s="217" customFormat="1">
      <c r="A23" s="12">
        <v>2020</v>
      </c>
      <c r="B23" s="14">
        <f t="shared" si="0"/>
        <v>72092.756560150126</v>
      </c>
      <c r="C23" s="14">
        <f t="shared" si="1"/>
        <v>1865.062634138272</v>
      </c>
      <c r="D23" s="14">
        <f t="shared" si="2"/>
        <v>134457506.45236278</v>
      </c>
      <c r="E23" s="159">
        <f t="shared" si="5"/>
        <v>3.6120781666211492</v>
      </c>
      <c r="F23" s="159">
        <f t="shared" si="4"/>
        <v>3.0960066721190156</v>
      </c>
      <c r="G23" s="159">
        <f t="shared" si="4"/>
        <v>2.7590274771783521</v>
      </c>
      <c r="H23" s="14">
        <f t="shared" si="3"/>
        <v>416281.33709300077</v>
      </c>
      <c r="I23" s="14">
        <f t="shared" si="3"/>
        <v>370971.95481495449</v>
      </c>
      <c r="J23" s="14">
        <f t="shared" si="3"/>
        <v>3421853.3406558717</v>
      </c>
      <c r="K23" s="14">
        <f t="shared" si="3"/>
        <v>3043076.838586058</v>
      </c>
      <c r="L23" s="112">
        <f t="shared" si="3"/>
        <v>378776.5020698139</v>
      </c>
      <c r="M23" s="112">
        <f t="shared" si="3"/>
        <v>203.03713208413888</v>
      </c>
      <c r="N23" s="112">
        <f t="shared" si="3"/>
        <v>89.550957402516488</v>
      </c>
      <c r="O23" s="167"/>
    </row>
    <row r="24" spans="1:15" s="217" customFormat="1">
      <c r="A24" s="12">
        <v>2021</v>
      </c>
      <c r="B24" s="14">
        <f t="shared" si="0"/>
        <v>71736.573648197256</v>
      </c>
      <c r="C24" s="14">
        <f t="shared" si="1"/>
        <v>1865.0615346199679</v>
      </c>
      <c r="D24" s="14">
        <f t="shared" si="2"/>
        <v>133793124.13668513</v>
      </c>
      <c r="E24" s="159">
        <f t="shared" si="5"/>
        <v>3.6120781666211492</v>
      </c>
      <c r="F24" s="159">
        <f t="shared" si="4"/>
        <v>3.0606396903198578</v>
      </c>
      <c r="G24" s="159">
        <f t="shared" si="4"/>
        <v>2.6238652036605501</v>
      </c>
      <c r="H24" s="14">
        <f t="shared" si="3"/>
        <v>409492.54602463031</v>
      </c>
      <c r="I24" s="14">
        <f t="shared" si="3"/>
        <v>351055.12291128462</v>
      </c>
      <c r="J24" s="14">
        <f t="shared" si="3"/>
        <v>3831345.8866805024</v>
      </c>
      <c r="K24" s="14">
        <f t="shared" si="3"/>
        <v>3394131.9614973427</v>
      </c>
      <c r="L24" s="112">
        <f>L49+L74+L99</f>
        <v>437213.92518315965</v>
      </c>
      <c r="M24" s="112">
        <f t="shared" si="3"/>
        <v>234.35211375116529</v>
      </c>
      <c r="N24" s="112">
        <f t="shared" si="3"/>
        <v>103.32333202709094</v>
      </c>
      <c r="O24" s="167"/>
    </row>
    <row r="25" spans="1:15" s="217" customFormat="1">
      <c r="A25" s="12">
        <v>2022</v>
      </c>
      <c r="B25" s="14">
        <f t="shared" si="0"/>
        <v>70864.056664009418</v>
      </c>
      <c r="C25" s="14">
        <f t="shared" si="1"/>
        <v>1865.0586902906896</v>
      </c>
      <c r="D25" s="14">
        <f t="shared" si="2"/>
        <v>132165624.71046261</v>
      </c>
      <c r="E25" s="159">
        <f t="shared" si="5"/>
        <v>3.6120781666211492</v>
      </c>
      <c r="F25" s="159">
        <f t="shared" si="4"/>
        <v>3.0149147624108763</v>
      </c>
      <c r="G25" s="159">
        <f t="shared" si="4"/>
        <v>2.623868891265186</v>
      </c>
      <c r="H25" s="14">
        <f t="shared" si="3"/>
        <v>398468.09302282939</v>
      </c>
      <c r="I25" s="14">
        <f t="shared" si="3"/>
        <v>346785.27117241221</v>
      </c>
      <c r="J25" s="14">
        <f t="shared" si="3"/>
        <v>4229813.9797033314</v>
      </c>
      <c r="K25" s="14">
        <f t="shared" si="3"/>
        <v>3740917.2326697549</v>
      </c>
      <c r="L25" s="112">
        <f t="shared" si="3"/>
        <v>488896.74703357689</v>
      </c>
      <c r="M25" s="112">
        <f t="shared" si="3"/>
        <v>262.08369429536725</v>
      </c>
      <c r="N25" s="112">
        <f t="shared" si="3"/>
        <v>115.67453574457608</v>
      </c>
      <c r="O25" s="167"/>
    </row>
    <row r="26" spans="1:15" s="248" customFormat="1">
      <c r="A26" s="246">
        <v>2023</v>
      </c>
      <c r="B26" s="210">
        <f t="shared" si="0"/>
        <v>70145.807530191989</v>
      </c>
      <c r="C26" s="210">
        <f>D26/B26</f>
        <v>1865.0618081582884</v>
      </c>
      <c r="D26" s="210">
        <f t="shared" si="2"/>
        <v>130826266.62698315</v>
      </c>
      <c r="E26" s="247">
        <f t="shared" si="5"/>
        <v>3.6120781666211492</v>
      </c>
      <c r="F26" s="247">
        <f t="shared" si="4"/>
        <v>2.9816643968240766</v>
      </c>
      <c r="G26" s="247">
        <f t="shared" si="4"/>
        <v>2.6238647504084858</v>
      </c>
      <c r="H26" s="210">
        <f t="shared" ref="H26:N29" si="6">H51+H76+H101</f>
        <v>390080.0213710895</v>
      </c>
      <c r="I26" s="210">
        <f t="shared" si="6"/>
        <v>343270.42943008314</v>
      </c>
      <c r="J26" s="210">
        <f t="shared" si="6"/>
        <v>4619894.0010744212</v>
      </c>
      <c r="K26" s="210">
        <f t="shared" si="6"/>
        <v>4084187.6620998378</v>
      </c>
      <c r="L26" s="213">
        <f t="shared" si="6"/>
        <v>535706.33897458331</v>
      </c>
      <c r="M26" s="213">
        <f t="shared" si="6"/>
        <v>287.17635173196152</v>
      </c>
      <c r="N26" s="213">
        <f t="shared" si="6"/>
        <v>126.75688357861512</v>
      </c>
      <c r="O26" s="211"/>
    </row>
    <row r="27" spans="1:15" s="248" customFormat="1">
      <c r="A27" s="246">
        <v>2024</v>
      </c>
      <c r="B27" s="210">
        <f t="shared" si="0"/>
        <v>69434.968728433189</v>
      </c>
      <c r="C27" s="210">
        <f>D27/B27</f>
        <v>1865.0649228925886</v>
      </c>
      <c r="D27" s="210">
        <f t="shared" si="2"/>
        <v>129500724.59754455</v>
      </c>
      <c r="E27" s="247">
        <f t="shared" si="5"/>
        <v>3.6120781666211492</v>
      </c>
      <c r="F27" s="247">
        <f t="shared" ref="F27:G29" si="7">(H27*1000)/$D27</f>
        <v>2.9338073263077651</v>
      </c>
      <c r="G27" s="247">
        <f t="shared" si="7"/>
        <v>2.4886965191263122</v>
      </c>
      <c r="H27" s="210">
        <f t="shared" si="6"/>
        <v>379930.17458644038</v>
      </c>
      <c r="I27" s="210">
        <f t="shared" si="6"/>
        <v>322288.0025302443</v>
      </c>
      <c r="J27" s="210">
        <f t="shared" si="6"/>
        <v>4999824.1756608617</v>
      </c>
      <c r="K27" s="210">
        <f t="shared" si="6"/>
        <v>4406475.6646300824</v>
      </c>
      <c r="L27" s="213">
        <f t="shared" si="6"/>
        <v>593348.51103077945</v>
      </c>
      <c r="M27" s="213">
        <f t="shared" si="6"/>
        <v>318.09914663782439</v>
      </c>
      <c r="N27" s="213">
        <f t="shared" si="6"/>
        <v>140.50036627002811</v>
      </c>
      <c r="O27" s="211"/>
    </row>
    <row r="28" spans="1:15" s="248" customFormat="1">
      <c r="A28" s="246">
        <v>2025</v>
      </c>
      <c r="B28" s="210">
        <f t="shared" si="0"/>
        <v>68731.462271999975</v>
      </c>
      <c r="C28" s="210">
        <f>D28/B28</f>
        <v>1865.0680345016217</v>
      </c>
      <c r="D28" s="210">
        <f t="shared" si="2"/>
        <v>128188853.24806136</v>
      </c>
      <c r="E28" s="247">
        <f t="shared" si="5"/>
        <v>3.6120781666211492</v>
      </c>
      <c r="F28" s="247">
        <f t="shared" si="7"/>
        <v>2.9005570841526165</v>
      </c>
      <c r="G28" s="247">
        <f t="shared" si="7"/>
        <v>2.4886927620705004</v>
      </c>
      <c r="H28" s="210">
        <f t="shared" si="6"/>
        <v>371819.08639806451</v>
      </c>
      <c r="I28" s="210">
        <f t="shared" si="6"/>
        <v>319022.67125656782</v>
      </c>
      <c r="J28" s="210">
        <f t="shared" si="6"/>
        <v>5371643.2620589258</v>
      </c>
      <c r="K28" s="210">
        <f t="shared" si="6"/>
        <v>4725498.3358866498</v>
      </c>
      <c r="L28" s="213">
        <f t="shared" si="6"/>
        <v>646144.92617227638</v>
      </c>
      <c r="M28" s="213">
        <f t="shared" si="6"/>
        <v>346.39830891544688</v>
      </c>
      <c r="N28" s="213">
        <f t="shared" si="6"/>
        <v>152.98397800047556</v>
      </c>
      <c r="O28" s="211"/>
    </row>
    <row r="29" spans="1:15" s="248" customFormat="1">
      <c r="A29" s="246">
        <v>2026</v>
      </c>
      <c r="B29" s="210">
        <f t="shared" si="0"/>
        <v>68035.211012857704</v>
      </c>
      <c r="C29" s="210">
        <f>D29/B29</f>
        <v>1865.0711429934393</v>
      </c>
      <c r="D29" s="210">
        <f t="shared" si="2"/>
        <v>126890508.76755035</v>
      </c>
      <c r="E29" s="247">
        <f t="shared" si="5"/>
        <v>3.6120781666211492</v>
      </c>
      <c r="F29" s="247">
        <f t="shared" si="7"/>
        <v>2.8548253872558775</v>
      </c>
      <c r="G29" s="247">
        <f t="shared" si="7"/>
        <v>2.4886890086707676</v>
      </c>
      <c r="H29" s="210">
        <f t="shared" si="6"/>
        <v>362250.24583141727</v>
      </c>
      <c r="I29" s="210">
        <f t="shared" si="6"/>
        <v>315791.01447444421</v>
      </c>
      <c r="J29" s="210">
        <f t="shared" si="6"/>
        <v>5733893.5078903437</v>
      </c>
      <c r="K29" s="210">
        <f t="shared" si="6"/>
        <v>5041289.3503610939</v>
      </c>
      <c r="L29" s="213">
        <f t="shared" si="6"/>
        <v>692604.15752924944</v>
      </c>
      <c r="M29" s="213">
        <f t="shared" si="6"/>
        <v>371.33628247029441</v>
      </c>
      <c r="N29" s="213">
        <f t="shared" si="6"/>
        <v>164.13780168321017</v>
      </c>
      <c r="O29" s="211"/>
    </row>
    <row r="30" spans="1:15" s="217" customFormat="1">
      <c r="A30" s="16"/>
      <c r="B30" s="18"/>
      <c r="C30" s="18"/>
      <c r="D30" s="18"/>
      <c r="E30" s="18"/>
      <c r="F30" s="18"/>
      <c r="G30" s="18"/>
      <c r="H30" s="18"/>
      <c r="I30" s="18"/>
      <c r="J30" s="18"/>
      <c r="K30" s="18"/>
      <c r="L30" s="18"/>
      <c r="M30" s="18"/>
      <c r="N30" s="249"/>
    </row>
    <row r="32" spans="1:15" s="9" customFormat="1">
      <c r="A32" s="233" t="s">
        <v>164</v>
      </c>
      <c r="B32" s="234"/>
      <c r="C32" s="235"/>
      <c r="D32" s="235"/>
      <c r="E32" s="235"/>
      <c r="F32" s="235"/>
      <c r="G32" s="235"/>
      <c r="H32" s="235"/>
      <c r="I32" s="235"/>
      <c r="J32" s="236"/>
      <c r="K32" s="236"/>
      <c r="L32" s="236"/>
      <c r="M32" s="235"/>
      <c r="N32" s="237"/>
    </row>
    <row r="33" spans="1:14" s="9" customFormat="1" ht="26.4">
      <c r="A33" s="250"/>
      <c r="B33" s="239"/>
      <c r="C33" s="239"/>
      <c r="D33" s="239"/>
      <c r="E33" s="239"/>
      <c r="F33" s="23" t="s">
        <v>2</v>
      </c>
      <c r="G33" s="23" t="s">
        <v>3</v>
      </c>
      <c r="H33" s="244" t="str">
        <f>$H$8</f>
        <v>Code w/o Acceleration</v>
      </c>
      <c r="I33" s="244" t="str">
        <f>$I$8</f>
        <v xml:space="preserve">Code  Acceleration </v>
      </c>
      <c r="J33" s="243" t="str">
        <f>$H$8</f>
        <v>Code w/o Acceleration</v>
      </c>
      <c r="K33" s="243" t="str">
        <f>$I$8</f>
        <v xml:space="preserve">Code  Acceleration </v>
      </c>
      <c r="L33" s="243"/>
      <c r="M33" s="251"/>
      <c r="N33" s="251"/>
    </row>
    <row r="34" spans="1:14" s="9" customFormat="1" ht="66">
      <c r="A34" s="242" t="s">
        <v>17</v>
      </c>
      <c r="B34" s="243" t="str">
        <f>$B$9</f>
        <v>Houses
built</v>
      </c>
      <c r="C34" s="244" t="str">
        <f>$C$9</f>
        <v>Average
sq.ft./home</v>
      </c>
      <c r="D34" s="244" t="str">
        <f>$D$9</f>
        <v>Total sq.ft
of all
houses built</v>
      </c>
      <c r="E34" s="244" t="s">
        <v>156</v>
      </c>
      <c r="F34" s="244" t="s">
        <v>157</v>
      </c>
      <c r="G34" s="244" t="s">
        <v>158</v>
      </c>
      <c r="H34" s="244" t="str">
        <f>$H$9</f>
        <v>Total
New Construction Annual MWh Load</v>
      </c>
      <c r="I34" s="244" t="str">
        <f>$I$9</f>
        <v>Total
New Construction Annual MWh Load</v>
      </c>
      <c r="J34" s="244" t="str">
        <f>$J$9</f>
        <v xml:space="preserve"> Cumulative
New Construction Annual MWh Load</v>
      </c>
      <c r="K34" s="244" t="str">
        <f>$K$9</f>
        <v xml:space="preserve"> Cumulative
New Construction Annual MWh Load</v>
      </c>
      <c r="L34" s="243" t="str">
        <f>$L$9</f>
        <v>Cumulative Impact on FPL Load Due to Accelerated Code Requirements
Annual Energy (MWh)</v>
      </c>
      <c r="M34" s="244" t="str">
        <f>$M$9</f>
        <v>Cumulative Impact on FPL Load Due to Accelerated Code Requirements
Summer Demand (MW)</v>
      </c>
      <c r="N34" s="244" t="str">
        <f>$N$9</f>
        <v>Cumulative Impact on FPL Load Due to Accelerated Code Requirements
Winter Demand (MW)</v>
      </c>
    </row>
    <row r="35" spans="1:14">
      <c r="A35" s="12">
        <v>2007</v>
      </c>
      <c r="B35" s="14">
        <v>7072.7350007667083</v>
      </c>
      <c r="C35" s="14">
        <f t="shared" ref="C35:C50" si="8">D35/B35</f>
        <v>2030.559283518246</v>
      </c>
      <c r="D35" s="14">
        <v>14361607.715671269</v>
      </c>
      <c r="E35" s="159">
        <f>F35</f>
        <v>3.3333333333333335</v>
      </c>
      <c r="F35" s="159">
        <f>(H35*1000)/$D35</f>
        <v>3.3333333333333335</v>
      </c>
      <c r="G35" s="159">
        <f>(I35*1000)/$D35</f>
        <v>3.3333333333333335</v>
      </c>
      <c r="H35" s="14">
        <v>47872.025718904231</v>
      </c>
      <c r="I35" s="14">
        <v>47872.025718904231</v>
      </c>
      <c r="J35" s="252" t="s">
        <v>111</v>
      </c>
      <c r="K35" s="252" t="s">
        <v>111</v>
      </c>
      <c r="L35" s="252" t="s">
        <v>111</v>
      </c>
      <c r="M35" s="252" t="s">
        <v>111</v>
      </c>
      <c r="N35" s="252" t="s">
        <v>111</v>
      </c>
    </row>
    <row r="36" spans="1:14">
      <c r="A36" s="12">
        <v>2008</v>
      </c>
      <c r="B36" s="14">
        <v>3778.1151404494385</v>
      </c>
      <c r="C36" s="14">
        <f t="shared" si="8"/>
        <v>2030.5592835182463</v>
      </c>
      <c r="D36" s="14">
        <v>7671686.7726404499</v>
      </c>
      <c r="E36" s="159">
        <f>E35</f>
        <v>3.3333333333333335</v>
      </c>
      <c r="F36" s="159">
        <f t="shared" ref="F36:G51" si="9">(H36*1000)/$D36</f>
        <v>3.333333333333333</v>
      </c>
      <c r="G36" s="159">
        <f t="shared" si="9"/>
        <v>3.333333333333333</v>
      </c>
      <c r="H36" s="14">
        <v>25572.289242134833</v>
      </c>
      <c r="I36" s="14">
        <v>25572.289242134833</v>
      </c>
      <c r="J36" s="252" t="s">
        <v>111</v>
      </c>
      <c r="K36" s="252" t="s">
        <v>111</v>
      </c>
      <c r="L36" s="252" t="s">
        <v>111</v>
      </c>
      <c r="M36" s="252" t="s">
        <v>111</v>
      </c>
      <c r="N36" s="252" t="s">
        <v>111</v>
      </c>
    </row>
    <row r="37" spans="1:14">
      <c r="A37" s="12">
        <v>2009</v>
      </c>
      <c r="B37" s="14">
        <v>2253.7563202247193</v>
      </c>
      <c r="C37" s="14">
        <f t="shared" si="8"/>
        <v>2030.5592835182463</v>
      </c>
      <c r="D37" s="14">
        <v>4576385.8188202251</v>
      </c>
      <c r="E37" s="159">
        <f t="shared" ref="E37:E54" si="10">E36</f>
        <v>3.3333333333333335</v>
      </c>
      <c r="F37" s="159">
        <f t="shared" si="9"/>
        <v>3.2703075367398844</v>
      </c>
      <c r="G37" s="159">
        <f t="shared" si="9"/>
        <v>2.934781452469184</v>
      </c>
      <c r="H37" s="14">
        <v>14966.189034317309</v>
      </c>
      <c r="I37" s="14">
        <v>13430.692220416597</v>
      </c>
      <c r="J37" s="14">
        <v>14966.189034317309</v>
      </c>
      <c r="K37" s="14">
        <v>13430.692220416597</v>
      </c>
      <c r="L37" s="14">
        <v>1535.4968139007124</v>
      </c>
      <c r="M37" s="14">
        <v>0.8578040878249833</v>
      </c>
      <c r="N37" s="14">
        <v>0.56433863890784786</v>
      </c>
    </row>
    <row r="38" spans="1:14">
      <c r="A38" s="12">
        <v>2010</v>
      </c>
      <c r="B38" s="14">
        <v>1697.5814134320735</v>
      </c>
      <c r="C38" s="14">
        <f t="shared" si="8"/>
        <v>2030.5592835182465</v>
      </c>
      <c r="D38" s="14">
        <v>3447039.6985725234</v>
      </c>
      <c r="E38" s="159">
        <f t="shared" si="10"/>
        <v>3.3333333333333335</v>
      </c>
      <c r="F38" s="159">
        <f t="shared" si="9"/>
        <v>3.222375238986928</v>
      </c>
      <c r="G38" s="159">
        <f t="shared" si="9"/>
        <v>2.9347814524691844</v>
      </c>
      <c r="H38" s="14">
        <v>11107.655372485064</v>
      </c>
      <c r="I38" s="14">
        <v>10116.308173295609</v>
      </c>
      <c r="J38" s="14">
        <v>26073.844406802375</v>
      </c>
      <c r="K38" s="14">
        <v>23547.000393712206</v>
      </c>
      <c r="L38" s="14">
        <v>2526.8440130901672</v>
      </c>
      <c r="M38" s="14">
        <v>1.4116194212207493</v>
      </c>
      <c r="N38" s="14">
        <v>0.92868685768041881</v>
      </c>
    </row>
    <row r="39" spans="1:14">
      <c r="A39" s="12">
        <v>2011</v>
      </c>
      <c r="B39" s="14">
        <v>1632.0175932073546</v>
      </c>
      <c r="C39" s="14">
        <f t="shared" si="8"/>
        <v>2030.5592835182463</v>
      </c>
      <c r="D39" s="14">
        <v>3313908.4747522986</v>
      </c>
      <c r="E39" s="159">
        <f t="shared" si="10"/>
        <v>3.3333333333333335</v>
      </c>
      <c r="F39" s="159">
        <f t="shared" si="9"/>
        <v>3.1984090901104496</v>
      </c>
      <c r="G39" s="159">
        <f t="shared" si="9"/>
        <v>2.9347814524691844</v>
      </c>
      <c r="H39" s="14">
        <v>10599.234989441806</v>
      </c>
      <c r="I39" s="14">
        <v>9725.5971268834892</v>
      </c>
      <c r="J39" s="14">
        <v>36673.079396244175</v>
      </c>
      <c r="K39" s="14">
        <v>33272.597520595693</v>
      </c>
      <c r="L39" s="14">
        <v>3400.4818756484801</v>
      </c>
      <c r="M39" s="14">
        <v>1.899676526254678</v>
      </c>
      <c r="N39" s="14">
        <v>1.2497735559992866</v>
      </c>
    </row>
    <row r="40" spans="1:14">
      <c r="A40" s="12">
        <v>2012</v>
      </c>
      <c r="B40" s="14">
        <v>1741.9114964249234</v>
      </c>
      <c r="C40" s="14">
        <f t="shared" si="8"/>
        <v>2030.5592835182465</v>
      </c>
      <c r="D40" s="14">
        <v>3537054.560132789</v>
      </c>
      <c r="E40" s="159">
        <f t="shared" si="10"/>
        <v>3.3333333333333335</v>
      </c>
      <c r="F40" s="159">
        <f t="shared" si="9"/>
        <v>3.1744429412339707</v>
      </c>
      <c r="G40" s="159">
        <f t="shared" si="9"/>
        <v>2.8149507080867919</v>
      </c>
      <c r="H40" s="14">
        <v>11228.177881172958</v>
      </c>
      <c r="I40" s="14">
        <v>9956.6342385874104</v>
      </c>
      <c r="J40" s="14">
        <v>47901.257277417142</v>
      </c>
      <c r="K40" s="14">
        <v>43229.231759183109</v>
      </c>
      <c r="L40" s="14">
        <v>4672.0255182340316</v>
      </c>
      <c r="M40" s="14">
        <v>2.6100233824535479</v>
      </c>
      <c r="N40" s="14">
        <v>1.7171019164833059</v>
      </c>
    </row>
    <row r="41" spans="1:14">
      <c r="A41" s="12">
        <v>2013</v>
      </c>
      <c r="B41" s="14">
        <v>2488.0724731869254</v>
      </c>
      <c r="C41" s="14">
        <f t="shared" si="8"/>
        <v>2030.5592835182463</v>
      </c>
      <c r="D41" s="14">
        <v>5052178.6584959142</v>
      </c>
      <c r="E41" s="159">
        <f t="shared" si="10"/>
        <v>3.3333333333333335</v>
      </c>
      <c r="F41" s="159">
        <f t="shared" si="9"/>
        <v>3.1504767923574915</v>
      </c>
      <c r="G41" s="159">
        <f t="shared" si="9"/>
        <v>2.814950708086791</v>
      </c>
      <c r="H41" s="14">
        <v>15916.771614435183</v>
      </c>
      <c r="I41" s="14">
        <v>14221.633892114049</v>
      </c>
      <c r="J41" s="14">
        <v>63818.028891852322</v>
      </c>
      <c r="K41" s="14">
        <v>57450.865651297157</v>
      </c>
      <c r="L41" s="14">
        <v>6367.1632405551645</v>
      </c>
      <c r="M41" s="14">
        <v>3.5570107382524006</v>
      </c>
      <c r="N41" s="14">
        <v>2.3401131180147958</v>
      </c>
    </row>
    <row r="42" spans="1:14">
      <c r="A42" s="12">
        <v>2014</v>
      </c>
      <c r="B42" s="14">
        <v>3307.1111077741798</v>
      </c>
      <c r="C42" s="14">
        <f t="shared" si="8"/>
        <v>2030.5592835182465</v>
      </c>
      <c r="D42" s="14">
        <v>6715285.1615171731</v>
      </c>
      <c r="E42" s="159">
        <f t="shared" si="10"/>
        <v>3.3333333333333335</v>
      </c>
      <c r="F42" s="159">
        <f t="shared" si="9"/>
        <v>3.1025444946045351</v>
      </c>
      <c r="G42" s="159">
        <f t="shared" si="9"/>
        <v>2.8149507080867919</v>
      </c>
      <c r="H42" s="14">
        <v>20834.471007564629</v>
      </c>
      <c r="I42" s="14">
        <v>18903.196720417491</v>
      </c>
      <c r="J42" s="14">
        <v>84652.499899416958</v>
      </c>
      <c r="K42" s="14">
        <v>76354.062371714652</v>
      </c>
      <c r="L42" s="14">
        <v>8298.4375277023064</v>
      </c>
      <c r="M42" s="14">
        <v>4.6359156003325754</v>
      </c>
      <c r="N42" s="14">
        <v>3.0499112059688969</v>
      </c>
    </row>
    <row r="43" spans="1:14">
      <c r="A43" s="12">
        <v>2015</v>
      </c>
      <c r="B43" s="14">
        <v>4560.0887490916157</v>
      </c>
      <c r="C43" s="14">
        <f t="shared" si="8"/>
        <v>2030.559283518246</v>
      </c>
      <c r="D43" s="14">
        <v>9259530.5431350861</v>
      </c>
      <c r="E43" s="159">
        <f t="shared" si="10"/>
        <v>3.3333333333333335</v>
      </c>
      <c r="F43" s="159">
        <f t="shared" si="9"/>
        <v>3.0785783457280562</v>
      </c>
      <c r="G43" s="159">
        <f t="shared" si="9"/>
        <v>2.695119963704399</v>
      </c>
      <c r="H43" s="14">
        <v>28506.190221703222</v>
      </c>
      <c r="I43" s="14">
        <v>24955.545621334004</v>
      </c>
      <c r="J43" s="14">
        <v>113158.69012112018</v>
      </c>
      <c r="K43" s="14">
        <v>101309.60799304864</v>
      </c>
      <c r="L43" s="14">
        <v>11849.082128071532</v>
      </c>
      <c r="M43" s="14">
        <v>6.619480414689372</v>
      </c>
      <c r="N43" s="14">
        <v>4.3548738231999815</v>
      </c>
    </row>
    <row r="44" spans="1:14">
      <c r="A44" s="12">
        <v>2016</v>
      </c>
      <c r="B44" s="14">
        <v>5636.0816470075306</v>
      </c>
      <c r="C44" s="14">
        <f t="shared" si="8"/>
        <v>2030.5592835182465</v>
      </c>
      <c r="D44" s="14">
        <v>11444397.91099795</v>
      </c>
      <c r="E44" s="159">
        <f t="shared" si="10"/>
        <v>3.3333333333333335</v>
      </c>
      <c r="F44" s="159">
        <f t="shared" si="9"/>
        <v>3.0546121968515778</v>
      </c>
      <c r="G44" s="159">
        <f t="shared" si="9"/>
        <v>2.6951199637043981</v>
      </c>
      <c r="H44" s="14">
        <v>34958.197444557052</v>
      </c>
      <c r="I44" s="14">
        <v>30844.025282507482</v>
      </c>
      <c r="J44" s="14">
        <v>148116.88756567723</v>
      </c>
      <c r="K44" s="14">
        <v>132153.63327555615</v>
      </c>
      <c r="L44" s="14">
        <v>15963.254290121091</v>
      </c>
      <c r="M44" s="14">
        <v>8.9178594583140551</v>
      </c>
      <c r="N44" s="14">
        <v>5.8669488058015009</v>
      </c>
    </row>
    <row r="45" spans="1:14" s="217" customFormat="1">
      <c r="A45" s="12">
        <v>2017</v>
      </c>
      <c r="B45" s="14">
        <v>5854.8870267539442</v>
      </c>
      <c r="C45" s="14">
        <f t="shared" si="8"/>
        <v>2030.559283518246</v>
      </c>
      <c r="D45" s="14">
        <v>11888695.206125762</v>
      </c>
      <c r="E45" s="159">
        <f t="shared" si="10"/>
        <v>3.3333333333333335</v>
      </c>
      <c r="F45" s="159">
        <f t="shared" si="9"/>
        <v>3.0066798990986205</v>
      </c>
      <c r="G45" s="159">
        <f t="shared" si="9"/>
        <v>2.6951199637043985</v>
      </c>
      <c r="H45" s="14">
        <v>35745.500902768465</v>
      </c>
      <c r="I45" s="14">
        <v>32041.459792426322</v>
      </c>
      <c r="J45" s="14">
        <v>183862.38846844569</v>
      </c>
      <c r="K45" s="14">
        <v>164195.09306798247</v>
      </c>
      <c r="L45" s="14">
        <v>19667.295400463241</v>
      </c>
      <c r="M45" s="14">
        <v>10.987119112361587</v>
      </c>
      <c r="N45" s="14">
        <v>7.2282889920823168</v>
      </c>
    </row>
    <row r="46" spans="1:14" s="217" customFormat="1">
      <c r="A46" s="12">
        <v>2018</v>
      </c>
      <c r="B46" s="14">
        <v>5833.5109195313435</v>
      </c>
      <c r="C46" s="14">
        <f t="shared" si="8"/>
        <v>2030.5592835182465</v>
      </c>
      <c r="D46" s="14">
        <v>11845289.753159432</v>
      </c>
      <c r="E46" s="159">
        <f t="shared" si="10"/>
        <v>3.3333333333333335</v>
      </c>
      <c r="F46" s="159">
        <f t="shared" si="9"/>
        <v>2.9827137502221417</v>
      </c>
      <c r="G46" s="159">
        <f t="shared" si="9"/>
        <v>2.5752892193220052</v>
      </c>
      <c r="H46" s="14">
        <v>35331.108622114079</v>
      </c>
      <c r="I46" s="14">
        <v>30505.047001056901</v>
      </c>
      <c r="J46" s="14">
        <v>219193.49709055977</v>
      </c>
      <c r="K46" s="14">
        <v>194700.14006903936</v>
      </c>
      <c r="L46" s="14">
        <v>24493.357021520409</v>
      </c>
      <c r="M46" s="14">
        <v>13.683194642548779</v>
      </c>
      <c r="N46" s="14">
        <v>9.0020035461321264</v>
      </c>
    </row>
    <row r="47" spans="1:14" s="217" customFormat="1">
      <c r="A47" s="12">
        <v>2019</v>
      </c>
      <c r="B47" s="14">
        <v>5860.6060046166449</v>
      </c>
      <c r="C47" s="14">
        <f t="shared" si="8"/>
        <v>2030.5592835182463</v>
      </c>
      <c r="D47" s="14">
        <v>11900307.929717107</v>
      </c>
      <c r="E47" s="159">
        <f t="shared" si="10"/>
        <v>3.3333333333333335</v>
      </c>
      <c r="F47" s="159">
        <f t="shared" si="9"/>
        <v>2.9587476013456633</v>
      </c>
      <c r="G47" s="159">
        <f t="shared" si="9"/>
        <v>2.5752892193220056</v>
      </c>
      <c r="H47" s="14">
        <v>35210.007542325264</v>
      </c>
      <c r="I47" s="14">
        <v>30646.734718012638</v>
      </c>
      <c r="J47" s="14">
        <v>254403.50463288504</v>
      </c>
      <c r="K47" s="14">
        <v>225346.87478705199</v>
      </c>
      <c r="L47" s="14">
        <v>29056.629845833042</v>
      </c>
      <c r="M47" s="14">
        <v>16.232463418048262</v>
      </c>
      <c r="N47" s="14">
        <v>10.679135762444414</v>
      </c>
    </row>
    <row r="48" spans="1:14" s="217" customFormat="1">
      <c r="A48" s="12">
        <v>2020</v>
      </c>
      <c r="B48" s="14">
        <v>5868.1217212426172</v>
      </c>
      <c r="C48" s="14">
        <f t="shared" si="8"/>
        <v>2030.5592835182463</v>
      </c>
      <c r="D48" s="14">
        <v>11915569.037884267</v>
      </c>
      <c r="E48" s="159">
        <f t="shared" si="10"/>
        <v>3.3333333333333335</v>
      </c>
      <c r="F48" s="159">
        <f t="shared" si="9"/>
        <v>2.9347814524691844</v>
      </c>
      <c r="G48" s="159">
        <f t="shared" si="9"/>
        <v>2.5752892193220056</v>
      </c>
      <c r="H48" s="14">
        <v>34969.591007998832</v>
      </c>
      <c r="I48" s="14">
        <v>30686.036485350436</v>
      </c>
      <c r="J48" s="14">
        <v>289373.0956408839</v>
      </c>
      <c r="K48" s="14">
        <v>256032.91127240242</v>
      </c>
      <c r="L48" s="14">
        <v>33340.184368481452</v>
      </c>
      <c r="M48" s="14">
        <v>18.62546778424722</v>
      </c>
      <c r="N48" s="14">
        <v>12.253463567695896</v>
      </c>
    </row>
    <row r="49" spans="1:14" s="217" customFormat="1">
      <c r="A49" s="12">
        <v>2021</v>
      </c>
      <c r="B49" s="14">
        <v>5839.5504054841549</v>
      </c>
      <c r="C49" s="14">
        <f t="shared" si="8"/>
        <v>2030.5592835182463</v>
      </c>
      <c r="D49" s="14">
        <v>11857553.28742859</v>
      </c>
      <c r="E49" s="159">
        <f t="shared" si="10"/>
        <v>3.3333333333333335</v>
      </c>
      <c r="F49" s="159">
        <f t="shared" si="9"/>
        <v>2.8868491547162267</v>
      </c>
      <c r="G49" s="159">
        <f t="shared" si="9"/>
        <v>2.4554584749396122</v>
      </c>
      <c r="H49" s="14">
        <v>34230.967684815841</v>
      </c>
      <c r="I49" s="14">
        <v>29115.729711664586</v>
      </c>
      <c r="J49" s="14">
        <v>323604.06332569971</v>
      </c>
      <c r="K49" s="14">
        <v>285148.64098406699</v>
      </c>
      <c r="L49" s="14">
        <v>38455.4223416327</v>
      </c>
      <c r="M49" s="14">
        <v>21.483091456171326</v>
      </c>
      <c r="N49" s="14">
        <v>14.133458634650541</v>
      </c>
    </row>
    <row r="50" spans="1:14" s="217" customFormat="1">
      <c r="A50" s="12">
        <v>2022</v>
      </c>
      <c r="B50" s="14">
        <v>5767.9520394528772</v>
      </c>
      <c r="C50" s="14">
        <f t="shared" si="8"/>
        <v>2030.5592835182463</v>
      </c>
      <c r="D50" s="14">
        <v>11712168.560599042</v>
      </c>
      <c r="E50" s="159">
        <f t="shared" si="10"/>
        <v>3.3333333333333335</v>
      </c>
      <c r="F50" s="159">
        <f t="shared" si="9"/>
        <v>2.8628830058397488</v>
      </c>
      <c r="G50" s="159">
        <f t="shared" si="9"/>
        <v>2.4554584749396118</v>
      </c>
      <c r="H50" s="14">
        <v>33530.568333669587</v>
      </c>
      <c r="I50" s="14">
        <v>28758.743552044194</v>
      </c>
      <c r="J50" s="14">
        <v>357134.63165936928</v>
      </c>
      <c r="K50" s="14">
        <v>313907.3845361112</v>
      </c>
      <c r="L50" s="14">
        <v>43227.247123258072</v>
      </c>
      <c r="M50" s="14">
        <v>24.148867618652829</v>
      </c>
      <c r="N50" s="14">
        <v>15.887239611589342</v>
      </c>
    </row>
    <row r="51" spans="1:14" s="248" customFormat="1">
      <c r="A51" s="246">
        <v>2023</v>
      </c>
      <c r="B51" s="210">
        <v>5710.0130267854292</v>
      </c>
      <c r="C51" s="210">
        <f>D51/B51</f>
        <v>2030.5592835182463</v>
      </c>
      <c r="D51" s="210">
        <v>11594519.960549274</v>
      </c>
      <c r="E51" s="247">
        <f t="shared" si="10"/>
        <v>3.3333333333333335</v>
      </c>
      <c r="F51" s="247">
        <f t="shared" si="9"/>
        <v>2.8389168569632703</v>
      </c>
      <c r="G51" s="247">
        <f t="shared" si="9"/>
        <v>2.4554584749396118</v>
      </c>
      <c r="H51" s="210">
        <v>32915.878164400448</v>
      </c>
      <c r="I51" s="210">
        <v>28469.86229998721</v>
      </c>
      <c r="J51" s="210">
        <v>390050.50982376974</v>
      </c>
      <c r="K51" s="210">
        <v>342377.24683609843</v>
      </c>
      <c r="L51" s="210">
        <v>47673.262987671333</v>
      </c>
      <c r="M51" s="210">
        <v>26.632630885695988</v>
      </c>
      <c r="N51" s="210">
        <v>17.521276568730105</v>
      </c>
    </row>
    <row r="52" spans="1:14" s="248" customFormat="1">
      <c r="A52" s="246">
        <v>2024</v>
      </c>
      <c r="B52" s="210">
        <v>5652.6659327969646</v>
      </c>
      <c r="C52" s="210">
        <f>D52/B52</f>
        <v>2030.5592835182463</v>
      </c>
      <c r="D52" s="210">
        <v>11478073.286468204</v>
      </c>
      <c r="E52" s="247">
        <f t="shared" si="10"/>
        <v>3.3333333333333335</v>
      </c>
      <c r="F52" s="247">
        <f t="shared" ref="F52:G54" si="11">(H52*1000)/$D52</f>
        <v>2.7909845592103131</v>
      </c>
      <c r="G52" s="247">
        <f t="shared" si="11"/>
        <v>2.3356277305572193</v>
      </c>
      <c r="H52" s="210">
        <v>32035.125312017131</v>
      </c>
      <c r="I52" s="210">
        <v>26808.506261243176</v>
      </c>
      <c r="J52" s="210">
        <v>422085.6351357869</v>
      </c>
      <c r="K52" s="210">
        <v>369185.75309734163</v>
      </c>
      <c r="L52" s="210">
        <v>52899.882038445285</v>
      </c>
      <c r="M52" s="210">
        <v>29.552477509062367</v>
      </c>
      <c r="N52" s="210">
        <v>19.442207341429398</v>
      </c>
    </row>
    <row r="53" spans="1:14" s="248" customFormat="1">
      <c r="A53" s="246">
        <v>2025</v>
      </c>
      <c r="B53" s="210">
        <v>5595.9045944734344</v>
      </c>
      <c r="C53" s="210">
        <f>D53/B53</f>
        <v>2030.5592835182463</v>
      </c>
      <c r="D53" s="210">
        <v>11362816.023990439</v>
      </c>
      <c r="E53" s="247">
        <f t="shared" si="10"/>
        <v>3.3333333333333335</v>
      </c>
      <c r="F53" s="247">
        <f t="shared" si="11"/>
        <v>2.7670184103338338</v>
      </c>
      <c r="G53" s="247">
        <f t="shared" si="11"/>
        <v>2.3356277305572188</v>
      </c>
      <c r="H53" s="210">
        <v>31441.121131617841</v>
      </c>
      <c r="I53" s="210">
        <v>26539.308202851993</v>
      </c>
      <c r="J53" s="210">
        <v>453526.75626740471</v>
      </c>
      <c r="K53" s="210">
        <v>395725.06130019354</v>
      </c>
      <c r="L53" s="210">
        <v>57801.694967211137</v>
      </c>
      <c r="M53" s="210">
        <v>32.290871447742717</v>
      </c>
      <c r="N53" s="210">
        <v>21.243762650015981</v>
      </c>
    </row>
    <row r="54" spans="1:14" s="248" customFormat="1">
      <c r="A54" s="246">
        <v>2026</v>
      </c>
      <c r="B54" s="210">
        <v>5539.7229143225977</v>
      </c>
      <c r="C54" s="210">
        <f>D54/B54</f>
        <v>2030.5592835182463</v>
      </c>
      <c r="D54" s="210">
        <v>11248735.791796505</v>
      </c>
      <c r="E54" s="247">
        <f t="shared" si="10"/>
        <v>3.3333333333333335</v>
      </c>
      <c r="F54" s="247">
        <f t="shared" si="11"/>
        <v>2.7430522614573549</v>
      </c>
      <c r="G54" s="247">
        <f t="shared" si="11"/>
        <v>2.3356277305572188</v>
      </c>
      <c r="H54" s="210">
        <v>30855.870152223695</v>
      </c>
      <c r="I54" s="210">
        <v>26272.859249031433</v>
      </c>
      <c r="J54" s="210">
        <v>484382.62641962839</v>
      </c>
      <c r="K54" s="210">
        <v>421997.920549225</v>
      </c>
      <c r="L54" s="210">
        <v>62384.705870403384</v>
      </c>
      <c r="M54" s="210">
        <v>34.851166885489548</v>
      </c>
      <c r="N54" s="210">
        <v>22.928149170256969</v>
      </c>
    </row>
    <row r="55" spans="1:14" s="217" customFormat="1">
      <c r="A55" s="16"/>
      <c r="B55" s="18"/>
      <c r="C55" s="18"/>
      <c r="D55" s="18"/>
      <c r="E55" s="18"/>
      <c r="F55" s="18"/>
      <c r="G55" s="18"/>
      <c r="H55" s="18"/>
      <c r="I55" s="18"/>
      <c r="J55" s="18"/>
      <c r="K55" s="18"/>
      <c r="L55" s="18"/>
      <c r="M55" s="18"/>
      <c r="N55" s="249"/>
    </row>
    <row r="56" spans="1:14">
      <c r="F56" s="253"/>
      <c r="G56" s="253"/>
      <c r="H56" s="253"/>
      <c r="I56" s="253"/>
      <c r="J56" s="254"/>
      <c r="K56" s="254"/>
      <c r="L56" s="254"/>
    </row>
    <row r="57" spans="1:14" s="9" customFormat="1">
      <c r="A57" s="233" t="s">
        <v>165</v>
      </c>
      <c r="B57" s="234"/>
      <c r="C57" s="235"/>
      <c r="D57" s="235"/>
      <c r="E57" s="235"/>
      <c r="F57" s="235"/>
      <c r="G57" s="235"/>
      <c r="H57" s="235"/>
      <c r="I57" s="235"/>
      <c r="J57" s="236"/>
      <c r="K57" s="236"/>
      <c r="L57" s="236"/>
      <c r="M57" s="235"/>
      <c r="N57" s="237"/>
    </row>
    <row r="58" spans="1:14" s="9" customFormat="1" ht="26.4">
      <c r="A58" s="250"/>
      <c r="B58" s="239"/>
      <c r="C58" s="239"/>
      <c r="D58" s="239"/>
      <c r="E58" s="239"/>
      <c r="F58" s="239"/>
      <c r="G58" s="239"/>
      <c r="H58" s="244" t="str">
        <f>$H$8</f>
        <v>Code w/o Acceleration</v>
      </c>
      <c r="I58" s="244" t="str">
        <f>$I$8</f>
        <v xml:space="preserve">Code  Acceleration </v>
      </c>
      <c r="J58" s="243" t="str">
        <f>$H$8</f>
        <v>Code w/o Acceleration</v>
      </c>
      <c r="K58" s="243" t="str">
        <f>$I$8</f>
        <v xml:space="preserve">Code  Acceleration </v>
      </c>
      <c r="L58" s="243"/>
      <c r="M58" s="251"/>
      <c r="N58" s="251"/>
    </row>
    <row r="59" spans="1:14" s="9" customFormat="1" ht="66">
      <c r="A59" s="242" t="s">
        <v>17</v>
      </c>
      <c r="B59" s="243" t="str">
        <f>$B$9</f>
        <v>Houses
built</v>
      </c>
      <c r="C59" s="244" t="str">
        <f>$C$9</f>
        <v>Average
sq.ft./home</v>
      </c>
      <c r="D59" s="244" t="str">
        <f>$D$9</f>
        <v>Total sq.ft
of all
houses built</v>
      </c>
      <c r="E59" s="244" t="s">
        <v>166</v>
      </c>
      <c r="F59" s="244" t="str">
        <f>$F$34</f>
        <v>Code w/o Acceleration Home (kWh/sq.ft.)</v>
      </c>
      <c r="G59" s="244" t="str">
        <f>$G$34</f>
        <v>Code  Acceleration Home (kWh/sq.ft.)</v>
      </c>
      <c r="H59" s="244" t="str">
        <f>$H$9</f>
        <v>Total
New Construction Annual MWh Load</v>
      </c>
      <c r="I59" s="244" t="str">
        <f>$I$9</f>
        <v>Total
New Construction Annual MWh Load</v>
      </c>
      <c r="J59" s="244" t="str">
        <f>$J$9</f>
        <v xml:space="preserve"> Cumulative
New Construction Annual MWh Load</v>
      </c>
      <c r="K59" s="244" t="str">
        <f>$K$9</f>
        <v xml:space="preserve"> Cumulative
New Construction Annual MWh Load</v>
      </c>
      <c r="L59" s="243" t="str">
        <f>$L$9</f>
        <v>Cumulative Impact on FPL Load Due to Accelerated Code Requirements
Annual Energy (MWh)</v>
      </c>
      <c r="M59" s="244" t="str">
        <f>$M$9</f>
        <v>Cumulative Impact on FPL Load Due to Accelerated Code Requirements
Summer Demand (MW)</v>
      </c>
      <c r="N59" s="244" t="str">
        <f>$N$9</f>
        <v>Cumulative Impact on FPL Load Due to Accelerated Code Requirements
Winter Demand (MW)</v>
      </c>
    </row>
    <row r="60" spans="1:14">
      <c r="A60" s="12">
        <v>2007</v>
      </c>
      <c r="B60" s="14">
        <v>18978.589440112773</v>
      </c>
      <c r="C60" s="14">
        <f t="shared" ref="C60:C75" si="12">D60/B60</f>
        <v>2019.4136611336116</v>
      </c>
      <c r="D60" s="14">
        <v>38325622.784409836</v>
      </c>
      <c r="E60" s="159">
        <f>(H60*1000)/$D60</f>
        <v>3.3248697916666661</v>
      </c>
      <c r="F60" s="159">
        <f>(H60*1000)/$D60</f>
        <v>3.3248697916666661</v>
      </c>
      <c r="G60" s="159">
        <f>(I60*1000)/$D60</f>
        <v>3.3248697916666661</v>
      </c>
      <c r="H60" s="14">
        <v>127427.70544269597</v>
      </c>
      <c r="I60" s="14">
        <v>127427.70544269597</v>
      </c>
      <c r="J60" s="252" t="s">
        <v>111</v>
      </c>
      <c r="K60" s="252" t="s">
        <v>111</v>
      </c>
      <c r="L60" s="252" t="s">
        <v>111</v>
      </c>
      <c r="M60" s="252" t="s">
        <v>111</v>
      </c>
      <c r="N60" s="252" t="s">
        <v>111</v>
      </c>
    </row>
    <row r="61" spans="1:14">
      <c r="A61" s="12">
        <v>2008</v>
      </c>
      <c r="B61" s="14">
        <v>9390.3181067532914</v>
      </c>
      <c r="C61" s="14">
        <f t="shared" si="12"/>
        <v>2019.4136611336116</v>
      </c>
      <c r="D61" s="14">
        <v>18962936.667167909</v>
      </c>
      <c r="E61" s="159">
        <f>E60</f>
        <v>3.3248697916666661</v>
      </c>
      <c r="F61" s="159">
        <f t="shared" ref="F61:G76" si="13">(H61*1000)/$D61</f>
        <v>3.3248697916666661</v>
      </c>
      <c r="G61" s="159">
        <f t="shared" si="13"/>
        <v>3.3248697916666661</v>
      </c>
      <c r="H61" s="14">
        <v>63049.295285954751</v>
      </c>
      <c r="I61" s="14">
        <v>63049.295285954751</v>
      </c>
      <c r="J61" s="252" t="s">
        <v>111</v>
      </c>
      <c r="K61" s="252" t="s">
        <v>111</v>
      </c>
      <c r="L61" s="252" t="s">
        <v>111</v>
      </c>
      <c r="M61" s="252" t="s">
        <v>111</v>
      </c>
      <c r="N61" s="252" t="s">
        <v>111</v>
      </c>
    </row>
    <row r="62" spans="1:14">
      <c r="A62" s="12">
        <v>2009</v>
      </c>
      <c r="B62" s="14">
        <v>5525.9851681177406</v>
      </c>
      <c r="C62" s="14">
        <f t="shared" si="12"/>
        <v>2019.4136611336114</v>
      </c>
      <c r="D62" s="14">
        <v>11159249.939718682</v>
      </c>
      <c r="E62" s="159">
        <f t="shared" ref="E62:E79" si="14">E61</f>
        <v>3.3248697916666661</v>
      </c>
      <c r="F62" s="159">
        <f t="shared" si="13"/>
        <v>3.1898711923801257</v>
      </c>
      <c r="G62" s="159">
        <f t="shared" si="13"/>
        <v>2.8669229514588976</v>
      </c>
      <c r="H62" s="14">
        <v>35596.569911278275</v>
      </c>
      <c r="I62" s="14">
        <v>31992.70977324581</v>
      </c>
      <c r="J62" s="14">
        <v>35596.569911278275</v>
      </c>
      <c r="K62" s="14">
        <v>31992.70977324581</v>
      </c>
      <c r="L62" s="14">
        <v>3603.860138032469</v>
      </c>
      <c r="M62" s="14">
        <v>2.0551246012126203</v>
      </c>
      <c r="N62" s="14">
        <v>1.3962027570151501</v>
      </c>
    </row>
    <row r="63" spans="1:14">
      <c r="A63" s="12">
        <v>2010</v>
      </c>
      <c r="B63" s="14">
        <v>4650.0845366376252</v>
      </c>
      <c r="C63" s="14">
        <f t="shared" si="12"/>
        <v>2019.4136611336116</v>
      </c>
      <c r="D63" s="14">
        <v>9390444.2387121804</v>
      </c>
      <c r="E63" s="159">
        <f t="shared" si="14"/>
        <v>3.3248697916666661</v>
      </c>
      <c r="F63" s="159">
        <f t="shared" si="13"/>
        <v>3.1437357293913788</v>
      </c>
      <c r="G63" s="159">
        <f t="shared" si="13"/>
        <v>2.8669229514588976</v>
      </c>
      <c r="H63" s="14">
        <v>29521.075068096907</v>
      </c>
      <c r="I63" s="14">
        <v>26921.680112358925</v>
      </c>
      <c r="J63" s="14">
        <v>65117.644979375182</v>
      </c>
      <c r="K63" s="14">
        <v>58914.389885604731</v>
      </c>
      <c r="L63" s="14">
        <v>6203.2550937704509</v>
      </c>
      <c r="M63" s="14">
        <v>3.5374464220371182</v>
      </c>
      <c r="N63" s="14">
        <v>2.4032569335831826</v>
      </c>
    </row>
    <row r="64" spans="1:14">
      <c r="A64" s="12">
        <v>2011</v>
      </c>
      <c r="B64" s="14">
        <v>4676.8060184197111</v>
      </c>
      <c r="C64" s="14">
        <f t="shared" si="12"/>
        <v>2019.4136611336114</v>
      </c>
      <c r="D64" s="14">
        <v>9444405.9640686568</v>
      </c>
      <c r="E64" s="159">
        <f t="shared" si="14"/>
        <v>3.3248697916666661</v>
      </c>
      <c r="F64" s="159">
        <f t="shared" si="13"/>
        <v>3.1206679978970051</v>
      </c>
      <c r="G64" s="159">
        <f t="shared" si="13"/>
        <v>2.8669229514588972</v>
      </c>
      <c r="H64" s="14">
        <v>29472.855451216667</v>
      </c>
      <c r="I64" s="14">
        <v>27076.384221283726</v>
      </c>
      <c r="J64" s="14">
        <v>94590.500430591841</v>
      </c>
      <c r="K64" s="14">
        <v>85990.774106888464</v>
      </c>
      <c r="L64" s="14">
        <v>8599.7263237033876</v>
      </c>
      <c r="M64" s="14">
        <v>4.9040496730229597</v>
      </c>
      <c r="N64" s="14">
        <v>3.3316946670648688</v>
      </c>
    </row>
    <row r="65" spans="1:14">
      <c r="A65" s="12">
        <v>2012</v>
      </c>
      <c r="B65" s="14">
        <v>5290.0477200353589</v>
      </c>
      <c r="C65" s="14">
        <f t="shared" si="12"/>
        <v>2019.4136611336119</v>
      </c>
      <c r="D65" s="14">
        <v>10682794.63388812</v>
      </c>
      <c r="E65" s="159">
        <f t="shared" si="14"/>
        <v>3.3248697916666661</v>
      </c>
      <c r="F65" s="159">
        <f t="shared" si="13"/>
        <v>3.0745325349082582</v>
      </c>
      <c r="G65" s="159">
        <f t="shared" si="13"/>
        <v>2.7515842939870305</v>
      </c>
      <c r="H65" s="14">
        <v>32844.599665632377</v>
      </c>
      <c r="I65" s="14">
        <v>29394.609930495477</v>
      </c>
      <c r="J65" s="14">
        <v>127435.10009622423</v>
      </c>
      <c r="K65" s="14">
        <v>115385.38403738395</v>
      </c>
      <c r="L65" s="14">
        <v>12049.716058840284</v>
      </c>
      <c r="M65" s="14">
        <v>6.8714286797126416</v>
      </c>
      <c r="N65" s="14">
        <v>4.6682851548693955</v>
      </c>
    </row>
    <row r="66" spans="1:14">
      <c r="A66" s="12">
        <v>2013</v>
      </c>
      <c r="B66" s="14">
        <v>7932.5490568266596</v>
      </c>
      <c r="C66" s="14">
        <f t="shared" si="12"/>
        <v>2019.4136611336119</v>
      </c>
      <c r="D66" s="14">
        <v>16019097.932968304</v>
      </c>
      <c r="E66" s="159">
        <f t="shared" si="14"/>
        <v>3.3248697916666661</v>
      </c>
      <c r="F66" s="159">
        <f t="shared" si="13"/>
        <v>3.0514648034138849</v>
      </c>
      <c r="G66" s="159">
        <f t="shared" si="13"/>
        <v>2.7515842939870305</v>
      </c>
      <c r="H66" s="14">
        <v>48881.713524892897</v>
      </c>
      <c r="I66" s="14">
        <v>44077.898276195687</v>
      </c>
      <c r="J66" s="14">
        <v>176316.81362111712</v>
      </c>
      <c r="K66" s="14">
        <v>159463.28231357964</v>
      </c>
      <c r="L66" s="14">
        <v>16853.531307537494</v>
      </c>
      <c r="M66" s="14">
        <v>9.6108354599845924</v>
      </c>
      <c r="N66" s="14">
        <v>6.5293729433883501</v>
      </c>
    </row>
    <row r="67" spans="1:14">
      <c r="A67" s="12">
        <v>2014</v>
      </c>
      <c r="B67" s="14">
        <v>10282.423424757917</v>
      </c>
      <c r="C67" s="14">
        <f t="shared" si="12"/>
        <v>2019.4136611336114</v>
      </c>
      <c r="D67" s="14">
        <v>20764466.333516393</v>
      </c>
      <c r="E67" s="159">
        <f t="shared" si="14"/>
        <v>3.3248697916666661</v>
      </c>
      <c r="F67" s="159">
        <f t="shared" si="13"/>
        <v>3.0053293404251384</v>
      </c>
      <c r="G67" s="159">
        <f t="shared" si="13"/>
        <v>2.7515842939870305</v>
      </c>
      <c r="H67" s="14">
        <v>62404.059910386815</v>
      </c>
      <c r="I67" s="14">
        <v>57135.179436326165</v>
      </c>
      <c r="J67" s="14">
        <v>238720.87353150392</v>
      </c>
      <c r="K67" s="14">
        <v>216598.46174990578</v>
      </c>
      <c r="L67" s="14">
        <v>22122.411781598144</v>
      </c>
      <c r="M67" s="14">
        <v>12.615448699221592</v>
      </c>
      <c r="N67" s="14">
        <v>8.5706356901393956</v>
      </c>
    </row>
    <row r="68" spans="1:14">
      <c r="A68" s="12">
        <v>2015</v>
      </c>
      <c r="B68" s="14">
        <v>13971.478849216985</v>
      </c>
      <c r="C68" s="14">
        <f t="shared" si="12"/>
        <v>2019.4136611336114</v>
      </c>
      <c r="D68" s="14">
        <v>28214195.254348088</v>
      </c>
      <c r="E68" s="159">
        <f t="shared" si="14"/>
        <v>3.3248697916666661</v>
      </c>
      <c r="F68" s="159">
        <f t="shared" si="13"/>
        <v>2.9822616089307643</v>
      </c>
      <c r="G68" s="159">
        <f t="shared" si="13"/>
        <v>2.636245636515163</v>
      </c>
      <c r="H68" s="14">
        <v>84142.111333918874</v>
      </c>
      <c r="I68" s="14">
        <v>74379.549127061968</v>
      </c>
      <c r="J68" s="14">
        <v>322862.98486542283</v>
      </c>
      <c r="K68" s="14">
        <v>290978.01087696775</v>
      </c>
      <c r="L68" s="14">
        <v>31884.973988455051</v>
      </c>
      <c r="M68" s="14">
        <v>18.182613071236808</v>
      </c>
      <c r="N68" s="14">
        <v>12.352834706382883</v>
      </c>
    </row>
    <row r="69" spans="1:14">
      <c r="A69" s="12">
        <v>2016</v>
      </c>
      <c r="B69" s="14">
        <v>17234.212288980962</v>
      </c>
      <c r="C69" s="14">
        <f t="shared" si="12"/>
        <v>2019.4136611336119</v>
      </c>
      <c r="D69" s="14">
        <v>34803003.73524493</v>
      </c>
      <c r="E69" s="159">
        <f t="shared" si="14"/>
        <v>3.3248697916666661</v>
      </c>
      <c r="F69" s="159">
        <f t="shared" si="13"/>
        <v>2.9361261459420174</v>
      </c>
      <c r="G69" s="159">
        <f t="shared" si="13"/>
        <v>2.6362456365151634</v>
      </c>
      <c r="H69" s="14">
        <v>102186.00922437033</v>
      </c>
      <c r="I69" s="14">
        <v>91749.26673466037</v>
      </c>
      <c r="J69" s="14">
        <v>425048.99408979312</v>
      </c>
      <c r="K69" s="14">
        <v>382727.27761162812</v>
      </c>
      <c r="L69" s="14">
        <v>42321.716478165006</v>
      </c>
      <c r="M69" s="14">
        <v>24.134233119076409</v>
      </c>
      <c r="N69" s="14">
        <v>16.396223761526883</v>
      </c>
    </row>
    <row r="70" spans="1:14" s="217" customFormat="1">
      <c r="A70" s="12">
        <v>2017</v>
      </c>
      <c r="B70" s="14">
        <v>17899.990234656456</v>
      </c>
      <c r="C70" s="14">
        <f t="shared" si="12"/>
        <v>2019.4136611336114</v>
      </c>
      <c r="D70" s="14">
        <v>36147484.814023487</v>
      </c>
      <c r="E70" s="159">
        <f t="shared" si="14"/>
        <v>3.3248697916666661</v>
      </c>
      <c r="F70" s="159">
        <f t="shared" si="13"/>
        <v>2.9130584144476441</v>
      </c>
      <c r="G70" s="159">
        <f t="shared" si="13"/>
        <v>2.6362456365151634</v>
      </c>
      <c r="H70" s="14">
        <v>105299.73479860956</v>
      </c>
      <c r="I70" s="14">
        <v>95293.649111967548</v>
      </c>
      <c r="J70" s="14">
        <v>530348.72888840269</v>
      </c>
      <c r="K70" s="14">
        <v>478020.92672359571</v>
      </c>
      <c r="L70" s="14">
        <v>52327.802164806955</v>
      </c>
      <c r="M70" s="14">
        <v>29.840268333774368</v>
      </c>
      <c r="N70" s="14">
        <v>20.27276832417094</v>
      </c>
    </row>
    <row r="71" spans="1:14" s="217" customFormat="1">
      <c r="A71" s="12">
        <v>2018</v>
      </c>
      <c r="B71" s="14">
        <v>17828.443213892482</v>
      </c>
      <c r="C71" s="14">
        <f t="shared" si="12"/>
        <v>2019.4136611336119</v>
      </c>
      <c r="D71" s="14">
        <v>36003001.782879315</v>
      </c>
      <c r="E71" s="159">
        <f t="shared" si="14"/>
        <v>3.3248697916666661</v>
      </c>
      <c r="F71" s="159">
        <f t="shared" si="13"/>
        <v>2.8669229514588972</v>
      </c>
      <c r="G71" s="159">
        <f t="shared" si="13"/>
        <v>2.5209069790432963</v>
      </c>
      <c r="H71" s="14">
        <v>103217.8321327523</v>
      </c>
      <c r="I71" s="14">
        <v>90760.218460968696</v>
      </c>
      <c r="J71" s="14">
        <v>633566.56102115498</v>
      </c>
      <c r="K71" s="14">
        <v>568781.1451845644</v>
      </c>
      <c r="L71" s="14">
        <v>64785.415836590604</v>
      </c>
      <c r="M71" s="14">
        <v>36.944303270952204</v>
      </c>
      <c r="N71" s="14">
        <v>25.099080636021597</v>
      </c>
    </row>
    <row r="72" spans="1:14" s="217" customFormat="1">
      <c r="A72" s="12">
        <v>2019</v>
      </c>
      <c r="B72" s="14">
        <v>17910.642044355678</v>
      </c>
      <c r="C72" s="14">
        <f t="shared" si="12"/>
        <v>2019.4136611336116</v>
      </c>
      <c r="D72" s="14">
        <v>36168995.224045895</v>
      </c>
      <c r="E72" s="159">
        <f t="shared" si="14"/>
        <v>3.3248697916666661</v>
      </c>
      <c r="F72" s="159">
        <f t="shared" si="13"/>
        <v>2.8438552199645235</v>
      </c>
      <c r="G72" s="159">
        <f t="shared" si="13"/>
        <v>2.5209069790432959</v>
      </c>
      <c r="H72" s="14">
        <v>102859.38586877484</v>
      </c>
      <c r="I72" s="14">
        <v>91178.672485280928</v>
      </c>
      <c r="J72" s="14">
        <v>736425.94688992982</v>
      </c>
      <c r="K72" s="14">
        <v>659959.81766984519</v>
      </c>
      <c r="L72" s="14">
        <v>76466.129220084578</v>
      </c>
      <c r="M72" s="14">
        <v>43.605305783451925</v>
      </c>
      <c r="N72" s="14">
        <v>29.624407259501968</v>
      </c>
    </row>
    <row r="73" spans="1:14" s="217" customFormat="1">
      <c r="A73" s="12">
        <v>2020</v>
      </c>
      <c r="B73" s="14">
        <v>17933.720722212853</v>
      </c>
      <c r="C73" s="14">
        <f t="shared" si="12"/>
        <v>2019.4136611336119</v>
      </c>
      <c r="D73" s="14">
        <v>36215600.62139158</v>
      </c>
      <c r="E73" s="159">
        <f t="shared" si="14"/>
        <v>3.3248697916666661</v>
      </c>
      <c r="F73" s="159">
        <f t="shared" si="13"/>
        <v>2.8207874884701503</v>
      </c>
      <c r="G73" s="159">
        <f t="shared" si="13"/>
        <v>2.5209069790432954</v>
      </c>
      <c r="H73" s="14">
        <v>102156.51312025316</v>
      </c>
      <c r="I73" s="14">
        <v>91296.160356710752</v>
      </c>
      <c r="J73" s="14">
        <v>838582.46001018304</v>
      </c>
      <c r="K73" s="14">
        <v>751255.97802655597</v>
      </c>
      <c r="L73" s="14">
        <v>87326.481983627018</v>
      </c>
      <c r="M73" s="14">
        <v>49.798492335466342</v>
      </c>
      <c r="N73" s="14">
        <v>33.831910850052914</v>
      </c>
    </row>
    <row r="74" spans="1:14" s="217" customFormat="1">
      <c r="A74" s="12">
        <v>2021</v>
      </c>
      <c r="B74" s="14">
        <v>17844.33564302302</v>
      </c>
      <c r="C74" s="14">
        <f t="shared" si="12"/>
        <v>2019.4136611336119</v>
      </c>
      <c r="D74" s="14">
        <v>36035095.17137412</v>
      </c>
      <c r="E74" s="159">
        <f t="shared" si="14"/>
        <v>3.3248697916666661</v>
      </c>
      <c r="F74" s="159">
        <f t="shared" si="13"/>
        <v>2.7746520254814033</v>
      </c>
      <c r="G74" s="159">
        <f t="shared" si="13"/>
        <v>2.4055683215714287</v>
      </c>
      <c r="H74" s="14">
        <v>99984.849805668346</v>
      </c>
      <c r="I74" s="14">
        <v>86684.883409069138</v>
      </c>
      <c r="J74" s="14">
        <v>938567.30981585139</v>
      </c>
      <c r="K74" s="14">
        <v>837940.861435625</v>
      </c>
      <c r="L74" s="14">
        <v>100626.44838022633</v>
      </c>
      <c r="M74" s="14">
        <v>57.382884373464449</v>
      </c>
      <c r="N74" s="14">
        <v>38.984566347188462</v>
      </c>
    </row>
    <row r="75" spans="1:14" s="217" customFormat="1">
      <c r="A75" s="12">
        <v>2022</v>
      </c>
      <c r="B75" s="14">
        <v>17627.029791451663</v>
      </c>
      <c r="C75" s="14">
        <f t="shared" si="12"/>
        <v>2019.4136611336114</v>
      </c>
      <c r="D75" s="14">
        <v>35596264.766066641</v>
      </c>
      <c r="E75" s="159">
        <f t="shared" si="14"/>
        <v>3.3248697916666661</v>
      </c>
      <c r="F75" s="159">
        <f t="shared" si="13"/>
        <v>2.7515842939870305</v>
      </c>
      <c r="G75" s="159">
        <f t="shared" si="13"/>
        <v>2.4055683215714287</v>
      </c>
      <c r="H75" s="14">
        <v>97946.123054912896</v>
      </c>
      <c r="I75" s="14">
        <v>85629.246887519126</v>
      </c>
      <c r="J75" s="14">
        <v>1036513.4328707643</v>
      </c>
      <c r="K75" s="14">
        <v>923570.10832314414</v>
      </c>
      <c r="L75" s="14">
        <v>112943.3245476202</v>
      </c>
      <c r="M75" s="14">
        <v>64.406662836609769</v>
      </c>
      <c r="N75" s="14">
        <v>43.756354320102972</v>
      </c>
    </row>
    <row r="76" spans="1:14" s="248" customFormat="1">
      <c r="A76" s="246">
        <v>2023</v>
      </c>
      <c r="B76" s="210">
        <v>17448.765273825171</v>
      </c>
      <c r="C76" s="210">
        <f>D76/B76</f>
        <v>2019.4136611336116</v>
      </c>
      <c r="D76" s="210">
        <v>35236274.963876314</v>
      </c>
      <c r="E76" s="247">
        <f t="shared" si="14"/>
        <v>3.3248697916666661</v>
      </c>
      <c r="F76" s="247">
        <f t="shared" si="13"/>
        <v>2.7054488309982831</v>
      </c>
      <c r="G76" s="247">
        <f t="shared" si="13"/>
        <v>2.4055683215714287</v>
      </c>
      <c r="H76" s="210">
        <v>95329.938909753255</v>
      </c>
      <c r="I76" s="210">
        <v>84763.266823281301</v>
      </c>
      <c r="J76" s="210">
        <v>1131843.3717805175</v>
      </c>
      <c r="K76" s="210">
        <v>1008333.3751464253</v>
      </c>
      <c r="L76" s="210">
        <v>123509.99663409212</v>
      </c>
      <c r="M76" s="210">
        <v>70.432376079108394</v>
      </c>
      <c r="N76" s="210">
        <v>47.850080528818076</v>
      </c>
    </row>
    <row r="77" spans="1:14" s="248" customFormat="1">
      <c r="A77" s="246">
        <v>2024</v>
      </c>
      <c r="B77" s="210">
        <v>17272.335754409512</v>
      </c>
      <c r="C77" s="210">
        <f>D77/B77</f>
        <v>2019.4136611336112</v>
      </c>
      <c r="D77" s="210">
        <v>34879990.782141089</v>
      </c>
      <c r="E77" s="247">
        <f t="shared" si="14"/>
        <v>3.3248697916666661</v>
      </c>
      <c r="F77" s="247">
        <f t="shared" ref="F77:G79" si="15">(H77*1000)/$D77</f>
        <v>2.6823810995039099</v>
      </c>
      <c r="G77" s="247">
        <f t="shared" si="15"/>
        <v>2.2902296640995621</v>
      </c>
      <c r="H77" s="210">
        <v>93561.42802488587</v>
      </c>
      <c r="I77" s="210">
        <v>79883.189572778807</v>
      </c>
      <c r="J77" s="210">
        <v>1225404.7998054032</v>
      </c>
      <c r="K77" s="210">
        <v>1088216.5647192043</v>
      </c>
      <c r="L77" s="210">
        <v>137188.23508619913</v>
      </c>
      <c r="M77" s="210">
        <v>78.232480208433628</v>
      </c>
      <c r="N77" s="210">
        <v>53.149285688419219</v>
      </c>
    </row>
    <row r="78" spans="1:14" s="248" customFormat="1">
      <c r="A78" s="246">
        <v>2025</v>
      </c>
      <c r="B78" s="210">
        <v>17097.721967692945</v>
      </c>
      <c r="C78" s="210">
        <f>D78/B78</f>
        <v>2019.4136611336114</v>
      </c>
      <c r="D78" s="210">
        <v>34527373.315823384</v>
      </c>
      <c r="E78" s="247">
        <f t="shared" si="14"/>
        <v>3.3248697916666661</v>
      </c>
      <c r="F78" s="247">
        <f t="shared" si="15"/>
        <v>2.6362456365151634</v>
      </c>
      <c r="G78" s="247">
        <f t="shared" si="15"/>
        <v>2.2902296640995621</v>
      </c>
      <c r="H78" s="210">
        <v>91022.637244169484</v>
      </c>
      <c r="I78" s="210">
        <v>79075.614591338366</v>
      </c>
      <c r="J78" s="210">
        <v>1316427.4370495728</v>
      </c>
      <c r="K78" s="210">
        <v>1167292.1793105425</v>
      </c>
      <c r="L78" s="210">
        <v>149135.25773903023</v>
      </c>
      <c r="M78" s="210">
        <v>85.045347307788447</v>
      </c>
      <c r="N78" s="210">
        <v>57.777785498934051</v>
      </c>
    </row>
    <row r="79" spans="1:14" s="248" customFormat="1">
      <c r="A79" s="246">
        <v>2026</v>
      </c>
      <c r="B79" s="210">
        <v>16924.904854830547</v>
      </c>
      <c r="C79" s="210">
        <f>D79/B79</f>
        <v>2019.4136611336116</v>
      </c>
      <c r="D79" s="210">
        <v>34178384.077231392</v>
      </c>
      <c r="E79" s="247">
        <f t="shared" si="14"/>
        <v>3.3248697916666661</v>
      </c>
      <c r="F79" s="247">
        <f t="shared" si="15"/>
        <v>2.6131779050207902</v>
      </c>
      <c r="G79" s="247">
        <f t="shared" si="15"/>
        <v>2.2902296640995621</v>
      </c>
      <c r="H79" s="210">
        <v>89314.198099935456</v>
      </c>
      <c r="I79" s="210">
        <v>78276.349084663467</v>
      </c>
      <c r="J79" s="210">
        <v>1405741.6351495082</v>
      </c>
      <c r="K79" s="210">
        <v>1245568.5283952062</v>
      </c>
      <c r="L79" s="210">
        <v>160173.10675430222</v>
      </c>
      <c r="M79" s="210">
        <v>91.339752247748294</v>
      </c>
      <c r="N79" s="210">
        <v>62.054054453992173</v>
      </c>
    </row>
    <row r="80" spans="1:14" s="217" customFormat="1">
      <c r="A80" s="16"/>
      <c r="B80" s="18"/>
      <c r="C80" s="18"/>
      <c r="D80" s="18"/>
      <c r="E80" s="18"/>
      <c r="F80" s="18"/>
      <c r="G80" s="18"/>
      <c r="H80" s="18"/>
      <c r="I80" s="18"/>
      <c r="J80" s="18"/>
      <c r="K80" s="18"/>
      <c r="L80" s="18"/>
      <c r="M80" s="18"/>
      <c r="N80" s="249"/>
    </row>
    <row r="82" spans="1:14" s="9" customFormat="1">
      <c r="A82" s="233" t="s">
        <v>167</v>
      </c>
      <c r="B82" s="234"/>
      <c r="C82" s="235"/>
      <c r="D82" s="235"/>
      <c r="E82" s="235"/>
      <c r="F82" s="235"/>
      <c r="G82" s="235"/>
      <c r="H82" s="235"/>
      <c r="I82" s="235"/>
      <c r="J82" s="236"/>
      <c r="K82" s="236"/>
      <c r="L82" s="236"/>
      <c r="M82" s="235"/>
      <c r="N82" s="237"/>
    </row>
    <row r="83" spans="1:14" s="9" customFormat="1" ht="26.4">
      <c r="A83" s="250"/>
      <c r="B83" s="239"/>
      <c r="C83" s="239"/>
      <c r="D83" s="239"/>
      <c r="E83" s="239"/>
      <c r="F83" s="239"/>
      <c r="G83" s="239"/>
      <c r="H83" s="244" t="str">
        <f>$H$8</f>
        <v>Code w/o Acceleration</v>
      </c>
      <c r="I83" s="244" t="str">
        <f>$I$8</f>
        <v xml:space="preserve">Code  Acceleration </v>
      </c>
      <c r="J83" s="243" t="str">
        <f>$H$8</f>
        <v>Code w/o Acceleration</v>
      </c>
      <c r="K83" s="243" t="str">
        <f>$I$8</f>
        <v xml:space="preserve">Code  Acceleration </v>
      </c>
      <c r="L83" s="243"/>
      <c r="M83" s="251"/>
      <c r="N83" s="251"/>
    </row>
    <row r="84" spans="1:14" s="9" customFormat="1" ht="66">
      <c r="A84" s="242" t="s">
        <v>17</v>
      </c>
      <c r="B84" s="243" t="str">
        <f>$B$9</f>
        <v>Houses
built</v>
      </c>
      <c r="C84" s="244" t="str">
        <f>$C$9</f>
        <v>Average
sq.ft./home</v>
      </c>
      <c r="D84" s="244" t="str">
        <f>$D$9</f>
        <v>Total sq.ft
of all
houses built</v>
      </c>
      <c r="E84" s="244" t="s">
        <v>166</v>
      </c>
      <c r="F84" s="244" t="str">
        <f>$F$34</f>
        <v>Code w/o Acceleration Home (kWh/sq.ft.)</v>
      </c>
      <c r="G84" s="244" t="str">
        <f>$G$34</f>
        <v>Code  Acceleration Home (kWh/sq.ft.)</v>
      </c>
      <c r="H84" s="244" t="str">
        <f>$H$9</f>
        <v>Total
New Construction Annual MWh Load</v>
      </c>
      <c r="I84" s="244" t="str">
        <f>$I$9</f>
        <v>Total
New Construction Annual MWh Load</v>
      </c>
      <c r="J84" s="244" t="str">
        <f>$J$9</f>
        <v xml:space="preserve"> Cumulative
New Construction Annual MWh Load</v>
      </c>
      <c r="K84" s="244" t="str">
        <f>$K$9</f>
        <v xml:space="preserve"> Cumulative
New Construction Annual MWh Load</v>
      </c>
      <c r="L84" s="243" t="str">
        <f>$L$9</f>
        <v>Cumulative Impact on FPL Load Due to Accelerated Code Requirements
Annual Energy (MWh)</v>
      </c>
      <c r="M84" s="244" t="str">
        <f>$M$9</f>
        <v>Cumulative Impact on FPL Load Due to Accelerated Code Requirements
Summer Demand (MW)</v>
      </c>
      <c r="N84" s="244" t="str">
        <f>$N$9</f>
        <v>Cumulative Impact on FPL Load Due to Accelerated Code Requirements
Winter Demand (MW)</v>
      </c>
    </row>
    <row r="85" spans="1:14">
      <c r="A85" s="12">
        <v>2007</v>
      </c>
      <c r="B85" s="14">
        <v>42918.807558773275</v>
      </c>
      <c r="C85" s="14">
        <f>D85/B85</f>
        <v>1787.6310351980489</v>
      </c>
      <c r="D85" s="14">
        <v>76722992.385755718</v>
      </c>
      <c r="E85" s="159">
        <f>F85</f>
        <v>3.8077256944444442</v>
      </c>
      <c r="F85" s="159">
        <f>(H85*1000)/$D85</f>
        <v>3.8077256944444442</v>
      </c>
      <c r="G85" s="159">
        <f>(I85*1000)/$D85</f>
        <v>3.8077256944444442</v>
      </c>
      <c r="H85" s="14">
        <v>292140.10946190753</v>
      </c>
      <c r="I85" s="14">
        <v>292140.10946190753</v>
      </c>
      <c r="J85" s="252" t="s">
        <v>111</v>
      </c>
      <c r="K85" s="252" t="s">
        <v>111</v>
      </c>
      <c r="L85" s="252" t="s">
        <v>111</v>
      </c>
      <c r="M85" s="252" t="s">
        <v>111</v>
      </c>
      <c r="N85" s="252" t="s">
        <v>111</v>
      </c>
    </row>
    <row r="86" spans="1:14">
      <c r="A86" s="12">
        <v>2008</v>
      </c>
      <c r="B86" s="14">
        <v>29679.105336411896</v>
      </c>
      <c r="C86" s="14">
        <f t="shared" ref="C86:C100" si="16">D86/B86</f>
        <v>1787.6310351980489</v>
      </c>
      <c r="D86" s="14">
        <v>53055289.796281934</v>
      </c>
      <c r="E86" s="159">
        <f>E85</f>
        <v>3.8077256944444442</v>
      </c>
      <c r="F86" s="159">
        <f t="shared" ref="F86:G101" si="17">(H86*1000)/$D86</f>
        <v>3.8077256944444446</v>
      </c>
      <c r="G86" s="159">
        <f t="shared" si="17"/>
        <v>3.8077256944444446</v>
      </c>
      <c r="H86" s="14">
        <v>202019.99018349889</v>
      </c>
      <c r="I86" s="14">
        <v>202019.99018349889</v>
      </c>
      <c r="J86" s="252" t="s">
        <v>111</v>
      </c>
      <c r="K86" s="252" t="s">
        <v>111</v>
      </c>
      <c r="L86" s="252" t="s">
        <v>111</v>
      </c>
      <c r="M86" s="252" t="s">
        <v>111</v>
      </c>
      <c r="N86" s="252" t="s">
        <v>111</v>
      </c>
    </row>
    <row r="87" spans="1:14">
      <c r="A87" s="12">
        <v>2009</v>
      </c>
      <c r="B87" s="14">
        <v>16370.9915067532</v>
      </c>
      <c r="C87" s="14">
        <f t="shared" si="16"/>
        <v>1787.6310351980489</v>
      </c>
      <c r="D87" s="14">
        <v>29265292.49443569</v>
      </c>
      <c r="E87" s="159">
        <f t="shared" ref="E87:E104" si="18">E86</f>
        <v>3.8077256944444442</v>
      </c>
      <c r="F87" s="159">
        <f t="shared" si="17"/>
        <v>3.7287537943536848</v>
      </c>
      <c r="G87" s="159">
        <f t="shared" si="17"/>
        <v>3.3210792020503219</v>
      </c>
      <c r="H87" s="14">
        <v>109123.0704314975</v>
      </c>
      <c r="I87" s="14">
        <v>97192.354245189752</v>
      </c>
      <c r="J87" s="14">
        <v>109123.0704314975</v>
      </c>
      <c r="K87" s="14">
        <v>97192.354245189752</v>
      </c>
      <c r="L87" s="14">
        <v>11930.716186307756</v>
      </c>
      <c r="M87" s="14">
        <v>6.2222795391753927</v>
      </c>
      <c r="N87" s="14">
        <v>2.0091273663466169</v>
      </c>
    </row>
    <row r="88" spans="1:14">
      <c r="A88" s="12">
        <v>2010</v>
      </c>
      <c r="B88" s="14">
        <v>10543.683447756006</v>
      </c>
      <c r="C88" s="14">
        <f t="shared" si="16"/>
        <v>1787.6310351980487</v>
      </c>
      <c r="D88" s="14">
        <v>18848215.756512601</v>
      </c>
      <c r="E88" s="159">
        <f t="shared" si="18"/>
        <v>3.8077256944444442</v>
      </c>
      <c r="F88" s="159">
        <f t="shared" si="17"/>
        <v>3.6705145668817769</v>
      </c>
      <c r="G88" s="159">
        <f t="shared" si="17"/>
        <v>3.3210792020503219</v>
      </c>
      <c r="H88" s="14">
        <v>69182.650494010129</v>
      </c>
      <c r="I88" s="14">
        <v>62596.417344711175</v>
      </c>
      <c r="J88" s="14">
        <v>178305.72092550763</v>
      </c>
      <c r="K88" s="14">
        <v>159788.77158990092</v>
      </c>
      <c r="L88" s="14">
        <v>18516.949335606711</v>
      </c>
      <c r="M88" s="14">
        <v>9.6572270415016739</v>
      </c>
      <c r="N88" s="14">
        <v>3.1182461363146854</v>
      </c>
    </row>
    <row r="89" spans="1:14">
      <c r="A89" s="12">
        <v>2011</v>
      </c>
      <c r="B89" s="14">
        <v>11145.592465986738</v>
      </c>
      <c r="C89" s="14">
        <f t="shared" si="16"/>
        <v>1787.6310351980489</v>
      </c>
      <c r="D89" s="14">
        <v>19924206.997867446</v>
      </c>
      <c r="E89" s="159">
        <f t="shared" si="18"/>
        <v>3.8077256944444442</v>
      </c>
      <c r="F89" s="159">
        <f t="shared" si="17"/>
        <v>3.6413949531458214</v>
      </c>
      <c r="G89" s="159">
        <f t="shared" si="17"/>
        <v>3.3210792020503219</v>
      </c>
      <c r="H89" s="14">
        <v>72551.906807467181</v>
      </c>
      <c r="I89" s="14">
        <v>66169.86947796306</v>
      </c>
      <c r="J89" s="14">
        <v>250857.62773297483</v>
      </c>
      <c r="K89" s="14">
        <v>225958.64106786399</v>
      </c>
      <c r="L89" s="14">
        <v>24898.986665110817</v>
      </c>
      <c r="M89" s="14">
        <v>12.985679388662614</v>
      </c>
      <c r="N89" s="14">
        <v>4.1929784199028166</v>
      </c>
    </row>
    <row r="90" spans="1:14">
      <c r="A90" s="12">
        <v>2012</v>
      </c>
      <c r="B90" s="14">
        <v>14188.382818929913</v>
      </c>
      <c r="C90" s="14">
        <f t="shared" si="16"/>
        <v>1787.6310351980492</v>
      </c>
      <c r="D90" s="14">
        <v>25363593.466389894</v>
      </c>
      <c r="E90" s="159">
        <f t="shared" si="18"/>
        <v>3.8077256944444442</v>
      </c>
      <c r="F90" s="159">
        <f t="shared" si="17"/>
        <v>3.5831557256739126</v>
      </c>
      <c r="G90" s="159">
        <f t="shared" si="17"/>
        <v>3.1754811333705488</v>
      </c>
      <c r="H90" s="14">
        <v>90881.705152760391</v>
      </c>
      <c r="I90" s="14">
        <v>80541.612527001635</v>
      </c>
      <c r="J90" s="14">
        <v>341739.3328857352</v>
      </c>
      <c r="K90" s="14">
        <v>306500.25359486562</v>
      </c>
      <c r="L90" s="14">
        <v>35239.079290869588</v>
      </c>
      <c r="M90" s="14">
        <v>18.378393939384672</v>
      </c>
      <c r="N90" s="14">
        <v>5.934245477182464</v>
      </c>
    </row>
    <row r="91" spans="1:14">
      <c r="A91" s="12">
        <v>2013</v>
      </c>
      <c r="B91" s="14">
        <v>20911.210440079798</v>
      </c>
      <c r="C91" s="14">
        <f t="shared" si="16"/>
        <v>1787.6310351980489</v>
      </c>
      <c r="D91" s="14">
        <v>37381528.766244099</v>
      </c>
      <c r="E91" s="159">
        <f t="shared" si="18"/>
        <v>3.8077256944444442</v>
      </c>
      <c r="F91" s="159">
        <f t="shared" si="17"/>
        <v>3.554036111937958</v>
      </c>
      <c r="G91" s="159">
        <f t="shared" si="17"/>
        <v>3.1754811333705488</v>
      </c>
      <c r="H91" s="14">
        <v>132855.3031546791</v>
      </c>
      <c r="I91" s="14">
        <v>118704.33933375658</v>
      </c>
      <c r="J91" s="14">
        <v>474594.63604041433</v>
      </c>
      <c r="K91" s="14">
        <v>425204.59292862221</v>
      </c>
      <c r="L91" s="14">
        <v>49390.043111792096</v>
      </c>
      <c r="M91" s="14">
        <v>25.758609114026846</v>
      </c>
      <c r="N91" s="14">
        <v>8.3172615701664849</v>
      </c>
    </row>
    <row r="92" spans="1:14">
      <c r="A92" s="12">
        <v>2014</v>
      </c>
      <c r="B92" s="14">
        <v>26381.981041067007</v>
      </c>
      <c r="C92" s="14">
        <f t="shared" si="16"/>
        <v>1787.6310351980489</v>
      </c>
      <c r="D92" s="14">
        <v>47161248.079017915</v>
      </c>
      <c r="E92" s="159">
        <f t="shared" si="18"/>
        <v>3.8077256944444442</v>
      </c>
      <c r="F92" s="159">
        <f t="shared" si="17"/>
        <v>3.4957968844660496</v>
      </c>
      <c r="G92" s="159">
        <f t="shared" si="17"/>
        <v>3.1754811333705493</v>
      </c>
      <c r="H92" s="14">
        <v>164866.14410216128</v>
      </c>
      <c r="I92" s="14">
        <v>149759.65350112945</v>
      </c>
      <c r="J92" s="14">
        <v>639460.78014257562</v>
      </c>
      <c r="K92" s="14">
        <v>574964.24642975163</v>
      </c>
      <c r="L92" s="14">
        <v>64496.533712823933</v>
      </c>
      <c r="M92" s="14">
        <v>33.637164425184181</v>
      </c>
      <c r="N92" s="14">
        <v>10.861187953297037</v>
      </c>
    </row>
    <row r="93" spans="1:14">
      <c r="A93" s="12">
        <v>2015</v>
      </c>
      <c r="B93" s="14">
        <v>37562.559654965138</v>
      </c>
      <c r="C93" s="14">
        <f t="shared" si="16"/>
        <v>1787.6310351980492</v>
      </c>
      <c r="D93" s="14">
        <v>67147997.400693804</v>
      </c>
      <c r="E93" s="159">
        <f t="shared" si="18"/>
        <v>3.8077256944444442</v>
      </c>
      <c r="F93" s="159">
        <f t="shared" si="17"/>
        <v>3.466677270730095</v>
      </c>
      <c r="G93" s="159">
        <f t="shared" si="17"/>
        <v>3.0298830646907762</v>
      </c>
      <c r="H93" s="14">
        <v>232780.43636402872</v>
      </c>
      <c r="I93" s="14">
        <v>203450.58015226241</v>
      </c>
      <c r="J93" s="14">
        <v>872241.21650660434</v>
      </c>
      <c r="K93" s="14">
        <v>778414.8265820141</v>
      </c>
      <c r="L93" s="14">
        <v>93826.389924590243</v>
      </c>
      <c r="M93" s="14">
        <v>48.933694938823706</v>
      </c>
      <c r="N93" s="14">
        <v>15.800322859020362</v>
      </c>
    </row>
    <row r="94" spans="1:14">
      <c r="A94" s="12">
        <v>2016</v>
      </c>
      <c r="B94" s="14">
        <v>46369.381773507965</v>
      </c>
      <c r="C94" s="14">
        <f t="shared" si="16"/>
        <v>1787.6310351980487</v>
      </c>
      <c r="D94" s="14">
        <v>82891345.941269577</v>
      </c>
      <c r="E94" s="159">
        <f t="shared" si="18"/>
        <v>3.8077256944444442</v>
      </c>
      <c r="F94" s="159">
        <f t="shared" si="17"/>
        <v>3.4084380432581858</v>
      </c>
      <c r="G94" s="159">
        <f t="shared" si="17"/>
        <v>3.0298830646907766</v>
      </c>
      <c r="H94" s="14">
        <v>282530.01696309826</v>
      </c>
      <c r="I94" s="14">
        <v>251151.08527687722</v>
      </c>
      <c r="J94" s="14">
        <v>1154771.2334697025</v>
      </c>
      <c r="K94" s="14">
        <v>1029565.9118588913</v>
      </c>
      <c r="L94" s="14">
        <v>125205.32161081128</v>
      </c>
      <c r="M94" s="14">
        <v>65.298888909025735</v>
      </c>
      <c r="N94" s="14">
        <v>21.084521174781166</v>
      </c>
    </row>
    <row r="95" spans="1:14" s="217" customFormat="1">
      <c r="A95" s="12">
        <v>2017</v>
      </c>
      <c r="B95" s="14">
        <v>48190.716573857782</v>
      </c>
      <c r="C95" s="14">
        <f t="shared" si="16"/>
        <v>1787.6310351980489</v>
      </c>
      <c r="D95" s="14">
        <v>86147220.55586116</v>
      </c>
      <c r="E95" s="159">
        <f t="shared" si="18"/>
        <v>3.8077256944444442</v>
      </c>
      <c r="F95" s="159">
        <f t="shared" si="17"/>
        <v>3.3793184295222307</v>
      </c>
      <c r="G95" s="159">
        <f t="shared" si="17"/>
        <v>3.0298830646907757</v>
      </c>
      <c r="H95" s="14">
        <v>291118.89007653797</v>
      </c>
      <c r="I95" s="14">
        <v>261016.00463238481</v>
      </c>
      <c r="J95" s="14">
        <v>1445890.1235462406</v>
      </c>
      <c r="K95" s="14">
        <v>1290581.9164912761</v>
      </c>
      <c r="L95" s="14">
        <v>155308.20705496462</v>
      </c>
      <c r="M95" s="14">
        <v>80.998580800469682</v>
      </c>
      <c r="N95" s="14">
        <v>26.153833863759182</v>
      </c>
    </row>
    <row r="96" spans="1:14" s="217" customFormat="1">
      <c r="A96" s="12">
        <v>2018</v>
      </c>
      <c r="B96" s="14">
        <v>48011.945144935882</v>
      </c>
      <c r="C96" s="14">
        <f t="shared" si="16"/>
        <v>1787.6310351980489</v>
      </c>
      <c r="D96" s="14">
        <v>85827643.201313674</v>
      </c>
      <c r="E96" s="159">
        <f t="shared" si="18"/>
        <v>3.8077256944444442</v>
      </c>
      <c r="F96" s="159">
        <f t="shared" si="17"/>
        <v>3.3210792020503224</v>
      </c>
      <c r="G96" s="159">
        <f t="shared" si="17"/>
        <v>2.8842849960110031</v>
      </c>
      <c r="H96" s="14">
        <v>285040.40079687856</v>
      </c>
      <c r="I96" s="14">
        <v>247551.38352853479</v>
      </c>
      <c r="J96" s="14">
        <v>1730930.5243431192</v>
      </c>
      <c r="K96" s="14">
        <v>1538133.3000198109</v>
      </c>
      <c r="L96" s="14">
        <v>192797.22432330833</v>
      </c>
      <c r="M96" s="14">
        <v>100.55039491204131</v>
      </c>
      <c r="N96" s="14">
        <v>32.466967908277923</v>
      </c>
    </row>
    <row r="97" spans="1:14" s="217" customFormat="1">
      <c r="A97" s="12">
        <v>2019</v>
      </c>
      <c r="B97" s="14">
        <v>48227.907071752561</v>
      </c>
      <c r="C97" s="14">
        <f t="shared" si="16"/>
        <v>1787.6310351980487</v>
      </c>
      <c r="D97" s="14">
        <v>86213703.444112331</v>
      </c>
      <c r="E97" s="159">
        <f t="shared" si="18"/>
        <v>3.8077256944444442</v>
      </c>
      <c r="F97" s="159">
        <f t="shared" si="17"/>
        <v>3.2919595883143673</v>
      </c>
      <c r="G97" s="159">
        <f t="shared" si="17"/>
        <v>2.8842849960110031</v>
      </c>
      <c r="H97" s="14">
        <v>283812.02769693697</v>
      </c>
      <c r="I97" s="14">
        <v>248664.89129439532</v>
      </c>
      <c r="J97" s="14">
        <v>2014742.5520400563</v>
      </c>
      <c r="K97" s="14">
        <v>1786798.1913142065</v>
      </c>
      <c r="L97" s="14">
        <v>227944.36072584987</v>
      </c>
      <c r="M97" s="14">
        <v>118.88083746746193</v>
      </c>
      <c r="N97" s="14">
        <v>38.385730243443085</v>
      </c>
    </row>
    <row r="98" spans="1:14" s="217" customFormat="1">
      <c r="A98" s="12">
        <v>2020</v>
      </c>
      <c r="B98" s="14">
        <v>48290.914116694665</v>
      </c>
      <c r="C98" s="14">
        <f t="shared" si="16"/>
        <v>1787.6310351980487</v>
      </c>
      <c r="D98" s="14">
        <v>86326336.793086946</v>
      </c>
      <c r="E98" s="159">
        <f t="shared" si="18"/>
        <v>3.8077256944444442</v>
      </c>
      <c r="F98" s="159">
        <f t="shared" si="17"/>
        <v>3.2337203608424585</v>
      </c>
      <c r="G98" s="159">
        <f t="shared" si="17"/>
        <v>2.8842849960110031</v>
      </c>
      <c r="H98" s="14">
        <v>279155.23296474875</v>
      </c>
      <c r="I98" s="14">
        <v>248989.75797289331</v>
      </c>
      <c r="J98" s="14">
        <v>2293897.7850048048</v>
      </c>
      <c r="K98" s="14">
        <v>2035787.9492870995</v>
      </c>
      <c r="L98" s="14">
        <v>258109.83571770543</v>
      </c>
      <c r="M98" s="14">
        <v>134.61317196442531</v>
      </c>
      <c r="N98" s="14">
        <v>43.465582984767678</v>
      </c>
    </row>
    <row r="99" spans="1:14" s="217" customFormat="1">
      <c r="A99" s="12">
        <v>2021</v>
      </c>
      <c r="B99" s="14">
        <v>48052.687599690085</v>
      </c>
      <c r="C99" s="14">
        <f t="shared" si="16"/>
        <v>1787.6310351980489</v>
      </c>
      <c r="D99" s="14">
        <v>85900475.677882433</v>
      </c>
      <c r="E99" s="159">
        <f t="shared" si="18"/>
        <v>3.8077256944444442</v>
      </c>
      <c r="F99" s="159">
        <f t="shared" si="17"/>
        <v>3.2046007471065034</v>
      </c>
      <c r="G99" s="159">
        <f t="shared" si="17"/>
        <v>2.73868692733123</v>
      </c>
      <c r="H99" s="14">
        <v>275276.7285341461</v>
      </c>
      <c r="I99" s="14">
        <v>235254.50979055089</v>
      </c>
      <c r="J99" s="14">
        <v>2569174.5135389511</v>
      </c>
      <c r="K99" s="14">
        <v>2271042.4590776507</v>
      </c>
      <c r="L99" s="14">
        <v>298132.05446130061</v>
      </c>
      <c r="M99" s="14">
        <v>155.48613792152952</v>
      </c>
      <c r="N99" s="14">
        <v>50.205307045251949</v>
      </c>
    </row>
    <row r="100" spans="1:14" s="217" customFormat="1">
      <c r="A100" s="12">
        <v>2022</v>
      </c>
      <c r="B100" s="14">
        <v>47469.074833104882</v>
      </c>
      <c r="C100" s="14">
        <f t="shared" si="16"/>
        <v>1787.6310351980489</v>
      </c>
      <c r="D100" s="14">
        <v>84857191.38379693</v>
      </c>
      <c r="E100" s="159">
        <f t="shared" si="18"/>
        <v>3.8077256944444442</v>
      </c>
      <c r="F100" s="159">
        <f t="shared" si="17"/>
        <v>3.1463615196345942</v>
      </c>
      <c r="G100" s="159">
        <f t="shared" si="17"/>
        <v>2.7386869273312295</v>
      </c>
      <c r="H100" s="14">
        <v>266991.40163424693</v>
      </c>
      <c r="I100" s="14">
        <v>232397.28073284891</v>
      </c>
      <c r="J100" s="14">
        <v>2836165.9151731981</v>
      </c>
      <c r="K100" s="14">
        <v>2503439.7398104994</v>
      </c>
      <c r="L100" s="14">
        <v>332726.17536269862</v>
      </c>
      <c r="M100" s="14">
        <v>173.52816384010464</v>
      </c>
      <c r="N100" s="14">
        <v>56.030941812883761</v>
      </c>
    </row>
    <row r="101" spans="1:14" s="248" customFormat="1">
      <c r="A101" s="246">
        <v>2023</v>
      </c>
      <c r="B101" s="210">
        <v>46987.029229581392</v>
      </c>
      <c r="C101" s="210">
        <f>D101/B101</f>
        <v>1787.6310351980489</v>
      </c>
      <c r="D101" s="210">
        <v>83995471.702557564</v>
      </c>
      <c r="E101" s="247">
        <f t="shared" si="18"/>
        <v>3.8077256944444442</v>
      </c>
      <c r="F101" s="247">
        <f t="shared" si="17"/>
        <v>3.11724190589864</v>
      </c>
      <c r="G101" s="247">
        <f t="shared" si="17"/>
        <v>2.7386869273312304</v>
      </c>
      <c r="H101" s="210">
        <v>261834.20429693582</v>
      </c>
      <c r="I101" s="210">
        <v>230037.30030681466</v>
      </c>
      <c r="J101" s="210">
        <v>3098000.1194701339</v>
      </c>
      <c r="K101" s="210">
        <v>2733477.0401173141</v>
      </c>
      <c r="L101" s="210">
        <v>364523.07935281983</v>
      </c>
      <c r="M101" s="210">
        <v>190.11134476715711</v>
      </c>
      <c r="N101" s="210">
        <v>61.385526481066933</v>
      </c>
    </row>
    <row r="102" spans="1:14" s="248" customFormat="1">
      <c r="A102" s="246">
        <v>2024</v>
      </c>
      <c r="B102" s="210">
        <v>46509.967041226715</v>
      </c>
      <c r="C102" s="210">
        <f>D102/B102</f>
        <v>1787.6310351980489</v>
      </c>
      <c r="D102" s="210">
        <v>83142660.528935254</v>
      </c>
      <c r="E102" s="247">
        <f t="shared" si="18"/>
        <v>3.8077256944444442</v>
      </c>
      <c r="F102" s="247">
        <f t="shared" ref="F102:G104" si="19">(H102*1000)/$D102</f>
        <v>3.0590026784267303</v>
      </c>
      <c r="G102" s="247">
        <f t="shared" si="19"/>
        <v>2.5930888586514573</v>
      </c>
      <c r="H102" s="210">
        <v>254333.62124953736</v>
      </c>
      <c r="I102" s="210">
        <v>215596.30669622228</v>
      </c>
      <c r="J102" s="210">
        <v>3352333.7407196714</v>
      </c>
      <c r="K102" s="210">
        <v>2949073.3468135362</v>
      </c>
      <c r="L102" s="210">
        <v>403260.39390613511</v>
      </c>
      <c r="M102" s="210">
        <v>210.31418892032838</v>
      </c>
      <c r="N102" s="210">
        <v>67.908873240179474</v>
      </c>
    </row>
    <row r="103" spans="1:14" s="248" customFormat="1">
      <c r="A103" s="246">
        <v>2025</v>
      </c>
      <c r="B103" s="210">
        <v>46037.835709833591</v>
      </c>
      <c r="C103" s="210">
        <f>D103/B103</f>
        <v>1787.6310351980489</v>
      </c>
      <c r="D103" s="210">
        <v>82298663.90824753</v>
      </c>
      <c r="E103" s="247">
        <f t="shared" si="18"/>
        <v>3.8077256944444442</v>
      </c>
      <c r="F103" s="247">
        <f t="shared" si="19"/>
        <v>3.0298830646907762</v>
      </c>
      <c r="G103" s="247">
        <f t="shared" si="19"/>
        <v>2.5930888586514569</v>
      </c>
      <c r="H103" s="210">
        <v>249355.32802227722</v>
      </c>
      <c r="I103" s="210">
        <v>213407.74846237744</v>
      </c>
      <c r="J103" s="210">
        <v>3601689.0687419483</v>
      </c>
      <c r="K103" s="210">
        <v>3162481.0952759134</v>
      </c>
      <c r="L103" s="210">
        <v>439207.97346603498</v>
      </c>
      <c r="M103" s="210">
        <v>229.0620901599157</v>
      </c>
      <c r="N103" s="210">
        <v>73.962429851525528</v>
      </c>
    </row>
    <row r="104" spans="1:14" s="248" customFormat="1">
      <c r="A104" s="246">
        <v>2026</v>
      </c>
      <c r="B104" s="210">
        <v>45570.583243704561</v>
      </c>
      <c r="C104" s="210">
        <f>D104/B104</f>
        <v>1787.6310351980489</v>
      </c>
      <c r="D104" s="210">
        <v>81463388.898522452</v>
      </c>
      <c r="E104" s="247">
        <f t="shared" si="18"/>
        <v>3.8077256944444442</v>
      </c>
      <c r="F104" s="247">
        <f t="shared" si="19"/>
        <v>2.9716438372188669</v>
      </c>
      <c r="G104" s="247">
        <f t="shared" si="19"/>
        <v>2.5930888586514569</v>
      </c>
      <c r="H104" s="210">
        <v>242080.1775792581</v>
      </c>
      <c r="I104" s="210">
        <v>211241.80614074934</v>
      </c>
      <c r="J104" s="210">
        <v>3843769.2463212064</v>
      </c>
      <c r="K104" s="210">
        <v>3373722.9014166626</v>
      </c>
      <c r="L104" s="210">
        <v>470046.34490454383</v>
      </c>
      <c r="M104" s="210">
        <v>245.14536333705655</v>
      </c>
      <c r="N104" s="210">
        <v>79.155598058961047</v>
      </c>
    </row>
    <row r="106" spans="1:14">
      <c r="A106" s="40" t="s">
        <v>345</v>
      </c>
    </row>
    <row r="107" spans="1:14">
      <c r="A107" s="40" t="s">
        <v>168</v>
      </c>
    </row>
    <row r="108" spans="1:14">
      <c r="A108" s="40"/>
    </row>
    <row r="109" spans="1:14">
      <c r="A109" s="40" t="s">
        <v>103</v>
      </c>
      <c r="B109" s="15"/>
    </row>
    <row r="110" spans="1:14">
      <c r="A110" s="40" t="s">
        <v>343</v>
      </c>
      <c r="B110" s="15"/>
    </row>
    <row r="111" spans="1:14">
      <c r="B111" s="15"/>
    </row>
    <row r="112" spans="1:14">
      <c r="B112" s="15"/>
    </row>
    <row r="113" spans="2:2">
      <c r="B113" s="15"/>
    </row>
    <row r="114" spans="2:2">
      <c r="B114" s="15"/>
    </row>
    <row r="115" spans="2:2">
      <c r="B115" s="15"/>
    </row>
    <row r="116" spans="2:2">
      <c r="B116" s="15"/>
    </row>
    <row r="117" spans="2:2">
      <c r="B117" s="15"/>
    </row>
  </sheetData>
  <mergeCells count="1">
    <mergeCell ref="L8:N8"/>
  </mergeCells>
  <pageMargins left="0.7" right="0.7" top="0.75" bottom="0.75" header="0.3" footer="0.3"/>
  <pageSetup scale="3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A1:T47"/>
  <sheetViews>
    <sheetView zoomScale="75" zoomScaleNormal="75" workbookViewId="0">
      <pane xSplit="1" ySplit="9" topLeftCell="B10" activePane="bottomRight" state="frozenSplit"/>
      <selection pane="topRight"/>
      <selection pane="bottomLeft"/>
      <selection pane="bottomRight" activeCell="A2" sqref="A1:A2"/>
    </sheetView>
  </sheetViews>
  <sheetFormatPr defaultColWidth="9.109375" defaultRowHeight="13.2"/>
  <cols>
    <col min="1" max="1" width="14.109375" style="5" customWidth="1"/>
    <col min="2" max="2" width="19.44140625" style="5" customWidth="1"/>
    <col min="3" max="3" width="16.88671875" style="5" customWidth="1"/>
    <col min="4" max="4" width="15.6640625" style="217" customWidth="1"/>
    <col min="5" max="5" width="15.88671875" style="5" customWidth="1"/>
    <col min="6" max="7" width="16.6640625" style="5" customWidth="1"/>
    <col min="8" max="8" width="17.5546875" style="217" customWidth="1"/>
    <col min="9" max="9" width="17.109375" style="217" customWidth="1"/>
    <col min="10" max="11" width="16.6640625" style="5" customWidth="1"/>
    <col min="12" max="12" width="22.88671875" style="5" customWidth="1"/>
    <col min="13" max="13" width="9.109375" style="5"/>
    <col min="14" max="14" width="14.6640625" style="5" customWidth="1"/>
    <col min="15" max="15" width="15" style="5" customWidth="1"/>
    <col min="16" max="16" width="24.109375" style="5" customWidth="1"/>
    <col min="17" max="17" width="9.109375" style="5"/>
    <col min="18" max="18" width="16.109375" style="5" customWidth="1"/>
    <col min="19" max="19" width="16.33203125" style="5" customWidth="1"/>
    <col min="20" max="20" width="23.5546875" style="5" customWidth="1"/>
    <col min="21" max="16384" width="9.109375" style="5"/>
  </cols>
  <sheetData>
    <row r="1" spans="1:20" s="2" customFormat="1" ht="15.6">
      <c r="A1" s="416" t="s">
        <v>396</v>
      </c>
      <c r="B1" s="1"/>
      <c r="C1" s="1"/>
      <c r="D1" s="221"/>
      <c r="E1" s="1"/>
      <c r="F1" s="1"/>
      <c r="G1" s="1"/>
      <c r="H1" s="221"/>
      <c r="I1" s="221"/>
      <c r="J1" s="1"/>
      <c r="K1" s="1"/>
      <c r="L1" s="1"/>
      <c r="M1" s="1"/>
      <c r="N1" s="1"/>
      <c r="O1" s="1"/>
      <c r="P1" s="1"/>
      <c r="Q1" s="1"/>
      <c r="R1" s="1"/>
      <c r="S1" s="1"/>
      <c r="T1" s="1"/>
    </row>
    <row r="2" spans="1:20" s="2" customFormat="1" ht="15.6">
      <c r="A2" s="416" t="s">
        <v>380</v>
      </c>
      <c r="B2" s="3"/>
      <c r="C2" s="3"/>
      <c r="D2" s="222"/>
      <c r="E2" s="1"/>
      <c r="F2" s="1"/>
      <c r="G2" s="1"/>
      <c r="H2" s="221"/>
      <c r="I2" s="221"/>
      <c r="J2" s="1"/>
      <c r="K2" s="1"/>
      <c r="L2" s="1"/>
      <c r="M2" s="1"/>
      <c r="N2" s="1"/>
      <c r="O2" s="1"/>
      <c r="P2" s="1"/>
      <c r="Q2" s="1"/>
      <c r="R2" s="1"/>
      <c r="S2" s="1"/>
      <c r="T2" s="1"/>
    </row>
    <row r="3" spans="1:20" s="2" customFormat="1" ht="15.6">
      <c r="A3" s="1" t="s">
        <v>316</v>
      </c>
      <c r="B3" s="3"/>
      <c r="C3" s="3"/>
      <c r="D3" s="222"/>
      <c r="E3" s="1"/>
      <c r="F3" s="1"/>
      <c r="G3" s="1"/>
      <c r="H3" s="221"/>
      <c r="I3" s="221"/>
      <c r="J3" s="1"/>
      <c r="K3" s="1"/>
      <c r="L3" s="1"/>
      <c r="M3" s="1"/>
      <c r="N3" s="1"/>
      <c r="O3" s="1"/>
      <c r="P3" s="1"/>
      <c r="Q3" s="1"/>
      <c r="R3" s="1"/>
      <c r="S3" s="1"/>
      <c r="T3" s="1"/>
    </row>
    <row r="4" spans="1:20">
      <c r="A4" s="4"/>
      <c r="B4" s="4"/>
      <c r="C4" s="4"/>
      <c r="D4" s="223"/>
      <c r="E4" s="4"/>
      <c r="F4" s="4"/>
      <c r="G4" s="4"/>
      <c r="H4" s="223"/>
      <c r="I4" s="223"/>
      <c r="J4" s="4"/>
      <c r="K4" s="4"/>
      <c r="L4" s="4"/>
      <c r="N4" s="4"/>
      <c r="O4" s="4"/>
      <c r="P4" s="4"/>
      <c r="R4" s="4"/>
      <c r="S4" s="4"/>
      <c r="T4" s="4"/>
    </row>
    <row r="5" spans="1:20" s="9" customFormat="1" ht="26.4">
      <c r="A5" s="6"/>
      <c r="B5" s="192" t="s">
        <v>326</v>
      </c>
      <c r="C5" s="206"/>
      <c r="D5" s="224"/>
      <c r="E5" s="47"/>
      <c r="F5" s="47"/>
      <c r="G5" s="47"/>
      <c r="H5" s="225"/>
      <c r="I5" s="225"/>
      <c r="J5" s="47" t="s">
        <v>2</v>
      </c>
      <c r="K5" s="47" t="s">
        <v>3</v>
      </c>
      <c r="L5" s="47" t="s">
        <v>327</v>
      </c>
      <c r="M5" s="49"/>
      <c r="N5" s="47" t="s">
        <v>2</v>
      </c>
      <c r="O5" s="47" t="s">
        <v>3</v>
      </c>
      <c r="P5" s="47" t="s">
        <v>327</v>
      </c>
      <c r="Q5" s="49"/>
      <c r="R5" s="47" t="s">
        <v>2</v>
      </c>
      <c r="S5" s="47" t="s">
        <v>3</v>
      </c>
      <c r="T5" s="47" t="s">
        <v>327</v>
      </c>
    </row>
    <row r="6" spans="1:20" s="9" customFormat="1" ht="26.4">
      <c r="A6" s="10"/>
      <c r="B6" s="56" t="s">
        <v>4</v>
      </c>
      <c r="C6" s="43" t="s">
        <v>4</v>
      </c>
      <c r="D6" s="226" t="s">
        <v>4</v>
      </c>
      <c r="E6" s="54" t="s">
        <v>116</v>
      </c>
      <c r="F6" s="54" t="s">
        <v>6</v>
      </c>
      <c r="G6" s="54" t="s">
        <v>6</v>
      </c>
      <c r="H6" s="227" t="s">
        <v>6</v>
      </c>
      <c r="I6" s="227" t="s">
        <v>6</v>
      </c>
      <c r="J6" s="56" t="s">
        <v>4</v>
      </c>
      <c r="K6" s="56" t="s">
        <v>328</v>
      </c>
      <c r="L6" s="54" t="s">
        <v>24</v>
      </c>
      <c r="M6" s="49"/>
      <c r="N6" s="56" t="s">
        <v>4</v>
      </c>
      <c r="O6" s="56" t="s">
        <v>328</v>
      </c>
      <c r="P6" s="54" t="s">
        <v>24</v>
      </c>
      <c r="Q6" s="49"/>
      <c r="R6" s="56" t="s">
        <v>4</v>
      </c>
      <c r="S6" s="56" t="s">
        <v>328</v>
      </c>
      <c r="T6" s="54" t="s">
        <v>24</v>
      </c>
    </row>
    <row r="7" spans="1:20" s="9" customFormat="1" ht="26.4">
      <c r="A7" s="10"/>
      <c r="B7" s="55" t="s">
        <v>7</v>
      </c>
      <c r="C7" s="55" t="s">
        <v>7</v>
      </c>
      <c r="D7" s="228" t="s">
        <v>329</v>
      </c>
      <c r="E7" s="44" t="s">
        <v>330</v>
      </c>
      <c r="F7" s="55" t="s">
        <v>9</v>
      </c>
      <c r="G7" s="55" t="s">
        <v>10</v>
      </c>
      <c r="H7" s="228" t="s">
        <v>9</v>
      </c>
      <c r="I7" s="228" t="s">
        <v>10</v>
      </c>
      <c r="J7" s="55" t="s">
        <v>331</v>
      </c>
      <c r="K7" s="55" t="s">
        <v>332</v>
      </c>
      <c r="L7" s="55" t="s">
        <v>333</v>
      </c>
      <c r="M7" s="49"/>
      <c r="N7" s="55" t="s">
        <v>331</v>
      </c>
      <c r="O7" s="55" t="s">
        <v>332</v>
      </c>
      <c r="P7" s="55" t="s">
        <v>333</v>
      </c>
      <c r="Q7" s="49"/>
      <c r="R7" s="55" t="s">
        <v>331</v>
      </c>
      <c r="S7" s="55" t="s">
        <v>332</v>
      </c>
      <c r="T7" s="55" t="s">
        <v>333</v>
      </c>
    </row>
    <row r="8" spans="1:20" s="9" customFormat="1" ht="26.4">
      <c r="A8" s="10"/>
      <c r="B8" s="55" t="s">
        <v>12</v>
      </c>
      <c r="C8" s="55" t="s">
        <v>334</v>
      </c>
      <c r="D8" s="229" t="s">
        <v>335</v>
      </c>
      <c r="E8" s="44" t="s">
        <v>336</v>
      </c>
      <c r="F8" s="55" t="s">
        <v>334</v>
      </c>
      <c r="G8" s="55" t="s">
        <v>334</v>
      </c>
      <c r="H8" s="228" t="s">
        <v>337</v>
      </c>
      <c r="I8" s="228" t="s">
        <v>337</v>
      </c>
      <c r="J8" s="55" t="s">
        <v>338</v>
      </c>
      <c r="K8" s="55" t="s">
        <v>339</v>
      </c>
      <c r="L8" s="55" t="s">
        <v>339</v>
      </c>
      <c r="M8" s="49"/>
      <c r="N8" s="55" t="s">
        <v>338</v>
      </c>
      <c r="O8" s="55" t="s">
        <v>339</v>
      </c>
      <c r="P8" s="55" t="s">
        <v>339</v>
      </c>
      <c r="Q8" s="49"/>
      <c r="R8" s="55" t="s">
        <v>338</v>
      </c>
      <c r="S8" s="55" t="s">
        <v>339</v>
      </c>
      <c r="T8" s="55" t="s">
        <v>339</v>
      </c>
    </row>
    <row r="9" spans="1:20" s="9" customFormat="1">
      <c r="A9" s="11" t="s">
        <v>17</v>
      </c>
      <c r="B9" s="58" t="s">
        <v>18</v>
      </c>
      <c r="C9" s="46" t="s">
        <v>19</v>
      </c>
      <c r="D9" s="230" t="s">
        <v>340</v>
      </c>
      <c r="E9" s="46" t="s">
        <v>125</v>
      </c>
      <c r="F9" s="46" t="s">
        <v>19</v>
      </c>
      <c r="G9" s="46" t="s">
        <v>19</v>
      </c>
      <c r="H9" s="230" t="s">
        <v>340</v>
      </c>
      <c r="I9" s="230" t="s">
        <v>340</v>
      </c>
      <c r="J9" s="58" t="s">
        <v>22</v>
      </c>
      <c r="K9" s="58" t="s">
        <v>22</v>
      </c>
      <c r="L9" s="46" t="s">
        <v>22</v>
      </c>
      <c r="M9" s="49"/>
      <c r="N9" s="58" t="s">
        <v>112</v>
      </c>
      <c r="O9" s="58" t="s">
        <v>112</v>
      </c>
      <c r="P9" s="46" t="s">
        <v>112</v>
      </c>
      <c r="Q9" s="49"/>
      <c r="R9" s="58" t="s">
        <v>102</v>
      </c>
      <c r="S9" s="58" t="s">
        <v>102</v>
      </c>
      <c r="T9" s="46" t="s">
        <v>102</v>
      </c>
    </row>
    <row r="10" spans="1:20" s="9" customFormat="1">
      <c r="A10" s="11" t="s">
        <v>318</v>
      </c>
      <c r="B10" s="207">
        <v>3744914.5</v>
      </c>
      <c r="C10" s="208">
        <v>4407405.5171990171</v>
      </c>
      <c r="D10" s="231">
        <v>306.59154351724288</v>
      </c>
      <c r="E10" s="11">
        <v>13</v>
      </c>
      <c r="F10" s="208">
        <f>C10*(1/E10)</f>
        <v>339031.19363069365</v>
      </c>
      <c r="G10" s="208"/>
      <c r="H10" s="231">
        <f>D10*(1/E10)</f>
        <v>23.583964885941761</v>
      </c>
      <c r="I10" s="231"/>
      <c r="J10" s="208"/>
      <c r="K10" s="208"/>
      <c r="L10" s="11"/>
      <c r="N10" s="208"/>
      <c r="O10" s="208"/>
      <c r="P10" s="11"/>
      <c r="R10" s="208"/>
      <c r="S10" s="208"/>
      <c r="T10" s="11"/>
    </row>
    <row r="11" spans="1:20">
      <c r="A11" s="12">
        <v>2005</v>
      </c>
      <c r="B11" s="14">
        <v>3828374.4166666665</v>
      </c>
      <c r="C11" s="14">
        <f>B11*(C10/B10)</f>
        <v>4505629.8417280912</v>
      </c>
      <c r="D11" s="163">
        <v>313.42430423118003</v>
      </c>
      <c r="E11" s="14">
        <f>E10</f>
        <v>13</v>
      </c>
      <c r="F11" s="13">
        <f>C$11*(1/E$11)</f>
        <v>346586.91090216086</v>
      </c>
      <c r="G11" s="13">
        <v>0</v>
      </c>
      <c r="H11" s="216">
        <f t="shared" ref="H11:H23" si="0">D$11*(1/E$11)</f>
        <v>24.109561863936928</v>
      </c>
      <c r="I11" s="216">
        <f t="shared" ref="I11:I23" si="1">H11*G11/F11</f>
        <v>0</v>
      </c>
      <c r="J11" s="13">
        <f>D11</f>
        <v>313.42430423118003</v>
      </c>
      <c r="K11" s="13">
        <f>J11</f>
        <v>313.42430423118003</v>
      </c>
      <c r="L11" s="112">
        <f>(J11-K11)</f>
        <v>0</v>
      </c>
      <c r="N11" s="13">
        <v>248.12757418301751</v>
      </c>
      <c r="O11" s="13">
        <v>248.12757418301751</v>
      </c>
      <c r="P11" s="112">
        <v>0</v>
      </c>
      <c r="R11" s="13">
        <v>2523152.711367731</v>
      </c>
      <c r="S11" s="13">
        <v>2523152.711367731</v>
      </c>
      <c r="T11" s="112">
        <v>0</v>
      </c>
    </row>
    <row r="12" spans="1:20">
      <c r="A12" s="12">
        <v>2006</v>
      </c>
      <c r="B12" s="14">
        <v>3906267.3333333335</v>
      </c>
      <c r="C12" s="14">
        <f t="shared" ref="C12:C28" si="2">B12*(C11/B11)</f>
        <v>4597302.3407043405</v>
      </c>
      <c r="D12" s="163">
        <v>319.80130150305195</v>
      </c>
      <c r="E12" s="14">
        <f t="shared" ref="E12:E32" si="3">E11</f>
        <v>13</v>
      </c>
      <c r="F12" s="13">
        <f t="shared" ref="F12:F19" si="4">C$11*(1/E$11)</f>
        <v>346586.91090216086</v>
      </c>
      <c r="G12" s="13">
        <f>C12-C11</f>
        <v>91672.498976249248</v>
      </c>
      <c r="H12" s="216">
        <f>D$11*(1/E$11)</f>
        <v>24.109561863936928</v>
      </c>
      <c r="I12" s="216">
        <f t="shared" si="1"/>
        <v>6.3769972718718613</v>
      </c>
      <c r="J12" s="13">
        <f t="shared" ref="J12:J32" si="5">D12</f>
        <v>319.80130150305195</v>
      </c>
      <c r="K12" s="13">
        <f t="shared" ref="K12:K20" si="6">J12</f>
        <v>319.80130150305195</v>
      </c>
      <c r="L12" s="112">
        <f t="shared" ref="L12:L32" si="7">(J12-K12)</f>
        <v>0</v>
      </c>
      <c r="N12" s="13">
        <v>253.1760303565828</v>
      </c>
      <c r="O12" s="13">
        <v>253.1760303565828</v>
      </c>
      <c r="P12" s="112">
        <v>0</v>
      </c>
      <c r="R12" s="13">
        <v>2574489.3107944308</v>
      </c>
      <c r="S12" s="13">
        <v>2574489.3107944308</v>
      </c>
      <c r="T12" s="112">
        <v>0</v>
      </c>
    </row>
    <row r="13" spans="1:20">
      <c r="A13" s="12">
        <v>2007</v>
      </c>
      <c r="B13" s="14">
        <v>3981450.5833333335</v>
      </c>
      <c r="C13" s="14">
        <f t="shared" si="2"/>
        <v>4685785.8216625713</v>
      </c>
      <c r="D13" s="163">
        <v>325.95646169806912</v>
      </c>
      <c r="E13" s="14">
        <f t="shared" si="3"/>
        <v>13</v>
      </c>
      <c r="F13" s="13">
        <f t="shared" si="4"/>
        <v>346586.91090216086</v>
      </c>
      <c r="G13" s="13">
        <f t="shared" ref="G13:G28" si="8">C13-C12</f>
        <v>88483.480958230793</v>
      </c>
      <c r="H13" s="216">
        <f t="shared" si="0"/>
        <v>24.109561863936928</v>
      </c>
      <c r="I13" s="216">
        <f t="shared" si="1"/>
        <v>6.1551601950171912</v>
      </c>
      <c r="J13" s="13">
        <f t="shared" si="5"/>
        <v>325.95646169806912</v>
      </c>
      <c r="K13" s="13">
        <f t="shared" si="6"/>
        <v>325.95646169806912</v>
      </c>
      <c r="L13" s="112">
        <f t="shared" si="7"/>
        <v>0</v>
      </c>
      <c r="N13" s="13">
        <v>258.04886551097138</v>
      </c>
      <c r="O13" s="13">
        <v>258.04886551097138</v>
      </c>
      <c r="P13" s="112">
        <v>0</v>
      </c>
      <c r="R13" s="13">
        <v>2624040.0601310399</v>
      </c>
      <c r="S13" s="13">
        <v>2624040.0601310399</v>
      </c>
      <c r="T13" s="112">
        <v>0</v>
      </c>
    </row>
    <row r="14" spans="1:20">
      <c r="A14" s="12">
        <v>2008</v>
      </c>
      <c r="B14" s="14">
        <v>3992257.0833333335</v>
      </c>
      <c r="C14" s="14">
        <f>B14*(C13/B13)</f>
        <v>4698504.0366502861</v>
      </c>
      <c r="D14" s="163">
        <v>326.84117656005571</v>
      </c>
      <c r="E14" s="14">
        <f t="shared" si="3"/>
        <v>13</v>
      </c>
      <c r="F14" s="13">
        <f t="shared" si="4"/>
        <v>346586.91090216086</v>
      </c>
      <c r="G14" s="13">
        <f t="shared" si="8"/>
        <v>12718.214987714775</v>
      </c>
      <c r="H14" s="216">
        <f t="shared" si="0"/>
        <v>24.109561863936928</v>
      </c>
      <c r="I14" s="216">
        <f>H14*G14/F14</f>
        <v>0.88471486198657667</v>
      </c>
      <c r="J14" s="13">
        <f t="shared" si="5"/>
        <v>326.84117656005571</v>
      </c>
      <c r="K14" s="13">
        <f t="shared" si="6"/>
        <v>326.84117656005571</v>
      </c>
      <c r="L14" s="112">
        <f t="shared" si="7"/>
        <v>0</v>
      </c>
      <c r="N14" s="13">
        <v>258.74926477671079</v>
      </c>
      <c r="O14" s="13">
        <v>258.74926477671079</v>
      </c>
      <c r="P14" s="112">
        <v>0</v>
      </c>
      <c r="R14" s="13">
        <v>2631162.2605241602</v>
      </c>
      <c r="S14" s="13">
        <v>2631162.2605241602</v>
      </c>
      <c r="T14" s="112">
        <v>0</v>
      </c>
    </row>
    <row r="15" spans="1:20">
      <c r="A15" s="12">
        <v>2009</v>
      </c>
      <c r="B15" s="14">
        <v>3984489.9166666665</v>
      </c>
      <c r="C15" s="14">
        <f>B15*(C14/B14)</f>
        <v>4689362.8257575752</v>
      </c>
      <c r="D15" s="163">
        <v>326.20528817940266</v>
      </c>
      <c r="E15" s="14">
        <f t="shared" si="3"/>
        <v>13</v>
      </c>
      <c r="F15" s="13">
        <f t="shared" si="4"/>
        <v>346586.91090216086</v>
      </c>
      <c r="G15" s="14">
        <f>C15-C14</f>
        <v>-9141.2108927108347</v>
      </c>
      <c r="H15" s="163">
        <f t="shared" si="0"/>
        <v>24.109561863936928</v>
      </c>
      <c r="I15" s="163">
        <f>H15*G15/F15</f>
        <v>-0.63588838065301534</v>
      </c>
      <c r="J15" s="13">
        <f t="shared" si="5"/>
        <v>326.20528817940266</v>
      </c>
      <c r="K15" s="13">
        <f t="shared" si="6"/>
        <v>326.20528817940266</v>
      </c>
      <c r="L15" s="112">
        <f t="shared" si="7"/>
        <v>0</v>
      </c>
      <c r="N15" s="13">
        <v>258.2458531420271</v>
      </c>
      <c r="O15" s="13">
        <v>258.2458531420271</v>
      </c>
      <c r="P15" s="112">
        <v>0</v>
      </c>
      <c r="R15" s="13">
        <v>2626043.1824242421</v>
      </c>
      <c r="S15" s="13">
        <v>2626043.1824242421</v>
      </c>
      <c r="T15" s="112">
        <v>0</v>
      </c>
    </row>
    <row r="16" spans="1:20">
      <c r="A16" s="12">
        <v>2010</v>
      </c>
      <c r="B16" s="14">
        <v>4004366</v>
      </c>
      <c r="C16" s="14">
        <f t="shared" si="2"/>
        <v>4712755.0712530706</v>
      </c>
      <c r="D16" s="163">
        <v>327.83251867244701</v>
      </c>
      <c r="E16" s="14">
        <f t="shared" si="3"/>
        <v>13</v>
      </c>
      <c r="F16" s="13">
        <f t="shared" si="4"/>
        <v>346586.91090216086</v>
      </c>
      <c r="G16" s="13">
        <f t="shared" si="8"/>
        <v>23392.245495495386</v>
      </c>
      <c r="H16" s="216">
        <f t="shared" si="0"/>
        <v>24.109561863936928</v>
      </c>
      <c r="I16" s="216">
        <f t="shared" si="1"/>
        <v>1.6272304930443631</v>
      </c>
      <c r="J16" s="13">
        <f t="shared" si="5"/>
        <v>327.83251867244701</v>
      </c>
      <c r="K16" s="13">
        <f t="shared" si="6"/>
        <v>327.83251867244701</v>
      </c>
      <c r="L16" s="112">
        <f t="shared" si="7"/>
        <v>0</v>
      </c>
      <c r="N16" s="13">
        <v>259.53407728235391</v>
      </c>
      <c r="O16" s="13">
        <v>259.53407728235391</v>
      </c>
      <c r="P16" s="112">
        <v>0</v>
      </c>
      <c r="R16" s="13">
        <v>2639142.8399017192</v>
      </c>
      <c r="S16" s="13">
        <v>2639142.8399017192</v>
      </c>
      <c r="T16" s="112">
        <v>0</v>
      </c>
    </row>
    <row r="17" spans="1:20">
      <c r="A17" s="12">
        <v>2011</v>
      </c>
      <c r="B17" s="14">
        <v>4026759.6666666665</v>
      </c>
      <c r="C17" s="14">
        <f t="shared" si="2"/>
        <v>4739110.2710892707</v>
      </c>
      <c r="D17" s="163">
        <v>329.66586061612668</v>
      </c>
      <c r="E17" s="14">
        <f t="shared" si="3"/>
        <v>13</v>
      </c>
      <c r="F17" s="13">
        <f t="shared" si="4"/>
        <v>346586.91090216086</v>
      </c>
      <c r="G17" s="13">
        <f t="shared" si="8"/>
        <v>26355.199836200103</v>
      </c>
      <c r="H17" s="216">
        <f t="shared" si="0"/>
        <v>24.109561863936928</v>
      </c>
      <c r="I17" s="216">
        <f t="shared" si="1"/>
        <v>1.8333419436796314</v>
      </c>
      <c r="J17" s="13">
        <f t="shared" si="5"/>
        <v>329.66586061612668</v>
      </c>
      <c r="K17" s="13">
        <f t="shared" si="6"/>
        <v>329.66586061612668</v>
      </c>
      <c r="L17" s="112">
        <f t="shared" si="7"/>
        <v>0</v>
      </c>
      <c r="N17" s="13">
        <v>260.98547298776697</v>
      </c>
      <c r="O17" s="13">
        <v>260.98547298776697</v>
      </c>
      <c r="P17" s="112">
        <v>0</v>
      </c>
      <c r="R17" s="13">
        <v>2653901.7518099919</v>
      </c>
      <c r="S17" s="13">
        <v>2653901.7518099919</v>
      </c>
      <c r="T17" s="112">
        <v>0</v>
      </c>
    </row>
    <row r="18" spans="1:20">
      <c r="A18" s="12">
        <v>2012</v>
      </c>
      <c r="B18" s="14">
        <v>4052173.8333333335</v>
      </c>
      <c r="C18" s="14">
        <f t="shared" si="2"/>
        <v>4769020.3099918095</v>
      </c>
      <c r="D18" s="163">
        <v>331.74648717930665</v>
      </c>
      <c r="E18" s="14">
        <f t="shared" si="3"/>
        <v>13</v>
      </c>
      <c r="F18" s="13">
        <f t="shared" si="4"/>
        <v>346586.91090216086</v>
      </c>
      <c r="G18" s="13">
        <f t="shared" si="8"/>
        <v>29910.038902538829</v>
      </c>
      <c r="H18" s="216">
        <f t="shared" si="0"/>
        <v>24.109561863936928</v>
      </c>
      <c r="I18" s="216">
        <f t="shared" si="1"/>
        <v>2.0806265631799548</v>
      </c>
      <c r="J18" s="13">
        <f t="shared" si="5"/>
        <v>331.74648717930665</v>
      </c>
      <c r="K18" s="13">
        <f t="shared" si="6"/>
        <v>331.74648717930665</v>
      </c>
      <c r="L18" s="112">
        <f t="shared" si="7"/>
        <v>0</v>
      </c>
      <c r="N18" s="13">
        <v>262.63263568361776</v>
      </c>
      <c r="O18" s="13">
        <v>262.63263568361776</v>
      </c>
      <c r="P18" s="112">
        <v>0</v>
      </c>
      <c r="R18" s="13">
        <v>2670651.3735954138</v>
      </c>
      <c r="S18" s="13">
        <v>2670651.3735954138</v>
      </c>
      <c r="T18" s="112">
        <v>0</v>
      </c>
    </row>
    <row r="19" spans="1:20">
      <c r="A19" s="12">
        <v>2013</v>
      </c>
      <c r="B19" s="14">
        <v>4097171.6666666665</v>
      </c>
      <c r="C19" s="14">
        <f t="shared" si="2"/>
        <v>4821978.4479934471</v>
      </c>
      <c r="D19" s="163">
        <v>335.430404442731</v>
      </c>
      <c r="E19" s="14">
        <f t="shared" si="3"/>
        <v>13</v>
      </c>
      <c r="F19" s="13">
        <f t="shared" si="4"/>
        <v>346586.91090216086</v>
      </c>
      <c r="G19" s="13">
        <f t="shared" si="8"/>
        <v>52958.138001637533</v>
      </c>
      <c r="H19" s="216">
        <f t="shared" si="0"/>
        <v>24.109561863936928</v>
      </c>
      <c r="I19" s="216">
        <f t="shared" si="1"/>
        <v>3.6839172634243553</v>
      </c>
      <c r="J19" s="13">
        <f t="shared" si="5"/>
        <v>335.430404442731</v>
      </c>
      <c r="K19" s="13">
        <f t="shared" si="6"/>
        <v>335.430404442731</v>
      </c>
      <c r="L19" s="112">
        <f t="shared" si="7"/>
        <v>0</v>
      </c>
      <c r="N19" s="13">
        <v>265.54907018382875</v>
      </c>
      <c r="O19" s="13">
        <v>265.54907018382875</v>
      </c>
      <c r="P19" s="112">
        <v>0</v>
      </c>
      <c r="R19" s="13">
        <v>2700307.9308763305</v>
      </c>
      <c r="S19" s="13">
        <v>2700307.9308763305</v>
      </c>
      <c r="T19" s="112">
        <v>0</v>
      </c>
    </row>
    <row r="20" spans="1:20">
      <c r="A20" s="12">
        <v>2014</v>
      </c>
      <c r="B20" s="14">
        <v>4158327.1258851774</v>
      </c>
      <c r="C20" s="14">
        <f t="shared" si="2"/>
        <v>4893952.5633882061</v>
      </c>
      <c r="D20" s="163">
        <v>340.43712666197234</v>
      </c>
      <c r="E20" s="14">
        <f t="shared" si="3"/>
        <v>13</v>
      </c>
      <c r="F20" s="13">
        <f>C$11*(1/E$11)</f>
        <v>346586.91090216086</v>
      </c>
      <c r="G20" s="13">
        <f t="shared" si="8"/>
        <v>71974.115394758992</v>
      </c>
      <c r="H20" s="216">
        <f t="shared" si="0"/>
        <v>24.109561863936928</v>
      </c>
      <c r="I20" s="216">
        <f t="shared" si="1"/>
        <v>5.0067222192413681</v>
      </c>
      <c r="J20" s="13">
        <f t="shared" si="5"/>
        <v>340.43712666197234</v>
      </c>
      <c r="K20" s="13">
        <f t="shared" si="6"/>
        <v>340.43712666197234</v>
      </c>
      <c r="L20" s="112">
        <f t="shared" si="7"/>
        <v>0</v>
      </c>
      <c r="N20" s="13">
        <v>269.51272527406144</v>
      </c>
      <c r="O20" s="13">
        <v>269.51272527406144</v>
      </c>
      <c r="P20" s="112">
        <v>0</v>
      </c>
      <c r="R20" s="13">
        <v>2740613.4354973952</v>
      </c>
      <c r="S20" s="13">
        <v>2740613.4354973952</v>
      </c>
      <c r="T20" s="112">
        <v>0</v>
      </c>
    </row>
    <row r="21" spans="1:20" s="33" customFormat="1">
      <c r="A21" s="32">
        <v>2015</v>
      </c>
      <c r="B21" s="14">
        <v>4228484.0018434813</v>
      </c>
      <c r="C21" s="14">
        <f t="shared" si="2"/>
        <v>4976520.4837420825</v>
      </c>
      <c r="D21" s="163">
        <v>346.18078379710965</v>
      </c>
      <c r="E21" s="14">
        <f t="shared" si="3"/>
        <v>13</v>
      </c>
      <c r="F21" s="14">
        <f>C$11*(1/E$11)</f>
        <v>346586.91090216086</v>
      </c>
      <c r="G21" s="14">
        <f t="shared" si="8"/>
        <v>82567.920353876427</v>
      </c>
      <c r="H21" s="163">
        <f t="shared" si="0"/>
        <v>24.109561863936928</v>
      </c>
      <c r="I21" s="163">
        <f t="shared" si="1"/>
        <v>5.7436571351373251</v>
      </c>
      <c r="J21" s="13">
        <f t="shared" si="5"/>
        <v>346.18078379710965</v>
      </c>
      <c r="K21" s="112">
        <v>341.22401175299973</v>
      </c>
      <c r="L21" s="112">
        <f t="shared" si="7"/>
        <v>4.9567720441099254</v>
      </c>
      <c r="N21" s="13">
        <v>274.05978717271182</v>
      </c>
      <c r="O21" s="14">
        <v>270.13567597112478</v>
      </c>
      <c r="P21" s="112">
        <v>3.9241112015870248</v>
      </c>
      <c r="R21" s="14">
        <v>2786851.470895566</v>
      </c>
      <c r="S21" s="14">
        <v>2746948.0790593578</v>
      </c>
      <c r="T21" s="112">
        <v>39903.391836208277</v>
      </c>
    </row>
    <row r="22" spans="1:20" s="33" customFormat="1">
      <c r="A22" s="32">
        <v>2016</v>
      </c>
      <c r="B22" s="14">
        <v>4289564.3424525131</v>
      </c>
      <c r="C22" s="14">
        <f t="shared" si="2"/>
        <v>5048406.1917315815</v>
      </c>
      <c r="D22" s="163">
        <v>351.1813561481959</v>
      </c>
      <c r="E22" s="14">
        <f t="shared" si="3"/>
        <v>13</v>
      </c>
      <c r="F22" s="14">
        <f>C$11*(1/E$11)</f>
        <v>346586.91090216086</v>
      </c>
      <c r="G22" s="14">
        <f t="shared" si="8"/>
        <v>71885.707989498973</v>
      </c>
      <c r="H22" s="163">
        <f t="shared" si="0"/>
        <v>24.109561863936928</v>
      </c>
      <c r="I22" s="163">
        <f t="shared" si="1"/>
        <v>5.0005723510862259</v>
      </c>
      <c r="J22" s="13">
        <f t="shared" si="5"/>
        <v>351.1813561481959</v>
      </c>
      <c r="K22" s="112">
        <v>341.39119245269359</v>
      </c>
      <c r="L22" s="112">
        <f t="shared" si="7"/>
        <v>9.790163695502315</v>
      </c>
      <c r="N22" s="13">
        <v>278.01857361732181</v>
      </c>
      <c r="O22" s="14">
        <v>270.26802735838243</v>
      </c>
      <c r="P22" s="112">
        <v>7.750546258939333</v>
      </c>
      <c r="R22" s="14">
        <v>2827107.4673696859</v>
      </c>
      <c r="S22" s="14">
        <v>2748293.9301309767</v>
      </c>
      <c r="T22" s="112">
        <v>78813.537238709076</v>
      </c>
    </row>
    <row r="23" spans="1:20" s="33" customFormat="1">
      <c r="A23" s="32">
        <v>2017</v>
      </c>
      <c r="B23" s="14">
        <v>4350873.5349369058</v>
      </c>
      <c r="C23" s="14">
        <f t="shared" si="2"/>
        <v>5120561.2364490852</v>
      </c>
      <c r="D23" s="163">
        <v>356.20066432080853</v>
      </c>
      <c r="E23" s="14">
        <f t="shared" si="3"/>
        <v>13</v>
      </c>
      <c r="F23" s="14">
        <f>SUM(F11:G11)</f>
        <v>346586.91090216086</v>
      </c>
      <c r="G23" s="14">
        <f t="shared" si="8"/>
        <v>72155.044717503712</v>
      </c>
      <c r="H23" s="163">
        <f t="shared" si="0"/>
        <v>24.109561863936928</v>
      </c>
      <c r="I23" s="163">
        <f t="shared" si="1"/>
        <v>5.019308172612658</v>
      </c>
      <c r="J23" s="13">
        <f t="shared" si="5"/>
        <v>356.20066432080853</v>
      </c>
      <c r="K23" s="112">
        <v>341.57399811352826</v>
      </c>
      <c r="L23" s="112">
        <f t="shared" si="7"/>
        <v>14.626666207280266</v>
      </c>
      <c r="N23" s="13">
        <v>281.99219258730676</v>
      </c>
      <c r="O23" s="14">
        <v>270.41274850654327</v>
      </c>
      <c r="P23" s="112">
        <v>11.579444080763544</v>
      </c>
      <c r="R23" s="14">
        <v>2867514.2924114875</v>
      </c>
      <c r="S23" s="14">
        <v>2749765.5664800461</v>
      </c>
      <c r="T23" s="112">
        <v>117748.72593144153</v>
      </c>
    </row>
    <row r="24" spans="1:20" s="33" customFormat="1">
      <c r="A24" s="32">
        <v>2018</v>
      </c>
      <c r="B24" s="14">
        <v>4411411.1168411532</v>
      </c>
      <c r="C24" s="14">
        <f t="shared" si="2"/>
        <v>5191808.1694518728</v>
      </c>
      <c r="D24" s="163">
        <v>361.15680168437848</v>
      </c>
      <c r="E24" s="14">
        <f t="shared" si="3"/>
        <v>13</v>
      </c>
      <c r="F24" s="14">
        <f>SUM(F12:G12)</f>
        <v>438259.40987841011</v>
      </c>
      <c r="G24" s="14">
        <f t="shared" si="8"/>
        <v>71246.933002787642</v>
      </c>
      <c r="H24" s="220">
        <f>SUM(H11:I11)</f>
        <v>24.109561863936928</v>
      </c>
      <c r="I24" s="163">
        <f>H$23*G24/F$23</f>
        <v>4.95613736356992</v>
      </c>
      <c r="J24" s="13">
        <f t="shared" si="5"/>
        <v>361.15680168437848</v>
      </c>
      <c r="K24" s="112">
        <v>341.7041217270272</v>
      </c>
      <c r="L24" s="112">
        <f t="shared" si="7"/>
        <v>19.452679957351279</v>
      </c>
      <c r="N24" s="13">
        <v>285.91580133346628</v>
      </c>
      <c r="O24" s="14">
        <v>270.51576303389658</v>
      </c>
      <c r="P24" s="112">
        <v>15.400038299569763</v>
      </c>
      <c r="R24" s="14">
        <v>2907412.574893049</v>
      </c>
      <c r="S24" s="14">
        <v>2750813.0977141606</v>
      </c>
      <c r="T24" s="112">
        <v>156599.47717888822</v>
      </c>
    </row>
    <row r="25" spans="1:20" s="33" customFormat="1">
      <c r="A25" s="32">
        <v>2019</v>
      </c>
      <c r="B25" s="14">
        <v>4470700.4620403014</v>
      </c>
      <c r="C25" s="14">
        <f t="shared" si="2"/>
        <v>5261586.0474626636</v>
      </c>
      <c r="D25" s="163">
        <v>366.01074744435067</v>
      </c>
      <c r="E25" s="14">
        <f t="shared" si="3"/>
        <v>13</v>
      </c>
      <c r="F25" s="14">
        <f>SUM(F13:G13)</f>
        <v>435070.39186039165</v>
      </c>
      <c r="G25" s="14">
        <f t="shared" si="8"/>
        <v>69777.878010790795</v>
      </c>
      <c r="H25" s="163">
        <f t="shared" ref="H25:H32" si="9">SUM(H12:I12)</f>
        <v>30.48655913580879</v>
      </c>
      <c r="I25" s="163">
        <f t="shared" ref="I25:I32" si="10">H$23*G25/F$23</f>
        <v>4.8539457599721958</v>
      </c>
      <c r="J25" s="13">
        <f t="shared" si="5"/>
        <v>366.01074744435067</v>
      </c>
      <c r="K25" s="112">
        <v>340.69019686649551</v>
      </c>
      <c r="L25" s="112">
        <f t="shared" si="7"/>
        <v>25.320550577855158</v>
      </c>
      <c r="N25" s="13">
        <v>289.75850839344429</v>
      </c>
      <c r="O25" s="14">
        <v>269.71307251930898</v>
      </c>
      <c r="P25" s="112">
        <v>20.045435874135336</v>
      </c>
      <c r="R25" s="14">
        <v>2946488.1865790915</v>
      </c>
      <c r="S25" s="14">
        <v>2742650.7209410858</v>
      </c>
      <c r="T25" s="112">
        <v>203837.4656380057</v>
      </c>
    </row>
    <row r="26" spans="1:20" s="33" customFormat="1">
      <c r="A26" s="32">
        <v>2020</v>
      </c>
      <c r="B26" s="14">
        <v>4527846.6275179833</v>
      </c>
      <c r="C26" s="14">
        <f t="shared" si="2"/>
        <v>5328841.6083074054</v>
      </c>
      <c r="D26" s="163">
        <v>370.68923371683951</v>
      </c>
      <c r="E26" s="14">
        <f t="shared" si="3"/>
        <v>13</v>
      </c>
      <c r="F26" s="14">
        <f>SUM(F14:G14)</f>
        <v>359305.12588987564</v>
      </c>
      <c r="G26" s="14">
        <f t="shared" si="8"/>
        <v>67255.560844741762</v>
      </c>
      <c r="H26" s="163">
        <f t="shared" si="9"/>
        <v>30.264722058954121</v>
      </c>
      <c r="I26" s="163">
        <f t="shared" si="10"/>
        <v>4.6784862724888496</v>
      </c>
      <c r="J26" s="13">
        <f t="shared" si="5"/>
        <v>370.68923371683951</v>
      </c>
      <c r="K26" s="112">
        <v>339.56677888892085</v>
      </c>
      <c r="L26" s="112">
        <f t="shared" si="7"/>
        <v>31.122454827918659</v>
      </c>
      <c r="N26" s="13">
        <v>293.4623100258313</v>
      </c>
      <c r="O26" s="14">
        <v>268.82369995372903</v>
      </c>
      <c r="P26" s="112">
        <v>24.638610072102274</v>
      </c>
      <c r="R26" s="14">
        <v>2984151.3006521468</v>
      </c>
      <c r="S26" s="14">
        <v>2733606.8941610605</v>
      </c>
      <c r="T26" s="112">
        <v>250544.40649108638</v>
      </c>
    </row>
    <row r="27" spans="1:20" s="33" customFormat="1">
      <c r="A27" s="32">
        <v>2021</v>
      </c>
      <c r="B27" s="14">
        <v>4581556.8457704782</v>
      </c>
      <c r="C27" s="14">
        <f t="shared" si="2"/>
        <v>5392053.3885112014</v>
      </c>
      <c r="D27" s="163">
        <v>375.08642321654111</v>
      </c>
      <c r="E27" s="14">
        <f t="shared" si="3"/>
        <v>13</v>
      </c>
      <c r="F27" s="14">
        <f t="shared" ref="F27:F32" si="11">SUM(F15:G15)</f>
        <v>337445.70000945003</v>
      </c>
      <c r="G27" s="14">
        <f t="shared" si="8"/>
        <v>63211.780203795992</v>
      </c>
      <c r="H27" s="163">
        <f t="shared" si="9"/>
        <v>24.994276725923505</v>
      </c>
      <c r="I27" s="163">
        <f t="shared" si="10"/>
        <v>4.3971894997016214</v>
      </c>
      <c r="J27" s="13">
        <f t="shared" si="5"/>
        <v>375.08642321654111</v>
      </c>
      <c r="K27" s="112">
        <v>339.08386490205714</v>
      </c>
      <c r="L27" s="112">
        <f t="shared" si="7"/>
        <v>36.002558314483963</v>
      </c>
      <c r="N27" s="13">
        <v>296.94341837976174</v>
      </c>
      <c r="O27" s="14">
        <v>268.44139304746193</v>
      </c>
      <c r="P27" s="112">
        <v>28.502025332299805</v>
      </c>
      <c r="R27" s="14">
        <v>3019549.8975662724</v>
      </c>
      <c r="S27" s="14">
        <v>2729719.3024240336</v>
      </c>
      <c r="T27" s="112">
        <v>289830.59514223889</v>
      </c>
    </row>
    <row r="28" spans="1:20" s="33" customFormat="1">
      <c r="A28" s="32">
        <v>2022</v>
      </c>
      <c r="B28" s="14">
        <v>4635494.0739188613</v>
      </c>
      <c r="C28" s="14">
        <f t="shared" si="2"/>
        <v>5455532.3376096664</v>
      </c>
      <c r="D28" s="163">
        <v>379.50219773717555</v>
      </c>
      <c r="E28" s="14">
        <f t="shared" si="3"/>
        <v>13</v>
      </c>
      <c r="F28" s="14">
        <f t="shared" si="11"/>
        <v>369979.15639765625</v>
      </c>
      <c r="G28" s="14">
        <f t="shared" si="8"/>
        <v>63478.949098465033</v>
      </c>
      <c r="H28" s="163">
        <f t="shared" si="9"/>
        <v>23.473673483283914</v>
      </c>
      <c r="I28" s="163">
        <f t="shared" si="10"/>
        <v>4.4157745206343977</v>
      </c>
      <c r="J28" s="13">
        <f t="shared" si="5"/>
        <v>379.50219773717555</v>
      </c>
      <c r="K28" s="112">
        <v>338.86892820204349</v>
      </c>
      <c r="L28" s="112">
        <f t="shared" si="7"/>
        <v>40.633269535132058</v>
      </c>
      <c r="N28" s="13">
        <v>300.43923987526398</v>
      </c>
      <c r="O28" s="14">
        <v>268.27123482661779</v>
      </c>
      <c r="P28" s="112">
        <v>32.168005048646215</v>
      </c>
      <c r="R28" s="14">
        <v>3055098.1090614134</v>
      </c>
      <c r="S28" s="14">
        <v>2727989.0022842847</v>
      </c>
      <c r="T28" s="112">
        <v>327109.10677712847</v>
      </c>
    </row>
    <row r="29" spans="1:20" s="33" customFormat="1">
      <c r="A29" s="32">
        <v>2023</v>
      </c>
      <c r="B29" s="14">
        <v>4690133.3587533776</v>
      </c>
      <c r="C29" s="14">
        <f>B29*(C28/B28)</f>
        <v>5519837.5401544664</v>
      </c>
      <c r="D29" s="163">
        <v>383.97544877510785</v>
      </c>
      <c r="E29" s="14">
        <f t="shared" si="3"/>
        <v>13</v>
      </c>
      <c r="F29" s="14">
        <f t="shared" si="11"/>
        <v>372942.11073836096</v>
      </c>
      <c r="G29" s="14">
        <f>C29-C28</f>
        <v>64305.202544800006</v>
      </c>
      <c r="H29" s="163">
        <f t="shared" si="9"/>
        <v>25.73679235698129</v>
      </c>
      <c r="I29" s="163">
        <f t="shared" si="10"/>
        <v>4.4732510379323269</v>
      </c>
      <c r="J29" s="13">
        <f t="shared" si="5"/>
        <v>383.97544877510785</v>
      </c>
      <c r="K29" s="112">
        <v>338.32616074776899</v>
      </c>
      <c r="L29" s="112">
        <f t="shared" si="7"/>
        <v>45.649288027338855</v>
      </c>
      <c r="N29" s="13">
        <v>303.98056361362711</v>
      </c>
      <c r="O29" s="14">
        <v>267.84154392531713</v>
      </c>
      <c r="P29" s="112">
        <v>36.139019688309929</v>
      </c>
      <c r="R29" s="14">
        <v>3091109.0224865009</v>
      </c>
      <c r="S29" s="14">
        <v>2723619.573508638</v>
      </c>
      <c r="T29" s="112">
        <v>367489.44897786324</v>
      </c>
    </row>
    <row r="30" spans="1:20" s="33" customFormat="1">
      <c r="A30" s="32">
        <v>2024</v>
      </c>
      <c r="B30" s="14">
        <v>4745552.607144285</v>
      </c>
      <c r="C30" s="14">
        <f>B30*(C29/B29)</f>
        <v>5585060.6850666152</v>
      </c>
      <c r="D30" s="163">
        <v>388.51255446997322</v>
      </c>
      <c r="E30" s="14">
        <f t="shared" si="3"/>
        <v>13</v>
      </c>
      <c r="F30" s="14">
        <f t="shared" si="11"/>
        <v>376496.94980469969</v>
      </c>
      <c r="G30" s="14">
        <f>C30-C29</f>
        <v>65223.144912148826</v>
      </c>
      <c r="H30" s="163">
        <f t="shared" si="9"/>
        <v>25.94290380761656</v>
      </c>
      <c r="I30" s="163">
        <f t="shared" si="10"/>
        <v>4.5371056948653257</v>
      </c>
      <c r="J30" s="13">
        <f t="shared" si="5"/>
        <v>388.51255446997322</v>
      </c>
      <c r="K30" s="112">
        <v>337.80242328830684</v>
      </c>
      <c r="L30" s="112">
        <f t="shared" si="7"/>
        <v>50.710131181666384</v>
      </c>
      <c r="N30" s="13">
        <v>307.57243895539546</v>
      </c>
      <c r="O30" s="14">
        <v>267.42691843657627</v>
      </c>
      <c r="P30" s="112">
        <v>40.145520518819218</v>
      </c>
      <c r="R30" s="14">
        <v>3127633.983637305</v>
      </c>
      <c r="S30" s="14">
        <v>2719403.3414773396</v>
      </c>
      <c r="T30" s="112">
        <v>408230.64215996495</v>
      </c>
    </row>
    <row r="31" spans="1:20" s="33" customFormat="1">
      <c r="A31" s="32">
        <v>2025</v>
      </c>
      <c r="B31" s="14">
        <v>4799119.1059741788</v>
      </c>
      <c r="C31" s="14">
        <f>B31*(C30/B30)</f>
        <v>5648103.3212816501</v>
      </c>
      <c r="D31" s="163">
        <v>392.89797783733491</v>
      </c>
      <c r="E31" s="14">
        <f t="shared" si="3"/>
        <v>13</v>
      </c>
      <c r="F31" s="14">
        <f t="shared" si="11"/>
        <v>399545.04890379839</v>
      </c>
      <c r="G31" s="14">
        <f>C31-C30</f>
        <v>63042.636215034872</v>
      </c>
      <c r="H31" s="163">
        <f t="shared" si="9"/>
        <v>26.190188427116883</v>
      </c>
      <c r="I31" s="163">
        <f t="shared" si="10"/>
        <v>4.3854233673617289</v>
      </c>
      <c r="J31" s="13">
        <f t="shared" si="5"/>
        <v>392.89797783733491</v>
      </c>
      <c r="K31" s="112">
        <v>337.1111298775171</v>
      </c>
      <c r="L31" s="112">
        <f t="shared" si="7"/>
        <v>55.786847959817806</v>
      </c>
      <c r="N31" s="13">
        <v>311.04423245455683</v>
      </c>
      <c r="O31" s="14">
        <v>266.87964448636768</v>
      </c>
      <c r="P31" s="112">
        <v>44.164587968189096</v>
      </c>
      <c r="R31" s="14">
        <v>3162937.859917724</v>
      </c>
      <c r="S31" s="14">
        <v>2713838.2374945348</v>
      </c>
      <c r="T31" s="112">
        <v>449099.62242318899</v>
      </c>
    </row>
    <row r="32" spans="1:20" s="33" customFormat="1">
      <c r="A32" s="32">
        <v>2026</v>
      </c>
      <c r="B32" s="14">
        <v>4846527.0111184688</v>
      </c>
      <c r="C32" s="14">
        <f>B32*(C31/B31)</f>
        <v>5703897.8828642415</v>
      </c>
      <c r="D32" s="163">
        <v>396.77920471530683</v>
      </c>
      <c r="E32" s="14">
        <f t="shared" si="3"/>
        <v>13</v>
      </c>
      <c r="F32" s="14">
        <f t="shared" si="11"/>
        <v>418561.02629691985</v>
      </c>
      <c r="G32" s="14">
        <f>C32-C31</f>
        <v>55794.561582591385</v>
      </c>
      <c r="H32" s="163">
        <f t="shared" si="9"/>
        <v>27.793479127361284</v>
      </c>
      <c r="I32" s="163">
        <f t="shared" si="10"/>
        <v>3.8812268779719195</v>
      </c>
      <c r="J32" s="13">
        <f t="shared" si="5"/>
        <v>396.77920471530683</v>
      </c>
      <c r="K32" s="112">
        <v>335.73314845244118</v>
      </c>
      <c r="L32" s="112">
        <f t="shared" si="7"/>
        <v>61.046056262865648</v>
      </c>
      <c r="N32" s="13">
        <v>314.11687039961794</v>
      </c>
      <c r="O32" s="14">
        <v>265.78874252484928</v>
      </c>
      <c r="P32" s="112">
        <v>48.32812787476864</v>
      </c>
      <c r="R32" s="14">
        <v>3194182.8144039754</v>
      </c>
      <c r="S32" s="14">
        <v>2702745.1042500557</v>
      </c>
      <c r="T32" s="112">
        <v>491437.71015391941</v>
      </c>
    </row>
    <row r="33" spans="1:20">
      <c r="L33" s="15"/>
      <c r="P33" s="15"/>
      <c r="T33" s="15"/>
    </row>
    <row r="34" spans="1:20" s="33" customFormat="1">
      <c r="A34" s="33" t="s">
        <v>341</v>
      </c>
    </row>
    <row r="35" spans="1:20" s="33" customFormat="1">
      <c r="A35" s="33" t="s">
        <v>342</v>
      </c>
    </row>
    <row r="36" spans="1:20" s="33" customFormat="1"/>
    <row r="37" spans="1:20">
      <c r="A37" s="5" t="s">
        <v>103</v>
      </c>
      <c r="G37" s="217"/>
      <c r="J37" s="217"/>
      <c r="N37" s="217"/>
      <c r="R37" s="217"/>
    </row>
    <row r="38" spans="1:20">
      <c r="A38" s="5" t="s">
        <v>343</v>
      </c>
      <c r="G38" s="217"/>
      <c r="J38" s="217"/>
      <c r="N38" s="217"/>
      <c r="R38" s="217"/>
    </row>
    <row r="39" spans="1:20" ht="13.8" thickBot="1">
      <c r="B39" s="15"/>
      <c r="G39" s="217"/>
      <c r="J39" s="217"/>
      <c r="N39" s="217"/>
      <c r="R39" s="217"/>
    </row>
    <row r="40" spans="1:20">
      <c r="B40" s="327" t="s">
        <v>371</v>
      </c>
      <c r="C40" s="328"/>
      <c r="D40" s="329"/>
      <c r="E40" s="330"/>
      <c r="G40" s="217"/>
      <c r="J40" s="217"/>
      <c r="N40" s="217"/>
      <c r="R40" s="217"/>
    </row>
    <row r="41" spans="1:20" ht="13.8" thickBot="1">
      <c r="B41" s="331"/>
      <c r="C41" s="332">
        <v>0.49</v>
      </c>
      <c r="D41" s="333"/>
      <c r="E41" s="334"/>
      <c r="G41" s="217"/>
      <c r="J41" s="217"/>
      <c r="N41" s="217"/>
      <c r="R41" s="217"/>
    </row>
    <row r="42" spans="1:20">
      <c r="B42" s="15" t="s">
        <v>372</v>
      </c>
      <c r="G42" s="217"/>
      <c r="J42" s="217"/>
      <c r="N42" s="217"/>
      <c r="R42" s="217"/>
    </row>
    <row r="43" spans="1:20">
      <c r="B43" s="15" t="s">
        <v>373</v>
      </c>
    </row>
    <row r="44" spans="1:20">
      <c r="B44" s="15" t="s">
        <v>374</v>
      </c>
    </row>
    <row r="45" spans="1:20">
      <c r="C45" s="232"/>
    </row>
    <row r="46" spans="1:20">
      <c r="B46" s="15"/>
    </row>
    <row r="47" spans="1:20">
      <c r="B47" s="15"/>
    </row>
  </sheetData>
  <pageMargins left="0.75" right="0.75" top="1" bottom="1" header="0.5" footer="0.5"/>
  <pageSetup scale="4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Q47"/>
  <sheetViews>
    <sheetView zoomScale="75" zoomScaleNormal="75" workbookViewId="0">
      <pane xSplit="1" ySplit="9" topLeftCell="B10" activePane="bottomRight" state="frozenSplit"/>
      <selection pane="topRight"/>
      <selection pane="bottomLeft"/>
      <selection pane="bottomRight" activeCell="A2" sqref="A1:A2"/>
    </sheetView>
  </sheetViews>
  <sheetFormatPr defaultColWidth="9.109375" defaultRowHeight="13.2"/>
  <cols>
    <col min="1" max="1" width="14.109375" style="5" customWidth="1"/>
    <col min="2" max="2" width="13.33203125" style="5" bestFit="1" customWidth="1"/>
    <col min="3" max="3" width="15.44140625" style="5" customWidth="1"/>
    <col min="4" max="4" width="19.5546875" style="5" customWidth="1"/>
    <col min="5" max="5" width="12.88671875" style="5" customWidth="1"/>
    <col min="6" max="6" width="15" style="5" customWidth="1"/>
    <col min="7" max="7" width="11.88671875" style="5" customWidth="1"/>
    <col min="8" max="9" width="19.44140625" style="5" customWidth="1"/>
    <col min="10" max="10" width="13.6640625" style="5" customWidth="1"/>
    <col min="11" max="11" width="13.44140625" style="5" customWidth="1"/>
    <col min="12" max="12" width="19.88671875" style="5" customWidth="1"/>
    <col min="13" max="13" width="3.6640625" style="5" customWidth="1"/>
    <col min="14" max="14" width="12.5546875" style="5" customWidth="1"/>
    <col min="15" max="15" width="13" style="5" customWidth="1"/>
    <col min="16" max="16" width="20.33203125" style="5" customWidth="1"/>
    <col min="17" max="17" width="4.44140625" style="5" customWidth="1"/>
    <col min="18" max="18" width="12.5546875" style="5" customWidth="1"/>
    <col min="19" max="19" width="12.6640625" style="5" customWidth="1"/>
    <col min="20" max="20" width="19.5546875" style="5" customWidth="1"/>
    <col min="21" max="16384" width="9.109375" style="5"/>
  </cols>
  <sheetData>
    <row r="1" spans="1:17" s="2" customFormat="1" ht="15.6">
      <c r="A1" s="416" t="s">
        <v>397</v>
      </c>
      <c r="B1" s="1"/>
      <c r="C1" s="1"/>
      <c r="D1" s="1"/>
      <c r="E1" s="1"/>
      <c r="F1" s="1"/>
      <c r="G1" s="1"/>
      <c r="H1" s="1"/>
      <c r="I1" s="1"/>
      <c r="K1" s="1"/>
      <c r="L1" s="1"/>
      <c r="M1" s="1"/>
      <c r="O1" s="1"/>
      <c r="P1" s="1"/>
      <c r="Q1" s="1"/>
    </row>
    <row r="2" spans="1:17" s="2" customFormat="1" ht="15.6">
      <c r="A2" s="416" t="s">
        <v>380</v>
      </c>
      <c r="B2" s="3"/>
      <c r="C2" s="3"/>
      <c r="D2" s="1"/>
      <c r="E2" s="1"/>
      <c r="F2" s="1"/>
      <c r="G2" s="1"/>
      <c r="H2" s="1"/>
      <c r="I2" s="1"/>
      <c r="K2" s="1"/>
      <c r="L2" s="1"/>
      <c r="M2" s="1"/>
      <c r="O2" s="1"/>
      <c r="P2" s="1"/>
      <c r="Q2" s="1"/>
    </row>
    <row r="3" spans="1:17" s="2" customFormat="1" ht="15.6">
      <c r="A3" s="1" t="s">
        <v>322</v>
      </c>
      <c r="B3" s="3"/>
      <c r="C3" s="3"/>
      <c r="D3" s="1"/>
      <c r="E3" s="1"/>
      <c r="F3" s="1"/>
      <c r="G3" s="1"/>
      <c r="H3" s="1"/>
      <c r="I3" s="1"/>
      <c r="K3" s="1"/>
      <c r="L3" s="1"/>
      <c r="M3" s="1"/>
      <c r="O3" s="1"/>
      <c r="P3" s="1"/>
      <c r="Q3" s="1"/>
    </row>
    <row r="4" spans="1:17">
      <c r="A4" s="4"/>
      <c r="B4" s="4"/>
      <c r="C4" s="4"/>
      <c r="D4" s="4"/>
      <c r="E4" s="4"/>
      <c r="F4" s="4"/>
      <c r="G4" s="4"/>
      <c r="H4" s="4"/>
      <c r="I4" s="4"/>
      <c r="K4" s="36"/>
      <c r="L4" s="36"/>
      <c r="M4" s="36"/>
      <c r="O4" s="36"/>
      <c r="P4" s="36"/>
      <c r="Q4" s="36"/>
    </row>
    <row r="5" spans="1:17" s="9" customFormat="1" ht="92.4">
      <c r="A5" s="6"/>
      <c r="B5" s="192" t="s">
        <v>132</v>
      </c>
      <c r="C5" s="206"/>
      <c r="D5" s="47"/>
      <c r="E5" s="47"/>
      <c r="F5" s="47"/>
      <c r="G5" s="146" t="s">
        <v>2</v>
      </c>
      <c r="H5" s="146" t="s">
        <v>3</v>
      </c>
      <c r="I5" s="146" t="s">
        <v>133</v>
      </c>
      <c r="J5" s="49"/>
      <c r="K5" s="146" t="s">
        <v>2</v>
      </c>
      <c r="L5" s="146" t="s">
        <v>3</v>
      </c>
      <c r="M5" s="146" t="s">
        <v>133</v>
      </c>
      <c r="N5" s="49"/>
      <c r="O5" s="146" t="s">
        <v>2</v>
      </c>
      <c r="P5" s="146" t="s">
        <v>3</v>
      </c>
      <c r="Q5" s="146" t="s">
        <v>133</v>
      </c>
    </row>
    <row r="6" spans="1:17" s="9" customFormat="1" ht="158.4">
      <c r="A6" s="10"/>
      <c r="B6" s="56" t="s">
        <v>4</v>
      </c>
      <c r="C6" s="55" t="s">
        <v>134</v>
      </c>
      <c r="D6" s="54" t="s">
        <v>135</v>
      </c>
      <c r="E6" s="54" t="s">
        <v>136</v>
      </c>
      <c r="F6" s="54" t="s">
        <v>136</v>
      </c>
      <c r="G6" s="57" t="s">
        <v>4</v>
      </c>
      <c r="H6" s="57" t="s">
        <v>4</v>
      </c>
      <c r="I6" s="57" t="s">
        <v>24</v>
      </c>
      <c r="J6" s="49"/>
      <c r="K6" s="56" t="s">
        <v>4</v>
      </c>
      <c r="L6" s="56" t="s">
        <v>4</v>
      </c>
      <c r="M6" s="57" t="s">
        <v>24</v>
      </c>
      <c r="N6" s="49"/>
      <c r="O6" s="56" t="s">
        <v>4</v>
      </c>
      <c r="P6" s="56" t="s">
        <v>4</v>
      </c>
      <c r="Q6" s="57" t="s">
        <v>24</v>
      </c>
    </row>
    <row r="7" spans="1:17" s="9" customFormat="1" ht="145.19999999999999">
      <c r="A7" s="10"/>
      <c r="B7" s="55" t="s">
        <v>137</v>
      </c>
      <c r="C7" s="55" t="s">
        <v>138</v>
      </c>
      <c r="D7" s="44" t="s">
        <v>8</v>
      </c>
      <c r="E7" s="55" t="s">
        <v>9</v>
      </c>
      <c r="F7" s="55" t="s">
        <v>10</v>
      </c>
      <c r="G7" s="55" t="s">
        <v>139</v>
      </c>
      <c r="H7" s="55" t="s">
        <v>139</v>
      </c>
      <c r="I7" s="55" t="s">
        <v>140</v>
      </c>
      <c r="J7" s="49"/>
      <c r="K7" s="55" t="s">
        <v>139</v>
      </c>
      <c r="L7" s="55" t="s">
        <v>139</v>
      </c>
      <c r="M7" s="55" t="s">
        <v>140</v>
      </c>
      <c r="N7" s="49"/>
      <c r="O7" s="55" t="s">
        <v>139</v>
      </c>
      <c r="P7" s="55" t="s">
        <v>139</v>
      </c>
      <c r="Q7" s="55" t="s">
        <v>140</v>
      </c>
    </row>
    <row r="8" spans="1:17" s="9" customFormat="1" ht="132">
      <c r="A8" s="10"/>
      <c r="B8" s="55" t="s">
        <v>12</v>
      </c>
      <c r="C8" s="55" t="s">
        <v>141</v>
      </c>
      <c r="D8" s="44" t="s">
        <v>15</v>
      </c>
      <c r="E8" s="55" t="s">
        <v>142</v>
      </c>
      <c r="F8" s="55" t="s">
        <v>142</v>
      </c>
      <c r="G8" s="55" t="s">
        <v>16</v>
      </c>
      <c r="H8" s="55" t="s">
        <v>16</v>
      </c>
      <c r="I8" s="55" t="s">
        <v>323</v>
      </c>
      <c r="J8" s="49"/>
      <c r="K8" s="55" t="s">
        <v>16</v>
      </c>
      <c r="L8" s="55" t="s">
        <v>16</v>
      </c>
      <c r="M8" s="55" t="s">
        <v>323</v>
      </c>
      <c r="N8" s="49"/>
      <c r="O8" s="55" t="s">
        <v>16</v>
      </c>
      <c r="P8" s="55" t="s">
        <v>16</v>
      </c>
      <c r="Q8" s="55" t="s">
        <v>323</v>
      </c>
    </row>
    <row r="9" spans="1:17" s="9" customFormat="1" ht="66">
      <c r="A9" s="11" t="s">
        <v>17</v>
      </c>
      <c r="B9" s="58" t="s">
        <v>18</v>
      </c>
      <c r="C9" s="58" t="s">
        <v>143</v>
      </c>
      <c r="D9" s="46" t="s">
        <v>21</v>
      </c>
      <c r="E9" s="46" t="s">
        <v>143</v>
      </c>
      <c r="F9" s="46" t="s">
        <v>143</v>
      </c>
      <c r="G9" s="58" t="s">
        <v>22</v>
      </c>
      <c r="H9" s="58" t="s">
        <v>22</v>
      </c>
      <c r="I9" s="58" t="s">
        <v>22</v>
      </c>
      <c r="J9" s="49"/>
      <c r="K9" s="58" t="s">
        <v>112</v>
      </c>
      <c r="L9" s="58" t="s">
        <v>112</v>
      </c>
      <c r="M9" s="58" t="s">
        <v>112</v>
      </c>
      <c r="N9" s="49"/>
      <c r="O9" s="58" t="s">
        <v>102</v>
      </c>
      <c r="P9" s="58" t="s">
        <v>102</v>
      </c>
      <c r="Q9" s="58" t="s">
        <v>102</v>
      </c>
    </row>
    <row r="10" spans="1:17" s="30" customFormat="1">
      <c r="A10" s="24" t="s">
        <v>318</v>
      </c>
      <c r="B10" s="207">
        <v>476564.83333333331</v>
      </c>
      <c r="C10" s="39">
        <f>B10*C$15/B$15</f>
        <v>49681.513976861548</v>
      </c>
      <c r="D10" s="24">
        <v>13</v>
      </c>
      <c r="E10" s="207">
        <f>C10*(1/D10)</f>
        <v>3821.6549212970422</v>
      </c>
      <c r="F10" s="207"/>
      <c r="G10" s="207"/>
      <c r="H10" s="207"/>
      <c r="I10" s="24"/>
      <c r="K10" s="207"/>
      <c r="L10" s="207"/>
      <c r="M10" s="24"/>
      <c r="O10" s="207"/>
      <c r="P10" s="207"/>
      <c r="Q10" s="24"/>
    </row>
    <row r="11" spans="1:17" s="33" customFormat="1">
      <c r="A11" s="32">
        <v>2005</v>
      </c>
      <c r="B11" s="14">
        <v>490364.66666666669</v>
      </c>
      <c r="C11" s="39">
        <f>B11*C$15/B$15</f>
        <v>51120.135890763493</v>
      </c>
      <c r="D11" s="14">
        <f>D10</f>
        <v>13</v>
      </c>
      <c r="E11" s="14">
        <f t="shared" ref="E11:E23" si="0">C$11*(1/D$11)</f>
        <v>3932.3181454433457</v>
      </c>
      <c r="F11" s="14">
        <v>0</v>
      </c>
      <c r="G11" s="14">
        <v>50.252288809752898</v>
      </c>
      <c r="H11" s="14">
        <f t="shared" ref="H11:H20" si="1">G11</f>
        <v>50.252288809752898</v>
      </c>
      <c r="I11" s="112">
        <f>(G11-H11)</f>
        <v>0</v>
      </c>
      <c r="K11" s="14">
        <v>34.656685415401363</v>
      </c>
      <c r="L11" s="14">
        <f t="shared" ref="L11:L20" si="2">K11</f>
        <v>34.656685415401363</v>
      </c>
      <c r="M11" s="112">
        <f t="shared" ref="M11:M20" si="3">K11-L11</f>
        <v>0</v>
      </c>
      <c r="O11" s="14">
        <v>424059.65348736517</v>
      </c>
      <c r="P11" s="14">
        <f t="shared" ref="P11:P20" si="4">O11</f>
        <v>424059.65348736517</v>
      </c>
      <c r="Q11" s="112">
        <f>(O11-P11)*$C$41</f>
        <v>0</v>
      </c>
    </row>
    <row r="12" spans="1:17" s="33" customFormat="1">
      <c r="A12" s="32">
        <v>2006</v>
      </c>
      <c r="B12" s="14">
        <v>500078.66666666669</v>
      </c>
      <c r="C12" s="39">
        <f>B12*C$15/B$15</f>
        <v>52132.812850990798</v>
      </c>
      <c r="D12" s="14">
        <f t="shared" ref="D12:D32" si="5">D11</f>
        <v>13</v>
      </c>
      <c r="E12" s="14">
        <f t="shared" si="0"/>
        <v>3932.3181454433457</v>
      </c>
      <c r="F12" s="14">
        <f t="shared" ref="F12:F32" si="6">C12-C11</f>
        <v>1012.6769602273052</v>
      </c>
      <c r="G12" s="14">
        <v>51.247773938843096</v>
      </c>
      <c r="H12" s="14">
        <f t="shared" si="1"/>
        <v>51.247773938843096</v>
      </c>
      <c r="I12" s="112">
        <f t="shared" ref="I12:I32" si="7">(G12-H12)</f>
        <v>0</v>
      </c>
      <c r="K12" s="14">
        <v>35.343225586441164</v>
      </c>
      <c r="L12" s="14">
        <f t="shared" si="2"/>
        <v>35.343225586441164</v>
      </c>
      <c r="M12" s="112">
        <f t="shared" si="3"/>
        <v>0</v>
      </c>
      <c r="O12" s="14">
        <v>432460.16794934304</v>
      </c>
      <c r="P12" s="14">
        <f t="shared" si="4"/>
        <v>432460.16794934304</v>
      </c>
      <c r="Q12" s="112">
        <f>(O12-P12)*$C$41</f>
        <v>0</v>
      </c>
    </row>
    <row r="13" spans="1:17" s="33" customFormat="1">
      <c r="A13" s="32">
        <v>2007</v>
      </c>
      <c r="B13" s="14">
        <v>511862.33333333337</v>
      </c>
      <c r="C13" s="39">
        <f>B13*C$15/B$15</f>
        <v>53361.250954792726</v>
      </c>
      <c r="D13" s="14">
        <f t="shared" si="5"/>
        <v>13</v>
      </c>
      <c r="E13" s="14">
        <f t="shared" si="0"/>
        <v>3932.3181454433457</v>
      </c>
      <c r="F13" s="14">
        <f t="shared" si="6"/>
        <v>1228.4381038019274</v>
      </c>
      <c r="G13" s="14">
        <v>52.455357316733007</v>
      </c>
      <c r="H13" s="14">
        <f t="shared" si="1"/>
        <v>52.455357316733007</v>
      </c>
      <c r="I13" s="112">
        <f t="shared" si="7"/>
        <v>0</v>
      </c>
      <c r="K13" s="14">
        <v>36.17604013542298</v>
      </c>
      <c r="L13" s="14">
        <f t="shared" si="2"/>
        <v>36.17604013542298</v>
      </c>
      <c r="M13" s="112">
        <f t="shared" si="3"/>
        <v>0</v>
      </c>
      <c r="O13" s="14">
        <v>442650.49760226248</v>
      </c>
      <c r="P13" s="14">
        <f t="shared" si="4"/>
        <v>442650.49760226248</v>
      </c>
      <c r="Q13" s="112">
        <f>(O13-P13)*$C$41</f>
        <v>0</v>
      </c>
    </row>
    <row r="14" spans="1:17" s="33" customFormat="1">
      <c r="A14" s="32">
        <v>2008</v>
      </c>
      <c r="B14" s="14">
        <v>514125</v>
      </c>
      <c r="C14" s="39">
        <f>B14*C$15/B$15</f>
        <v>53597.132198565385</v>
      </c>
      <c r="D14" s="14">
        <f t="shared" si="5"/>
        <v>13</v>
      </c>
      <c r="E14" s="14">
        <f t="shared" si="0"/>
        <v>3932.3181454433457</v>
      </c>
      <c r="F14" s="14">
        <f t="shared" si="6"/>
        <v>235.88124377265922</v>
      </c>
      <c r="G14" s="14">
        <v>52.687234094451227</v>
      </c>
      <c r="H14" s="14">
        <f t="shared" si="1"/>
        <v>52.687234094451227</v>
      </c>
      <c r="I14" s="112">
        <f t="shared" si="7"/>
        <v>0</v>
      </c>
      <c r="K14" s="14">
        <v>36.335954852361361</v>
      </c>
      <c r="L14" s="14">
        <f t="shared" si="2"/>
        <v>36.335954852361361</v>
      </c>
      <c r="M14" s="112">
        <f t="shared" si="3"/>
        <v>0</v>
      </c>
      <c r="O14" s="14">
        <v>444607.21615856967</v>
      </c>
      <c r="P14" s="14">
        <f t="shared" si="4"/>
        <v>444607.21615856967</v>
      </c>
      <c r="Q14" s="112">
        <f>(O14-P14)*$C$41</f>
        <v>0</v>
      </c>
    </row>
    <row r="15" spans="1:17">
      <c r="A15" s="12">
        <v>2009</v>
      </c>
      <c r="B15" s="14">
        <v>511138.25</v>
      </c>
      <c r="C15" s="37">
        <v>53285.765829308752</v>
      </c>
      <c r="D15" s="14">
        <f t="shared" si="5"/>
        <v>13</v>
      </c>
      <c r="E15" s="13">
        <f t="shared" si="0"/>
        <v>3932.3181454433457</v>
      </c>
      <c r="F15" s="14">
        <f t="shared" si="6"/>
        <v>-311.36636925663333</v>
      </c>
      <c r="G15" s="14">
        <v>52.381153673480441</v>
      </c>
      <c r="H15" s="14">
        <f t="shared" si="1"/>
        <v>52.381153673480441</v>
      </c>
      <c r="I15" s="112">
        <f t="shared" si="7"/>
        <v>0</v>
      </c>
      <c r="K15" s="14">
        <v>36.124865305742752</v>
      </c>
      <c r="L15" s="14">
        <f t="shared" si="2"/>
        <v>36.124865305742752</v>
      </c>
      <c r="M15" s="112">
        <f t="shared" si="3"/>
        <v>0</v>
      </c>
      <c r="O15" s="14">
        <v>442024.32172071585</v>
      </c>
      <c r="P15" s="14">
        <f t="shared" si="4"/>
        <v>442024.32172071585</v>
      </c>
      <c r="Q15" s="112">
        <f>(O15-P15)*$C$41</f>
        <v>0</v>
      </c>
    </row>
    <row r="16" spans="1:17">
      <c r="A16" s="12">
        <v>2010</v>
      </c>
      <c r="B16" s="14">
        <v>512438.91666666663</v>
      </c>
      <c r="C16" s="14">
        <f t="shared" ref="C16:C28" si="8">B16*C$15/B$15</f>
        <v>53421.359319762632</v>
      </c>
      <c r="D16" s="14">
        <f t="shared" si="5"/>
        <v>13</v>
      </c>
      <c r="E16" s="13">
        <f t="shared" si="0"/>
        <v>3932.3181454433457</v>
      </c>
      <c r="F16" s="13">
        <f t="shared" si="6"/>
        <v>135.5934904538808</v>
      </c>
      <c r="G16" s="14">
        <v>52.514445244879454</v>
      </c>
      <c r="H16" s="14">
        <f t="shared" si="1"/>
        <v>52.514445244879454</v>
      </c>
      <c r="I16" s="112">
        <f t="shared" si="7"/>
        <v>0</v>
      </c>
      <c r="K16" s="14">
        <v>36.216790353694073</v>
      </c>
      <c r="L16" s="14">
        <f t="shared" si="2"/>
        <v>36.216790353694073</v>
      </c>
      <c r="M16" s="112">
        <f t="shared" si="3"/>
        <v>0</v>
      </c>
      <c r="O16" s="14">
        <v>443149.11780302448</v>
      </c>
      <c r="P16" s="14">
        <f t="shared" si="4"/>
        <v>443149.11780302448</v>
      </c>
      <c r="Q16" s="112">
        <f>(O16-P16)*$C$41</f>
        <v>0</v>
      </c>
    </row>
    <row r="17" spans="1:17">
      <c r="A17" s="12">
        <v>2011</v>
      </c>
      <c r="B17" s="14">
        <v>516695.41666666669</v>
      </c>
      <c r="C17" s="14">
        <f t="shared" si="8"/>
        <v>53865.096140969908</v>
      </c>
      <c r="D17" s="14">
        <f t="shared" si="5"/>
        <v>13</v>
      </c>
      <c r="E17" s="13">
        <f t="shared" si="0"/>
        <v>3932.3181454433457</v>
      </c>
      <c r="F17" s="13">
        <f t="shared" si="6"/>
        <v>443.73682120727608</v>
      </c>
      <c r="G17" s="14">
        <v>52.950648915043374</v>
      </c>
      <c r="H17" s="14">
        <f t="shared" si="1"/>
        <v>52.950648915043374</v>
      </c>
      <c r="I17" s="112">
        <f t="shared" si="7"/>
        <v>0</v>
      </c>
      <c r="K17" s="14">
        <v>36.517619902595747</v>
      </c>
      <c r="L17" s="14">
        <f t="shared" si="2"/>
        <v>36.517619902595747</v>
      </c>
      <c r="M17" s="112">
        <f t="shared" si="3"/>
        <v>0</v>
      </c>
      <c r="O17" s="14">
        <v>446830.07207597152</v>
      </c>
      <c r="P17" s="14">
        <f t="shared" si="4"/>
        <v>446830.07207597152</v>
      </c>
      <c r="Q17" s="112">
        <f>(O17-P17)*$C$41</f>
        <v>0</v>
      </c>
    </row>
    <row r="18" spans="1:17">
      <c r="A18" s="12">
        <v>2012</v>
      </c>
      <c r="B18" s="14">
        <v>520629.41666666663</v>
      </c>
      <c r="C18" s="14">
        <f t="shared" si="8"/>
        <v>54275.212587493916</v>
      </c>
      <c r="D18" s="14">
        <f t="shared" si="5"/>
        <v>13</v>
      </c>
      <c r="E18" s="13">
        <f t="shared" si="0"/>
        <v>3932.3181454433457</v>
      </c>
      <c r="F18" s="13">
        <f t="shared" si="6"/>
        <v>410.11644652400719</v>
      </c>
      <c r="G18" s="14">
        <v>53.353802970822755</v>
      </c>
      <c r="H18" s="14">
        <f t="shared" si="1"/>
        <v>53.353802970822755</v>
      </c>
      <c r="I18" s="112">
        <f t="shared" si="7"/>
        <v>0</v>
      </c>
      <c r="K18" s="14">
        <v>36.795656657060498</v>
      </c>
      <c r="L18" s="14">
        <f t="shared" si="2"/>
        <v>36.795656657060498</v>
      </c>
      <c r="M18" s="112">
        <f t="shared" si="3"/>
        <v>0</v>
      </c>
      <c r="O18" s="14">
        <v>450232.13341974554</v>
      </c>
      <c r="P18" s="14">
        <f t="shared" si="4"/>
        <v>450232.13341974554</v>
      </c>
      <c r="Q18" s="112">
        <f>(O18-P18)*$C$41</f>
        <v>0</v>
      </c>
    </row>
    <row r="19" spans="1:17">
      <c r="A19" s="12">
        <v>2013</v>
      </c>
      <c r="B19" s="14">
        <v>526040.41666666663</v>
      </c>
      <c r="C19" s="14">
        <f t="shared" si="8"/>
        <v>54839.305137606119</v>
      </c>
      <c r="D19" s="14">
        <f t="shared" si="5"/>
        <v>13</v>
      </c>
      <c r="E19" s="13">
        <f t="shared" si="0"/>
        <v>3932.3181454433457</v>
      </c>
      <c r="F19" s="13">
        <f t="shared" si="6"/>
        <v>564.09255011220375</v>
      </c>
      <c r="G19" s="14">
        <v>53.908319136512176</v>
      </c>
      <c r="H19" s="14">
        <f t="shared" si="1"/>
        <v>53.908319136512176</v>
      </c>
      <c r="I19" s="112">
        <f t="shared" si="7"/>
        <v>0</v>
      </c>
      <c r="K19" s="14">
        <v>37.178080876279807</v>
      </c>
      <c r="L19" s="14">
        <f t="shared" si="2"/>
        <v>37.178080876279807</v>
      </c>
      <c r="M19" s="112">
        <f t="shared" si="3"/>
        <v>0</v>
      </c>
      <c r="O19" s="14">
        <v>454911.48113991867</v>
      </c>
      <c r="P19" s="14">
        <f t="shared" si="4"/>
        <v>454911.48113991867</v>
      </c>
      <c r="Q19" s="112">
        <f>(O19-P19)*$C$41</f>
        <v>0</v>
      </c>
    </row>
    <row r="20" spans="1:17">
      <c r="A20" s="12">
        <v>2014</v>
      </c>
      <c r="B20" s="14">
        <v>535705.26774780429</v>
      </c>
      <c r="C20" s="14">
        <f t="shared" si="8"/>
        <v>55846.858361190236</v>
      </c>
      <c r="D20" s="14">
        <f t="shared" si="5"/>
        <v>13</v>
      </c>
      <c r="E20" s="13">
        <f t="shared" si="0"/>
        <v>3932.3181454433457</v>
      </c>
      <c r="F20" s="13">
        <f t="shared" si="6"/>
        <v>1007.5532235841165</v>
      </c>
      <c r="G20" s="14">
        <v>54.898767512685112</v>
      </c>
      <c r="H20" s="14">
        <f t="shared" si="1"/>
        <v>54.898767512685112</v>
      </c>
      <c r="I20" s="112">
        <f t="shared" si="7"/>
        <v>0</v>
      </c>
      <c r="K20" s="14">
        <v>37.861147431181855</v>
      </c>
      <c r="L20" s="14">
        <f t="shared" si="2"/>
        <v>37.861147431181855</v>
      </c>
      <c r="M20" s="112">
        <f t="shared" si="3"/>
        <v>0</v>
      </c>
      <c r="O20" s="14">
        <v>463269.49238965713</v>
      </c>
      <c r="P20" s="14">
        <f t="shared" si="4"/>
        <v>463269.49238965713</v>
      </c>
      <c r="Q20" s="112">
        <f>(O20-P20)*$C$41</f>
        <v>0</v>
      </c>
    </row>
    <row r="21" spans="1:17" s="217" customFormat="1">
      <c r="A21" s="215">
        <v>2015</v>
      </c>
      <c r="B21" s="163">
        <v>549661.80660673755</v>
      </c>
      <c r="C21" s="163">
        <f t="shared" si="8"/>
        <v>57301.816704504919</v>
      </c>
      <c r="D21" s="163">
        <f t="shared" si="5"/>
        <v>13</v>
      </c>
      <c r="E21" s="216">
        <f t="shared" si="0"/>
        <v>3932.3181454433457</v>
      </c>
      <c r="F21" s="216">
        <f t="shared" si="6"/>
        <v>1454.9583433146836</v>
      </c>
      <c r="G21" s="163">
        <v>56.329025582238089</v>
      </c>
      <c r="H21" s="163">
        <v>52.701137150933299</v>
      </c>
      <c r="I21" s="220">
        <f t="shared" si="7"/>
        <v>3.6278884313047897</v>
      </c>
      <c r="K21" s="163">
        <v>38.847530442849106</v>
      </c>
      <c r="L21" s="163">
        <v>36.345543149058372</v>
      </c>
      <c r="M21" s="220">
        <f>K21-L21</f>
        <v>2.5019872937907337</v>
      </c>
      <c r="O21" s="163">
        <v>475338.88774930546</v>
      </c>
      <c r="P21" s="163">
        <v>444724.53868165961</v>
      </c>
      <c r="Q21" s="220">
        <f>(O21-P21)</f>
        <v>30614.349067645846</v>
      </c>
    </row>
    <row r="22" spans="1:17" s="217" customFormat="1">
      <c r="A22" s="215">
        <v>2016</v>
      </c>
      <c r="B22" s="163">
        <v>558880.15849572408</v>
      </c>
      <c r="C22" s="163">
        <f t="shared" si="8"/>
        <v>58262.822733869194</v>
      </c>
      <c r="D22" s="163">
        <f t="shared" si="5"/>
        <v>13</v>
      </c>
      <c r="E22" s="216">
        <f t="shared" si="0"/>
        <v>3932.3181454433457</v>
      </c>
      <c r="F22" s="216">
        <f t="shared" si="6"/>
        <v>961.00602936427458</v>
      </c>
      <c r="G22" s="163">
        <v>57.273716978182769</v>
      </c>
      <c r="H22" s="163">
        <v>50.350576446590622</v>
      </c>
      <c r="I22" s="220">
        <f t="shared" si="7"/>
        <v>6.9231405315921464</v>
      </c>
      <c r="K22" s="163">
        <v>39.499040519292372</v>
      </c>
      <c r="L22" s="163">
        <v>34.72446986444416</v>
      </c>
      <c r="M22" s="220">
        <f>(K22-L22)</f>
        <v>4.7745706548482119</v>
      </c>
      <c r="O22" s="163">
        <v>483310.7735181991</v>
      </c>
      <c r="P22" s="163">
        <v>424889.06488745671</v>
      </c>
      <c r="Q22" s="220">
        <f t="shared" ref="Q22:Q32" si="9">(O22-P22)</f>
        <v>58421.708630742389</v>
      </c>
    </row>
    <row r="23" spans="1:17" s="217" customFormat="1">
      <c r="A23" s="215">
        <v>2017</v>
      </c>
      <c r="B23" s="163">
        <v>567606.67780032731</v>
      </c>
      <c r="C23" s="163">
        <f t="shared" si="8"/>
        <v>59172.555598060098</v>
      </c>
      <c r="D23" s="163">
        <f t="shared" si="5"/>
        <v>13</v>
      </c>
      <c r="E23" s="216">
        <f t="shared" si="0"/>
        <v>3932.3181454433457</v>
      </c>
      <c r="F23" s="216">
        <f t="shared" si="6"/>
        <v>909.73286419090437</v>
      </c>
      <c r="G23" s="163">
        <v>58.168005653954957</v>
      </c>
      <c r="H23" s="163">
        <v>47.984141289402551</v>
      </c>
      <c r="I23" s="220">
        <f t="shared" si="7"/>
        <v>10.183864364552406</v>
      </c>
      <c r="K23" s="163">
        <v>40.115790164748866</v>
      </c>
      <c r="L23" s="163">
        <v>33.092448702003175</v>
      </c>
      <c r="M23" s="220">
        <f t="shared" ref="M23:M32" si="10">(K23-L23)</f>
        <v>7.0233414627456909</v>
      </c>
      <c r="O23" s="163">
        <v>490857.33020144462</v>
      </c>
      <c r="P23" s="163">
        <v>404919.63271777739</v>
      </c>
      <c r="Q23" s="220">
        <f t="shared" si="9"/>
        <v>85937.697483667231</v>
      </c>
    </row>
    <row r="24" spans="1:17" s="217" customFormat="1">
      <c r="A24" s="215">
        <v>2018</v>
      </c>
      <c r="B24" s="163">
        <v>575756.50603146944</v>
      </c>
      <c r="C24" s="163">
        <f t="shared" si="8"/>
        <v>60022.168865456406</v>
      </c>
      <c r="D24" s="163">
        <f t="shared" si="5"/>
        <v>13</v>
      </c>
      <c r="E24" s="218">
        <f t="shared" ref="E24:E32" si="11">C$23*(1/D23)</f>
        <v>4551.7350460046237</v>
      </c>
      <c r="F24" s="216">
        <f t="shared" si="6"/>
        <v>849.61326739630749</v>
      </c>
      <c r="G24" s="163">
        <v>59.003195360434425</v>
      </c>
      <c r="H24" s="163">
        <v>45.18196634594694</v>
      </c>
      <c r="I24" s="220">
        <f t="shared" si="7"/>
        <v>13.821229014487486</v>
      </c>
      <c r="K24" s="163">
        <v>40.691781977365025</v>
      </c>
      <c r="L24" s="163">
        <v>31.159917909984529</v>
      </c>
      <c r="M24" s="220">
        <f t="shared" si="10"/>
        <v>9.5318640673804964</v>
      </c>
      <c r="O24" s="163">
        <v>497905.17351195985</v>
      </c>
      <c r="P24" s="163">
        <v>381273.16081216052</v>
      </c>
      <c r="Q24" s="220">
        <f t="shared" si="9"/>
        <v>116632.01269979932</v>
      </c>
    </row>
    <row r="25" spans="1:17" s="217" customFormat="1">
      <c r="A25" s="215">
        <v>2019</v>
      </c>
      <c r="B25" s="163">
        <v>583701.99084555055</v>
      </c>
      <c r="C25" s="163">
        <f t="shared" si="8"/>
        <v>60850.479490230537</v>
      </c>
      <c r="D25" s="163">
        <f t="shared" si="5"/>
        <v>13</v>
      </c>
      <c r="E25" s="218">
        <f t="shared" si="11"/>
        <v>4551.7350460046237</v>
      </c>
      <c r="F25" s="216">
        <f t="shared" si="6"/>
        <v>828.3106247741307</v>
      </c>
      <c r="G25" s="163">
        <v>59.817444071143683</v>
      </c>
      <c r="H25" s="163">
        <v>42.373195987625763</v>
      </c>
      <c r="I25" s="220">
        <f t="shared" si="7"/>
        <v>17.44424808351792</v>
      </c>
      <c r="K25" s="163">
        <v>41.253331751222696</v>
      </c>
      <c r="L25" s="163">
        <v>29.22283856458467</v>
      </c>
      <c r="M25" s="220">
        <f t="shared" si="10"/>
        <v>12.030493186638026</v>
      </c>
      <c r="O25" s="163">
        <v>504776.3038483932</v>
      </c>
      <c r="P25" s="163">
        <v>357571.03274821269</v>
      </c>
      <c r="Q25" s="220">
        <f t="shared" si="9"/>
        <v>147205.27110018051</v>
      </c>
    </row>
    <row r="26" spans="1:17" s="217" customFormat="1">
      <c r="A26" s="215">
        <v>2020</v>
      </c>
      <c r="B26" s="163">
        <v>591470.16272486374</v>
      </c>
      <c r="C26" s="163">
        <f t="shared" si="8"/>
        <v>61660.305379181133</v>
      </c>
      <c r="D26" s="163">
        <f t="shared" si="5"/>
        <v>13</v>
      </c>
      <c r="E26" s="218">
        <f t="shared" si="11"/>
        <v>4551.7350460046237</v>
      </c>
      <c r="F26" s="216">
        <f t="shared" si="6"/>
        <v>809.82588895059598</v>
      </c>
      <c r="G26" s="163">
        <v>60.613521854350694</v>
      </c>
      <c r="H26" s="163">
        <v>39.55870265382223</v>
      </c>
      <c r="I26" s="220">
        <f t="shared" si="7"/>
        <v>21.054819200528463</v>
      </c>
      <c r="K26" s="163">
        <v>41.802349874620909</v>
      </c>
      <c r="L26" s="163">
        <v>27.281812346999878</v>
      </c>
      <c r="M26" s="220">
        <f t="shared" si="10"/>
        <v>14.52053752762103</v>
      </c>
      <c r="O26" s="163">
        <v>511494.0967468181</v>
      </c>
      <c r="P26" s="163">
        <v>333820.61070487706</v>
      </c>
      <c r="Q26" s="220">
        <f t="shared" si="9"/>
        <v>177673.48604194104</v>
      </c>
    </row>
    <row r="27" spans="1:17" s="217" customFormat="1">
      <c r="A27" s="215">
        <v>2021</v>
      </c>
      <c r="B27" s="163">
        <v>599138.14921063429</v>
      </c>
      <c r="C27" s="163">
        <f t="shared" si="8"/>
        <v>62459.687018616401</v>
      </c>
      <c r="D27" s="163">
        <f t="shared" si="5"/>
        <v>13</v>
      </c>
      <c r="E27" s="218">
        <f t="shared" si="11"/>
        <v>4551.7350460046237</v>
      </c>
      <c r="F27" s="216">
        <f t="shared" si="6"/>
        <v>799.38163943526888</v>
      </c>
      <c r="G27" s="163">
        <v>61.399332696089338</v>
      </c>
      <c r="H27" s="163">
        <v>36.740975723148367</v>
      </c>
      <c r="I27" s="220">
        <f t="shared" si="7"/>
        <v>24.658356972940972</v>
      </c>
      <c r="K27" s="163">
        <v>42.344287362110286</v>
      </c>
      <c r="L27" s="163">
        <v>25.338556066821926</v>
      </c>
      <c r="M27" s="220">
        <f t="shared" si="10"/>
        <v>17.00573129528836</v>
      </c>
      <c r="O27" s="163">
        <v>518125.25089217187</v>
      </c>
      <c r="P27" s="163">
        <v>310042.90158664738</v>
      </c>
      <c r="Q27" s="220">
        <f t="shared" si="9"/>
        <v>208082.34930552449</v>
      </c>
    </row>
    <row r="28" spans="1:17" s="217" customFormat="1">
      <c r="A28" s="215">
        <v>2022</v>
      </c>
      <c r="B28" s="163">
        <v>606878.53097979981</v>
      </c>
      <c r="C28" s="163">
        <f t="shared" si="8"/>
        <v>63266.615810154115</v>
      </c>
      <c r="D28" s="163">
        <f t="shared" si="5"/>
        <v>13</v>
      </c>
      <c r="E28" s="218">
        <f t="shared" si="11"/>
        <v>4551.7350460046237</v>
      </c>
      <c r="F28" s="216">
        <f t="shared" si="6"/>
        <v>806.92879153771355</v>
      </c>
      <c r="G28" s="163">
        <v>62.192562564803069</v>
      </c>
      <c r="H28" s="163">
        <v>33.925585432113635</v>
      </c>
      <c r="I28" s="220">
        <f t="shared" si="7"/>
        <v>28.266977132689433</v>
      </c>
      <c r="K28" s="163">
        <v>42.89134141025896</v>
      </c>
      <c r="L28" s="163">
        <v>23.396911259212096</v>
      </c>
      <c r="M28" s="220">
        <f t="shared" si="10"/>
        <v>19.494430151046863</v>
      </c>
      <c r="O28" s="163">
        <v>524819.01134029869</v>
      </c>
      <c r="P28" s="163">
        <v>286284.91046771989</v>
      </c>
      <c r="Q28" s="220">
        <f t="shared" si="9"/>
        <v>238534.1008725788</v>
      </c>
    </row>
    <row r="29" spans="1:17" s="217" customFormat="1">
      <c r="A29" s="215">
        <v>2023</v>
      </c>
      <c r="B29" s="163">
        <v>614519.07127759582</v>
      </c>
      <c r="C29" s="163">
        <f>B29*C$15/B$15</f>
        <v>64063.136205796109</v>
      </c>
      <c r="D29" s="163">
        <f t="shared" si="5"/>
        <v>13</v>
      </c>
      <c r="E29" s="218">
        <f t="shared" si="11"/>
        <v>4551.7350460046237</v>
      </c>
      <c r="F29" s="216">
        <f t="shared" si="6"/>
        <v>796.52039564199367</v>
      </c>
      <c r="G29" s="163">
        <v>62.97556073699478</v>
      </c>
      <c r="H29" s="163">
        <v>31.106972644685612</v>
      </c>
      <c r="I29" s="220">
        <f t="shared" si="7"/>
        <v>31.868588092309167</v>
      </c>
      <c r="K29" s="163">
        <v>43.431339129312427</v>
      </c>
      <c r="L29" s="163">
        <v>21.453044044496057</v>
      </c>
      <c r="M29" s="220">
        <f t="shared" si="10"/>
        <v>21.97829508481637</v>
      </c>
      <c r="O29" s="163">
        <v>531426.43045384204</v>
      </c>
      <c r="P29" s="163">
        <v>262499.72594653635</v>
      </c>
      <c r="Q29" s="220">
        <f t="shared" si="9"/>
        <v>268926.70450730569</v>
      </c>
    </row>
    <row r="30" spans="1:17" s="217" customFormat="1">
      <c r="A30" s="215">
        <v>2024</v>
      </c>
      <c r="B30" s="163">
        <v>622036.19847507309</v>
      </c>
      <c r="C30" s="163">
        <f>B30*C$15/B$15</f>
        <v>64846.790881520144</v>
      </c>
      <c r="D30" s="163">
        <f t="shared" si="5"/>
        <v>13</v>
      </c>
      <c r="E30" s="218">
        <f t="shared" si="11"/>
        <v>4551.7350460046237</v>
      </c>
      <c r="F30" s="216">
        <f t="shared" si="6"/>
        <v>783.65467572403577</v>
      </c>
      <c r="G30" s="163">
        <v>63.745911605696463</v>
      </c>
      <c r="H30" s="163">
        <v>28.28437655988423</v>
      </c>
      <c r="I30" s="220">
        <f t="shared" si="7"/>
        <v>35.461535045812234</v>
      </c>
      <c r="K30" s="163">
        <v>43.962614586578638</v>
      </c>
      <c r="L30" s="163">
        <v>19.506429733334173</v>
      </c>
      <c r="M30" s="220">
        <f t="shared" si="10"/>
        <v>24.456184853244466</v>
      </c>
      <c r="O30" s="163">
        <v>537927.12385871483</v>
      </c>
      <c r="P30" s="163">
        <v>238680.92791751266</v>
      </c>
      <c r="Q30" s="220">
        <f t="shared" si="9"/>
        <v>299246.19594120217</v>
      </c>
    </row>
    <row r="31" spans="1:17" s="217" customFormat="1">
      <c r="A31" s="215">
        <v>2025</v>
      </c>
      <c r="B31" s="163">
        <v>629750.56588928006</v>
      </c>
      <c r="C31" s="163">
        <f>B31*C$15/B$15</f>
        <v>65651.007696745161</v>
      </c>
      <c r="D31" s="163">
        <f t="shared" si="5"/>
        <v>13</v>
      </c>
      <c r="E31" s="218">
        <f t="shared" si="11"/>
        <v>4551.7350460046237</v>
      </c>
      <c r="F31" s="216">
        <f t="shared" si="6"/>
        <v>804.21681522501603</v>
      </c>
      <c r="G31" s="163">
        <v>64.536475538286652</v>
      </c>
      <c r="H31" s="163">
        <v>25.468146626125097</v>
      </c>
      <c r="I31" s="220">
        <f t="shared" si="7"/>
        <v>39.068328912161554</v>
      </c>
      <c r="K31" s="163">
        <v>44.507830061564597</v>
      </c>
      <c r="L31" s="163">
        <v>17.564205862870697</v>
      </c>
      <c r="M31" s="220">
        <f t="shared" si="10"/>
        <v>26.9436241986939</v>
      </c>
      <c r="O31" s="163">
        <v>544598.38750171021</v>
      </c>
      <c r="P31" s="163">
        <v>214915.85137797688</v>
      </c>
      <c r="Q31" s="220">
        <f t="shared" si="9"/>
        <v>329682.53612373333</v>
      </c>
    </row>
    <row r="32" spans="1:17" s="217" customFormat="1">
      <c r="A32" s="215">
        <v>2026</v>
      </c>
      <c r="B32" s="163">
        <v>637636.09959922789</v>
      </c>
      <c r="C32" s="163">
        <f>B32*C$15/B$15</f>
        <v>66473.068465445991</v>
      </c>
      <c r="D32" s="163">
        <f t="shared" si="5"/>
        <v>13</v>
      </c>
      <c r="E32" s="218">
        <f t="shared" si="11"/>
        <v>4551.7350460046237</v>
      </c>
      <c r="F32" s="216">
        <f t="shared" si="6"/>
        <v>822.06076870083052</v>
      </c>
      <c r="G32" s="163">
        <v>65.344580494349302</v>
      </c>
      <c r="H32" s="163">
        <v>22.657441278122867</v>
      </c>
      <c r="I32" s="220">
        <f t="shared" si="7"/>
        <v>42.687139216226434</v>
      </c>
      <c r="K32" s="163">
        <v>45.065142771258614</v>
      </c>
      <c r="L32" s="163">
        <v>15.625792044350366</v>
      </c>
      <c r="M32" s="220">
        <f t="shared" si="10"/>
        <v>29.439350726908248</v>
      </c>
      <c r="O32" s="163">
        <v>551417.67306592991</v>
      </c>
      <c r="P32" s="163">
        <v>191197.39468357078</v>
      </c>
      <c r="Q32" s="220">
        <f t="shared" si="9"/>
        <v>360220.27838235913</v>
      </c>
    </row>
    <row r="33" spans="1:17">
      <c r="I33" s="15"/>
      <c r="K33" s="33"/>
      <c r="L33" s="33"/>
      <c r="M33" s="38"/>
      <c r="O33" s="33"/>
      <c r="P33" s="33"/>
      <c r="Q33" s="38"/>
    </row>
    <row r="34" spans="1:17">
      <c r="A34" s="33" t="s">
        <v>324</v>
      </c>
      <c r="L34" s="15"/>
      <c r="P34" s="15"/>
    </row>
    <row r="35" spans="1:17">
      <c r="A35" s="33" t="s">
        <v>144</v>
      </c>
      <c r="I35" s="219"/>
    </row>
    <row r="37" spans="1:17">
      <c r="A37" s="5" t="s">
        <v>103</v>
      </c>
    </row>
    <row r="38" spans="1:17">
      <c r="A38" s="5" t="s">
        <v>325</v>
      </c>
    </row>
    <row r="39" spans="1:17" ht="13.8" thickBot="1">
      <c r="B39" s="15"/>
    </row>
    <row r="40" spans="1:17">
      <c r="B40" s="327" t="s">
        <v>371</v>
      </c>
      <c r="C40" s="328"/>
      <c r="D40" s="335"/>
      <c r="E40" s="330"/>
    </row>
    <row r="41" spans="1:17" ht="13.8" thickBot="1">
      <c r="B41" s="331"/>
      <c r="C41" s="332">
        <v>0.49</v>
      </c>
      <c r="D41" s="336"/>
      <c r="E41" s="334"/>
    </row>
    <row r="42" spans="1:17">
      <c r="B42" s="15" t="s">
        <v>372</v>
      </c>
    </row>
    <row r="43" spans="1:17">
      <c r="B43" s="15" t="s">
        <v>373</v>
      </c>
    </row>
    <row r="44" spans="1:17">
      <c r="B44" s="15" t="s">
        <v>374</v>
      </c>
    </row>
    <row r="45" spans="1:17">
      <c r="B45" s="15"/>
    </row>
    <row r="46" spans="1:17">
      <c r="B46" s="15"/>
    </row>
    <row r="47" spans="1:17">
      <c r="B47" s="15"/>
    </row>
  </sheetData>
  <pageMargins left="0.75" right="0.75" top="1" bottom="1" header="0.5" footer="0.5"/>
  <pageSetup scale="4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pageSetUpPr fitToPage="1"/>
  </sheetPr>
  <dimension ref="A1:L47"/>
  <sheetViews>
    <sheetView zoomScale="75" zoomScaleNormal="75" workbookViewId="0">
      <pane xSplit="1" ySplit="9" topLeftCell="B10" activePane="bottomRight" state="frozen"/>
      <selection pane="topRight" activeCell="B1" sqref="B1"/>
      <selection pane="bottomLeft" activeCell="A10" sqref="A10"/>
      <selection pane="bottomRight" activeCell="A2" sqref="A1:A2"/>
    </sheetView>
  </sheetViews>
  <sheetFormatPr defaultColWidth="9.109375" defaultRowHeight="13.2"/>
  <cols>
    <col min="1" max="1" width="14.109375" style="5" customWidth="1"/>
    <col min="2" max="2" width="16.5546875" style="5" customWidth="1"/>
    <col min="3" max="3" width="16.88671875" style="5" customWidth="1"/>
    <col min="4" max="4" width="17.5546875" style="5" customWidth="1"/>
    <col min="5" max="5" width="14.6640625" style="5" customWidth="1"/>
    <col min="6" max="6" width="18" style="5" customWidth="1"/>
    <col min="7" max="7" width="18.5546875" style="5" customWidth="1"/>
    <col min="8" max="8" width="18.33203125" style="5" customWidth="1"/>
    <col min="9" max="9" width="18" style="5" customWidth="1"/>
    <col min="10" max="10" width="19" style="5" customWidth="1"/>
    <col min="11" max="11" width="18.33203125" style="5" customWidth="1"/>
    <col min="12" max="12" width="25.33203125" style="5" customWidth="1"/>
    <col min="13" max="15" width="21.6640625" style="5" customWidth="1"/>
    <col min="16" max="16384" width="9.109375" style="5"/>
  </cols>
  <sheetData>
    <row r="1" spans="1:12" s="2" customFormat="1" ht="15.6">
      <c r="A1" s="416" t="s">
        <v>398</v>
      </c>
      <c r="B1" s="1"/>
      <c r="C1" s="1"/>
      <c r="D1" s="1"/>
      <c r="E1" s="1"/>
      <c r="F1" s="1"/>
      <c r="G1" s="1"/>
      <c r="H1" s="1"/>
      <c r="I1" s="1"/>
      <c r="J1" s="1"/>
      <c r="K1" s="1"/>
      <c r="L1" s="1"/>
    </row>
    <row r="2" spans="1:12" s="2" customFormat="1" ht="15.6">
      <c r="A2" s="416" t="s">
        <v>380</v>
      </c>
      <c r="B2" s="3"/>
      <c r="C2" s="3"/>
      <c r="D2" s="3"/>
      <c r="E2" s="1"/>
      <c r="F2" s="1"/>
      <c r="G2" s="1"/>
      <c r="H2" s="1"/>
      <c r="I2" s="1"/>
      <c r="J2" s="1"/>
      <c r="K2" s="1"/>
      <c r="L2" s="1"/>
    </row>
    <row r="3" spans="1:12" s="2" customFormat="1" ht="15.6">
      <c r="A3" s="1" t="s">
        <v>316</v>
      </c>
      <c r="B3" s="3"/>
      <c r="C3" s="3"/>
      <c r="D3" s="3"/>
      <c r="E3" s="1"/>
      <c r="F3" s="1"/>
      <c r="G3" s="1"/>
      <c r="H3" s="1"/>
      <c r="I3" s="1"/>
      <c r="J3" s="1"/>
      <c r="K3" s="1"/>
      <c r="L3" s="1"/>
    </row>
    <row r="4" spans="1:12">
      <c r="A4" s="4"/>
      <c r="B4" s="4"/>
      <c r="C4" s="4"/>
      <c r="D4" s="4"/>
      <c r="E4" s="4"/>
      <c r="F4" s="4"/>
      <c r="G4" s="4"/>
      <c r="H4" s="4"/>
      <c r="I4" s="4"/>
      <c r="J4" s="4"/>
      <c r="K4" s="4"/>
      <c r="L4" s="4"/>
    </row>
    <row r="5" spans="1:12" s="9" customFormat="1">
      <c r="A5" s="6"/>
      <c r="B5" s="192" t="s">
        <v>1</v>
      </c>
      <c r="C5" s="206"/>
      <c r="D5" s="206"/>
      <c r="E5" s="47"/>
      <c r="F5" s="47"/>
      <c r="G5" s="47"/>
      <c r="H5" s="47"/>
      <c r="I5" s="47"/>
      <c r="J5" s="47" t="s">
        <v>2</v>
      </c>
      <c r="K5" s="47" t="s">
        <v>3</v>
      </c>
      <c r="L5" s="47" t="s">
        <v>23</v>
      </c>
    </row>
    <row r="6" spans="1:12" s="9" customFormat="1" ht="26.4">
      <c r="A6" s="10"/>
      <c r="B6" s="56" t="s">
        <v>4</v>
      </c>
      <c r="C6" s="43" t="s">
        <v>4</v>
      </c>
      <c r="D6" s="43" t="s">
        <v>4</v>
      </c>
      <c r="E6" s="54" t="s">
        <v>5</v>
      </c>
      <c r="F6" s="54" t="s">
        <v>6</v>
      </c>
      <c r="G6" s="54" t="s">
        <v>6</v>
      </c>
      <c r="H6" s="54" t="s">
        <v>6</v>
      </c>
      <c r="I6" s="54" t="s">
        <v>6</v>
      </c>
      <c r="J6" s="43" t="s">
        <v>4</v>
      </c>
      <c r="K6" s="43" t="s">
        <v>4</v>
      </c>
      <c r="L6" s="54" t="s">
        <v>24</v>
      </c>
    </row>
    <row r="7" spans="1:12" s="9" customFormat="1" ht="26.4">
      <c r="A7" s="10"/>
      <c r="B7" s="55" t="s">
        <v>7</v>
      </c>
      <c r="C7" s="55" t="s">
        <v>7</v>
      </c>
      <c r="D7" s="55" t="s">
        <v>7</v>
      </c>
      <c r="E7" s="44" t="s">
        <v>8</v>
      </c>
      <c r="F7" s="55" t="s">
        <v>9</v>
      </c>
      <c r="G7" s="55" t="s">
        <v>10</v>
      </c>
      <c r="H7" s="55" t="s">
        <v>9</v>
      </c>
      <c r="I7" s="55" t="s">
        <v>10</v>
      </c>
      <c r="J7" s="44" t="s">
        <v>11</v>
      </c>
      <c r="K7" s="44" t="s">
        <v>11</v>
      </c>
      <c r="L7" s="44" t="s">
        <v>317</v>
      </c>
    </row>
    <row r="8" spans="1:12" s="9" customFormat="1" ht="26.4">
      <c r="A8" s="10"/>
      <c r="B8" s="55" t="s">
        <v>12</v>
      </c>
      <c r="C8" s="55" t="s">
        <v>13</v>
      </c>
      <c r="D8" s="55" t="s">
        <v>14</v>
      </c>
      <c r="E8" s="44" t="s">
        <v>15</v>
      </c>
      <c r="F8" s="55" t="s">
        <v>13</v>
      </c>
      <c r="G8" s="55" t="s">
        <v>13</v>
      </c>
      <c r="H8" s="55" t="s">
        <v>14</v>
      </c>
      <c r="I8" s="55" t="s">
        <v>14</v>
      </c>
      <c r="J8" s="44" t="s">
        <v>16</v>
      </c>
      <c r="K8" s="44" t="s">
        <v>16</v>
      </c>
      <c r="L8" s="44" t="s">
        <v>25</v>
      </c>
    </row>
    <row r="9" spans="1:12" s="9" customFormat="1">
      <c r="A9" s="11" t="s">
        <v>17</v>
      </c>
      <c r="B9" s="58" t="s">
        <v>18</v>
      </c>
      <c r="C9" s="46" t="s">
        <v>19</v>
      </c>
      <c r="D9" s="46" t="s">
        <v>20</v>
      </c>
      <c r="E9" s="46" t="s">
        <v>21</v>
      </c>
      <c r="F9" s="46" t="s">
        <v>19</v>
      </c>
      <c r="G9" s="46" t="s">
        <v>19</v>
      </c>
      <c r="H9" s="46" t="s">
        <v>20</v>
      </c>
      <c r="I9" s="46" t="s">
        <v>20</v>
      </c>
      <c r="J9" s="46" t="s">
        <v>22</v>
      </c>
      <c r="K9" s="46" t="s">
        <v>22</v>
      </c>
      <c r="L9" s="46" t="s">
        <v>22</v>
      </c>
    </row>
    <row r="10" spans="1:12" s="9" customFormat="1">
      <c r="A10" s="11" t="s">
        <v>318</v>
      </c>
      <c r="B10" s="207">
        <v>3744914.5</v>
      </c>
      <c r="C10" s="208">
        <v>3505662.3261257238</v>
      </c>
      <c r="D10" s="208">
        <v>10232550.783899263</v>
      </c>
      <c r="E10" s="11">
        <v>15</v>
      </c>
      <c r="F10" s="208">
        <f>C10*(1/E10)</f>
        <v>233710.82174171493</v>
      </c>
      <c r="G10" s="208"/>
      <c r="H10" s="208">
        <f>D10*(1/E10)</f>
        <v>682170.05225995078</v>
      </c>
      <c r="I10" s="208"/>
      <c r="J10" s="208"/>
      <c r="K10" s="208"/>
      <c r="L10" s="11"/>
    </row>
    <row r="11" spans="1:12">
      <c r="A11" s="12">
        <v>2005</v>
      </c>
      <c r="B11" s="14">
        <v>3828374.4166666665</v>
      </c>
      <c r="C11" s="14">
        <f>B11*(C10/B10)</f>
        <v>3583790.2207945944</v>
      </c>
      <c r="D11" s="14">
        <f>B11*(D10/B10)</f>
        <v>10460595.465750253</v>
      </c>
      <c r="E11" s="14">
        <f>E10</f>
        <v>15</v>
      </c>
      <c r="F11" s="13">
        <f>C$11*(1/E$11)</f>
        <v>238919.34805297296</v>
      </c>
      <c r="G11" s="13">
        <v>0</v>
      </c>
      <c r="H11" s="13">
        <f>D$11*(1/E$11)</f>
        <v>697373.03105001687</v>
      </c>
      <c r="I11" s="13">
        <f t="shared" ref="I11:I18" si="0">H11*G11/F11</f>
        <v>0</v>
      </c>
      <c r="J11" s="13">
        <v>7557.6821507846189</v>
      </c>
      <c r="K11" s="13">
        <v>7557.6821507846189</v>
      </c>
      <c r="L11" s="112">
        <f>J11-K11</f>
        <v>0</v>
      </c>
    </row>
    <row r="12" spans="1:12">
      <c r="A12" s="12">
        <v>2006</v>
      </c>
      <c r="B12" s="14">
        <v>3906267.3333333335</v>
      </c>
      <c r="C12" s="14">
        <f t="shared" ref="C12:C28" si="1">B12*(C11/B11)</f>
        <v>3656706.7756132381</v>
      </c>
      <c r="D12" s="14">
        <f>B12*(D11/B11)</f>
        <v>10673428.956474192</v>
      </c>
      <c r="E12" s="14">
        <f t="shared" ref="E12:E32" si="2">E11</f>
        <v>15</v>
      </c>
      <c r="F12" s="13">
        <f t="shared" ref="F12:F26" si="3">C$11*(1/E$11)</f>
        <v>238919.34805297296</v>
      </c>
      <c r="G12" s="13">
        <f>C12-C11</f>
        <v>72916.554818643723</v>
      </c>
      <c r="H12" s="13">
        <f t="shared" ref="H12:H16" si="4">D$11*(1/E$11)</f>
        <v>697373.03105001687</v>
      </c>
      <c r="I12" s="13">
        <f t="shared" si="0"/>
        <v>212833.49072394031</v>
      </c>
      <c r="J12" s="13">
        <v>7888.8970611355526</v>
      </c>
      <c r="K12" s="13">
        <v>7780.7437361852308</v>
      </c>
      <c r="L12" s="112">
        <f t="shared" ref="L12:L18" si="5">J12-K12</f>
        <v>108.1533249503218</v>
      </c>
    </row>
    <row r="13" spans="1:12">
      <c r="A13" s="12">
        <v>2007</v>
      </c>
      <c r="B13" s="14">
        <v>3981450.5833333335</v>
      </c>
      <c r="C13" s="14">
        <f t="shared" si="1"/>
        <v>3727086.7768337447</v>
      </c>
      <c r="D13" s="14">
        <f>B13*(D12/B12)</f>
        <v>10878858.59277793</v>
      </c>
      <c r="E13" s="14">
        <f t="shared" si="2"/>
        <v>15</v>
      </c>
      <c r="F13" s="13">
        <f>C$11*(1/E$11)</f>
        <v>238919.34805297296</v>
      </c>
      <c r="G13" s="13">
        <f>C13-C12</f>
        <v>70380.001220506616</v>
      </c>
      <c r="H13" s="13">
        <f t="shared" si="4"/>
        <v>697373.03105001687</v>
      </c>
      <c r="I13" s="13">
        <f t="shared" si="0"/>
        <v>205429.63630373866</v>
      </c>
      <c r="J13" s="13">
        <v>8005.3512913115683</v>
      </c>
      <c r="K13" s="13">
        <v>7795.8209535037822</v>
      </c>
      <c r="L13" s="112">
        <f t="shared" si="5"/>
        <v>209.53033780778605</v>
      </c>
    </row>
    <row r="14" spans="1:12">
      <c r="A14" s="12">
        <v>2008</v>
      </c>
      <c r="B14" s="14">
        <v>3992257.0833333335</v>
      </c>
      <c r="C14" s="14">
        <f>B14*(C13/B13)</f>
        <v>3737202.8795985146</v>
      </c>
      <c r="D14" s="14">
        <f>B14*(D13/B13)</f>
        <v>10908386.118719099</v>
      </c>
      <c r="E14" s="14">
        <f t="shared" si="2"/>
        <v>15</v>
      </c>
      <c r="F14" s="13">
        <f t="shared" si="3"/>
        <v>238919.34805297296</v>
      </c>
      <c r="G14" s="13">
        <f t="shared" ref="G14" si="6">C14-C13</f>
        <v>10116.102764769923</v>
      </c>
      <c r="H14" s="13">
        <f t="shared" si="4"/>
        <v>697373.03105001687</v>
      </c>
      <c r="I14" s="13">
        <f t="shared" si="0"/>
        <v>29527.525941167798</v>
      </c>
      <c r="J14" s="13">
        <v>7991.6014721001284</v>
      </c>
      <c r="K14" s="13">
        <v>7706.3235997627498</v>
      </c>
      <c r="L14" s="112">
        <f t="shared" si="5"/>
        <v>285.27787233737854</v>
      </c>
    </row>
    <row r="15" spans="1:12">
      <c r="A15" s="12">
        <v>2009</v>
      </c>
      <c r="B15" s="14">
        <v>3984489.9166666665</v>
      </c>
      <c r="C15" s="14">
        <f>B15*(C14/B14)</f>
        <v>3729931.9356119232</v>
      </c>
      <c r="D15" s="14">
        <f t="shared" ref="D15:D28" si="7">B15*(D14/B14)</f>
        <v>10887163.223680058</v>
      </c>
      <c r="E15" s="14">
        <f t="shared" si="2"/>
        <v>15</v>
      </c>
      <c r="F15" s="13">
        <f t="shared" si="3"/>
        <v>238919.34805297296</v>
      </c>
      <c r="G15" s="14">
        <f t="shared" ref="G15:G20" si="8">C15-C14</f>
        <v>-7270.9439865914173</v>
      </c>
      <c r="H15" s="14">
        <f t="shared" si="4"/>
        <v>697373.03105001687</v>
      </c>
      <c r="I15" s="14">
        <f t="shared" si="0"/>
        <v>-21222.895039040162</v>
      </c>
      <c r="J15" s="13">
        <v>7940.6443367369411</v>
      </c>
      <c r="K15" s="13">
        <v>7589.8823524265863</v>
      </c>
      <c r="L15" s="112">
        <f t="shared" si="5"/>
        <v>350.76198431035482</v>
      </c>
    </row>
    <row r="16" spans="1:12">
      <c r="A16" s="12">
        <v>2010</v>
      </c>
      <c r="B16" s="14">
        <v>4004366</v>
      </c>
      <c r="C16" s="14">
        <f t="shared" si="1"/>
        <v>3748538.1912507643</v>
      </c>
      <c r="D16" s="14">
        <f t="shared" si="7"/>
        <v>10941472.349320538</v>
      </c>
      <c r="E16" s="14">
        <f t="shared" si="2"/>
        <v>15</v>
      </c>
      <c r="F16" s="13">
        <f t="shared" si="3"/>
        <v>238919.34805297296</v>
      </c>
      <c r="G16" s="13">
        <f t="shared" si="8"/>
        <v>18606.255638841074</v>
      </c>
      <c r="H16" s="13">
        <f t="shared" si="4"/>
        <v>697373.03105001687</v>
      </c>
      <c r="I16" s="13">
        <f t="shared" si="0"/>
        <v>54309.125640478276</v>
      </c>
      <c r="J16" s="13">
        <v>7944.6695093610897</v>
      </c>
      <c r="K16" s="13">
        <v>7524.8292863261722</v>
      </c>
      <c r="L16" s="112">
        <f t="shared" si="5"/>
        <v>419.84022303491747</v>
      </c>
    </row>
    <row r="17" spans="1:12">
      <c r="A17" s="12">
        <v>2011</v>
      </c>
      <c r="B17" s="14">
        <v>4026759.6666666665</v>
      </c>
      <c r="C17" s="14">
        <f t="shared" si="1"/>
        <v>3769501.1888244473</v>
      </c>
      <c r="D17" s="14">
        <f t="shared" si="7"/>
        <v>11002660.483630247</v>
      </c>
      <c r="E17" s="14">
        <f t="shared" si="2"/>
        <v>15</v>
      </c>
      <c r="F17" s="13">
        <f t="shared" si="3"/>
        <v>238919.34805297296</v>
      </c>
      <c r="G17" s="13">
        <f t="shared" si="8"/>
        <v>20962.997573683038</v>
      </c>
      <c r="H17" s="13">
        <f>D$11*(1/E$11)</f>
        <v>697373.03105001687</v>
      </c>
      <c r="I17" s="13">
        <f t="shared" si="0"/>
        <v>61188.134309709283</v>
      </c>
      <c r="J17" s="13">
        <f t="shared" ref="J17:J22" si="9">J16*D17/D16</f>
        <v>7989.098585217158</v>
      </c>
      <c r="K17" s="13">
        <v>7488.9924361884896</v>
      </c>
      <c r="L17" s="112">
        <f t="shared" si="5"/>
        <v>500.10614902866837</v>
      </c>
    </row>
    <row r="18" spans="1:12">
      <c r="A18" s="12">
        <v>2012</v>
      </c>
      <c r="B18" s="14">
        <v>4052173.8333333335</v>
      </c>
      <c r="C18" s="14">
        <f t="shared" si="1"/>
        <v>3793291.7150522731</v>
      </c>
      <c r="D18" s="14">
        <f t="shared" si="7"/>
        <v>11072101.788911622</v>
      </c>
      <c r="E18" s="14">
        <f t="shared" si="2"/>
        <v>15</v>
      </c>
      <c r="F18" s="13">
        <f t="shared" si="3"/>
        <v>238919.34805297296</v>
      </c>
      <c r="G18" s="13">
        <f t="shared" si="8"/>
        <v>23790.526227825787</v>
      </c>
      <c r="H18" s="13">
        <f>D$11*(1/E$11)</f>
        <v>697373.03105001687</v>
      </c>
      <c r="I18" s="13">
        <f t="shared" si="0"/>
        <v>69441.305281375884</v>
      </c>
      <c r="J18" s="13">
        <f t="shared" si="9"/>
        <v>8039.5203386289313</v>
      </c>
      <c r="K18" s="13">
        <v>7458.2749676342446</v>
      </c>
      <c r="L18" s="112">
        <f t="shared" si="5"/>
        <v>581.24537099468671</v>
      </c>
    </row>
    <row r="19" spans="1:12">
      <c r="A19" s="12">
        <v>2013</v>
      </c>
      <c r="B19" s="14">
        <v>4097171.6666666665</v>
      </c>
      <c r="C19" s="14">
        <f>B19*(C18/B18)</f>
        <v>3835414.7619399787</v>
      </c>
      <c r="D19" s="14">
        <f t="shared" si="7"/>
        <v>11195053.224718438</v>
      </c>
      <c r="E19" s="14">
        <f t="shared" si="2"/>
        <v>15</v>
      </c>
      <c r="F19" s="13">
        <f t="shared" si="3"/>
        <v>238919.34805297296</v>
      </c>
      <c r="G19" s="13">
        <f t="shared" si="8"/>
        <v>42123.046887705568</v>
      </c>
      <c r="H19" s="13">
        <f>D$11*(1/E$11)</f>
        <v>697373.03105001687</v>
      </c>
      <c r="I19" s="13">
        <f>H19*G19/F19</f>
        <v>122951.43580681508</v>
      </c>
      <c r="J19" s="13">
        <f t="shared" si="9"/>
        <v>8128.7961227282476</v>
      </c>
      <c r="K19" s="13">
        <v>7460.7494416290956</v>
      </c>
      <c r="L19" s="112">
        <f>J19-K19</f>
        <v>668.04668109915201</v>
      </c>
    </row>
    <row r="20" spans="1:12">
      <c r="A20" s="12">
        <v>2014</v>
      </c>
      <c r="B20" s="14">
        <v>4158327.1258851774</v>
      </c>
      <c r="C20" s="14">
        <f t="shared" si="1"/>
        <v>3892663.1689247717</v>
      </c>
      <c r="D20" s="14">
        <f t="shared" si="7"/>
        <v>11362153.526251649</v>
      </c>
      <c r="E20" s="14">
        <f t="shared" si="2"/>
        <v>15</v>
      </c>
      <c r="F20" s="13">
        <f t="shared" si="3"/>
        <v>238919.34805297296</v>
      </c>
      <c r="G20" s="13">
        <f t="shared" si="8"/>
        <v>57248.406984793022</v>
      </c>
      <c r="H20" s="13">
        <f>D$11*(1/E$11)</f>
        <v>697373.03105001687</v>
      </c>
      <c r="I20" s="13">
        <f>H20*G20/F20</f>
        <v>167100.3015332114</v>
      </c>
      <c r="J20" s="13">
        <f t="shared" si="9"/>
        <v>8250.128666303006</v>
      </c>
      <c r="K20" s="13">
        <v>7490.6091340939602</v>
      </c>
      <c r="L20" s="112">
        <f>J20-K20</f>
        <v>759.51953220904579</v>
      </c>
    </row>
    <row r="21" spans="1:12" s="33" customFormat="1">
      <c r="A21" s="32">
        <v>2015</v>
      </c>
      <c r="B21" s="14">
        <v>4228484.0018434813</v>
      </c>
      <c r="C21" s="14">
        <f t="shared" si="1"/>
        <v>3958337.9171642046</v>
      </c>
      <c r="D21" s="14">
        <f t="shared" si="7"/>
        <v>11553849.170059556</v>
      </c>
      <c r="E21" s="14">
        <f t="shared" si="2"/>
        <v>15</v>
      </c>
      <c r="F21" s="14">
        <f t="shared" si="3"/>
        <v>238919.34805297296</v>
      </c>
      <c r="G21" s="14">
        <f t="shared" ref="G21:G28" si="10">C21-C20</f>
        <v>65674.748239432927</v>
      </c>
      <c r="H21" s="14">
        <f t="shared" ref="H21:H25" si="11">D$11*(1/E$11)</f>
        <v>697373.03105001687</v>
      </c>
      <c r="I21" s="14">
        <f t="shared" ref="I21:I32" si="12">H21*G21/F21</f>
        <v>191695.64380790715</v>
      </c>
      <c r="J21" s="14">
        <f t="shared" si="9"/>
        <v>8389.3200372461124</v>
      </c>
      <c r="K21" s="14">
        <v>7496.333509200701</v>
      </c>
      <c r="L21" s="112">
        <f>J21-K21</f>
        <v>892.98652804541143</v>
      </c>
    </row>
    <row r="22" spans="1:12" s="33" customFormat="1">
      <c r="A22" s="32">
        <v>2016</v>
      </c>
      <c r="B22" s="14">
        <v>4289564.3424525131</v>
      </c>
      <c r="C22" s="14">
        <f t="shared" si="1"/>
        <v>4015516.0046585947</v>
      </c>
      <c r="D22" s="14">
        <f t="shared" si="7"/>
        <v>11720744.218579296</v>
      </c>
      <c r="E22" s="14">
        <f t="shared" si="2"/>
        <v>15</v>
      </c>
      <c r="F22" s="14">
        <f t="shared" si="3"/>
        <v>238919.34805297296</v>
      </c>
      <c r="G22" s="14">
        <f t="shared" si="10"/>
        <v>57178.087494390085</v>
      </c>
      <c r="H22" s="14">
        <f t="shared" si="11"/>
        <v>697373.03105001687</v>
      </c>
      <c r="I22" s="14">
        <f t="shared" si="12"/>
        <v>166895.04851974131</v>
      </c>
      <c r="J22" s="14">
        <f t="shared" si="9"/>
        <v>8510.5035453614946</v>
      </c>
      <c r="K22" s="14">
        <v>7487.7730870219775</v>
      </c>
      <c r="L22" s="112">
        <f t="shared" ref="L22:L28" si="13">J22-K22</f>
        <v>1022.7304583395171</v>
      </c>
    </row>
    <row r="23" spans="1:12" s="33" customFormat="1">
      <c r="A23" s="32">
        <v>2017</v>
      </c>
      <c r="B23" s="14">
        <v>4350873.5349369058</v>
      </c>
      <c r="C23" s="14">
        <f t="shared" si="1"/>
        <v>4072908.3233184</v>
      </c>
      <c r="D23" s="14">
        <f t="shared" si="7"/>
        <v>11888264.578688027</v>
      </c>
      <c r="E23" s="14">
        <f t="shared" si="2"/>
        <v>15</v>
      </c>
      <c r="F23" s="14">
        <f t="shared" si="3"/>
        <v>238919.34805297296</v>
      </c>
      <c r="G23" s="14">
        <f t="shared" si="10"/>
        <v>57392.318659805227</v>
      </c>
      <c r="H23" s="14">
        <f t="shared" si="11"/>
        <v>697373.03105001687</v>
      </c>
      <c r="I23" s="14">
        <f t="shared" si="12"/>
        <v>167520.36010872907</v>
      </c>
      <c r="J23" s="14">
        <f t="shared" ref="J23:J28" si="14">J22*D23/D22</f>
        <v>8632.1410960185294</v>
      </c>
      <c r="K23" s="14">
        <v>7479.5728356046884</v>
      </c>
      <c r="L23" s="112">
        <f t="shared" si="13"/>
        <v>1152.568260413841</v>
      </c>
    </row>
    <row r="24" spans="1:12" s="33" customFormat="1">
      <c r="A24" s="32">
        <v>2018</v>
      </c>
      <c r="B24" s="14">
        <v>4411411.1168411532</v>
      </c>
      <c r="C24" s="14">
        <f t="shared" si="1"/>
        <v>4129578.3274523984</v>
      </c>
      <c r="D24" s="14">
        <f t="shared" si="7"/>
        <v>12053676.601090588</v>
      </c>
      <c r="E24" s="14">
        <f t="shared" si="2"/>
        <v>15</v>
      </c>
      <c r="F24" s="14">
        <f t="shared" si="3"/>
        <v>238919.34805297296</v>
      </c>
      <c r="G24" s="14">
        <f t="shared" si="10"/>
        <v>56670.004133998416</v>
      </c>
      <c r="H24" s="14">
        <f t="shared" si="11"/>
        <v>697373.03105001687</v>
      </c>
      <c r="I24" s="14">
        <f t="shared" si="12"/>
        <v>165412.02240256031</v>
      </c>
      <c r="J24" s="14">
        <f t="shared" si="14"/>
        <v>8752.2477698653074</v>
      </c>
      <c r="K24" s="14">
        <v>7470.1582110486906</v>
      </c>
      <c r="L24" s="112">
        <f t="shared" si="13"/>
        <v>1282.0895588166168</v>
      </c>
    </row>
    <row r="25" spans="1:12" s="33" customFormat="1">
      <c r="A25" s="32">
        <v>2019</v>
      </c>
      <c r="B25" s="14">
        <v>4470700.4620403014</v>
      </c>
      <c r="C25" s="14">
        <f t="shared" si="1"/>
        <v>4185079.8412533989</v>
      </c>
      <c r="D25" s="14">
        <f t="shared" si="7"/>
        <v>12215677.95938446</v>
      </c>
      <c r="E25" s="14">
        <f t="shared" si="2"/>
        <v>15</v>
      </c>
      <c r="F25" s="14">
        <f t="shared" si="3"/>
        <v>238919.34805297296</v>
      </c>
      <c r="G25" s="14">
        <f t="shared" si="10"/>
        <v>55501.513801000547</v>
      </c>
      <c r="H25" s="14">
        <f t="shared" si="11"/>
        <v>697373.03105001687</v>
      </c>
      <c r="I25" s="14">
        <f t="shared" si="12"/>
        <v>162001.35829387247</v>
      </c>
      <c r="J25" s="14">
        <f t="shared" si="14"/>
        <v>8869.8779397932467</v>
      </c>
      <c r="K25" s="14">
        <v>7458.7790914942734</v>
      </c>
      <c r="L25" s="112">
        <f t="shared" si="13"/>
        <v>1411.0988482989733</v>
      </c>
    </row>
    <row r="26" spans="1:12" s="33" customFormat="1">
      <c r="A26" s="32">
        <v>2020</v>
      </c>
      <c r="B26" s="14">
        <v>4527846.6275179833</v>
      </c>
      <c r="C26" s="14">
        <f t="shared" si="1"/>
        <v>4238575.0971257705</v>
      </c>
      <c r="D26" s="14">
        <f t="shared" si="7"/>
        <v>12371823.324079832</v>
      </c>
      <c r="E26" s="14">
        <f t="shared" si="2"/>
        <v>15</v>
      </c>
      <c r="F26" s="14">
        <f t="shared" si="3"/>
        <v>238919.34805297296</v>
      </c>
      <c r="G26" s="14">
        <f t="shared" si="10"/>
        <v>53495.255872371607</v>
      </c>
      <c r="H26" s="14">
        <f>D$11*(1/E$11)</f>
        <v>697373.03105001687</v>
      </c>
      <c r="I26" s="14">
        <f t="shared" si="12"/>
        <v>156145.36469537209</v>
      </c>
      <c r="J26" s="14">
        <f t="shared" si="14"/>
        <v>8983.2560372117732</v>
      </c>
      <c r="K26" s="14">
        <v>7444.0270012313886</v>
      </c>
      <c r="L26" s="112">
        <f t="shared" si="13"/>
        <v>1539.2290359803847</v>
      </c>
    </row>
    <row r="27" spans="1:12" s="33" customFormat="1">
      <c r="A27" s="32">
        <v>2021</v>
      </c>
      <c r="B27" s="14">
        <v>4581556.8457704782</v>
      </c>
      <c r="C27" s="14">
        <f t="shared" si="1"/>
        <v>4288853.918886791</v>
      </c>
      <c r="D27" s="14">
        <f t="shared" si="7"/>
        <v>12518580.355751174</v>
      </c>
      <c r="E27" s="14">
        <f t="shared" si="2"/>
        <v>15</v>
      </c>
      <c r="F27" s="14">
        <f t="shared" ref="F27:F32" si="15">C$27*(1/E$27)</f>
        <v>285923.59459245275</v>
      </c>
      <c r="G27" s="14">
        <f t="shared" si="10"/>
        <v>50278.821761020459</v>
      </c>
      <c r="H27" s="14">
        <f>D$27/E$27</f>
        <v>834572.02371674485</v>
      </c>
      <c r="I27" s="14">
        <f t="shared" si="12"/>
        <v>146757.03167134136</v>
      </c>
      <c r="J27" s="14">
        <f t="shared" si="14"/>
        <v>9089.8172090156804</v>
      </c>
      <c r="K27" s="14">
        <v>7444.664414668594</v>
      </c>
      <c r="L27" s="112">
        <f t="shared" si="13"/>
        <v>1645.1527943470865</v>
      </c>
    </row>
    <row r="28" spans="1:12" s="33" customFormat="1">
      <c r="A28" s="32">
        <v>2022</v>
      </c>
      <c r="B28" s="14">
        <v>4635494.0739188613</v>
      </c>
      <c r="C28" s="14">
        <f t="shared" si="1"/>
        <v>4339345.247512701</v>
      </c>
      <c r="D28" s="14">
        <f t="shared" si="7"/>
        <v>12665957.666013155</v>
      </c>
      <c r="E28" s="14">
        <f t="shared" si="2"/>
        <v>15</v>
      </c>
      <c r="F28" s="14">
        <f t="shared" si="15"/>
        <v>285923.59459245275</v>
      </c>
      <c r="G28" s="14">
        <f t="shared" si="10"/>
        <v>50491.328625909984</v>
      </c>
      <c r="H28" s="14">
        <f t="shared" ref="H28:H32" si="16">D$27/E$27</f>
        <v>834572.02371674485</v>
      </c>
      <c r="I28" s="14">
        <f t="shared" si="12"/>
        <v>147377.31026198145</v>
      </c>
      <c r="J28" s="14">
        <f t="shared" si="14"/>
        <v>9196.8287688705768</v>
      </c>
      <c r="K28" s="14">
        <v>7450.2516566694649</v>
      </c>
      <c r="L28" s="112">
        <f t="shared" si="13"/>
        <v>1746.577112201112</v>
      </c>
    </row>
    <row r="29" spans="1:12" s="211" customFormat="1">
      <c r="A29" s="209">
        <v>2023</v>
      </c>
      <c r="B29" s="210">
        <v>4690133.3587533776</v>
      </c>
      <c r="C29" s="210">
        <f>B29*(C28/B28)</f>
        <v>4390493.7803752851</v>
      </c>
      <c r="D29" s="210">
        <f>B29*(D28/B28)</f>
        <v>12815253.265916737</v>
      </c>
      <c r="E29" s="210">
        <f t="shared" si="2"/>
        <v>15</v>
      </c>
      <c r="F29" s="210">
        <f t="shared" si="15"/>
        <v>285923.59459245275</v>
      </c>
      <c r="G29" s="210">
        <f>C29-C28</f>
        <v>51148.532862584107</v>
      </c>
      <c r="H29" s="210">
        <f t="shared" si="16"/>
        <v>834572.02371674485</v>
      </c>
      <c r="I29" s="210">
        <f t="shared" si="12"/>
        <v>149295.59990358356</v>
      </c>
      <c r="J29" s="210">
        <f>J28*D29/D28</f>
        <v>9305.2332104820762</v>
      </c>
      <c r="K29" s="210">
        <v>7566.0545991415675</v>
      </c>
      <c r="L29" s="213">
        <f>J29-K29</f>
        <v>1739.1786113405087</v>
      </c>
    </row>
    <row r="30" spans="1:12" s="211" customFormat="1">
      <c r="A30" s="209">
        <v>2024</v>
      </c>
      <c r="B30" s="210">
        <v>4745552.607144285</v>
      </c>
      <c r="C30" s="210">
        <f>B30*(C29/B29)</f>
        <v>4442372.4470914965</v>
      </c>
      <c r="D30" s="210">
        <f>B30*(D29/B29)</f>
        <v>12966680.027079238</v>
      </c>
      <c r="E30" s="210">
        <f t="shared" si="2"/>
        <v>15</v>
      </c>
      <c r="F30" s="210">
        <f t="shared" si="15"/>
        <v>285923.59459245275</v>
      </c>
      <c r="G30" s="210">
        <f>C30-C29</f>
        <v>51878.666716211475</v>
      </c>
      <c r="H30" s="210">
        <f t="shared" si="16"/>
        <v>834572.02371674485</v>
      </c>
      <c r="I30" s="210">
        <f t="shared" si="12"/>
        <v>151426.76116250112</v>
      </c>
      <c r="J30" s="210">
        <f>J29*D30/D29</f>
        <v>9415.1851012240695</v>
      </c>
      <c r="K30" s="210">
        <v>7714.5651757056203</v>
      </c>
      <c r="L30" s="213">
        <f>J30-K30</f>
        <v>1700.6199255184492</v>
      </c>
    </row>
    <row r="31" spans="1:12" s="211" customFormat="1">
      <c r="A31" s="209">
        <v>2025</v>
      </c>
      <c r="B31" s="210">
        <v>4799119.1059741788</v>
      </c>
      <c r="C31" s="210">
        <f>B31*(C30/B30)</f>
        <v>4492516.7312641833</v>
      </c>
      <c r="D31" s="210">
        <f>B31*(D30/B30)</f>
        <v>13113044.361857127</v>
      </c>
      <c r="E31" s="210">
        <f t="shared" si="2"/>
        <v>15</v>
      </c>
      <c r="F31" s="210">
        <f t="shared" si="15"/>
        <v>285923.59459245275</v>
      </c>
      <c r="G31" s="210">
        <f>C31-C30</f>
        <v>50144.284172686748</v>
      </c>
      <c r="H31" s="210">
        <f t="shared" si="16"/>
        <v>834572.02371674485</v>
      </c>
      <c r="I31" s="210">
        <f t="shared" si="12"/>
        <v>146364.33477788744</v>
      </c>
      <c r="J31" s="210">
        <f>J30*D31/D30</f>
        <v>9521.4611334291894</v>
      </c>
      <c r="K31" s="210">
        <v>7813.3079052919347</v>
      </c>
      <c r="L31" s="213">
        <f>J31-K31</f>
        <v>1708.1532281372547</v>
      </c>
    </row>
    <row r="32" spans="1:12" s="211" customFormat="1">
      <c r="A32" s="209">
        <v>2026</v>
      </c>
      <c r="B32" s="210">
        <v>4846527.0111184688</v>
      </c>
      <c r="C32" s="210">
        <f>B32*(C31/B31)</f>
        <v>4536895.8771765614</v>
      </c>
      <c r="D32" s="210">
        <f>B32*(D31/B31)</f>
        <v>13242581.0433881</v>
      </c>
      <c r="E32" s="210">
        <f t="shared" si="2"/>
        <v>15</v>
      </c>
      <c r="F32" s="210">
        <f t="shared" si="15"/>
        <v>285923.59459245275</v>
      </c>
      <c r="G32" s="210">
        <f>C32-C31</f>
        <v>44379.145912378095</v>
      </c>
      <c r="H32" s="210">
        <f t="shared" si="16"/>
        <v>834572.02371674485</v>
      </c>
      <c r="I32" s="210">
        <f t="shared" si="12"/>
        <v>129536.68153097478</v>
      </c>
      <c r="J32" s="210">
        <f>J31*D32/D31</f>
        <v>9615.5185044343671</v>
      </c>
      <c r="K32" s="210">
        <v>7898.0911423452799</v>
      </c>
      <c r="L32" s="213">
        <f>J32-K32</f>
        <v>1717.4273620890872</v>
      </c>
    </row>
    <row r="33" spans="1:12">
      <c r="L33" s="15"/>
    </row>
    <row r="34" spans="1:12">
      <c r="A34" s="5" t="s">
        <v>226</v>
      </c>
      <c r="K34" s="15"/>
    </row>
    <row r="35" spans="1:12">
      <c r="A35" s="5" t="s">
        <v>319</v>
      </c>
    </row>
    <row r="37" spans="1:12">
      <c r="A37" s="5" t="s">
        <v>103</v>
      </c>
    </row>
    <row r="38" spans="1:12">
      <c r="A38" s="5" t="s">
        <v>301</v>
      </c>
    </row>
    <row r="39" spans="1:12">
      <c r="B39" s="15"/>
    </row>
    <row r="40" spans="1:12">
      <c r="B40" s="15"/>
      <c r="D40" s="33"/>
    </row>
    <row r="41" spans="1:12">
      <c r="A41" s="212" t="s">
        <v>320</v>
      </c>
      <c r="B41" s="15"/>
    </row>
    <row r="42" spans="1:12">
      <c r="A42" s="5" t="s">
        <v>321</v>
      </c>
      <c r="B42" s="15"/>
    </row>
    <row r="43" spans="1:12">
      <c r="B43" s="15"/>
    </row>
    <row r="44" spans="1:12">
      <c r="B44" s="15"/>
    </row>
    <row r="45" spans="1:12">
      <c r="B45" s="15"/>
    </row>
    <row r="46" spans="1:12">
      <c r="B46" s="15"/>
    </row>
    <row r="47" spans="1:12">
      <c r="B47" s="15"/>
    </row>
  </sheetData>
  <phoneticPr fontId="0" type="noConversion"/>
  <hyperlinks>
    <hyperlink ref="A41" r:id="rId1"/>
  </hyperlinks>
  <pageMargins left="0.75" right="0.75" top="1" bottom="1" header="0.5" footer="0.5"/>
  <pageSetup scale="36"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J297"/>
  <sheetViews>
    <sheetView zoomScale="75" workbookViewId="0">
      <pane xSplit="2" ySplit="2" topLeftCell="C3" activePane="bottomRight" state="frozen"/>
      <selection activeCell="AB18" sqref="AB18"/>
      <selection pane="topRight" activeCell="AB18" sqref="AB18"/>
      <selection pane="bottomLeft" activeCell="AB18" sqref="AB18"/>
      <selection pane="bottomRight" activeCell="C14" sqref="C14"/>
    </sheetView>
  </sheetViews>
  <sheetFormatPr defaultColWidth="9.109375" defaultRowHeight="13.2"/>
  <cols>
    <col min="1" max="1" width="12.6640625" style="78" customWidth="1"/>
    <col min="2" max="2" width="9.109375" style="78"/>
    <col min="3" max="3" width="17.109375" style="78" customWidth="1"/>
    <col min="4" max="4" width="13.44140625" style="78" customWidth="1"/>
    <col min="5" max="5" width="19.5546875" style="78" customWidth="1"/>
    <col min="6" max="6" width="19.6640625" style="78" customWidth="1"/>
    <col min="7" max="8" width="19.5546875" style="78" customWidth="1"/>
    <col min="9" max="9" width="20.88671875" style="78" customWidth="1"/>
    <col min="10" max="10" width="19.5546875" style="78" customWidth="1"/>
    <col min="11" max="11" width="15.6640625" style="78" bestFit="1" customWidth="1"/>
    <col min="12" max="12" width="16" style="78" customWidth="1"/>
    <col min="13" max="13" width="19.6640625" style="78" customWidth="1"/>
    <col min="14" max="14" width="18.44140625" style="78" customWidth="1"/>
    <col min="15" max="15" width="19" style="78" customWidth="1"/>
    <col min="16" max="17" width="15.6640625" style="78" customWidth="1"/>
    <col min="18" max="21" width="19.6640625" style="78" customWidth="1"/>
    <col min="22" max="22" width="13" style="78" customWidth="1"/>
    <col min="23" max="25" width="15.44140625" style="78" customWidth="1"/>
    <col min="26" max="26" width="17.88671875" style="102" customWidth="1"/>
    <col min="27" max="27" width="17.88671875" style="78" customWidth="1"/>
    <col min="28" max="28" width="10.109375" style="78" customWidth="1"/>
    <col min="29" max="29" width="12.88671875" style="78" customWidth="1"/>
    <col min="30" max="31" width="15.44140625" style="78" customWidth="1"/>
    <col min="32" max="32" width="17.5546875" style="78" customWidth="1"/>
    <col min="33" max="33" width="10.6640625" style="78" bestFit="1" customWidth="1"/>
    <col min="34" max="34" width="20.44140625" style="78" customWidth="1"/>
    <col min="35" max="35" width="20.6640625" style="78" customWidth="1"/>
    <col min="36" max="16384" width="9.109375" style="78"/>
  </cols>
  <sheetData>
    <row r="1" spans="1:35" s="62" customFormat="1" ht="52.8">
      <c r="A1" s="416" t="s">
        <v>381</v>
      </c>
      <c r="C1" s="63" t="s">
        <v>227</v>
      </c>
      <c r="D1" s="64"/>
      <c r="E1" s="47" t="s">
        <v>23</v>
      </c>
      <c r="F1" s="65" t="s">
        <v>169</v>
      </c>
      <c r="G1" s="47" t="s">
        <v>43</v>
      </c>
      <c r="H1" s="47" t="s">
        <v>187</v>
      </c>
      <c r="I1" s="47" t="s">
        <v>95</v>
      </c>
      <c r="J1" s="66" t="s">
        <v>228</v>
      </c>
      <c r="K1" s="63" t="s">
        <v>247</v>
      </c>
      <c r="L1" s="63" t="s">
        <v>247</v>
      </c>
      <c r="M1" s="47" t="s">
        <v>130</v>
      </c>
      <c r="N1" s="47" t="s">
        <v>131</v>
      </c>
      <c r="O1" s="65" t="s">
        <v>89</v>
      </c>
      <c r="P1" s="65" t="s">
        <v>129</v>
      </c>
      <c r="Q1" s="65" t="s">
        <v>146</v>
      </c>
      <c r="R1" s="65" t="s">
        <v>147</v>
      </c>
      <c r="S1" s="65" t="s">
        <v>212</v>
      </c>
      <c r="T1" s="65" t="s">
        <v>214</v>
      </c>
      <c r="U1" s="66" t="s">
        <v>229</v>
      </c>
      <c r="V1" s="67" t="s">
        <v>230</v>
      </c>
      <c r="W1" s="67" t="s">
        <v>230</v>
      </c>
      <c r="X1" s="67"/>
      <c r="Y1" s="68" t="s">
        <v>230</v>
      </c>
      <c r="Z1" s="69" t="s">
        <v>230</v>
      </c>
      <c r="AA1" s="68" t="s">
        <v>230</v>
      </c>
      <c r="AC1" s="70" t="s">
        <v>231</v>
      </c>
      <c r="AD1" s="71"/>
      <c r="AE1" s="70" t="s">
        <v>231</v>
      </c>
      <c r="AF1" s="72"/>
      <c r="AH1" s="73" t="s">
        <v>249</v>
      </c>
      <c r="AI1" s="73" t="s">
        <v>232</v>
      </c>
    </row>
    <row r="2" spans="1:35" s="62" customFormat="1" ht="39.6">
      <c r="A2" s="417" t="s">
        <v>380</v>
      </c>
      <c r="C2" s="63"/>
      <c r="D2" s="63" t="s">
        <v>233</v>
      </c>
      <c r="E2" s="63" t="s">
        <v>234</v>
      </c>
      <c r="F2" s="63" t="s">
        <v>234</v>
      </c>
      <c r="G2" s="63" t="s">
        <v>234</v>
      </c>
      <c r="H2" s="63" t="s">
        <v>235</v>
      </c>
      <c r="I2" s="63" t="s">
        <v>234</v>
      </c>
      <c r="J2" s="63" t="s">
        <v>234</v>
      </c>
      <c r="L2" s="63" t="s">
        <v>233</v>
      </c>
      <c r="M2" s="63" t="s">
        <v>234</v>
      </c>
      <c r="N2" s="63" t="s">
        <v>234</v>
      </c>
      <c r="O2" s="63" t="s">
        <v>234</v>
      </c>
      <c r="P2" s="63" t="s">
        <v>234</v>
      </c>
      <c r="Q2" s="63" t="s">
        <v>234</v>
      </c>
      <c r="R2" s="63" t="s">
        <v>234</v>
      </c>
      <c r="S2" s="63" t="s">
        <v>234</v>
      </c>
      <c r="T2" s="63" t="s">
        <v>234</v>
      </c>
      <c r="U2" s="74" t="s">
        <v>234</v>
      </c>
      <c r="V2" s="66" t="s">
        <v>236</v>
      </c>
      <c r="W2" s="66" t="s">
        <v>237</v>
      </c>
      <c r="X2" s="66" t="s">
        <v>246</v>
      </c>
      <c r="Y2" s="67" t="s">
        <v>238</v>
      </c>
      <c r="Z2" s="75" t="s">
        <v>239</v>
      </c>
      <c r="AA2" s="76" t="s">
        <v>240</v>
      </c>
      <c r="AC2" s="71" t="s">
        <v>241</v>
      </c>
      <c r="AD2" s="71" t="s">
        <v>104</v>
      </c>
      <c r="AE2" s="71" t="s">
        <v>238</v>
      </c>
      <c r="AF2" s="77" t="s">
        <v>239</v>
      </c>
      <c r="AH2" s="73" t="s">
        <v>239</v>
      </c>
      <c r="AI2" s="73" t="s">
        <v>234</v>
      </c>
    </row>
    <row r="3" spans="1:35">
      <c r="A3" s="78">
        <v>2005</v>
      </c>
      <c r="B3" s="78">
        <v>1</v>
      </c>
      <c r="C3" s="116">
        <v>23.876085463629714</v>
      </c>
      <c r="D3" s="80">
        <f>C3/(SUM(C$3:C$14))</f>
        <v>1.2528189679567646E-2</v>
      </c>
      <c r="E3" s="78">
        <f>$D3*'MWh Impact Summary'!B$11</f>
        <v>0</v>
      </c>
      <c r="F3" s="81">
        <f>$D3*'MWh Impact Summary'!L$11</f>
        <v>0</v>
      </c>
      <c r="G3" s="81">
        <f>$D3*'MWh Impact Summary'!C$11</f>
        <v>727.82884640650548</v>
      </c>
      <c r="H3" s="81">
        <f>$D3*'MWh Impact Summary'!D$11</f>
        <v>0</v>
      </c>
      <c r="I3" s="81">
        <f>$D3*'MWh Impact Summary'!E$11</f>
        <v>581.47898002373688</v>
      </c>
      <c r="J3" s="82">
        <f t="shared" ref="J3:J66" si="0">SUM(E3:I3)</f>
        <v>1309.3078264302424</v>
      </c>
      <c r="K3" s="83">
        <v>31</v>
      </c>
      <c r="L3" s="84">
        <f t="shared" ref="L3:L14" si="1">K3/(SUM(K$3:K$14))</f>
        <v>8.4931506849315067E-2</v>
      </c>
      <c r="M3" s="81">
        <f>$L3*'MWh Impact Summary'!F$11</f>
        <v>0</v>
      </c>
      <c r="N3" s="81">
        <f>$L3*'MWh Impact Summary'!G$11</f>
        <v>0</v>
      </c>
      <c r="O3" s="81">
        <f>$L3*'MWh Impact Summary'!H$11</f>
        <v>0</v>
      </c>
      <c r="P3" s="81">
        <f>$L3*'MWh Impact Summary'!I$11</f>
        <v>0</v>
      </c>
      <c r="Q3" s="81">
        <f>$L3*'MWh Impact Summary'!J$11</f>
        <v>0</v>
      </c>
      <c r="R3" s="81">
        <f>$L3*'MWh Impact Summary'!K$11</f>
        <v>0</v>
      </c>
      <c r="S3" s="81">
        <f>$L3*'MWh Impact Summary'!M$11</f>
        <v>0</v>
      </c>
      <c r="T3" s="81">
        <f>$L3*'MWh Impact Summary'!O$11</f>
        <v>0</v>
      </c>
      <c r="U3" s="85">
        <f t="shared" ref="U3:U66" si="2">SUM(M3:T3)</f>
        <v>0</v>
      </c>
      <c r="V3" s="81">
        <f>U3+J3</f>
        <v>1309.3078264302424</v>
      </c>
      <c r="W3" s="81"/>
      <c r="X3" s="81">
        <f>+'MWh by mo-WgtbyActulCDH&amp;Days'!AB5</f>
        <v>4272459</v>
      </c>
      <c r="Y3" s="120">
        <f>+V3*1000/X3</f>
        <v>0.30645298794681053</v>
      </c>
      <c r="Z3" s="87">
        <f>+Y3/K3/1000</f>
        <v>9.8855802563487271E-6</v>
      </c>
      <c r="AA3" s="88">
        <f t="shared" ref="AA3:AA9" si="3">Z3</f>
        <v>9.8855802563487271E-6</v>
      </c>
      <c r="AC3" s="89">
        <f t="shared" ref="AC3:AC66" si="4">+S3</f>
        <v>0</v>
      </c>
      <c r="AD3" s="90"/>
      <c r="AE3" s="91"/>
      <c r="AF3" s="92"/>
      <c r="AH3" s="123">
        <f>Z3</f>
        <v>9.8855802563487271E-6</v>
      </c>
      <c r="AI3" s="121">
        <f>+V3</f>
        <v>1309.3078264302424</v>
      </c>
    </row>
    <row r="4" spans="1:35">
      <c r="A4" s="78">
        <v>2005</v>
      </c>
      <c r="B4" s="78">
        <v>2</v>
      </c>
      <c r="C4" s="116">
        <v>14.779573371448068</v>
      </c>
      <c r="D4" s="80">
        <f t="shared" ref="D4:D14" si="5">C4/(SUM(C$3:C$14))</f>
        <v>7.7550944798988712E-3</v>
      </c>
      <c r="E4" s="78">
        <f>$D4*'MWh Impact Summary'!B$11</f>
        <v>0</v>
      </c>
      <c r="F4" s="81">
        <f>$D4*'MWh Impact Summary'!L$11</f>
        <v>0</v>
      </c>
      <c r="G4" s="81">
        <f>$D4*'MWh Impact Summary'!C$11</f>
        <v>450.53448370786839</v>
      </c>
      <c r="H4" s="81">
        <f>$D4*'MWh Impact Summary'!D$11</f>
        <v>0</v>
      </c>
      <c r="I4" s="81">
        <f>$D4*'MWh Impact Summary'!E$11</f>
        <v>359.9422217811545</v>
      </c>
      <c r="J4" s="82">
        <f t="shared" si="0"/>
        <v>810.47670548902283</v>
      </c>
      <c r="K4" s="83">
        <v>28</v>
      </c>
      <c r="L4" s="84">
        <f t="shared" si="1"/>
        <v>7.6712328767123292E-2</v>
      </c>
      <c r="M4" s="81">
        <f>$L4*'MWh Impact Summary'!F$11</f>
        <v>0</v>
      </c>
      <c r="N4" s="81">
        <f>$L4*'MWh Impact Summary'!G$11</f>
        <v>0</v>
      </c>
      <c r="O4" s="81">
        <f>$L4*'MWh Impact Summary'!H$11</f>
        <v>0</v>
      </c>
      <c r="P4" s="81">
        <f>$L4*'MWh Impact Summary'!I$11</f>
        <v>0</v>
      </c>
      <c r="Q4" s="81">
        <f>$L4*'MWh Impact Summary'!J$11</f>
        <v>0</v>
      </c>
      <c r="R4" s="81">
        <f>$L4*'MWh Impact Summary'!K$11</f>
        <v>0</v>
      </c>
      <c r="S4" s="81">
        <f>$L4*'MWh Impact Summary'!M$11</f>
        <v>0</v>
      </c>
      <c r="T4" s="81">
        <f>$L4*'MWh Impact Summary'!O$11</f>
        <v>0</v>
      </c>
      <c r="U4" s="85">
        <f t="shared" si="2"/>
        <v>0</v>
      </c>
      <c r="V4" s="81">
        <f t="shared" ref="V4:V67" si="6">U4+J4</f>
        <v>810.47670548902283</v>
      </c>
      <c r="W4" s="81"/>
      <c r="X4" s="81">
        <f>+'MWh by mo-WgtbyActulCDH&amp;Days'!AB6</f>
        <v>4287988</v>
      </c>
      <c r="Y4" s="120">
        <f t="shared" ref="Y4:Y67" si="7">+V4*1000/X4</f>
        <v>0.18901095466895498</v>
      </c>
      <c r="Z4" s="87">
        <f t="shared" ref="Z4:Z67" si="8">+Y4/K4/1000</f>
        <v>6.7503912381769642E-6</v>
      </c>
      <c r="AA4" s="88">
        <f t="shared" si="3"/>
        <v>6.7503912381769642E-6</v>
      </c>
      <c r="AC4" s="89">
        <f t="shared" si="4"/>
        <v>0</v>
      </c>
      <c r="AD4" s="90"/>
      <c r="AE4" s="96"/>
      <c r="AF4" s="92"/>
      <c r="AH4" s="123">
        <f t="shared" ref="AH4:AH67" si="9">Z4</f>
        <v>6.7503912381769642E-6</v>
      </c>
      <c r="AI4" s="121">
        <f t="shared" ref="AI4:AI67" si="10">+V4</f>
        <v>810.47670548902283</v>
      </c>
    </row>
    <row r="5" spans="1:35">
      <c r="A5" s="78">
        <v>2005</v>
      </c>
      <c r="B5" s="78">
        <v>3</v>
      </c>
      <c r="C5" s="116">
        <v>55.0400394605428</v>
      </c>
      <c r="D5" s="80">
        <f t="shared" si="5"/>
        <v>2.8880448404448814E-2</v>
      </c>
      <c r="E5" s="78">
        <f>$D5*'MWh Impact Summary'!B$11</f>
        <v>0</v>
      </c>
      <c r="F5" s="81">
        <f>$D5*'MWh Impact Summary'!L$11</f>
        <v>0</v>
      </c>
      <c r="G5" s="81">
        <f>$D5*'MWh Impact Summary'!C$11</f>
        <v>1677.8181032966284</v>
      </c>
      <c r="H5" s="81">
        <f>$D5*'MWh Impact Summary'!D$11</f>
        <v>0</v>
      </c>
      <c r="I5" s="81">
        <f>$D5*'MWh Impact Summary'!E$11</f>
        <v>1340.4469528614773</v>
      </c>
      <c r="J5" s="82">
        <f t="shared" si="0"/>
        <v>3018.2650561581058</v>
      </c>
      <c r="K5" s="83">
        <v>31</v>
      </c>
      <c r="L5" s="84">
        <f t="shared" si="1"/>
        <v>8.4931506849315067E-2</v>
      </c>
      <c r="M5" s="81">
        <f>$L5*'MWh Impact Summary'!F$11</f>
        <v>0</v>
      </c>
      <c r="N5" s="81">
        <f>$L5*'MWh Impact Summary'!G$11</f>
        <v>0</v>
      </c>
      <c r="O5" s="81">
        <f>$L5*'MWh Impact Summary'!H$11</f>
        <v>0</v>
      </c>
      <c r="P5" s="81">
        <f>$L5*'MWh Impact Summary'!I$11</f>
        <v>0</v>
      </c>
      <c r="Q5" s="81">
        <f>$L5*'MWh Impact Summary'!J$11</f>
        <v>0</v>
      </c>
      <c r="R5" s="81">
        <f>$L5*'MWh Impact Summary'!K$11</f>
        <v>0</v>
      </c>
      <c r="S5" s="81">
        <f>$L5*'MWh Impact Summary'!M$11</f>
        <v>0</v>
      </c>
      <c r="T5" s="81">
        <f>$L5*'MWh Impact Summary'!O$11</f>
        <v>0</v>
      </c>
      <c r="U5" s="85">
        <f t="shared" si="2"/>
        <v>0</v>
      </c>
      <c r="V5" s="81">
        <f t="shared" si="6"/>
        <v>3018.2650561581058</v>
      </c>
      <c r="W5" s="81"/>
      <c r="X5" s="81">
        <f>+'MWh by mo-WgtbyActulCDH&amp;Days'!AB7</f>
        <v>4299864</v>
      </c>
      <c r="Y5" s="120">
        <f t="shared" si="7"/>
        <v>0.70194430711252864</v>
      </c>
      <c r="Z5" s="87">
        <f t="shared" si="8"/>
        <v>2.264336474556544E-5</v>
      </c>
      <c r="AA5" s="88">
        <f t="shared" si="3"/>
        <v>2.264336474556544E-5</v>
      </c>
      <c r="AC5" s="89">
        <f t="shared" si="4"/>
        <v>0</v>
      </c>
      <c r="AD5" s="90"/>
      <c r="AE5" s="96"/>
      <c r="AF5" s="92"/>
      <c r="AH5" s="123">
        <f t="shared" si="9"/>
        <v>2.264336474556544E-5</v>
      </c>
      <c r="AI5" s="121">
        <f t="shared" si="10"/>
        <v>3018.2650561581058</v>
      </c>
    </row>
    <row r="6" spans="1:35">
      <c r="A6" s="78">
        <v>2005</v>
      </c>
      <c r="B6" s="78">
        <v>4</v>
      </c>
      <c r="C6" s="116">
        <v>68.851319402389478</v>
      </c>
      <c r="D6" s="80">
        <f t="shared" si="5"/>
        <v>3.6127462790146135E-2</v>
      </c>
      <c r="E6" s="78">
        <f>$D6*'MWh Impact Summary'!B$11</f>
        <v>0</v>
      </c>
      <c r="F6" s="81">
        <f>$D6*'MWh Impact Summary'!L$11</f>
        <v>0</v>
      </c>
      <c r="G6" s="81">
        <f>$D6*'MWh Impact Summary'!C$11</f>
        <v>2098.835525217994</v>
      </c>
      <c r="H6" s="81">
        <f>$D6*'MWh Impact Summary'!D$11</f>
        <v>0</v>
      </c>
      <c r="I6" s="81">
        <f>$D6*'MWh Impact Summary'!E$11</f>
        <v>1676.8073242314335</v>
      </c>
      <c r="J6" s="82">
        <f t="shared" si="0"/>
        <v>3775.6428494494276</v>
      </c>
      <c r="K6" s="83">
        <v>30</v>
      </c>
      <c r="L6" s="84">
        <f t="shared" si="1"/>
        <v>8.2191780821917804E-2</v>
      </c>
      <c r="M6" s="81">
        <f>$L6*'MWh Impact Summary'!F$11</f>
        <v>0</v>
      </c>
      <c r="N6" s="81">
        <f>$L6*'MWh Impact Summary'!G$11</f>
        <v>0</v>
      </c>
      <c r="O6" s="81">
        <f>$L6*'MWh Impact Summary'!H$11</f>
        <v>0</v>
      </c>
      <c r="P6" s="81">
        <f>$L6*'MWh Impact Summary'!I$11</f>
        <v>0</v>
      </c>
      <c r="Q6" s="81">
        <f>$L6*'MWh Impact Summary'!J$11</f>
        <v>0</v>
      </c>
      <c r="R6" s="81">
        <f>$L6*'MWh Impact Summary'!K$11</f>
        <v>0</v>
      </c>
      <c r="S6" s="81">
        <f>$L6*'MWh Impact Summary'!M$11</f>
        <v>0</v>
      </c>
      <c r="T6" s="81">
        <f>$L6*'MWh Impact Summary'!O$11</f>
        <v>0</v>
      </c>
      <c r="U6" s="85">
        <f t="shared" si="2"/>
        <v>0</v>
      </c>
      <c r="V6" s="81">
        <f t="shared" si="6"/>
        <v>3775.6428494494276</v>
      </c>
      <c r="W6" s="81"/>
      <c r="X6" s="81">
        <f>+'MWh by mo-WgtbyActulCDH&amp;Days'!AB8</f>
        <v>4310180</v>
      </c>
      <c r="Y6" s="120">
        <f t="shared" si="7"/>
        <v>0.87598263864836901</v>
      </c>
      <c r="Z6" s="87">
        <f t="shared" si="8"/>
        <v>2.9199421288278967E-5</v>
      </c>
      <c r="AA6" s="88">
        <f t="shared" si="3"/>
        <v>2.9199421288278967E-5</v>
      </c>
      <c r="AC6" s="89">
        <f t="shared" si="4"/>
        <v>0</v>
      </c>
      <c r="AD6" s="90"/>
      <c r="AE6" s="96"/>
      <c r="AF6" s="92"/>
      <c r="AH6" s="123">
        <f t="shared" si="9"/>
        <v>2.9199421288278967E-5</v>
      </c>
      <c r="AI6" s="121">
        <f t="shared" si="10"/>
        <v>3775.6428494494276</v>
      </c>
    </row>
    <row r="7" spans="1:35">
      <c r="A7" s="78">
        <v>2005</v>
      </c>
      <c r="B7" s="78">
        <v>5</v>
      </c>
      <c r="C7" s="116">
        <v>151.25206791620673</v>
      </c>
      <c r="D7" s="80">
        <f t="shared" si="5"/>
        <v>7.9364542364685237E-2</v>
      </c>
      <c r="E7" s="78">
        <f>$D7*'MWh Impact Summary'!B$11</f>
        <v>0</v>
      </c>
      <c r="F7" s="81">
        <f>$D7*'MWh Impact Summary'!L$11</f>
        <v>0</v>
      </c>
      <c r="G7" s="81">
        <f>$D7*'MWh Impact Summary'!C$11</f>
        <v>4610.7063184936187</v>
      </c>
      <c r="H7" s="81">
        <f>$D7*'MWh Impact Summary'!D$11</f>
        <v>0</v>
      </c>
      <c r="I7" s="81">
        <f>$D7*'MWh Impact Summary'!E$11</f>
        <v>3683.5978959938966</v>
      </c>
      <c r="J7" s="82">
        <f>SUM(E7:I7)</f>
        <v>8294.3042144875144</v>
      </c>
      <c r="K7" s="83">
        <v>31</v>
      </c>
      <c r="L7" s="84">
        <f t="shared" si="1"/>
        <v>8.4931506849315067E-2</v>
      </c>
      <c r="M7" s="81">
        <f>$L7*'MWh Impact Summary'!F$11</f>
        <v>0</v>
      </c>
      <c r="N7" s="81">
        <f>$L7*'MWh Impact Summary'!G$11</f>
        <v>0</v>
      </c>
      <c r="O7" s="81">
        <f>$L7*'MWh Impact Summary'!H$11</f>
        <v>0</v>
      </c>
      <c r="P7" s="81">
        <f>$L7*'MWh Impact Summary'!I$11</f>
        <v>0</v>
      </c>
      <c r="Q7" s="81">
        <f>$L7*'MWh Impact Summary'!J$11</f>
        <v>0</v>
      </c>
      <c r="R7" s="81">
        <f>$L7*'MWh Impact Summary'!K$11</f>
        <v>0</v>
      </c>
      <c r="S7" s="81">
        <f>$L7*'MWh Impact Summary'!M$11</f>
        <v>0</v>
      </c>
      <c r="T7" s="81">
        <f>$L7*'MWh Impact Summary'!O$11</f>
        <v>0</v>
      </c>
      <c r="U7" s="85">
        <f t="shared" si="2"/>
        <v>0</v>
      </c>
      <c r="V7" s="81">
        <f t="shared" si="6"/>
        <v>8294.3042144875144</v>
      </c>
      <c r="W7" s="81"/>
      <c r="X7" s="81">
        <f>+'MWh by mo-WgtbyActulCDH&amp;Days'!AB9</f>
        <v>4313996</v>
      </c>
      <c r="Y7" s="120">
        <f t="shared" si="7"/>
        <v>1.9226499548185754</v>
      </c>
      <c r="Z7" s="87">
        <f t="shared" si="8"/>
        <v>6.2020966284470169E-5</v>
      </c>
      <c r="AA7" s="88">
        <f t="shared" si="3"/>
        <v>6.2020966284470169E-5</v>
      </c>
      <c r="AC7" s="89">
        <f t="shared" si="4"/>
        <v>0</v>
      </c>
      <c r="AD7" s="90"/>
      <c r="AE7" s="96"/>
      <c r="AF7" s="92"/>
      <c r="AH7" s="123">
        <f t="shared" si="9"/>
        <v>6.2020966284470169E-5</v>
      </c>
      <c r="AI7" s="121">
        <f t="shared" si="10"/>
        <v>8294.3042144875144</v>
      </c>
    </row>
    <row r="8" spans="1:35">
      <c r="A8" s="78">
        <v>2005</v>
      </c>
      <c r="B8" s="78">
        <v>6</v>
      </c>
      <c r="C8" s="116">
        <v>245.31806466596649</v>
      </c>
      <c r="D8" s="80">
        <f t="shared" si="5"/>
        <v>0.12872257684959901</v>
      </c>
      <c r="E8" s="78">
        <f>$D8*'MWh Impact Summary'!B$11</f>
        <v>0</v>
      </c>
      <c r="F8" s="81">
        <f>$D8*'MWh Impact Summary'!L$11</f>
        <v>0</v>
      </c>
      <c r="G8" s="81">
        <f>$D8*'MWh Impact Summary'!C$11</f>
        <v>7478.1757788767463</v>
      </c>
      <c r="H8" s="81">
        <f>$D8*'MWh Impact Summary'!D$11</f>
        <v>0</v>
      </c>
      <c r="I8" s="81">
        <f>$D8*'MWh Impact Summary'!E$11</f>
        <v>5974.484311536622</v>
      </c>
      <c r="J8" s="82">
        <f>SUM(E8:I8)</f>
        <v>13452.660090413368</v>
      </c>
      <c r="K8" s="83">
        <v>30</v>
      </c>
      <c r="L8" s="84">
        <f t="shared" si="1"/>
        <v>8.2191780821917804E-2</v>
      </c>
      <c r="M8" s="81">
        <f>$L8*'MWh Impact Summary'!F$11</f>
        <v>0</v>
      </c>
      <c r="N8" s="81">
        <f>$L8*'MWh Impact Summary'!G$11</f>
        <v>0</v>
      </c>
      <c r="O8" s="81">
        <f>$L8*'MWh Impact Summary'!H$11</f>
        <v>0</v>
      </c>
      <c r="P8" s="81">
        <f>$L8*'MWh Impact Summary'!I$11</f>
        <v>0</v>
      </c>
      <c r="Q8" s="81">
        <f>$L8*'MWh Impact Summary'!J$11</f>
        <v>0</v>
      </c>
      <c r="R8" s="81">
        <f>$L8*'MWh Impact Summary'!K$11</f>
        <v>0</v>
      </c>
      <c r="S8" s="81">
        <f>$L8*'MWh Impact Summary'!M$11</f>
        <v>0</v>
      </c>
      <c r="T8" s="81">
        <f>$L8*'MWh Impact Summary'!O$11</f>
        <v>0</v>
      </c>
      <c r="U8" s="85">
        <f t="shared" si="2"/>
        <v>0</v>
      </c>
      <c r="V8" s="81">
        <f t="shared" si="6"/>
        <v>13452.660090413368</v>
      </c>
      <c r="W8" s="81"/>
      <c r="X8" s="81">
        <f>+'MWh by mo-WgtbyActulCDH&amp;Days'!AB10</f>
        <v>4320906</v>
      </c>
      <c r="Y8" s="120">
        <f t="shared" si="7"/>
        <v>3.1133887407903273</v>
      </c>
      <c r="Z8" s="87">
        <f t="shared" si="8"/>
        <v>1.0377962469301091E-4</v>
      </c>
      <c r="AA8" s="88">
        <f t="shared" si="3"/>
        <v>1.0377962469301091E-4</v>
      </c>
      <c r="AC8" s="89">
        <f t="shared" si="4"/>
        <v>0</v>
      </c>
      <c r="AD8" s="90"/>
      <c r="AE8" s="96"/>
      <c r="AF8" s="92"/>
      <c r="AH8" s="123">
        <f t="shared" si="9"/>
        <v>1.0377962469301091E-4</v>
      </c>
      <c r="AI8" s="121">
        <f t="shared" si="10"/>
        <v>13452.660090413368</v>
      </c>
    </row>
    <row r="9" spans="1:35">
      <c r="A9" s="78">
        <v>2005</v>
      </c>
      <c r="B9" s="78">
        <v>7</v>
      </c>
      <c r="C9" s="116">
        <v>350.2438907736481</v>
      </c>
      <c r="D9" s="80">
        <f t="shared" si="5"/>
        <v>0.18377894920866022</v>
      </c>
      <c r="E9" s="78">
        <f>$D9*'MWh Impact Summary'!B$11</f>
        <v>0</v>
      </c>
      <c r="F9" s="81">
        <f>$D9*'MWh Impact Summary'!L$11</f>
        <v>0</v>
      </c>
      <c r="G9" s="81">
        <f>$D9*'MWh Impact Summary'!C$11</f>
        <v>10676.691845948731</v>
      </c>
      <c r="H9" s="81">
        <f>$D9*'MWh Impact Summary'!D$11</f>
        <v>0</v>
      </c>
      <c r="I9" s="81">
        <f>$D9*'MWh Impact Summary'!E$11</f>
        <v>8529.8513726983911</v>
      </c>
      <c r="J9" s="82">
        <f t="shared" si="0"/>
        <v>19206.543218647123</v>
      </c>
      <c r="K9" s="83">
        <v>31</v>
      </c>
      <c r="L9" s="84">
        <f t="shared" si="1"/>
        <v>8.4931506849315067E-2</v>
      </c>
      <c r="M9" s="81">
        <f>$L9*'MWh Impact Summary'!F$11</f>
        <v>0</v>
      </c>
      <c r="N9" s="81">
        <f>$L9*'MWh Impact Summary'!G$11</f>
        <v>0</v>
      </c>
      <c r="O9" s="81">
        <f>$L9*'MWh Impact Summary'!H$11</f>
        <v>0</v>
      </c>
      <c r="P9" s="81">
        <f>$L9*'MWh Impact Summary'!I$11</f>
        <v>0</v>
      </c>
      <c r="Q9" s="81">
        <f>$L9*'MWh Impact Summary'!J$11</f>
        <v>0</v>
      </c>
      <c r="R9" s="81">
        <f>$L9*'MWh Impact Summary'!K$11</f>
        <v>0</v>
      </c>
      <c r="S9" s="81">
        <f>$L9*'MWh Impact Summary'!M$11</f>
        <v>0</v>
      </c>
      <c r="T9" s="81">
        <f>$L9*'MWh Impact Summary'!O$11</f>
        <v>0</v>
      </c>
      <c r="U9" s="85">
        <f t="shared" si="2"/>
        <v>0</v>
      </c>
      <c r="V9" s="81">
        <f t="shared" si="6"/>
        <v>19206.543218647123</v>
      </c>
      <c r="W9" s="81"/>
      <c r="X9" s="81">
        <f>+'MWh by mo-WgtbyActulCDH&amp;Days'!AB11</f>
        <v>4327794</v>
      </c>
      <c r="Y9" s="120">
        <f t="shared" si="7"/>
        <v>4.4379522728316374</v>
      </c>
      <c r="Z9" s="87">
        <f t="shared" si="8"/>
        <v>1.4315975073650445E-4</v>
      </c>
      <c r="AA9" s="88">
        <f t="shared" si="3"/>
        <v>1.4315975073650445E-4</v>
      </c>
      <c r="AC9" s="89">
        <f t="shared" si="4"/>
        <v>0</v>
      </c>
      <c r="AD9" s="90"/>
      <c r="AE9" s="96"/>
      <c r="AF9" s="92"/>
      <c r="AH9" s="123">
        <f t="shared" si="9"/>
        <v>1.4315975073650445E-4</v>
      </c>
      <c r="AI9" s="121">
        <f t="shared" si="10"/>
        <v>19206.543218647123</v>
      </c>
    </row>
    <row r="10" spans="1:35">
      <c r="A10" s="78">
        <v>2005</v>
      </c>
      <c r="B10" s="78">
        <v>8</v>
      </c>
      <c r="C10" s="116">
        <v>362.78163077883335</v>
      </c>
      <c r="D10" s="80">
        <f t="shared" si="5"/>
        <v>0.19035771544642294</v>
      </c>
      <c r="E10" s="78">
        <f>$D10*'MWh Impact Summary'!B$11</f>
        <v>0</v>
      </c>
      <c r="F10" s="81">
        <f>$D10*'MWh Impact Summary'!L$11</f>
        <v>0</v>
      </c>
      <c r="G10" s="81">
        <f>$D10*'MWh Impact Summary'!C$11</f>
        <v>11058.887196121155</v>
      </c>
      <c r="H10" s="81">
        <f>$D10*'MWh Impact Summary'!D$11</f>
        <v>0</v>
      </c>
      <c r="I10" s="81">
        <f>$D10*'MWh Impact Summary'!E$11</f>
        <v>8835.1959100650129</v>
      </c>
      <c r="J10" s="82">
        <f t="shared" si="0"/>
        <v>19894.083106186168</v>
      </c>
      <c r="K10" s="83">
        <v>31</v>
      </c>
      <c r="L10" s="84">
        <f t="shared" si="1"/>
        <v>8.4931506849315067E-2</v>
      </c>
      <c r="M10" s="81">
        <f>$L10*'MWh Impact Summary'!F$11</f>
        <v>0</v>
      </c>
      <c r="N10" s="81">
        <f>$L10*'MWh Impact Summary'!G$11</f>
        <v>0</v>
      </c>
      <c r="O10" s="81">
        <f>$L10*'MWh Impact Summary'!H$11</f>
        <v>0</v>
      </c>
      <c r="P10" s="81">
        <f>$L10*'MWh Impact Summary'!I$11</f>
        <v>0</v>
      </c>
      <c r="Q10" s="81">
        <f>$L10*'MWh Impact Summary'!J$11</f>
        <v>0</v>
      </c>
      <c r="R10" s="81">
        <f>$L10*'MWh Impact Summary'!K$11</f>
        <v>0</v>
      </c>
      <c r="S10" s="81">
        <f>$L10*'MWh Impact Summary'!M$11</f>
        <v>0</v>
      </c>
      <c r="T10" s="81">
        <f>$L10*'MWh Impact Summary'!O$11</f>
        <v>0</v>
      </c>
      <c r="U10" s="85">
        <f t="shared" si="2"/>
        <v>0</v>
      </c>
      <c r="V10" s="81">
        <f t="shared" si="6"/>
        <v>19894.083106186168</v>
      </c>
      <c r="W10" s="81"/>
      <c r="X10" s="81">
        <f>+'MWh by mo-WgtbyActulCDH&amp;Days'!AB12</f>
        <v>4340306</v>
      </c>
      <c r="Y10" s="120">
        <f t="shared" si="7"/>
        <v>4.5835669434795996</v>
      </c>
      <c r="Z10" s="87">
        <f t="shared" si="8"/>
        <v>1.478569981767613E-4</v>
      </c>
      <c r="AA10" s="88">
        <f t="shared" ref="AA10:AA14" si="11">Z10</f>
        <v>1.478569981767613E-4</v>
      </c>
      <c r="AC10" s="89">
        <f t="shared" si="4"/>
        <v>0</v>
      </c>
      <c r="AD10" s="90"/>
      <c r="AE10" s="96"/>
      <c r="AF10" s="92"/>
      <c r="AH10" s="123">
        <f t="shared" si="9"/>
        <v>1.478569981767613E-4</v>
      </c>
      <c r="AI10" s="121">
        <f t="shared" si="10"/>
        <v>19894.083106186168</v>
      </c>
    </row>
    <row r="11" spans="1:35">
      <c r="A11" s="78">
        <v>2005</v>
      </c>
      <c r="B11" s="78">
        <v>9</v>
      </c>
      <c r="C11" s="116">
        <v>314.8426676979127</v>
      </c>
      <c r="D11" s="80">
        <f t="shared" si="5"/>
        <v>0.16520332305515609</v>
      </c>
      <c r="E11" s="78">
        <f>$D11*'MWh Impact Summary'!B$11</f>
        <v>0</v>
      </c>
      <c r="F11" s="81">
        <f>$D11*'MWh Impact Summary'!L$11</f>
        <v>0</v>
      </c>
      <c r="G11" s="81">
        <f>$D11*'MWh Impact Summary'!C$11</f>
        <v>9597.535407518275</v>
      </c>
      <c r="H11" s="81">
        <f>$D11*'MWh Impact Summary'!D$11</f>
        <v>0</v>
      </c>
      <c r="I11" s="81">
        <f>$D11*'MWh Impact Summary'!E$11</f>
        <v>7667.6888076904679</v>
      </c>
      <c r="J11" s="82">
        <f t="shared" si="0"/>
        <v>17265.224215208742</v>
      </c>
      <c r="K11" s="83">
        <v>30</v>
      </c>
      <c r="L11" s="84">
        <f t="shared" si="1"/>
        <v>8.2191780821917804E-2</v>
      </c>
      <c r="M11" s="81">
        <f>$L11*'MWh Impact Summary'!F$11</f>
        <v>0</v>
      </c>
      <c r="N11" s="81">
        <f>$L11*'MWh Impact Summary'!G$11</f>
        <v>0</v>
      </c>
      <c r="O11" s="81">
        <f>$L11*'MWh Impact Summary'!H$11</f>
        <v>0</v>
      </c>
      <c r="P11" s="81">
        <f>$L11*'MWh Impact Summary'!I$11</f>
        <v>0</v>
      </c>
      <c r="Q11" s="81">
        <f>$L11*'MWh Impact Summary'!J$11</f>
        <v>0</v>
      </c>
      <c r="R11" s="81">
        <f>$L11*'MWh Impact Summary'!K$11</f>
        <v>0</v>
      </c>
      <c r="S11" s="81">
        <f>$L11*'MWh Impact Summary'!M$11</f>
        <v>0</v>
      </c>
      <c r="T11" s="81">
        <f>$L11*'MWh Impact Summary'!O$11</f>
        <v>0</v>
      </c>
      <c r="U11" s="85">
        <f t="shared" si="2"/>
        <v>0</v>
      </c>
      <c r="V11" s="81">
        <f t="shared" si="6"/>
        <v>17265.224215208742</v>
      </c>
      <c r="W11" s="81"/>
      <c r="X11" s="81">
        <f>+'MWh by mo-WgtbyActulCDH&amp;Days'!AB13</f>
        <v>4343095</v>
      </c>
      <c r="Y11" s="120">
        <f t="shared" si="7"/>
        <v>3.9753273219233618</v>
      </c>
      <c r="Z11" s="87">
        <f t="shared" si="8"/>
        <v>1.3251091073077873E-4</v>
      </c>
      <c r="AA11" s="88">
        <f t="shared" si="11"/>
        <v>1.3251091073077873E-4</v>
      </c>
      <c r="AC11" s="89">
        <f t="shared" si="4"/>
        <v>0</v>
      </c>
      <c r="AD11" s="90"/>
      <c r="AE11" s="96"/>
      <c r="AF11" s="92"/>
      <c r="AH11" s="123">
        <f t="shared" si="9"/>
        <v>1.3251091073077873E-4</v>
      </c>
      <c r="AI11" s="121">
        <f t="shared" si="10"/>
        <v>17265.224215208742</v>
      </c>
    </row>
    <row r="12" spans="1:35">
      <c r="A12" s="78">
        <v>2005</v>
      </c>
      <c r="B12" s="78">
        <v>10</v>
      </c>
      <c r="C12" s="116">
        <v>213.78666923833481</v>
      </c>
      <c r="D12" s="80">
        <f t="shared" si="5"/>
        <v>0.11217751533268619</v>
      </c>
      <c r="E12" s="78">
        <f>$D12*'MWh Impact Summary'!B$11</f>
        <v>0</v>
      </c>
      <c r="F12" s="81">
        <f>$D12*'MWh Impact Summary'!L$11</f>
        <v>0</v>
      </c>
      <c r="G12" s="81">
        <f>$D12*'MWh Impact Summary'!C$11</f>
        <v>6516.9855873506149</v>
      </c>
      <c r="H12" s="81">
        <f>$D12*'MWh Impact Summary'!D$11</f>
        <v>0</v>
      </c>
      <c r="I12" s="81">
        <f>$D12*'MWh Impact Summary'!E$11</f>
        <v>5206.5676578659977</v>
      </c>
      <c r="J12" s="82">
        <f t="shared" si="0"/>
        <v>11723.553245216612</v>
      </c>
      <c r="K12" s="83">
        <v>31</v>
      </c>
      <c r="L12" s="84">
        <f t="shared" si="1"/>
        <v>8.4931506849315067E-2</v>
      </c>
      <c r="M12" s="81">
        <f>$L12*'MWh Impact Summary'!F$11</f>
        <v>0</v>
      </c>
      <c r="N12" s="81">
        <f>$L12*'MWh Impact Summary'!G$11</f>
        <v>0</v>
      </c>
      <c r="O12" s="81">
        <f>$L12*'MWh Impact Summary'!H$11</f>
        <v>0</v>
      </c>
      <c r="P12" s="81">
        <f>$L12*'MWh Impact Summary'!I$11</f>
        <v>0</v>
      </c>
      <c r="Q12" s="81">
        <f>$L12*'MWh Impact Summary'!J$11</f>
        <v>0</v>
      </c>
      <c r="R12" s="81">
        <f>$L12*'MWh Impact Summary'!K$11</f>
        <v>0</v>
      </c>
      <c r="S12" s="81">
        <f>$L12*'MWh Impact Summary'!M$11</f>
        <v>0</v>
      </c>
      <c r="T12" s="81">
        <f>$L12*'MWh Impact Summary'!O$11</f>
        <v>0</v>
      </c>
      <c r="U12" s="85">
        <f t="shared" si="2"/>
        <v>0</v>
      </c>
      <c r="V12" s="81">
        <f t="shared" si="6"/>
        <v>11723.553245216612</v>
      </c>
      <c r="W12" s="81"/>
      <c r="X12" s="81">
        <f>+'MWh by mo-WgtbyActulCDH&amp;Days'!AB14</f>
        <v>4344668</v>
      </c>
      <c r="Y12" s="120">
        <f t="shared" si="7"/>
        <v>2.6983772396916432</v>
      </c>
      <c r="Z12" s="87">
        <f t="shared" si="8"/>
        <v>8.704442708682721E-5</v>
      </c>
      <c r="AA12" s="88">
        <f t="shared" si="11"/>
        <v>8.704442708682721E-5</v>
      </c>
      <c r="AC12" s="89">
        <f t="shared" si="4"/>
        <v>0</v>
      </c>
      <c r="AD12" s="90"/>
      <c r="AE12" s="96"/>
      <c r="AF12" s="92"/>
      <c r="AH12" s="123">
        <f t="shared" si="9"/>
        <v>8.704442708682721E-5</v>
      </c>
      <c r="AI12" s="121">
        <f t="shared" si="10"/>
        <v>11723.553245216612</v>
      </c>
    </row>
    <row r="13" spans="1:35">
      <c r="A13" s="78">
        <v>2005</v>
      </c>
      <c r="B13" s="78">
        <v>11</v>
      </c>
      <c r="C13" s="116">
        <v>86.269684929734197</v>
      </c>
      <c r="D13" s="80">
        <f t="shared" si="5"/>
        <v>4.5267176566386E-2</v>
      </c>
      <c r="E13" s="78">
        <f>$D13*'MWh Impact Summary'!B$11</f>
        <v>0</v>
      </c>
      <c r="F13" s="81">
        <f>$D13*'MWh Impact Summary'!L$11</f>
        <v>0</v>
      </c>
      <c r="G13" s="81">
        <f>$D13*'MWh Impact Summary'!C$11</f>
        <v>2629.809872221645</v>
      </c>
      <c r="H13" s="81">
        <f>$D13*'MWh Impact Summary'!D$11</f>
        <v>0</v>
      </c>
      <c r="I13" s="81">
        <f>$D13*'MWh Impact Summary'!E$11</f>
        <v>2101.0147780014231</v>
      </c>
      <c r="J13" s="82">
        <f t="shared" si="0"/>
        <v>4730.8246502230686</v>
      </c>
      <c r="K13" s="83">
        <v>30</v>
      </c>
      <c r="L13" s="84">
        <f t="shared" si="1"/>
        <v>8.2191780821917804E-2</v>
      </c>
      <c r="M13" s="81">
        <f>$L13*'MWh Impact Summary'!F$11</f>
        <v>0</v>
      </c>
      <c r="N13" s="81">
        <f>$L13*'MWh Impact Summary'!G$11</f>
        <v>0</v>
      </c>
      <c r="O13" s="81">
        <f>$L13*'MWh Impact Summary'!H$11</f>
        <v>0</v>
      </c>
      <c r="P13" s="81">
        <f>$L13*'MWh Impact Summary'!I$11</f>
        <v>0</v>
      </c>
      <c r="Q13" s="81">
        <f>$L13*'MWh Impact Summary'!J$11</f>
        <v>0</v>
      </c>
      <c r="R13" s="81">
        <f>$L13*'MWh Impact Summary'!K$11</f>
        <v>0</v>
      </c>
      <c r="S13" s="81">
        <f>$L13*'MWh Impact Summary'!M$11</f>
        <v>0</v>
      </c>
      <c r="T13" s="81">
        <f>$L13*'MWh Impact Summary'!O$11</f>
        <v>0</v>
      </c>
      <c r="U13" s="85">
        <f t="shared" si="2"/>
        <v>0</v>
      </c>
      <c r="V13" s="81">
        <f t="shared" si="6"/>
        <v>4730.8246502230686</v>
      </c>
      <c r="W13" s="81"/>
      <c r="X13" s="81">
        <f>+'MWh by mo-WgtbyActulCDH&amp;Days'!AB15</f>
        <v>4345746</v>
      </c>
      <c r="Y13" s="120">
        <f t="shared" si="7"/>
        <v>1.0886104825783809</v>
      </c>
      <c r="Z13" s="87">
        <f t="shared" si="8"/>
        <v>3.6287016085946025E-5</v>
      </c>
      <c r="AA13" s="88">
        <f t="shared" si="11"/>
        <v>3.6287016085946025E-5</v>
      </c>
      <c r="AC13" s="89">
        <f t="shared" si="4"/>
        <v>0</v>
      </c>
      <c r="AD13" s="90"/>
      <c r="AE13" s="96"/>
      <c r="AF13" s="92"/>
      <c r="AH13" s="123">
        <f t="shared" si="9"/>
        <v>3.6287016085946025E-5</v>
      </c>
      <c r="AI13" s="121">
        <f t="shared" si="10"/>
        <v>4730.8246502230686</v>
      </c>
    </row>
    <row r="14" spans="1:35">
      <c r="A14" s="78">
        <v>2005</v>
      </c>
      <c r="B14" s="78">
        <v>12</v>
      </c>
      <c r="C14" s="116">
        <v>18.747257004220721</v>
      </c>
      <c r="D14" s="80">
        <f t="shared" si="5"/>
        <v>9.8370058223428217E-3</v>
      </c>
      <c r="E14" s="78">
        <f>$D14*'MWh Impact Summary'!B$11</f>
        <v>0</v>
      </c>
      <c r="F14" s="81">
        <f>$D14*'MWh Impact Summary'!L$11</f>
        <v>0</v>
      </c>
      <c r="G14" s="81">
        <f>$D14*'MWh Impact Summary'!C$11</f>
        <v>571.48373251776445</v>
      </c>
      <c r="H14" s="81">
        <f>$D14*'MWh Impact Summary'!D$11</f>
        <v>0</v>
      </c>
      <c r="I14" s="81">
        <f>$D14*'MWh Impact Summary'!E$11</f>
        <v>456.57132102591748</v>
      </c>
      <c r="J14" s="82">
        <f t="shared" si="0"/>
        <v>1028.0550535436819</v>
      </c>
      <c r="K14" s="83">
        <v>31</v>
      </c>
      <c r="L14" s="84">
        <f t="shared" si="1"/>
        <v>8.4931506849315067E-2</v>
      </c>
      <c r="M14" s="81">
        <f>$L14*'MWh Impact Summary'!F$11</f>
        <v>0</v>
      </c>
      <c r="N14" s="81">
        <f>$L14*'MWh Impact Summary'!G$11</f>
        <v>0</v>
      </c>
      <c r="O14" s="81">
        <f>$L14*'MWh Impact Summary'!H$11</f>
        <v>0</v>
      </c>
      <c r="P14" s="81">
        <f>$L14*'MWh Impact Summary'!I$11</f>
        <v>0</v>
      </c>
      <c r="Q14" s="81">
        <f>$L14*'MWh Impact Summary'!J$11</f>
        <v>0</v>
      </c>
      <c r="R14" s="81">
        <f>$L14*'MWh Impact Summary'!K$11</f>
        <v>0</v>
      </c>
      <c r="S14" s="81">
        <f>$L14*'MWh Impact Summary'!M$11</f>
        <v>0</v>
      </c>
      <c r="T14" s="81">
        <f>$L14*'MWh Impact Summary'!O$11</f>
        <v>0</v>
      </c>
      <c r="U14" s="85">
        <f t="shared" si="2"/>
        <v>0</v>
      </c>
      <c r="V14" s="81">
        <f t="shared" si="6"/>
        <v>1028.0550535436819</v>
      </c>
      <c r="W14" s="81">
        <f>SUM(V3:V14)</f>
        <v>104508.94023145307</v>
      </c>
      <c r="X14" s="81">
        <f>+'MWh by mo-WgtbyActulCDH&amp;Days'!AB16</f>
        <v>4355740</v>
      </c>
      <c r="Y14" s="120">
        <f t="shared" si="7"/>
        <v>0.23602305315369648</v>
      </c>
      <c r="Z14" s="87">
        <f t="shared" si="8"/>
        <v>7.6136468759256928E-6</v>
      </c>
      <c r="AA14" s="88">
        <f t="shared" si="11"/>
        <v>7.6136468759256928E-6</v>
      </c>
      <c r="AC14" s="89">
        <f t="shared" si="4"/>
        <v>0</v>
      </c>
      <c r="AD14" s="90">
        <f>SUM(AC3:AC14)</f>
        <v>0</v>
      </c>
      <c r="AE14" s="96"/>
      <c r="AF14" s="92"/>
      <c r="AH14" s="123">
        <f t="shared" si="9"/>
        <v>7.6136468759256928E-6</v>
      </c>
      <c r="AI14" s="121">
        <f t="shared" si="10"/>
        <v>1028.0550535436819</v>
      </c>
    </row>
    <row r="15" spans="1:35">
      <c r="A15" s="78">
        <v>2006</v>
      </c>
      <c r="B15" s="78">
        <v>1</v>
      </c>
      <c r="C15" s="116">
        <v>28.909164099402929</v>
      </c>
      <c r="D15" s="80">
        <f t="shared" ref="D15:D26" si="12">C15/(SUM(C$15:C$26))</f>
        <v>1.5062695019738087E-2</v>
      </c>
      <c r="E15" s="82">
        <f>$D15*'MWh Impact Summary'!B$12</f>
        <v>3294.7360923681886</v>
      </c>
      <c r="F15" s="85">
        <f>$D15*'MWh Impact Summary'!L$12</f>
        <v>0</v>
      </c>
      <c r="G15" s="85">
        <f>$D15*'MWh Impact Summary'!C$12</f>
        <v>2992.0724235311732</v>
      </c>
      <c r="H15" s="85">
        <f>$D15*'MWh Impact Summary'!D$12</f>
        <v>0</v>
      </c>
      <c r="I15" s="85">
        <f>$D15*'MWh Impact Summary'!E$12</f>
        <v>1605.9684909097468</v>
      </c>
      <c r="J15" s="82">
        <f t="shared" si="0"/>
        <v>7892.7770068091086</v>
      </c>
      <c r="K15" s="83">
        <v>31</v>
      </c>
      <c r="L15" s="97">
        <f t="shared" ref="L15:L26" si="13">K15/(SUM(K$15:K$26))</f>
        <v>8.4931506849315067E-2</v>
      </c>
      <c r="M15" s="85">
        <f>$L15*'MWh Impact Summary'!F$12</f>
        <v>0</v>
      </c>
      <c r="N15" s="85">
        <f>$L15*'MWh Impact Summary'!G$12</f>
        <v>0</v>
      </c>
      <c r="O15" s="85">
        <f>$L15*'MWh Impact Summary'!H$12</f>
        <v>0</v>
      </c>
      <c r="P15" s="85">
        <f>$L15*'MWh Impact Summary'!I$12</f>
        <v>116.17109368516167</v>
      </c>
      <c r="Q15" s="85">
        <f>$L15*'MWh Impact Summary'!J$12</f>
        <v>0</v>
      </c>
      <c r="R15" s="85">
        <f>$L15*'MWh Impact Summary'!K$12</f>
        <v>0</v>
      </c>
      <c r="S15" s="85">
        <f>$L15*'MWh Impact Summary'!M$12</f>
        <v>0</v>
      </c>
      <c r="T15" s="85">
        <f>$L15*'MWh Impact Summary'!O$12</f>
        <v>0</v>
      </c>
      <c r="U15" s="85">
        <f t="shared" si="2"/>
        <v>116.17109368516167</v>
      </c>
      <c r="V15" s="81">
        <f t="shared" si="6"/>
        <v>8008.94810049427</v>
      </c>
      <c r="W15" s="81"/>
      <c r="X15" s="81">
        <f>+'MWh by mo-WgtbyActulCDH&amp;Days'!AB17</f>
        <v>4369236</v>
      </c>
      <c r="Y15" s="120">
        <f t="shared" si="7"/>
        <v>1.8330317017653133</v>
      </c>
      <c r="Z15" s="87">
        <f t="shared" si="8"/>
        <v>5.9130054895655267E-5</v>
      </c>
      <c r="AA15" s="88">
        <f>Z15-Z3</f>
        <v>4.9244474639306541E-5</v>
      </c>
      <c r="AC15" s="89">
        <f t="shared" si="4"/>
        <v>0</v>
      </c>
      <c r="AD15" s="90"/>
      <c r="AE15" s="96"/>
      <c r="AF15" s="92"/>
      <c r="AH15" s="123">
        <f t="shared" si="9"/>
        <v>5.9130054895655267E-5</v>
      </c>
      <c r="AI15" s="121">
        <f t="shared" si="10"/>
        <v>8008.94810049427</v>
      </c>
    </row>
    <row r="16" spans="1:35">
      <c r="A16" s="78">
        <v>2006</v>
      </c>
      <c r="B16" s="78">
        <v>2</v>
      </c>
      <c r="C16" s="116">
        <v>23.183374033037868</v>
      </c>
      <c r="D16" s="80">
        <f t="shared" si="12"/>
        <v>1.2079356268740299E-2</v>
      </c>
      <c r="E16" s="82">
        <f>$D16*'MWh Impact Summary'!B$12</f>
        <v>2642.1759863717011</v>
      </c>
      <c r="F16" s="85">
        <f>$D16*'MWh Impact Summary'!L$12</f>
        <v>0</v>
      </c>
      <c r="G16" s="85">
        <f>$D16*'MWh Impact Summary'!C$12</f>
        <v>2399.4583132929092</v>
      </c>
      <c r="H16" s="85">
        <f>$D16*'MWh Impact Summary'!D$12</f>
        <v>0</v>
      </c>
      <c r="I16" s="85">
        <f>$D16*'MWh Impact Summary'!E$12</f>
        <v>1287.8880925790238</v>
      </c>
      <c r="J16" s="82">
        <f t="shared" si="0"/>
        <v>6329.5223922436344</v>
      </c>
      <c r="K16" s="83">
        <v>28</v>
      </c>
      <c r="L16" s="97">
        <f t="shared" si="13"/>
        <v>7.6712328767123292E-2</v>
      </c>
      <c r="M16" s="85">
        <f>$L16*'MWh Impact Summary'!F$12</f>
        <v>0</v>
      </c>
      <c r="N16" s="85">
        <f>$L16*'MWh Impact Summary'!G$12</f>
        <v>0</v>
      </c>
      <c r="O16" s="85">
        <f>$L16*'MWh Impact Summary'!H$12</f>
        <v>0</v>
      </c>
      <c r="P16" s="85">
        <f>$L16*'MWh Impact Summary'!I$12</f>
        <v>104.92872978014603</v>
      </c>
      <c r="Q16" s="85">
        <f>$L16*'MWh Impact Summary'!J$12</f>
        <v>0</v>
      </c>
      <c r="R16" s="85">
        <f>$L16*'MWh Impact Summary'!K$12</f>
        <v>0</v>
      </c>
      <c r="S16" s="85">
        <f>$L16*'MWh Impact Summary'!M$12</f>
        <v>0</v>
      </c>
      <c r="T16" s="85">
        <f>$L16*'MWh Impact Summary'!O$12</f>
        <v>0</v>
      </c>
      <c r="U16" s="85">
        <f t="shared" si="2"/>
        <v>104.92872978014603</v>
      </c>
      <c r="V16" s="81">
        <f t="shared" si="6"/>
        <v>6434.45112202378</v>
      </c>
      <c r="W16" s="81"/>
      <c r="X16" s="81">
        <f>+'MWh by mo-WgtbyActulCDH&amp;Days'!AB18</f>
        <v>4377958</v>
      </c>
      <c r="Y16" s="120">
        <f t="shared" si="7"/>
        <v>1.4697379741933978</v>
      </c>
      <c r="Z16" s="87">
        <f t="shared" si="8"/>
        <v>5.2490641935478488E-5</v>
      </c>
      <c r="AA16" s="88">
        <f t="shared" ref="AA16:AA78" si="14">Z16-Z4</f>
        <v>4.5740250697301527E-5</v>
      </c>
      <c r="AC16" s="89">
        <f t="shared" si="4"/>
        <v>0</v>
      </c>
      <c r="AD16" s="90"/>
      <c r="AE16" s="96"/>
      <c r="AF16" s="92"/>
      <c r="AH16" s="123">
        <f t="shared" si="9"/>
        <v>5.2490641935478488E-5</v>
      </c>
      <c r="AI16" s="121">
        <f t="shared" si="10"/>
        <v>6434.45112202378</v>
      </c>
    </row>
    <row r="17" spans="1:35">
      <c r="A17" s="78">
        <v>2006</v>
      </c>
      <c r="B17" s="78">
        <v>3</v>
      </c>
      <c r="C17" s="116">
        <v>48.305720486184953</v>
      </c>
      <c r="D17" s="80">
        <f t="shared" si="12"/>
        <v>2.5168985616126682E-2</v>
      </c>
      <c r="E17" s="82">
        <f>$D17*'MWh Impact Summary'!B$12</f>
        <v>5505.3338867369757</v>
      </c>
      <c r="F17" s="85">
        <f>$D17*'MWh Impact Summary'!L$12</f>
        <v>0</v>
      </c>
      <c r="G17" s="85">
        <f>$D17*'MWh Impact Summary'!C$12</f>
        <v>4999.5985241407916</v>
      </c>
      <c r="H17" s="85">
        <f>$D17*'MWh Impact Summary'!D$12</f>
        <v>0</v>
      </c>
      <c r="I17" s="85">
        <f>$D17*'MWh Impact Summary'!E$12</f>
        <v>2683.4904241699855</v>
      </c>
      <c r="J17" s="82">
        <f t="shared" si="0"/>
        <v>13188.422835047753</v>
      </c>
      <c r="K17" s="83">
        <v>31</v>
      </c>
      <c r="L17" s="97">
        <f t="shared" si="13"/>
        <v>8.4931506849315067E-2</v>
      </c>
      <c r="M17" s="85">
        <f>$L17*'MWh Impact Summary'!F$12</f>
        <v>0</v>
      </c>
      <c r="N17" s="85">
        <f>$L17*'MWh Impact Summary'!G$12</f>
        <v>0</v>
      </c>
      <c r="O17" s="85">
        <f>$L17*'MWh Impact Summary'!H$12</f>
        <v>0</v>
      </c>
      <c r="P17" s="85">
        <f>$L17*'MWh Impact Summary'!I$12</f>
        <v>116.17109368516167</v>
      </c>
      <c r="Q17" s="85">
        <f>$L17*'MWh Impact Summary'!J$12</f>
        <v>0</v>
      </c>
      <c r="R17" s="85">
        <f>$L17*'MWh Impact Summary'!K$12</f>
        <v>0</v>
      </c>
      <c r="S17" s="85">
        <f>$L17*'MWh Impact Summary'!M$12</f>
        <v>0</v>
      </c>
      <c r="T17" s="85">
        <f>$L17*'MWh Impact Summary'!O$12</f>
        <v>0</v>
      </c>
      <c r="U17" s="85">
        <f t="shared" si="2"/>
        <v>116.17109368516167</v>
      </c>
      <c r="V17" s="81">
        <f t="shared" si="6"/>
        <v>13304.593928732915</v>
      </c>
      <c r="W17" s="81"/>
      <c r="X17" s="81">
        <f>+'MWh by mo-WgtbyActulCDH&amp;Days'!AB19</f>
        <v>4390093</v>
      </c>
      <c r="Y17" s="120">
        <f t="shared" si="7"/>
        <v>3.0305950076075643</v>
      </c>
      <c r="Z17" s="87">
        <f t="shared" si="8"/>
        <v>9.7761129277663364E-5</v>
      </c>
      <c r="AA17" s="88">
        <f t="shared" si="14"/>
        <v>7.5117764532097928E-5</v>
      </c>
      <c r="AC17" s="89">
        <f t="shared" si="4"/>
        <v>0</v>
      </c>
      <c r="AD17" s="90"/>
      <c r="AE17" s="96"/>
      <c r="AF17" s="92"/>
      <c r="AH17" s="123">
        <f t="shared" si="9"/>
        <v>9.7761129277663364E-5</v>
      </c>
      <c r="AI17" s="121">
        <f t="shared" si="10"/>
        <v>13304.593928732915</v>
      </c>
    </row>
    <row r="18" spans="1:35">
      <c r="A18" s="78">
        <v>2006</v>
      </c>
      <c r="B18" s="78">
        <v>4</v>
      </c>
      <c r="C18" s="116">
        <v>131.37109815875291</v>
      </c>
      <c r="D18" s="80">
        <f t="shared" si="12"/>
        <v>6.8448979678877669E-2</v>
      </c>
      <c r="E18" s="82">
        <f>$D18*'MWh Impact Summary'!B$12</f>
        <v>14972.176196773076</v>
      </c>
      <c r="F18" s="85">
        <f>$D18*'MWh Impact Summary'!L$12</f>
        <v>0</v>
      </c>
      <c r="G18" s="85">
        <f>$D18*'MWh Impact Summary'!C$12</f>
        <v>13596.790232268588</v>
      </c>
      <c r="H18" s="85">
        <f>$D18*'MWh Impact Summary'!D$12</f>
        <v>0</v>
      </c>
      <c r="I18" s="85">
        <f>$D18*'MWh Impact Summary'!E$12</f>
        <v>7297.9572682810995</v>
      </c>
      <c r="J18" s="82">
        <f t="shared" si="0"/>
        <v>35866.92369732276</v>
      </c>
      <c r="K18" s="83">
        <v>30</v>
      </c>
      <c r="L18" s="97">
        <f t="shared" si="13"/>
        <v>8.2191780821917804E-2</v>
      </c>
      <c r="M18" s="85">
        <f>$L18*'MWh Impact Summary'!F$12</f>
        <v>0</v>
      </c>
      <c r="N18" s="85">
        <f>$L18*'MWh Impact Summary'!G$12</f>
        <v>0</v>
      </c>
      <c r="O18" s="85">
        <f>$L18*'MWh Impact Summary'!H$12</f>
        <v>0</v>
      </c>
      <c r="P18" s="85">
        <f>$L18*'MWh Impact Summary'!I$12</f>
        <v>112.42363905015645</v>
      </c>
      <c r="Q18" s="85">
        <f>$L18*'MWh Impact Summary'!J$12</f>
        <v>0</v>
      </c>
      <c r="R18" s="85">
        <f>$L18*'MWh Impact Summary'!K$12</f>
        <v>0</v>
      </c>
      <c r="S18" s="85">
        <f>$L18*'MWh Impact Summary'!M$12</f>
        <v>0</v>
      </c>
      <c r="T18" s="85">
        <f>$L18*'MWh Impact Summary'!O$12</f>
        <v>0</v>
      </c>
      <c r="U18" s="85">
        <f t="shared" si="2"/>
        <v>112.42363905015645</v>
      </c>
      <c r="V18" s="81">
        <f t="shared" si="6"/>
        <v>35979.347336372914</v>
      </c>
      <c r="W18" s="81"/>
      <c r="X18" s="81">
        <f>+'MWh by mo-WgtbyActulCDH&amp;Days'!AB20</f>
        <v>4398215</v>
      </c>
      <c r="Y18" s="120">
        <f t="shared" si="7"/>
        <v>8.1804430516409301</v>
      </c>
      <c r="Z18" s="87">
        <f t="shared" si="8"/>
        <v>2.7268143505469766E-4</v>
      </c>
      <c r="AA18" s="88">
        <f t="shared" si="14"/>
        <v>2.4348201376641869E-4</v>
      </c>
      <c r="AC18" s="89">
        <f t="shared" si="4"/>
        <v>0</v>
      </c>
      <c r="AD18" s="90"/>
      <c r="AE18" s="96"/>
      <c r="AF18" s="92"/>
      <c r="AH18" s="123">
        <f t="shared" si="9"/>
        <v>2.7268143505469766E-4</v>
      </c>
      <c r="AI18" s="121">
        <f t="shared" si="10"/>
        <v>35979.347336372914</v>
      </c>
    </row>
    <row r="19" spans="1:35">
      <c r="A19" s="78">
        <v>2006</v>
      </c>
      <c r="B19" s="78">
        <v>5</v>
      </c>
      <c r="C19" s="116">
        <v>175.98982638468033</v>
      </c>
      <c r="D19" s="80">
        <f t="shared" si="12"/>
        <v>9.1696912172699055E-2</v>
      </c>
      <c r="E19" s="82">
        <f>$D19*'MWh Impact Summary'!B$12</f>
        <v>20057.308847999284</v>
      </c>
      <c r="F19" s="85">
        <f>$D19*'MWh Impact Summary'!L$12</f>
        <v>0</v>
      </c>
      <c r="G19" s="85">
        <f>$D19*'MWh Impact Summary'!C$12</f>
        <v>18214.788381187278</v>
      </c>
      <c r="H19" s="85">
        <f>$D19*'MWh Impact Summary'!D$12</f>
        <v>0</v>
      </c>
      <c r="I19" s="85">
        <f>$D19*'MWh Impact Summary'!E$12</f>
        <v>9776.6270557892312</v>
      </c>
      <c r="J19" s="82">
        <f t="shared" si="0"/>
        <v>48048.724284975789</v>
      </c>
      <c r="K19" s="83">
        <v>31</v>
      </c>
      <c r="L19" s="97">
        <f t="shared" si="13"/>
        <v>8.4931506849315067E-2</v>
      </c>
      <c r="M19" s="85">
        <f>$L19*'MWh Impact Summary'!F$12</f>
        <v>0</v>
      </c>
      <c r="N19" s="85">
        <f>$L19*'MWh Impact Summary'!G$12</f>
        <v>0</v>
      </c>
      <c r="O19" s="85">
        <f>$L19*'MWh Impact Summary'!H$12</f>
        <v>0</v>
      </c>
      <c r="P19" s="85">
        <f>$L19*'MWh Impact Summary'!I$12</f>
        <v>116.17109368516167</v>
      </c>
      <c r="Q19" s="85">
        <f>$L19*'MWh Impact Summary'!J$12</f>
        <v>0</v>
      </c>
      <c r="R19" s="85">
        <f>$L19*'MWh Impact Summary'!K$12</f>
        <v>0</v>
      </c>
      <c r="S19" s="85">
        <f>$L19*'MWh Impact Summary'!M$12</f>
        <v>0</v>
      </c>
      <c r="T19" s="85">
        <f>$L19*'MWh Impact Summary'!O$12</f>
        <v>0</v>
      </c>
      <c r="U19" s="85">
        <f t="shared" si="2"/>
        <v>116.17109368516167</v>
      </c>
      <c r="V19" s="81">
        <f t="shared" si="6"/>
        <v>48164.895378660949</v>
      </c>
      <c r="W19" s="81"/>
      <c r="X19" s="81">
        <f>+'MWh by mo-WgtbyActulCDH&amp;Days'!AB21</f>
        <v>4397210</v>
      </c>
      <c r="Y19" s="120">
        <f t="shared" si="7"/>
        <v>10.953512654310563</v>
      </c>
      <c r="Z19" s="87">
        <f t="shared" si="8"/>
        <v>3.5333911788098588E-4</v>
      </c>
      <c r="AA19" s="88">
        <f t="shared" si="14"/>
        <v>2.9131815159651571E-4</v>
      </c>
      <c r="AC19" s="89">
        <f t="shared" si="4"/>
        <v>0</v>
      </c>
      <c r="AD19" s="90"/>
      <c r="AE19" s="96"/>
      <c r="AF19" s="92"/>
      <c r="AH19" s="123">
        <f t="shared" si="9"/>
        <v>3.5333911788098588E-4</v>
      </c>
      <c r="AI19" s="121">
        <f t="shared" si="10"/>
        <v>48164.895378660949</v>
      </c>
    </row>
    <row r="20" spans="1:35">
      <c r="A20" s="78">
        <v>2006</v>
      </c>
      <c r="B20" s="78">
        <v>6</v>
      </c>
      <c r="C20" s="116">
        <v>282.66442284743323</v>
      </c>
      <c r="D20" s="80">
        <f t="shared" si="12"/>
        <v>0.14727814265543251</v>
      </c>
      <c r="E20" s="82">
        <f>$D20*'MWh Impact Summary'!B$12</f>
        <v>32214.860062422071</v>
      </c>
      <c r="F20" s="85">
        <f>$D20*'MWh Impact Summary'!L$12</f>
        <v>0</v>
      </c>
      <c r="G20" s="85">
        <f>$D20*'MWh Impact Summary'!C$12</f>
        <v>29255.512951086239</v>
      </c>
      <c r="H20" s="85">
        <f>$D20*'MWh Impact Summary'!D$12</f>
        <v>0</v>
      </c>
      <c r="I20" s="85">
        <f>$D20*'MWh Impact Summary'!E$12</f>
        <v>15702.638617750365</v>
      </c>
      <c r="J20" s="82">
        <f t="shared" si="0"/>
        <v>77173.011631258676</v>
      </c>
      <c r="K20" s="83">
        <v>30</v>
      </c>
      <c r="L20" s="97">
        <f t="shared" si="13"/>
        <v>8.2191780821917804E-2</v>
      </c>
      <c r="M20" s="85">
        <f>$L20*'MWh Impact Summary'!F$12</f>
        <v>0</v>
      </c>
      <c r="N20" s="85">
        <f>$L20*'MWh Impact Summary'!G$12</f>
        <v>0</v>
      </c>
      <c r="O20" s="85">
        <f>$L20*'MWh Impact Summary'!H$12</f>
        <v>0</v>
      </c>
      <c r="P20" s="85">
        <f>$L20*'MWh Impact Summary'!I$12</f>
        <v>112.42363905015645</v>
      </c>
      <c r="Q20" s="85">
        <f>$L20*'MWh Impact Summary'!J$12</f>
        <v>0</v>
      </c>
      <c r="R20" s="85">
        <f>$L20*'MWh Impact Summary'!K$12</f>
        <v>0</v>
      </c>
      <c r="S20" s="85">
        <f>$L20*'MWh Impact Summary'!M$12</f>
        <v>0</v>
      </c>
      <c r="T20" s="85">
        <f>$L20*'MWh Impact Summary'!O$12</f>
        <v>0</v>
      </c>
      <c r="U20" s="85">
        <f t="shared" si="2"/>
        <v>112.42363905015645</v>
      </c>
      <c r="V20" s="81">
        <f t="shared" si="6"/>
        <v>77285.435270308837</v>
      </c>
      <c r="W20" s="81"/>
      <c r="X20" s="81">
        <f>+'MWh by mo-WgtbyActulCDH&amp;Days'!AB22</f>
        <v>4403628</v>
      </c>
      <c r="Y20" s="120">
        <f t="shared" si="7"/>
        <v>17.550400549344502</v>
      </c>
      <c r="Z20" s="87">
        <f t="shared" si="8"/>
        <v>5.8501335164481668E-4</v>
      </c>
      <c r="AA20" s="88">
        <f t="shared" si="14"/>
        <v>4.8123372695180579E-4</v>
      </c>
      <c r="AC20" s="89">
        <f t="shared" si="4"/>
        <v>0</v>
      </c>
      <c r="AD20" s="90"/>
      <c r="AE20" s="96"/>
      <c r="AF20" s="92"/>
      <c r="AH20" s="123">
        <f t="shared" si="9"/>
        <v>5.8501335164481668E-4</v>
      </c>
      <c r="AI20" s="121">
        <f t="shared" si="10"/>
        <v>77285.435270308837</v>
      </c>
    </row>
    <row r="21" spans="1:35">
      <c r="A21" s="78">
        <v>2006</v>
      </c>
      <c r="B21" s="78">
        <v>7</v>
      </c>
      <c r="C21" s="116">
        <v>283.18637978196136</v>
      </c>
      <c r="D21" s="80">
        <f t="shared" si="12"/>
        <v>0.14755010064395135</v>
      </c>
      <c r="E21" s="82">
        <f>$D21*'MWh Impact Summary'!B$12</f>
        <v>32274.346747852982</v>
      </c>
      <c r="F21" s="85">
        <f>$D21*'MWh Impact Summary'!L$12</f>
        <v>0</v>
      </c>
      <c r="G21" s="85">
        <f>$D21*'MWh Impact Summary'!C$12</f>
        <v>29309.535023281151</v>
      </c>
      <c r="H21" s="85">
        <f>$D21*'MWh Impact Summary'!D$12</f>
        <v>0</v>
      </c>
      <c r="I21" s="85">
        <f>$D21*'MWh Impact Summary'!E$12</f>
        <v>15731.634488664575</v>
      </c>
      <c r="J21" s="82">
        <f t="shared" si="0"/>
        <v>77315.516259798707</v>
      </c>
      <c r="K21" s="83">
        <v>31</v>
      </c>
      <c r="L21" s="97">
        <f t="shared" si="13"/>
        <v>8.4931506849315067E-2</v>
      </c>
      <c r="M21" s="85">
        <f>$L21*'MWh Impact Summary'!F$12</f>
        <v>0</v>
      </c>
      <c r="N21" s="85">
        <f>$L21*'MWh Impact Summary'!G$12</f>
        <v>0</v>
      </c>
      <c r="O21" s="85">
        <f>$L21*'MWh Impact Summary'!H$12</f>
        <v>0</v>
      </c>
      <c r="P21" s="85">
        <f>$L21*'MWh Impact Summary'!I$12</f>
        <v>116.17109368516167</v>
      </c>
      <c r="Q21" s="85">
        <f>$L21*'MWh Impact Summary'!J$12</f>
        <v>0</v>
      </c>
      <c r="R21" s="85">
        <f>$L21*'MWh Impact Summary'!K$12</f>
        <v>0</v>
      </c>
      <c r="S21" s="85">
        <f>$L21*'MWh Impact Summary'!M$12</f>
        <v>0</v>
      </c>
      <c r="T21" s="85">
        <f>$L21*'MWh Impact Summary'!O$12</f>
        <v>0</v>
      </c>
      <c r="U21" s="85">
        <f t="shared" si="2"/>
        <v>116.17109368516167</v>
      </c>
      <c r="V21" s="81">
        <f t="shared" si="6"/>
        <v>77431.687353483867</v>
      </c>
      <c r="W21" s="81"/>
      <c r="X21" s="81">
        <f>+'MWh by mo-WgtbyActulCDH&amp;Days'!AB23</f>
        <v>4406505</v>
      </c>
      <c r="Y21" s="120">
        <f t="shared" si="7"/>
        <v>17.572131962515389</v>
      </c>
      <c r="Z21" s="87">
        <f t="shared" si="8"/>
        <v>5.6684296653275446E-4</v>
      </c>
      <c r="AA21" s="88">
        <f t="shared" si="14"/>
        <v>4.2368321579625001E-4</v>
      </c>
      <c r="AC21" s="89">
        <f t="shared" si="4"/>
        <v>0</v>
      </c>
      <c r="AD21" s="90"/>
      <c r="AE21" s="96"/>
      <c r="AF21" s="92"/>
      <c r="AH21" s="123">
        <f t="shared" si="9"/>
        <v>5.6684296653275446E-4</v>
      </c>
      <c r="AI21" s="121">
        <f t="shared" si="10"/>
        <v>77431.687353483867</v>
      </c>
    </row>
    <row r="22" spans="1:35">
      <c r="A22" s="78">
        <v>2006</v>
      </c>
      <c r="B22" s="78">
        <v>8</v>
      </c>
      <c r="C22" s="116">
        <v>331.12711884634388</v>
      </c>
      <c r="D22" s="80">
        <f t="shared" si="12"/>
        <v>0.17252891805509027</v>
      </c>
      <c r="E22" s="82">
        <f>$D22*'MWh Impact Summary'!B$12</f>
        <v>37738.084223869759</v>
      </c>
      <c r="F22" s="85">
        <f>$D22*'MWh Impact Summary'!L$12</f>
        <v>0</v>
      </c>
      <c r="G22" s="85">
        <f>$D22*'MWh Impact Summary'!C$12</f>
        <v>34271.358299285355</v>
      </c>
      <c r="H22" s="85">
        <f>$D22*'MWh Impact Summary'!D$12</f>
        <v>0</v>
      </c>
      <c r="I22" s="85">
        <f>$D22*'MWh Impact Summary'!E$12</f>
        <v>18394.849381478252</v>
      </c>
      <c r="J22" s="82">
        <f t="shared" si="0"/>
        <v>90404.29190463337</v>
      </c>
      <c r="K22" s="83">
        <v>31</v>
      </c>
      <c r="L22" s="97">
        <f t="shared" si="13"/>
        <v>8.4931506849315067E-2</v>
      </c>
      <c r="M22" s="85">
        <f>$L22*'MWh Impact Summary'!F$12</f>
        <v>0</v>
      </c>
      <c r="N22" s="85">
        <f>$L22*'MWh Impact Summary'!G$12</f>
        <v>0</v>
      </c>
      <c r="O22" s="85">
        <f>$L22*'MWh Impact Summary'!H$12</f>
        <v>0</v>
      </c>
      <c r="P22" s="85">
        <f>$L22*'MWh Impact Summary'!I$12</f>
        <v>116.17109368516167</v>
      </c>
      <c r="Q22" s="85">
        <f>$L22*'MWh Impact Summary'!J$12</f>
        <v>0</v>
      </c>
      <c r="R22" s="85">
        <f>$L22*'MWh Impact Summary'!K$12</f>
        <v>0</v>
      </c>
      <c r="S22" s="85">
        <f>$L22*'MWh Impact Summary'!M$12</f>
        <v>0</v>
      </c>
      <c r="T22" s="85">
        <f>$L22*'MWh Impact Summary'!O$12</f>
        <v>0</v>
      </c>
      <c r="U22" s="85">
        <f t="shared" si="2"/>
        <v>116.17109368516167</v>
      </c>
      <c r="V22" s="81">
        <f t="shared" si="6"/>
        <v>90520.46299831853</v>
      </c>
      <c r="W22" s="81"/>
      <c r="X22" s="81">
        <f>+'MWh by mo-WgtbyActulCDH&amp;Days'!AB24</f>
        <v>4416127</v>
      </c>
      <c r="Y22" s="120">
        <f t="shared" si="7"/>
        <v>20.497703756780211</v>
      </c>
      <c r="Z22" s="87">
        <f t="shared" si="8"/>
        <v>6.6121625021871658E-4</v>
      </c>
      <c r="AA22" s="88">
        <f t="shared" si="14"/>
        <v>5.1335925204195525E-4</v>
      </c>
      <c r="AC22" s="89">
        <f t="shared" si="4"/>
        <v>0</v>
      </c>
      <c r="AD22" s="90"/>
      <c r="AE22" s="96"/>
      <c r="AF22" s="92"/>
      <c r="AH22" s="123">
        <f t="shared" si="9"/>
        <v>6.6121625021871658E-4</v>
      </c>
      <c r="AI22" s="121">
        <f t="shared" si="10"/>
        <v>90520.46299831853</v>
      </c>
    </row>
    <row r="23" spans="1:35">
      <c r="A23" s="78">
        <v>2006</v>
      </c>
      <c r="B23" s="78">
        <v>9</v>
      </c>
      <c r="C23" s="116">
        <v>281.34908990001952</v>
      </c>
      <c r="D23" s="80">
        <f t="shared" si="12"/>
        <v>0.14659280775719122</v>
      </c>
      <c r="E23" s="82">
        <f>$D23*'MWh Impact Summary'!B$12</f>
        <v>32064.953447328542</v>
      </c>
      <c r="F23" s="85">
        <f>$D23*'MWh Impact Summary'!L$12</f>
        <v>0</v>
      </c>
      <c r="G23" s="85">
        <f>$D23*'MWh Impact Summary'!C$12</f>
        <v>29119.3771767627</v>
      </c>
      <c r="H23" s="85">
        <f>$D23*'MWh Impact Summary'!D$12</f>
        <v>0</v>
      </c>
      <c r="I23" s="85">
        <f>$D23*'MWh Impact Summary'!E$12</f>
        <v>15629.568941251297</v>
      </c>
      <c r="J23" s="82">
        <f t="shared" si="0"/>
        <v>76813.899565342537</v>
      </c>
      <c r="K23" s="83">
        <v>30</v>
      </c>
      <c r="L23" s="97">
        <f t="shared" si="13"/>
        <v>8.2191780821917804E-2</v>
      </c>
      <c r="M23" s="85">
        <f>$L23*'MWh Impact Summary'!F$12</f>
        <v>0</v>
      </c>
      <c r="N23" s="85">
        <f>$L23*'MWh Impact Summary'!G$12</f>
        <v>0</v>
      </c>
      <c r="O23" s="85">
        <f>$L23*'MWh Impact Summary'!H$12</f>
        <v>0</v>
      </c>
      <c r="P23" s="85">
        <f>$L23*'MWh Impact Summary'!I$12</f>
        <v>112.42363905015645</v>
      </c>
      <c r="Q23" s="85">
        <f>$L23*'MWh Impact Summary'!J$12</f>
        <v>0</v>
      </c>
      <c r="R23" s="85">
        <f>$L23*'MWh Impact Summary'!K$12</f>
        <v>0</v>
      </c>
      <c r="S23" s="85">
        <f>$L23*'MWh Impact Summary'!M$12</f>
        <v>0</v>
      </c>
      <c r="T23" s="85">
        <f>$L23*'MWh Impact Summary'!O$12</f>
        <v>0</v>
      </c>
      <c r="U23" s="85">
        <f t="shared" si="2"/>
        <v>112.42363905015645</v>
      </c>
      <c r="V23" s="81">
        <f t="shared" si="6"/>
        <v>76926.323204392698</v>
      </c>
      <c r="W23" s="81"/>
      <c r="X23" s="81">
        <f>+'MWh by mo-WgtbyActulCDH&amp;Days'!AB25</f>
        <v>4425222</v>
      </c>
      <c r="Y23" s="120">
        <f t="shared" si="7"/>
        <v>17.383607693442883</v>
      </c>
      <c r="Z23" s="87">
        <f t="shared" si="8"/>
        <v>5.7945358978142949E-4</v>
      </c>
      <c r="AA23" s="88">
        <f t="shared" si="14"/>
        <v>4.4694267905065076E-4</v>
      </c>
      <c r="AC23" s="89">
        <f t="shared" si="4"/>
        <v>0</v>
      </c>
      <c r="AD23" s="90"/>
      <c r="AE23" s="96"/>
      <c r="AF23" s="92"/>
      <c r="AH23" s="123">
        <f t="shared" si="9"/>
        <v>5.7945358978142949E-4</v>
      </c>
      <c r="AI23" s="121">
        <f t="shared" si="10"/>
        <v>76926.323204392698</v>
      </c>
    </row>
    <row r="24" spans="1:35">
      <c r="A24" s="78">
        <v>2006</v>
      </c>
      <c r="B24" s="78">
        <v>10</v>
      </c>
      <c r="C24" s="116">
        <v>200.08235502539384</v>
      </c>
      <c r="D24" s="80">
        <f t="shared" si="12"/>
        <v>0.10424997008615383</v>
      </c>
      <c r="E24" s="82">
        <f>$D24*'MWh Impact Summary'!B$12</f>
        <v>22803.099884918698</v>
      </c>
      <c r="F24" s="85">
        <f>$D24*'MWh Impact Summary'!L$12</f>
        <v>0</v>
      </c>
      <c r="G24" s="85">
        <f>$D24*'MWh Impact Summary'!C$12</f>
        <v>20708.343376798606</v>
      </c>
      <c r="H24" s="85">
        <f>$D24*'MWh Impact Summary'!D$12</f>
        <v>0</v>
      </c>
      <c r="I24" s="85">
        <f>$D24*'MWh Impact Summary'!E$12</f>
        <v>11115.020712910769</v>
      </c>
      <c r="J24" s="82">
        <f t="shared" si="0"/>
        <v>54626.463974628074</v>
      </c>
      <c r="K24" s="83">
        <v>31</v>
      </c>
      <c r="L24" s="97">
        <f t="shared" si="13"/>
        <v>8.4931506849315067E-2</v>
      </c>
      <c r="M24" s="85">
        <f>$L24*'MWh Impact Summary'!F$12</f>
        <v>0</v>
      </c>
      <c r="N24" s="85">
        <f>$L24*'MWh Impact Summary'!G$12</f>
        <v>0</v>
      </c>
      <c r="O24" s="85">
        <f>$L24*'MWh Impact Summary'!H$12</f>
        <v>0</v>
      </c>
      <c r="P24" s="85">
        <f>$L24*'MWh Impact Summary'!I$12</f>
        <v>116.17109368516167</v>
      </c>
      <c r="Q24" s="85">
        <f>$L24*'MWh Impact Summary'!J$12</f>
        <v>0</v>
      </c>
      <c r="R24" s="85">
        <f>$L24*'MWh Impact Summary'!K$12</f>
        <v>0</v>
      </c>
      <c r="S24" s="85">
        <f>$L24*'MWh Impact Summary'!M$12</f>
        <v>0</v>
      </c>
      <c r="T24" s="85">
        <f>$L24*'MWh Impact Summary'!O$12</f>
        <v>0</v>
      </c>
      <c r="U24" s="85">
        <f t="shared" si="2"/>
        <v>116.17109368516167</v>
      </c>
      <c r="V24" s="81">
        <f t="shared" si="6"/>
        <v>54742.635068313233</v>
      </c>
      <c r="W24" s="81"/>
      <c r="X24" s="81">
        <f>+'MWh by mo-WgtbyActulCDH&amp;Days'!AB26</f>
        <v>4429977</v>
      </c>
      <c r="Y24" s="120">
        <f t="shared" si="7"/>
        <v>12.357318123392792</v>
      </c>
      <c r="Z24" s="87">
        <f t="shared" si="8"/>
        <v>3.9862316527073522E-4</v>
      </c>
      <c r="AA24" s="88">
        <f t="shared" si="14"/>
        <v>3.1157873818390801E-4</v>
      </c>
      <c r="AC24" s="89">
        <f t="shared" si="4"/>
        <v>0</v>
      </c>
      <c r="AD24" s="90"/>
      <c r="AE24" s="96"/>
      <c r="AF24" s="92"/>
      <c r="AH24" s="123">
        <f t="shared" si="9"/>
        <v>3.9862316527073522E-4</v>
      </c>
      <c r="AI24" s="121">
        <f t="shared" si="10"/>
        <v>54742.635068313233</v>
      </c>
    </row>
    <row r="25" spans="1:35">
      <c r="A25" s="78">
        <v>2006</v>
      </c>
      <c r="B25" s="78">
        <v>11</v>
      </c>
      <c r="C25" s="116">
        <v>70.369461474225474</v>
      </c>
      <c r="D25" s="80">
        <f t="shared" si="12"/>
        <v>3.6664973544197316E-2</v>
      </c>
      <c r="E25" s="82">
        <f>$D25*'MWh Impact Summary'!B$12</f>
        <v>8019.9068960431086</v>
      </c>
      <c r="F25" s="85">
        <f>$D25*'MWh Impact Summary'!L$12</f>
        <v>0</v>
      </c>
      <c r="G25" s="85">
        <f>$D25*'MWh Impact Summary'!C$12</f>
        <v>7283.1758265925746</v>
      </c>
      <c r="H25" s="85">
        <f>$D25*'MWh Impact Summary'!D$12</f>
        <v>0</v>
      </c>
      <c r="I25" s="85">
        <f>$D25*'MWh Impact Summary'!E$12</f>
        <v>3909.180405953955</v>
      </c>
      <c r="J25" s="82">
        <f t="shared" si="0"/>
        <v>19212.263128589639</v>
      </c>
      <c r="K25" s="83">
        <v>30</v>
      </c>
      <c r="L25" s="97">
        <f t="shared" si="13"/>
        <v>8.2191780821917804E-2</v>
      </c>
      <c r="M25" s="85">
        <f>$L25*'MWh Impact Summary'!F$12</f>
        <v>0</v>
      </c>
      <c r="N25" s="85">
        <f>$L25*'MWh Impact Summary'!G$12</f>
        <v>0</v>
      </c>
      <c r="O25" s="85">
        <f>$L25*'MWh Impact Summary'!H$12</f>
        <v>0</v>
      </c>
      <c r="P25" s="85">
        <f>$L25*'MWh Impact Summary'!I$12</f>
        <v>112.42363905015645</v>
      </c>
      <c r="Q25" s="85">
        <f>$L25*'MWh Impact Summary'!J$12</f>
        <v>0</v>
      </c>
      <c r="R25" s="85">
        <f>$L25*'MWh Impact Summary'!K$12</f>
        <v>0</v>
      </c>
      <c r="S25" s="85">
        <f>$L25*'MWh Impact Summary'!M$12</f>
        <v>0</v>
      </c>
      <c r="T25" s="85">
        <f>$L25*'MWh Impact Summary'!O$12</f>
        <v>0</v>
      </c>
      <c r="U25" s="85">
        <f t="shared" si="2"/>
        <v>112.42363905015645</v>
      </c>
      <c r="V25" s="81">
        <f t="shared" si="6"/>
        <v>19324.686767639796</v>
      </c>
      <c r="W25" s="81"/>
      <c r="X25" s="81">
        <f>+'MWh by mo-WgtbyActulCDH&amp;Days'!AB27</f>
        <v>4443418</v>
      </c>
      <c r="Y25" s="120">
        <f t="shared" si="7"/>
        <v>4.3490589378806579</v>
      </c>
      <c r="Z25" s="87">
        <f t="shared" si="8"/>
        <v>1.4496863126268862E-4</v>
      </c>
      <c r="AA25" s="88">
        <f t="shared" si="14"/>
        <v>1.0868161517674259E-4</v>
      </c>
      <c r="AC25" s="89">
        <f t="shared" si="4"/>
        <v>0</v>
      </c>
      <c r="AD25" s="90"/>
      <c r="AE25" s="96"/>
      <c r="AF25" s="92"/>
      <c r="AH25" s="123">
        <f t="shared" si="9"/>
        <v>1.4496863126268862E-4</v>
      </c>
      <c r="AI25" s="121">
        <f t="shared" si="10"/>
        <v>19324.686767639796</v>
      </c>
    </row>
    <row r="26" spans="1:35">
      <c r="A26" s="78">
        <v>2006</v>
      </c>
      <c r="B26" s="78">
        <v>12</v>
      </c>
      <c r="C26" s="116">
        <v>62.717743760791592</v>
      </c>
      <c r="D26" s="80">
        <f t="shared" si="12"/>
        <v>3.2678158501801724E-2</v>
      </c>
      <c r="E26" s="82">
        <f>$D26*'MWh Impact Summary'!B$12</f>
        <v>7147.8515701824672</v>
      </c>
      <c r="F26" s="85">
        <f>$D26*'MWh Impact Summary'!L$12</f>
        <v>0</v>
      </c>
      <c r="G26" s="85">
        <f>$D26*'MWh Impact Summary'!C$12</f>
        <v>6491.2299410495416</v>
      </c>
      <c r="H26" s="85">
        <f>$D26*'MWh Impact Summary'!D$12</f>
        <v>0</v>
      </c>
      <c r="I26" s="85">
        <f>$D26*'MWh Impact Summary'!E$12</f>
        <v>3484.1104348244689</v>
      </c>
      <c r="J26" s="82">
        <f t="shared" si="0"/>
        <v>17123.191946056479</v>
      </c>
      <c r="K26" s="83">
        <v>31</v>
      </c>
      <c r="L26" s="97">
        <f t="shared" si="13"/>
        <v>8.4931506849315067E-2</v>
      </c>
      <c r="M26" s="85">
        <f>$L26*'MWh Impact Summary'!F$12</f>
        <v>0</v>
      </c>
      <c r="N26" s="85">
        <f>$L26*'MWh Impact Summary'!G$12</f>
        <v>0</v>
      </c>
      <c r="O26" s="85">
        <f>$L26*'MWh Impact Summary'!H$12</f>
        <v>0</v>
      </c>
      <c r="P26" s="85">
        <f>$L26*'MWh Impact Summary'!I$12</f>
        <v>116.17109368516167</v>
      </c>
      <c r="Q26" s="85">
        <f>$L26*'MWh Impact Summary'!J$12</f>
        <v>0</v>
      </c>
      <c r="R26" s="85">
        <f>$L26*'MWh Impact Summary'!K$12</f>
        <v>0</v>
      </c>
      <c r="S26" s="85">
        <f>$L26*'MWh Impact Summary'!M$12</f>
        <v>0</v>
      </c>
      <c r="T26" s="85">
        <f>$L26*'MWh Impact Summary'!O$12</f>
        <v>0</v>
      </c>
      <c r="U26" s="85">
        <f t="shared" si="2"/>
        <v>116.17109368516167</v>
      </c>
      <c r="V26" s="81">
        <f t="shared" si="6"/>
        <v>17239.363039741642</v>
      </c>
      <c r="W26" s="81">
        <f>SUM(V15:V26)</f>
        <v>525362.8295684834</v>
      </c>
      <c r="X26" s="81">
        <f>+'MWh by mo-WgtbyActulCDH&amp;Days'!AB28</f>
        <v>4457161</v>
      </c>
      <c r="Y26" s="120">
        <f t="shared" si="7"/>
        <v>3.8677900663093934</v>
      </c>
      <c r="Z26" s="87">
        <f t="shared" si="8"/>
        <v>1.247674214938514E-4</v>
      </c>
      <c r="AA26" s="88">
        <f t="shared" si="14"/>
        <v>1.1715377461792571E-4</v>
      </c>
      <c r="AC26" s="89">
        <f t="shared" si="4"/>
        <v>0</v>
      </c>
      <c r="AD26" s="90">
        <f>SUM(AC15:AC26)</f>
        <v>0</v>
      </c>
      <c r="AE26" s="96"/>
      <c r="AF26" s="92"/>
      <c r="AH26" s="123">
        <f t="shared" si="9"/>
        <v>1.247674214938514E-4</v>
      </c>
      <c r="AI26" s="121">
        <f t="shared" si="10"/>
        <v>17239.363039741642</v>
      </c>
    </row>
    <row r="27" spans="1:35">
      <c r="A27" s="78">
        <v>2007</v>
      </c>
      <c r="B27" s="78">
        <v>1</v>
      </c>
      <c r="C27" s="116">
        <v>55.445797060494229</v>
      </c>
      <c r="D27" s="80">
        <f t="shared" ref="D27:D38" si="15">C27/(SUM(C$27:C$38))</f>
        <v>2.7338045210509792E-2</v>
      </c>
      <c r="E27" s="82">
        <f>$D27*'MWh Impact Summary'!B$13</f>
        <v>11584.904170044418</v>
      </c>
      <c r="F27" s="85">
        <f>$D27*'MWh Impact Summary'!L$13</f>
        <v>0</v>
      </c>
      <c r="G27" s="85">
        <f>$D27*'MWh Impact Summary'!C$13</f>
        <v>9460.2440813351386</v>
      </c>
      <c r="H27" s="85">
        <f>$D27*'MWh Impact Summary'!D$13</f>
        <v>0</v>
      </c>
      <c r="I27" s="85">
        <f>$D27*'MWh Impact Summary'!E$13</f>
        <v>4640.9795569965572</v>
      </c>
      <c r="J27" s="82">
        <f t="shared" si="0"/>
        <v>25686.127808376114</v>
      </c>
      <c r="K27" s="83">
        <v>31</v>
      </c>
      <c r="L27" s="97">
        <f t="shared" ref="L27:L38" si="16">K27/(SUM(K$27:K$38))</f>
        <v>8.4931506849315067E-2</v>
      </c>
      <c r="M27" s="85">
        <f>$L27*'MWh Impact Summary'!F$13</f>
        <v>11323.155803004232</v>
      </c>
      <c r="N27" s="85">
        <f>$L27*'MWh Impact Summary'!G$13</f>
        <v>0</v>
      </c>
      <c r="O27" s="85">
        <f>$L27*'MWh Impact Summary'!H$13</f>
        <v>0</v>
      </c>
      <c r="P27" s="85">
        <f>$L27*'MWh Impact Summary'!I$13</f>
        <v>232.34218737032333</v>
      </c>
      <c r="Q27" s="85">
        <f>$L27*'MWh Impact Summary'!J$13</f>
        <v>0</v>
      </c>
      <c r="R27" s="85">
        <f>$L27*'MWh Impact Summary'!K$13</f>
        <v>0</v>
      </c>
      <c r="S27" s="85">
        <f>$L27*'MWh Impact Summary'!M$13</f>
        <v>0</v>
      </c>
      <c r="T27" s="85">
        <f>$L27*'MWh Impact Summary'!O$13</f>
        <v>0</v>
      </c>
      <c r="U27" s="85">
        <f t="shared" si="2"/>
        <v>11555.497990374555</v>
      </c>
      <c r="V27" s="81">
        <f t="shared" si="6"/>
        <v>37241.625798750669</v>
      </c>
      <c r="W27" s="81"/>
      <c r="X27" s="81">
        <f>+'MWh by mo-WgtbyActulCDH&amp;Days'!AB29</f>
        <v>4465732</v>
      </c>
      <c r="Y27" s="120">
        <f t="shared" si="7"/>
        <v>8.3394224729004485</v>
      </c>
      <c r="Z27" s="87">
        <f t="shared" si="8"/>
        <v>2.6901362815807901E-4</v>
      </c>
      <c r="AA27" s="88">
        <f t="shared" si="14"/>
        <v>2.0988357326242376E-4</v>
      </c>
      <c r="AC27" s="89">
        <f t="shared" si="4"/>
        <v>0</v>
      </c>
      <c r="AD27" s="90"/>
      <c r="AE27" s="96"/>
      <c r="AF27" s="92"/>
      <c r="AH27" s="123">
        <f t="shared" si="9"/>
        <v>2.6901362815807901E-4</v>
      </c>
      <c r="AI27" s="121">
        <f t="shared" si="10"/>
        <v>37241.625798750669</v>
      </c>
    </row>
    <row r="28" spans="1:35">
      <c r="A28" s="78">
        <v>2007</v>
      </c>
      <c r="B28" s="78">
        <v>2</v>
      </c>
      <c r="C28" s="116">
        <v>21.083467052824886</v>
      </c>
      <c r="D28" s="80">
        <f t="shared" si="15"/>
        <v>1.0395391644484057E-2</v>
      </c>
      <c r="E28" s="82">
        <f>$D28*'MWh Impact Summary'!B$13</f>
        <v>4405.2021673126246</v>
      </c>
      <c r="F28" s="85">
        <f>$D28*'MWh Impact Summary'!L$13</f>
        <v>0</v>
      </c>
      <c r="G28" s="85">
        <f>$D28*'MWh Impact Summary'!C$13</f>
        <v>3597.2924004121646</v>
      </c>
      <c r="H28" s="85">
        <f>$D28*'MWh Impact Summary'!D$13</f>
        <v>0</v>
      </c>
      <c r="I28" s="85">
        <f>$D28*'MWh Impact Summary'!E$13</f>
        <v>1764.7494448679959</v>
      </c>
      <c r="J28" s="82">
        <f t="shared" si="0"/>
        <v>9767.2440125927842</v>
      </c>
      <c r="K28" s="83">
        <v>28</v>
      </c>
      <c r="L28" s="97">
        <f t="shared" si="16"/>
        <v>7.6712328767123292E-2</v>
      </c>
      <c r="M28" s="85">
        <f>$L28*'MWh Impact Summary'!F$13</f>
        <v>10227.36653174576</v>
      </c>
      <c r="N28" s="85">
        <f>$L28*'MWh Impact Summary'!G$13</f>
        <v>0</v>
      </c>
      <c r="O28" s="85">
        <f>$L28*'MWh Impact Summary'!H$13</f>
        <v>0</v>
      </c>
      <c r="P28" s="85">
        <f>$L28*'MWh Impact Summary'!I$13</f>
        <v>209.85745956029206</v>
      </c>
      <c r="Q28" s="85">
        <f>$L28*'MWh Impact Summary'!J$13</f>
        <v>0</v>
      </c>
      <c r="R28" s="85">
        <f>$L28*'MWh Impact Summary'!K$13</f>
        <v>0</v>
      </c>
      <c r="S28" s="85">
        <f>$L28*'MWh Impact Summary'!M$13</f>
        <v>0</v>
      </c>
      <c r="T28" s="85">
        <f>$L28*'MWh Impact Summary'!O$13</f>
        <v>0</v>
      </c>
      <c r="U28" s="85">
        <f t="shared" si="2"/>
        <v>10437.223991306051</v>
      </c>
      <c r="V28" s="81">
        <f t="shared" si="6"/>
        <v>20204.468003898837</v>
      </c>
      <c r="W28" s="81"/>
      <c r="X28" s="81">
        <f>+'MWh by mo-WgtbyActulCDH&amp;Days'!AB30</f>
        <v>4476835</v>
      </c>
      <c r="Y28" s="120">
        <f t="shared" si="7"/>
        <v>4.5131142880849611</v>
      </c>
      <c r="Z28" s="87">
        <f t="shared" si="8"/>
        <v>1.6118265314589149E-4</v>
      </c>
      <c r="AA28" s="88">
        <f t="shared" si="14"/>
        <v>1.0869201121041299E-4</v>
      </c>
      <c r="AC28" s="89">
        <f t="shared" si="4"/>
        <v>0</v>
      </c>
      <c r="AD28" s="90"/>
      <c r="AE28" s="96"/>
      <c r="AF28" s="92"/>
      <c r="AH28" s="123">
        <f t="shared" si="9"/>
        <v>1.6118265314589149E-4</v>
      </c>
      <c r="AI28" s="121">
        <f t="shared" si="10"/>
        <v>20204.468003898837</v>
      </c>
    </row>
    <row r="29" spans="1:35">
      <c r="A29" s="78">
        <v>2007</v>
      </c>
      <c r="B29" s="78">
        <v>3</v>
      </c>
      <c r="C29" s="116">
        <v>64.462878737671446</v>
      </c>
      <c r="D29" s="80">
        <f t="shared" si="15"/>
        <v>3.1783997827776272E-2</v>
      </c>
      <c r="E29" s="82">
        <f>$D29*'MWh Impact Summary'!B$13</f>
        <v>13468.942864800452</v>
      </c>
      <c r="F29" s="85">
        <f>$D29*'MWh Impact Summary'!L$13</f>
        <v>0</v>
      </c>
      <c r="G29" s="85">
        <f>$D29*'MWh Impact Summary'!C$13</f>
        <v>10998.751923045134</v>
      </c>
      <c r="H29" s="85">
        <f>$D29*'MWh Impact Summary'!D$13</f>
        <v>0</v>
      </c>
      <c r="I29" s="85">
        <f>$D29*'MWh Impact Summary'!E$13</f>
        <v>5395.736345538875</v>
      </c>
      <c r="J29" s="82">
        <f t="shared" si="0"/>
        <v>29863.43113338446</v>
      </c>
      <c r="K29" s="83">
        <v>31</v>
      </c>
      <c r="L29" s="97">
        <f t="shared" si="16"/>
        <v>8.4931506849315067E-2</v>
      </c>
      <c r="M29" s="85">
        <f>$L29*'MWh Impact Summary'!F$13</f>
        <v>11323.155803004232</v>
      </c>
      <c r="N29" s="85">
        <f>$L29*'MWh Impact Summary'!G$13</f>
        <v>0</v>
      </c>
      <c r="O29" s="85">
        <f>$L29*'MWh Impact Summary'!H$13</f>
        <v>0</v>
      </c>
      <c r="P29" s="85">
        <f>$L29*'MWh Impact Summary'!I$13</f>
        <v>232.34218737032333</v>
      </c>
      <c r="Q29" s="85">
        <f>$L29*'MWh Impact Summary'!J$13</f>
        <v>0</v>
      </c>
      <c r="R29" s="85">
        <f>$L29*'MWh Impact Summary'!K$13</f>
        <v>0</v>
      </c>
      <c r="S29" s="85">
        <f>$L29*'MWh Impact Summary'!M$13</f>
        <v>0</v>
      </c>
      <c r="T29" s="85">
        <f>$L29*'MWh Impact Summary'!O$13</f>
        <v>0</v>
      </c>
      <c r="U29" s="85">
        <f t="shared" si="2"/>
        <v>11555.497990374555</v>
      </c>
      <c r="V29" s="81">
        <f t="shared" si="6"/>
        <v>41418.929123759015</v>
      </c>
      <c r="W29" s="81"/>
      <c r="X29" s="81">
        <f>+'MWh by mo-WgtbyActulCDH&amp;Days'!AB31</f>
        <v>4488392</v>
      </c>
      <c r="Y29" s="120">
        <f t="shared" si="7"/>
        <v>9.2280106380545668</v>
      </c>
      <c r="Z29" s="87">
        <f t="shared" si="8"/>
        <v>2.9767776251788926E-4</v>
      </c>
      <c r="AA29" s="88">
        <f t="shared" si="14"/>
        <v>1.999166332402259E-4</v>
      </c>
      <c r="AC29" s="89">
        <f t="shared" si="4"/>
        <v>0</v>
      </c>
      <c r="AD29" s="90"/>
      <c r="AE29" s="96"/>
      <c r="AF29" s="92"/>
      <c r="AH29" s="123">
        <f t="shared" si="9"/>
        <v>2.9767776251788926E-4</v>
      </c>
      <c r="AI29" s="121">
        <f t="shared" si="10"/>
        <v>41418.929123759015</v>
      </c>
    </row>
    <row r="30" spans="1:35">
      <c r="A30" s="78">
        <v>2007</v>
      </c>
      <c r="B30" s="78">
        <v>4</v>
      </c>
      <c r="C30" s="116">
        <v>98.292781190686057</v>
      </c>
      <c r="D30" s="80">
        <f t="shared" si="15"/>
        <v>4.8464133234948747E-2</v>
      </c>
      <c r="E30" s="82">
        <f>$D30*'MWh Impact Summary'!B$13</f>
        <v>20537.398884515056</v>
      </c>
      <c r="F30" s="85">
        <f>$D30*'MWh Impact Summary'!L$13</f>
        <v>0</v>
      </c>
      <c r="G30" s="85">
        <f>$D30*'MWh Impact Summary'!C$13</f>
        <v>16770.860025379694</v>
      </c>
      <c r="H30" s="85">
        <f>$D30*'MWh Impact Summary'!D$13</f>
        <v>0</v>
      </c>
      <c r="I30" s="85">
        <f>$D30*'MWh Impact Summary'!E$13</f>
        <v>8227.4006740059922</v>
      </c>
      <c r="J30" s="82">
        <f t="shared" si="0"/>
        <v>45535.659583900742</v>
      </c>
      <c r="K30" s="83">
        <v>30</v>
      </c>
      <c r="L30" s="97">
        <f t="shared" si="16"/>
        <v>8.2191780821917804E-2</v>
      </c>
      <c r="M30" s="85">
        <f>$L30*'MWh Impact Summary'!F$13</f>
        <v>10957.892712584742</v>
      </c>
      <c r="N30" s="85">
        <f>$L30*'MWh Impact Summary'!G$13</f>
        <v>0</v>
      </c>
      <c r="O30" s="85">
        <f>$L30*'MWh Impact Summary'!H$13</f>
        <v>0</v>
      </c>
      <c r="P30" s="85">
        <f>$L30*'MWh Impact Summary'!I$13</f>
        <v>224.84727810031291</v>
      </c>
      <c r="Q30" s="85">
        <f>$L30*'MWh Impact Summary'!J$13</f>
        <v>0</v>
      </c>
      <c r="R30" s="85">
        <f>$L30*'MWh Impact Summary'!K$13</f>
        <v>0</v>
      </c>
      <c r="S30" s="85">
        <f>$L30*'MWh Impact Summary'!M$13</f>
        <v>0</v>
      </c>
      <c r="T30" s="85">
        <f>$L30*'MWh Impact Summary'!O$13</f>
        <v>0</v>
      </c>
      <c r="U30" s="85">
        <f t="shared" si="2"/>
        <v>11182.739990685055</v>
      </c>
      <c r="V30" s="81">
        <f t="shared" si="6"/>
        <v>56718.399574585797</v>
      </c>
      <c r="W30" s="81"/>
      <c r="X30" s="81">
        <f>+'MWh by mo-WgtbyActulCDH&amp;Days'!AB32</f>
        <v>4493310</v>
      </c>
      <c r="Y30" s="120">
        <f t="shared" si="7"/>
        <v>12.622854771779778</v>
      </c>
      <c r="Z30" s="87">
        <f t="shared" si="8"/>
        <v>4.2076182572599259E-4</v>
      </c>
      <c r="AA30" s="88">
        <f t="shared" si="14"/>
        <v>1.4808039067129493E-4</v>
      </c>
      <c r="AC30" s="89">
        <f t="shared" si="4"/>
        <v>0</v>
      </c>
      <c r="AD30" s="90"/>
      <c r="AE30" s="96"/>
      <c r="AF30" s="92"/>
      <c r="AH30" s="123">
        <f t="shared" si="9"/>
        <v>4.2076182572599259E-4</v>
      </c>
      <c r="AI30" s="121">
        <f t="shared" si="10"/>
        <v>56718.399574585797</v>
      </c>
    </row>
    <row r="31" spans="1:35">
      <c r="A31" s="78">
        <v>2007</v>
      </c>
      <c r="B31" s="78">
        <v>5</v>
      </c>
      <c r="C31" s="116">
        <v>159.46407370713706</v>
      </c>
      <c r="D31" s="80">
        <f t="shared" si="15"/>
        <v>7.8625185092053212E-2</v>
      </c>
      <c r="E31" s="82">
        <f>$D31*'MWh Impact Summary'!B$13</f>
        <v>33318.594201946449</v>
      </c>
      <c r="F31" s="85">
        <f>$D31*'MWh Impact Summary'!L$13</f>
        <v>0</v>
      </c>
      <c r="G31" s="85">
        <f>$D31*'MWh Impact Summary'!C$13</f>
        <v>27207.996628267549</v>
      </c>
      <c r="H31" s="85">
        <f>$D31*'MWh Impact Summary'!D$13</f>
        <v>0</v>
      </c>
      <c r="I31" s="85">
        <f>$D31*'MWh Impact Summary'!E$13</f>
        <v>13347.621377735109</v>
      </c>
      <c r="J31" s="82">
        <f t="shared" si="0"/>
        <v>73874.212207949109</v>
      </c>
      <c r="K31" s="83">
        <v>31</v>
      </c>
      <c r="L31" s="97">
        <f t="shared" si="16"/>
        <v>8.4931506849315067E-2</v>
      </c>
      <c r="M31" s="85">
        <f>$L31*'MWh Impact Summary'!F$13</f>
        <v>11323.155803004232</v>
      </c>
      <c r="N31" s="85">
        <f>$L31*'MWh Impact Summary'!G$13</f>
        <v>0</v>
      </c>
      <c r="O31" s="85">
        <f>$L31*'MWh Impact Summary'!H$13</f>
        <v>0</v>
      </c>
      <c r="P31" s="85">
        <f>$L31*'MWh Impact Summary'!I$13</f>
        <v>232.34218737032333</v>
      </c>
      <c r="Q31" s="85">
        <f>$L31*'MWh Impact Summary'!J$13</f>
        <v>0</v>
      </c>
      <c r="R31" s="85">
        <f>$L31*'MWh Impact Summary'!K$13</f>
        <v>0</v>
      </c>
      <c r="S31" s="85">
        <f>$L31*'MWh Impact Summary'!M$13</f>
        <v>0</v>
      </c>
      <c r="T31" s="85">
        <f>$L31*'MWh Impact Summary'!O$13</f>
        <v>0</v>
      </c>
      <c r="U31" s="85">
        <f t="shared" si="2"/>
        <v>11555.497990374555</v>
      </c>
      <c r="V31" s="81">
        <f t="shared" si="6"/>
        <v>85429.710198323664</v>
      </c>
      <c r="W31" s="81"/>
      <c r="X31" s="81">
        <f>+'MWh by mo-WgtbyActulCDH&amp;Days'!AB33</f>
        <v>4494060</v>
      </c>
      <c r="Y31" s="120">
        <f t="shared" si="7"/>
        <v>19.009472547835067</v>
      </c>
      <c r="Z31" s="87">
        <f t="shared" si="8"/>
        <v>6.1320879186564734E-4</v>
      </c>
      <c r="AA31" s="88">
        <f t="shared" si="14"/>
        <v>2.5986967398466146E-4</v>
      </c>
      <c r="AC31" s="89">
        <f t="shared" si="4"/>
        <v>0</v>
      </c>
      <c r="AD31" s="90"/>
      <c r="AE31" s="96"/>
      <c r="AF31" s="92"/>
      <c r="AH31" s="123">
        <f t="shared" si="9"/>
        <v>6.1320879186564734E-4</v>
      </c>
      <c r="AI31" s="121">
        <f t="shared" si="10"/>
        <v>85429.710198323664</v>
      </c>
    </row>
    <row r="32" spans="1:35">
      <c r="A32" s="78">
        <v>2007</v>
      </c>
      <c r="B32" s="78">
        <v>6</v>
      </c>
      <c r="C32" s="116">
        <v>252.77691374055595</v>
      </c>
      <c r="D32" s="80">
        <f t="shared" si="15"/>
        <v>0.12463391388300939</v>
      </c>
      <c r="E32" s="82">
        <f>$D32*'MWh Impact Summary'!B$13</f>
        <v>52815.478852056061</v>
      </c>
      <c r="F32" s="85">
        <f>$D32*'MWh Impact Summary'!L$13</f>
        <v>0</v>
      </c>
      <c r="G32" s="85">
        <f>$D32*'MWh Impact Summary'!C$13</f>
        <v>43129.171711666284</v>
      </c>
      <c r="H32" s="85">
        <f>$D32*'MWh Impact Summary'!D$13</f>
        <v>0</v>
      </c>
      <c r="I32" s="85">
        <f>$D32*'MWh Impact Summary'!E$13</f>
        <v>21158.186036547624</v>
      </c>
      <c r="J32" s="82">
        <f t="shared" si="0"/>
        <v>117102.83660026998</v>
      </c>
      <c r="K32" s="83">
        <v>30</v>
      </c>
      <c r="L32" s="97">
        <f t="shared" si="16"/>
        <v>8.2191780821917804E-2</v>
      </c>
      <c r="M32" s="85">
        <f>$L32*'MWh Impact Summary'!F$13</f>
        <v>10957.892712584742</v>
      </c>
      <c r="N32" s="85">
        <f>$L32*'MWh Impact Summary'!G$13</f>
        <v>0</v>
      </c>
      <c r="O32" s="85">
        <f>$L32*'MWh Impact Summary'!H$13</f>
        <v>0</v>
      </c>
      <c r="P32" s="85">
        <f>$L32*'MWh Impact Summary'!I$13</f>
        <v>224.84727810031291</v>
      </c>
      <c r="Q32" s="85">
        <f>$L32*'MWh Impact Summary'!J$13</f>
        <v>0</v>
      </c>
      <c r="R32" s="85">
        <f>$L32*'MWh Impact Summary'!K$13</f>
        <v>0</v>
      </c>
      <c r="S32" s="85">
        <f>$L32*'MWh Impact Summary'!M$13</f>
        <v>0</v>
      </c>
      <c r="T32" s="85">
        <f>$L32*'MWh Impact Summary'!O$13</f>
        <v>0</v>
      </c>
      <c r="U32" s="85">
        <f t="shared" si="2"/>
        <v>11182.739990685055</v>
      </c>
      <c r="V32" s="81">
        <f t="shared" si="6"/>
        <v>128285.57659095502</v>
      </c>
      <c r="W32" s="81"/>
      <c r="X32" s="81">
        <f>+'MWh by mo-WgtbyActulCDH&amp;Days'!AB34</f>
        <v>4497400</v>
      </c>
      <c r="Y32" s="120">
        <f t="shared" si="7"/>
        <v>28.52438666584138</v>
      </c>
      <c r="Z32" s="87">
        <f t="shared" si="8"/>
        <v>9.5081288886137935E-4</v>
      </c>
      <c r="AA32" s="88">
        <f t="shared" si="14"/>
        <v>3.6579953721656267E-4</v>
      </c>
      <c r="AC32" s="89">
        <f t="shared" si="4"/>
        <v>0</v>
      </c>
      <c r="AD32" s="90"/>
      <c r="AE32" s="96"/>
      <c r="AF32" s="92"/>
      <c r="AH32" s="123">
        <f t="shared" si="9"/>
        <v>9.5081288886137935E-4</v>
      </c>
      <c r="AI32" s="121">
        <f t="shared" si="10"/>
        <v>128285.57659095502</v>
      </c>
    </row>
    <row r="33" spans="1:35">
      <c r="A33" s="78">
        <v>2007</v>
      </c>
      <c r="B33" s="78">
        <v>7</v>
      </c>
      <c r="C33" s="116">
        <v>307.41533338123122</v>
      </c>
      <c r="D33" s="80">
        <f t="shared" si="15"/>
        <v>0.15157387444914344</v>
      </c>
      <c r="E33" s="82">
        <f>$D33*'MWh Impact Summary'!B$13</f>
        <v>64231.68872003362</v>
      </c>
      <c r="F33" s="85">
        <f>$D33*'MWh Impact Summary'!L$13</f>
        <v>0</v>
      </c>
      <c r="G33" s="85">
        <f>$D33*'MWh Impact Summary'!C$13</f>
        <v>52451.659860862645</v>
      </c>
      <c r="H33" s="85">
        <f>$D33*'MWh Impact Summary'!D$13</f>
        <v>0</v>
      </c>
      <c r="I33" s="85">
        <f>$D33*'MWh Impact Summary'!E$13</f>
        <v>25731.585681290919</v>
      </c>
      <c r="J33" s="82">
        <f t="shared" si="0"/>
        <v>142414.93426218719</v>
      </c>
      <c r="K33" s="83">
        <v>31</v>
      </c>
      <c r="L33" s="97">
        <f t="shared" si="16"/>
        <v>8.4931506849315067E-2</v>
      </c>
      <c r="M33" s="85">
        <f>$L33*'MWh Impact Summary'!F$13</f>
        <v>11323.155803004232</v>
      </c>
      <c r="N33" s="85">
        <f>$L33*'MWh Impact Summary'!G$13</f>
        <v>0</v>
      </c>
      <c r="O33" s="85">
        <f>$L33*'MWh Impact Summary'!H$13</f>
        <v>0</v>
      </c>
      <c r="P33" s="85">
        <f>$L33*'MWh Impact Summary'!I$13</f>
        <v>232.34218737032333</v>
      </c>
      <c r="Q33" s="85">
        <f>$L33*'MWh Impact Summary'!J$13</f>
        <v>0</v>
      </c>
      <c r="R33" s="85">
        <f>$L33*'MWh Impact Summary'!K$13</f>
        <v>0</v>
      </c>
      <c r="S33" s="85">
        <f>$L33*'MWh Impact Summary'!M$13</f>
        <v>0</v>
      </c>
      <c r="T33" s="85">
        <f>$L33*'MWh Impact Summary'!O$13</f>
        <v>0</v>
      </c>
      <c r="U33" s="85">
        <f t="shared" si="2"/>
        <v>11555.497990374555</v>
      </c>
      <c r="V33" s="81">
        <f t="shared" si="6"/>
        <v>153970.43225256173</v>
      </c>
      <c r="W33" s="81"/>
      <c r="X33" s="81">
        <f>+'MWh by mo-WgtbyActulCDH&amp;Days'!AB35</f>
        <v>4502735</v>
      </c>
      <c r="Y33" s="120">
        <f t="shared" si="7"/>
        <v>34.194868730352049</v>
      </c>
      <c r="Z33" s="87">
        <f t="shared" si="8"/>
        <v>1.1030602816242596E-3</v>
      </c>
      <c r="AA33" s="88">
        <f t="shared" si="14"/>
        <v>5.3621731509150515E-4</v>
      </c>
      <c r="AC33" s="89">
        <f t="shared" si="4"/>
        <v>0</v>
      </c>
      <c r="AD33" s="90"/>
      <c r="AE33" s="96"/>
      <c r="AF33" s="92"/>
      <c r="AH33" s="123">
        <f t="shared" si="9"/>
        <v>1.1030602816242596E-3</v>
      </c>
      <c r="AI33" s="121">
        <f t="shared" si="10"/>
        <v>153970.43225256173</v>
      </c>
    </row>
    <row r="34" spans="1:35">
      <c r="A34" s="78">
        <v>2007</v>
      </c>
      <c r="B34" s="78">
        <v>8</v>
      </c>
      <c r="C34" s="116">
        <v>356.8452143778851</v>
      </c>
      <c r="D34" s="80">
        <f t="shared" si="15"/>
        <v>0.17594571853972957</v>
      </c>
      <c r="E34" s="82">
        <f>$D34*'MWh Impact Summary'!B$13</f>
        <v>74559.620950102471</v>
      </c>
      <c r="F34" s="85">
        <f>$D34*'MWh Impact Summary'!L$13</f>
        <v>0</v>
      </c>
      <c r="G34" s="85">
        <f>$D34*'MWh Impact Summary'!C$13</f>
        <v>60885.459426039772</v>
      </c>
      <c r="H34" s="85">
        <f>$D34*'MWh Impact Summary'!D$13</f>
        <v>0</v>
      </c>
      <c r="I34" s="85">
        <f>$D34*'MWh Impact Summary'!E$13</f>
        <v>29869.015015383688</v>
      </c>
      <c r="J34" s="82">
        <f t="shared" si="0"/>
        <v>165314.09539152592</v>
      </c>
      <c r="K34" s="83">
        <v>31</v>
      </c>
      <c r="L34" s="97">
        <f t="shared" si="16"/>
        <v>8.4931506849315067E-2</v>
      </c>
      <c r="M34" s="85">
        <f>$L34*'MWh Impact Summary'!F$13</f>
        <v>11323.155803004232</v>
      </c>
      <c r="N34" s="85">
        <f>$L34*'MWh Impact Summary'!G$13</f>
        <v>0</v>
      </c>
      <c r="O34" s="85">
        <f>$L34*'MWh Impact Summary'!H$13</f>
        <v>0</v>
      </c>
      <c r="P34" s="85">
        <f>$L34*'MWh Impact Summary'!I$13</f>
        <v>232.34218737032333</v>
      </c>
      <c r="Q34" s="85">
        <f>$L34*'MWh Impact Summary'!J$13</f>
        <v>0</v>
      </c>
      <c r="R34" s="85">
        <f>$L34*'MWh Impact Summary'!K$13</f>
        <v>0</v>
      </c>
      <c r="S34" s="85">
        <f>$L34*'MWh Impact Summary'!M$13</f>
        <v>0</v>
      </c>
      <c r="T34" s="85">
        <f>$L34*'MWh Impact Summary'!O$13</f>
        <v>0</v>
      </c>
      <c r="U34" s="85">
        <f t="shared" si="2"/>
        <v>11555.497990374555</v>
      </c>
      <c r="V34" s="81">
        <f t="shared" si="6"/>
        <v>176869.59338190046</v>
      </c>
      <c r="W34" s="81"/>
      <c r="X34" s="81">
        <f>+'MWh by mo-WgtbyActulCDH&amp;Days'!AB36</f>
        <v>4508215</v>
      </c>
      <c r="Y34" s="120">
        <f t="shared" si="7"/>
        <v>39.232732551996847</v>
      </c>
      <c r="Z34" s="87">
        <f t="shared" si="8"/>
        <v>1.2655720178063499E-3</v>
      </c>
      <c r="AA34" s="88">
        <f t="shared" si="14"/>
        <v>6.0435576758763332E-4</v>
      </c>
      <c r="AC34" s="89">
        <f t="shared" si="4"/>
        <v>0</v>
      </c>
      <c r="AD34" s="90"/>
      <c r="AE34" s="96"/>
      <c r="AF34" s="92"/>
      <c r="AH34" s="123">
        <f t="shared" si="9"/>
        <v>1.2655720178063499E-3</v>
      </c>
      <c r="AI34" s="121">
        <f t="shared" si="10"/>
        <v>176869.59338190046</v>
      </c>
    </row>
    <row r="35" spans="1:35">
      <c r="A35" s="78">
        <v>2007</v>
      </c>
      <c r="B35" s="78">
        <v>9</v>
      </c>
      <c r="C35" s="116">
        <v>302.41912358362555</v>
      </c>
      <c r="D35" s="80">
        <f t="shared" si="15"/>
        <v>0.14911044860680028</v>
      </c>
      <c r="E35" s="82">
        <f>$D35*'MWh Impact Summary'!B$13</f>
        <v>63187.775298506866</v>
      </c>
      <c r="F35" s="85">
        <f>$D35*'MWh Impact Summary'!L$13</f>
        <v>0</v>
      </c>
      <c r="G35" s="85">
        <f>$D35*'MWh Impact Summary'!C$13</f>
        <v>51599.199139352248</v>
      </c>
      <c r="H35" s="85">
        <f>$D35*'MWh Impact Summary'!D$13</f>
        <v>0</v>
      </c>
      <c r="I35" s="85">
        <f>$D35*'MWh Impact Summary'!E$13</f>
        <v>25313.38793209353</v>
      </c>
      <c r="J35" s="82">
        <f t="shared" si="0"/>
        <v>140100.36236995264</v>
      </c>
      <c r="K35" s="83">
        <v>30</v>
      </c>
      <c r="L35" s="97">
        <f t="shared" si="16"/>
        <v>8.2191780821917804E-2</v>
      </c>
      <c r="M35" s="85">
        <f>$L35*'MWh Impact Summary'!F$13</f>
        <v>10957.892712584742</v>
      </c>
      <c r="N35" s="85">
        <f>$L35*'MWh Impact Summary'!G$13</f>
        <v>0</v>
      </c>
      <c r="O35" s="85">
        <f>$L35*'MWh Impact Summary'!H$13</f>
        <v>0</v>
      </c>
      <c r="P35" s="85">
        <f>$L35*'MWh Impact Summary'!I$13</f>
        <v>224.84727810031291</v>
      </c>
      <c r="Q35" s="85">
        <f>$L35*'MWh Impact Summary'!J$13</f>
        <v>0</v>
      </c>
      <c r="R35" s="85">
        <f>$L35*'MWh Impact Summary'!K$13</f>
        <v>0</v>
      </c>
      <c r="S35" s="85">
        <f>$L35*'MWh Impact Summary'!M$13</f>
        <v>0</v>
      </c>
      <c r="T35" s="85">
        <f>$L35*'MWh Impact Summary'!O$13</f>
        <v>0</v>
      </c>
      <c r="U35" s="85">
        <f t="shared" si="2"/>
        <v>11182.739990685055</v>
      </c>
      <c r="V35" s="81">
        <f t="shared" si="6"/>
        <v>151283.10236063768</v>
      </c>
      <c r="W35" s="81"/>
      <c r="X35" s="81">
        <f>+'MWh by mo-WgtbyActulCDH&amp;Days'!AB37</f>
        <v>4507674</v>
      </c>
      <c r="Y35" s="120">
        <f t="shared" si="7"/>
        <v>33.561234100034227</v>
      </c>
      <c r="Z35" s="87">
        <f t="shared" si="8"/>
        <v>1.1187078033344741E-3</v>
      </c>
      <c r="AA35" s="88">
        <f t="shared" si="14"/>
        <v>5.3925421355304458E-4</v>
      </c>
      <c r="AC35" s="89">
        <f t="shared" si="4"/>
        <v>0</v>
      </c>
      <c r="AD35" s="90"/>
      <c r="AE35" s="96"/>
      <c r="AF35" s="92"/>
      <c r="AH35" s="123">
        <f t="shared" si="9"/>
        <v>1.1187078033344741E-3</v>
      </c>
      <c r="AI35" s="121">
        <f t="shared" si="10"/>
        <v>151283.10236063768</v>
      </c>
    </row>
    <row r="36" spans="1:35">
      <c r="A36" s="78">
        <v>2007</v>
      </c>
      <c r="B36" s="78">
        <v>10</v>
      </c>
      <c r="C36" s="116">
        <v>248.59604390682949</v>
      </c>
      <c r="D36" s="80">
        <f t="shared" si="15"/>
        <v>0.12257249868847324</v>
      </c>
      <c r="E36" s="82">
        <f>$D36*'MWh Impact Summary'!B$13</f>
        <v>51941.923435072771</v>
      </c>
      <c r="F36" s="85">
        <f>$D36*'MWh Impact Summary'!L$13</f>
        <v>0</v>
      </c>
      <c r="G36" s="85">
        <f>$D36*'MWh Impact Summary'!C$13</f>
        <v>42415.825503365049</v>
      </c>
      <c r="H36" s="85">
        <f>$D36*'MWh Impact Summary'!D$13</f>
        <v>0</v>
      </c>
      <c r="I36" s="85">
        <f>$D36*'MWh Impact Summary'!E$13</f>
        <v>20808.234688429784</v>
      </c>
      <c r="J36" s="82">
        <f t="shared" si="0"/>
        <v>115165.9836268676</v>
      </c>
      <c r="K36" s="83">
        <v>31</v>
      </c>
      <c r="L36" s="97">
        <f t="shared" si="16"/>
        <v>8.4931506849315067E-2</v>
      </c>
      <c r="M36" s="85">
        <f>$L36*'MWh Impact Summary'!F$13</f>
        <v>11323.155803004232</v>
      </c>
      <c r="N36" s="85">
        <f>$L36*'MWh Impact Summary'!G$13</f>
        <v>0</v>
      </c>
      <c r="O36" s="85">
        <f>$L36*'MWh Impact Summary'!H$13</f>
        <v>0</v>
      </c>
      <c r="P36" s="85">
        <f>$L36*'MWh Impact Summary'!I$13</f>
        <v>232.34218737032333</v>
      </c>
      <c r="Q36" s="85">
        <f>$L36*'MWh Impact Summary'!J$13</f>
        <v>0</v>
      </c>
      <c r="R36" s="85">
        <f>$L36*'MWh Impact Summary'!K$13</f>
        <v>0</v>
      </c>
      <c r="S36" s="85">
        <f>$L36*'MWh Impact Summary'!M$13</f>
        <v>0</v>
      </c>
      <c r="T36" s="85">
        <f>$L36*'MWh Impact Summary'!O$13</f>
        <v>0</v>
      </c>
      <c r="U36" s="85">
        <f t="shared" si="2"/>
        <v>11555.497990374555</v>
      </c>
      <c r="V36" s="81">
        <f t="shared" si="6"/>
        <v>126721.48161724216</v>
      </c>
      <c r="W36" s="81"/>
      <c r="X36" s="81">
        <f>+'MWh by mo-WgtbyActulCDH&amp;Days'!AB38</f>
        <v>4507737</v>
      </c>
      <c r="Y36" s="120">
        <f t="shared" si="7"/>
        <v>28.111995357591216</v>
      </c>
      <c r="Z36" s="87">
        <f t="shared" si="8"/>
        <v>9.068385599222972E-4</v>
      </c>
      <c r="AA36" s="88">
        <f t="shared" si="14"/>
        <v>5.0821539465156198E-4</v>
      </c>
      <c r="AC36" s="89">
        <f t="shared" si="4"/>
        <v>0</v>
      </c>
      <c r="AD36" s="90"/>
      <c r="AE36" s="96"/>
      <c r="AF36" s="92"/>
      <c r="AH36" s="123">
        <f t="shared" si="9"/>
        <v>9.068385599222972E-4</v>
      </c>
      <c r="AI36" s="121">
        <f t="shared" si="10"/>
        <v>126721.48161724216</v>
      </c>
    </row>
    <row r="37" spans="1:35">
      <c r="A37" s="78">
        <v>2007</v>
      </c>
      <c r="B37" s="78">
        <v>11</v>
      </c>
      <c r="C37" s="116">
        <v>87.50248877340529</v>
      </c>
      <c r="D37" s="80">
        <f t="shared" si="15"/>
        <v>4.3143883232655549E-2</v>
      </c>
      <c r="E37" s="82">
        <f>$D37*'MWh Impact Summary'!B$13</f>
        <v>18282.863640219293</v>
      </c>
      <c r="F37" s="85">
        <f>$D37*'MWh Impact Summary'!L$13</f>
        <v>0</v>
      </c>
      <c r="G37" s="85">
        <f>$D37*'MWh Impact Summary'!C$13</f>
        <v>14929.804338776748</v>
      </c>
      <c r="H37" s="85">
        <f>$D37*'MWh Impact Summary'!D$13</f>
        <v>0</v>
      </c>
      <c r="I37" s="85">
        <f>$D37*'MWh Impact Summary'!E$13</f>
        <v>7324.2208267043507</v>
      </c>
      <c r="J37" s="82">
        <f t="shared" si="0"/>
        <v>40536.888805700393</v>
      </c>
      <c r="K37" s="83">
        <v>30</v>
      </c>
      <c r="L37" s="97">
        <f t="shared" si="16"/>
        <v>8.2191780821917804E-2</v>
      </c>
      <c r="M37" s="85">
        <f>$L37*'MWh Impact Summary'!F$13</f>
        <v>10957.892712584742</v>
      </c>
      <c r="N37" s="85">
        <f>$L37*'MWh Impact Summary'!G$13</f>
        <v>0</v>
      </c>
      <c r="O37" s="85">
        <f>$L37*'MWh Impact Summary'!H$13</f>
        <v>0</v>
      </c>
      <c r="P37" s="85">
        <f>$L37*'MWh Impact Summary'!I$13</f>
        <v>224.84727810031291</v>
      </c>
      <c r="Q37" s="85">
        <f>$L37*'MWh Impact Summary'!J$13</f>
        <v>0</v>
      </c>
      <c r="R37" s="85">
        <f>$L37*'MWh Impact Summary'!K$13</f>
        <v>0</v>
      </c>
      <c r="S37" s="85">
        <f>$L37*'MWh Impact Summary'!M$13</f>
        <v>0</v>
      </c>
      <c r="T37" s="85">
        <f>$L37*'MWh Impact Summary'!O$13</f>
        <v>0</v>
      </c>
      <c r="U37" s="85">
        <f t="shared" si="2"/>
        <v>11182.739990685055</v>
      </c>
      <c r="V37" s="81">
        <f t="shared" si="6"/>
        <v>51719.628796385448</v>
      </c>
      <c r="W37" s="81"/>
      <c r="X37" s="81">
        <f>+'MWh by mo-WgtbyActulCDH&amp;Days'!AB39</f>
        <v>4507950</v>
      </c>
      <c r="Y37" s="120">
        <f t="shared" si="7"/>
        <v>11.472981908935424</v>
      </c>
      <c r="Z37" s="87">
        <f t="shared" si="8"/>
        <v>3.8243273029784746E-4</v>
      </c>
      <c r="AA37" s="88">
        <f t="shared" si="14"/>
        <v>2.3746409903515885E-4</v>
      </c>
      <c r="AC37" s="89">
        <f t="shared" si="4"/>
        <v>0</v>
      </c>
      <c r="AD37" s="90"/>
      <c r="AE37" s="96"/>
      <c r="AF37" s="92"/>
      <c r="AH37" s="123">
        <f t="shared" si="9"/>
        <v>3.8243273029784746E-4</v>
      </c>
      <c r="AI37" s="121">
        <f t="shared" si="10"/>
        <v>51719.628796385448</v>
      </c>
    </row>
    <row r="38" spans="1:35">
      <c r="A38" s="78">
        <v>2007</v>
      </c>
      <c r="B38" s="78">
        <v>12</v>
      </c>
      <c r="C38" s="116">
        <v>73.851029946947065</v>
      </c>
      <c r="D38" s="80">
        <f t="shared" si="15"/>
        <v>3.6412909590416397E-2</v>
      </c>
      <c r="E38" s="82">
        <f>$D38*'MWh Impact Summary'!B$13</f>
        <v>15430.513224672473</v>
      </c>
      <c r="F38" s="85">
        <f>$D38*'MWh Impact Summary'!L$13</f>
        <v>0</v>
      </c>
      <c r="G38" s="85">
        <f>$D38*'MWh Impact Summary'!C$13</f>
        <v>12600.572198355238</v>
      </c>
      <c r="H38" s="85">
        <f>$D38*'MWh Impact Summary'!D$13</f>
        <v>0</v>
      </c>
      <c r="I38" s="85">
        <f>$D38*'MWh Impact Summary'!E$13</f>
        <v>6181.5527671641839</v>
      </c>
      <c r="J38" s="82">
        <f t="shared" si="0"/>
        <v>34212.638190191894</v>
      </c>
      <c r="K38" s="83">
        <v>31</v>
      </c>
      <c r="L38" s="97">
        <f t="shared" si="16"/>
        <v>8.4931506849315067E-2</v>
      </c>
      <c r="M38" s="85">
        <f>$L38*'MWh Impact Summary'!F$13</f>
        <v>11323.155803004232</v>
      </c>
      <c r="N38" s="85">
        <f>$L38*'MWh Impact Summary'!G$13</f>
        <v>0</v>
      </c>
      <c r="O38" s="85">
        <f>$L38*'MWh Impact Summary'!H$13</f>
        <v>0</v>
      </c>
      <c r="P38" s="85">
        <f>$L38*'MWh Impact Summary'!I$13</f>
        <v>232.34218737032333</v>
      </c>
      <c r="Q38" s="85">
        <f>$L38*'MWh Impact Summary'!J$13</f>
        <v>0</v>
      </c>
      <c r="R38" s="85">
        <f>$L38*'MWh Impact Summary'!K$13</f>
        <v>0</v>
      </c>
      <c r="S38" s="85">
        <f>$L38*'MWh Impact Summary'!M$13</f>
        <v>0</v>
      </c>
      <c r="T38" s="85">
        <f>$L38*'MWh Impact Summary'!O$13</f>
        <v>0</v>
      </c>
      <c r="U38" s="85">
        <f t="shared" si="2"/>
        <v>11555.497990374555</v>
      </c>
      <c r="V38" s="81">
        <f t="shared" si="6"/>
        <v>45768.136180566449</v>
      </c>
      <c r="W38" s="81">
        <f>SUM(V27:V38)</f>
        <v>1075631.083879567</v>
      </c>
      <c r="X38" s="81">
        <f>+'MWh by mo-WgtbyActulCDH&amp;Days'!AB40</f>
        <v>4509032</v>
      </c>
      <c r="Y38" s="120">
        <f t="shared" si="7"/>
        <v>10.150324100730812</v>
      </c>
      <c r="Z38" s="87">
        <f t="shared" si="8"/>
        <v>3.2742980970099393E-4</v>
      </c>
      <c r="AA38" s="88">
        <f t="shared" si="14"/>
        <v>2.0266238820714253E-4</v>
      </c>
      <c r="AC38" s="89">
        <f t="shared" si="4"/>
        <v>0</v>
      </c>
      <c r="AD38" s="90">
        <f>SUM(AC27:AC38)</f>
        <v>0</v>
      </c>
      <c r="AE38" s="96"/>
      <c r="AF38" s="92"/>
      <c r="AH38" s="123">
        <f t="shared" si="9"/>
        <v>3.2742980970099393E-4</v>
      </c>
      <c r="AI38" s="121">
        <f t="shared" si="10"/>
        <v>45768.136180566449</v>
      </c>
    </row>
    <row r="39" spans="1:35">
      <c r="A39" s="78">
        <v>2008</v>
      </c>
      <c r="B39" s="78">
        <v>1</v>
      </c>
      <c r="C39" s="116">
        <v>36.126174053552198</v>
      </c>
      <c r="D39" s="80">
        <f t="shared" ref="D39:D50" si="17">C39/(SUM(C$39:C$50))</f>
        <v>1.8456705478972206E-2</v>
      </c>
      <c r="E39" s="82">
        <f>$D39*'MWh Impact Summary'!B$14</f>
        <v>10648.791995063757</v>
      </c>
      <c r="F39" s="85">
        <f>$D39*'MWh Impact Summary'!L$14</f>
        <v>0</v>
      </c>
      <c r="G39" s="85">
        <f>$D39*'MWh Impact Summary'!C$14</f>
        <v>8525.0836194539952</v>
      </c>
      <c r="H39" s="85">
        <f>$D39*'MWh Impact Summary'!D$14</f>
        <v>0</v>
      </c>
      <c r="I39" s="85">
        <f>$D39*'MWh Impact Summary'!E$14</f>
        <v>4049.1941460627172</v>
      </c>
      <c r="J39" s="82">
        <f t="shared" si="0"/>
        <v>23223.069760580471</v>
      </c>
      <c r="K39" s="83">
        <v>31</v>
      </c>
      <c r="L39" s="84">
        <f>K39/(SUM(K$39:K$50))</f>
        <v>8.4699453551912565E-2</v>
      </c>
      <c r="M39" s="85">
        <f>$L39*'MWh Impact Summary'!F$14</f>
        <v>19160.258394397697</v>
      </c>
      <c r="N39" s="85">
        <f>$L39*'MWh Impact Summary'!G$14</f>
        <v>0</v>
      </c>
      <c r="O39" s="85">
        <f>$L39*'MWh Impact Summary'!H$14</f>
        <v>0</v>
      </c>
      <c r="P39" s="85">
        <f>$L39*'MWh Impact Summary'!I$14</f>
        <v>347.56105897609848</v>
      </c>
      <c r="Q39" s="85">
        <f>$L39*'MWh Impact Summary'!J$14</f>
        <v>0</v>
      </c>
      <c r="R39" s="85">
        <f>$L39*'MWh Impact Summary'!K$14</f>
        <v>0</v>
      </c>
      <c r="S39" s="85">
        <f>$L39*'MWh Impact Summary'!M$14</f>
        <v>0</v>
      </c>
      <c r="T39" s="85">
        <f>$L39*'MWh Impact Summary'!O$14</f>
        <v>0</v>
      </c>
      <c r="U39" s="85">
        <f t="shared" si="2"/>
        <v>19507.819453373795</v>
      </c>
      <c r="V39" s="81">
        <f t="shared" si="6"/>
        <v>42730.889213954266</v>
      </c>
      <c r="W39" s="81"/>
      <c r="X39" s="81">
        <f>+'MWh by mo-WgtbyActulCDH&amp;Days'!AB41</f>
        <v>4512537</v>
      </c>
      <c r="Y39" s="120">
        <f t="shared" si="7"/>
        <v>9.4693714896862371</v>
      </c>
      <c r="Z39" s="87">
        <f t="shared" si="8"/>
        <v>3.0546359644149153E-4</v>
      </c>
      <c r="AA39" s="88">
        <f t="shared" si="14"/>
        <v>3.6449968283412519E-5</v>
      </c>
      <c r="AC39" s="89">
        <f t="shared" si="4"/>
        <v>0</v>
      </c>
      <c r="AD39" s="93"/>
      <c r="AE39" s="96">
        <f>+AC39*1000/X39</f>
        <v>0</v>
      </c>
      <c r="AF39" s="92">
        <f t="shared" ref="AF39:AF70" si="18">+AE39/K39/1000</f>
        <v>0</v>
      </c>
      <c r="AG39" s="98"/>
      <c r="AH39" s="123">
        <f t="shared" si="9"/>
        <v>3.0546359644149153E-4</v>
      </c>
      <c r="AI39" s="121">
        <f t="shared" si="10"/>
        <v>42730.889213954266</v>
      </c>
    </row>
    <row r="40" spans="1:35">
      <c r="A40" s="78">
        <v>2008</v>
      </c>
      <c r="B40" s="78">
        <v>2</v>
      </c>
      <c r="C40" s="116">
        <v>62.724246691326655</v>
      </c>
      <c r="D40" s="80">
        <f t="shared" si="17"/>
        <v>3.2045545311720623E-2</v>
      </c>
      <c r="E40" s="82">
        <f>$D40*'MWh Impact Summary'!B$14</f>
        <v>18489.017272431785</v>
      </c>
      <c r="F40" s="85">
        <f>$D40*'MWh Impact Summary'!L$14</f>
        <v>0</v>
      </c>
      <c r="G40" s="85">
        <f>$D40*'MWh Impact Summary'!C$14</f>
        <v>14801.718200719395</v>
      </c>
      <c r="H40" s="85">
        <f>$D40*'MWh Impact Summary'!D$14</f>
        <v>0</v>
      </c>
      <c r="I40" s="85">
        <f>$D40*'MWh Impact Summary'!E$14</f>
        <v>7030.4331740808893</v>
      </c>
      <c r="J40" s="82">
        <f t="shared" si="0"/>
        <v>40321.168647232073</v>
      </c>
      <c r="K40" s="83">
        <v>29</v>
      </c>
      <c r="L40" s="84">
        <f t="shared" ref="L40:L50" si="19">K40/(SUM(K$39:K$50))</f>
        <v>7.9234972677595633E-2</v>
      </c>
      <c r="M40" s="85">
        <f>$L40*'MWh Impact Summary'!F$14</f>
        <v>17924.11269153333</v>
      </c>
      <c r="N40" s="85">
        <f>$L40*'MWh Impact Summary'!G$14</f>
        <v>0</v>
      </c>
      <c r="O40" s="85">
        <f>$L40*'MWh Impact Summary'!H$14</f>
        <v>0</v>
      </c>
      <c r="P40" s="85">
        <f>$L40*'MWh Impact Summary'!I$14</f>
        <v>325.13776484860824</v>
      </c>
      <c r="Q40" s="85">
        <f>$L40*'MWh Impact Summary'!J$14</f>
        <v>0</v>
      </c>
      <c r="R40" s="85">
        <f>$L40*'MWh Impact Summary'!K$14</f>
        <v>0</v>
      </c>
      <c r="S40" s="85">
        <f>$L40*'MWh Impact Summary'!M$14</f>
        <v>0</v>
      </c>
      <c r="T40" s="85">
        <f>$L40*'MWh Impact Summary'!O$14</f>
        <v>0</v>
      </c>
      <c r="U40" s="85">
        <f t="shared" si="2"/>
        <v>18249.250456381938</v>
      </c>
      <c r="V40" s="81">
        <f t="shared" si="6"/>
        <v>58570.419103614011</v>
      </c>
      <c r="W40" s="81"/>
      <c r="X40" s="81">
        <f>+'MWh by mo-WgtbyActulCDH&amp;Days'!AB42</f>
        <v>4519123</v>
      </c>
      <c r="Y40" s="120">
        <f t="shared" si="7"/>
        <v>12.960572018866053</v>
      </c>
      <c r="Z40" s="87">
        <f t="shared" si="8"/>
        <v>4.4691627651262248E-4</v>
      </c>
      <c r="AA40" s="88">
        <f t="shared" si="14"/>
        <v>2.8573362336673099E-4</v>
      </c>
      <c r="AC40" s="89">
        <f t="shared" si="4"/>
        <v>0</v>
      </c>
      <c r="AD40" s="93"/>
      <c r="AE40" s="96">
        <f t="shared" ref="AE40:AE103" si="20">+AC40*1000/X40</f>
        <v>0</v>
      </c>
      <c r="AF40" s="92">
        <f t="shared" si="18"/>
        <v>0</v>
      </c>
      <c r="AG40" s="98"/>
      <c r="AH40" s="123">
        <f t="shared" si="9"/>
        <v>4.4691627651262248E-4</v>
      </c>
      <c r="AI40" s="121">
        <f t="shared" si="10"/>
        <v>58570.419103614011</v>
      </c>
    </row>
    <row r="41" spans="1:35">
      <c r="A41" s="78">
        <v>2008</v>
      </c>
      <c r="B41" s="78">
        <v>3</v>
      </c>
      <c r="C41" s="116">
        <v>56.93537592757194</v>
      </c>
      <c r="D41" s="80">
        <f t="shared" si="17"/>
        <v>2.9088036371414001E-2</v>
      </c>
      <c r="E41" s="82">
        <f>$D41*'MWh Impact Summary'!B$14</f>
        <v>16782.651119233549</v>
      </c>
      <c r="F41" s="85">
        <f>$D41*'MWh Impact Summary'!L$14</f>
        <v>0</v>
      </c>
      <c r="G41" s="85">
        <f>$D41*'MWh Impact Summary'!C$14</f>
        <v>13435.655820295002</v>
      </c>
      <c r="H41" s="85">
        <f>$D41*'MWh Impact Summary'!D$14</f>
        <v>0</v>
      </c>
      <c r="I41" s="85">
        <f>$D41*'MWh Impact Summary'!E$14</f>
        <v>6381.5888881024684</v>
      </c>
      <c r="J41" s="82">
        <f t="shared" si="0"/>
        <v>36599.895827631015</v>
      </c>
      <c r="K41" s="83">
        <v>31</v>
      </c>
      <c r="L41" s="84">
        <f t="shared" si="19"/>
        <v>8.4699453551912565E-2</v>
      </c>
      <c r="M41" s="85">
        <f>$L41*'MWh Impact Summary'!F$14</f>
        <v>19160.258394397697</v>
      </c>
      <c r="N41" s="85">
        <f>$L41*'MWh Impact Summary'!G$14</f>
        <v>0</v>
      </c>
      <c r="O41" s="85">
        <f>$L41*'MWh Impact Summary'!H$14</f>
        <v>0</v>
      </c>
      <c r="P41" s="85">
        <f>$L41*'MWh Impact Summary'!I$14</f>
        <v>347.56105897609848</v>
      </c>
      <c r="Q41" s="85">
        <f>$L41*'MWh Impact Summary'!J$14</f>
        <v>0</v>
      </c>
      <c r="R41" s="85">
        <f>$L41*'MWh Impact Summary'!K$14</f>
        <v>0</v>
      </c>
      <c r="S41" s="85">
        <f>$L41*'MWh Impact Summary'!M$14</f>
        <v>0</v>
      </c>
      <c r="T41" s="85">
        <f>$L41*'MWh Impact Summary'!O$14</f>
        <v>0</v>
      </c>
      <c r="U41" s="85">
        <f t="shared" si="2"/>
        <v>19507.819453373795</v>
      </c>
      <c r="V41" s="81">
        <f t="shared" si="6"/>
        <v>56107.715281004814</v>
      </c>
      <c r="W41" s="81"/>
      <c r="X41" s="81">
        <f>+'MWh by mo-WgtbyActulCDH&amp;Days'!AB43</f>
        <v>4519652</v>
      </c>
      <c r="Y41" s="120">
        <f>+V41*1000/X41</f>
        <v>12.414167126363893</v>
      </c>
      <c r="Z41" s="87">
        <f t="shared" si="8"/>
        <v>4.0045700407625464E-4</v>
      </c>
      <c r="AA41" s="88">
        <f t="shared" si="14"/>
        <v>1.0277924155836538E-4</v>
      </c>
      <c r="AC41" s="89">
        <f t="shared" si="4"/>
        <v>0</v>
      </c>
      <c r="AD41" s="93"/>
      <c r="AE41" s="96">
        <f t="shared" si="20"/>
        <v>0</v>
      </c>
      <c r="AF41" s="92">
        <f t="shared" si="18"/>
        <v>0</v>
      </c>
      <c r="AG41" s="98"/>
      <c r="AH41" s="123">
        <f t="shared" si="9"/>
        <v>4.0045700407625464E-4</v>
      </c>
      <c r="AI41" s="121">
        <f t="shared" si="10"/>
        <v>56107.715281004814</v>
      </c>
    </row>
    <row r="42" spans="1:35">
      <c r="A42" s="78">
        <v>2008</v>
      </c>
      <c r="B42" s="78">
        <v>4</v>
      </c>
      <c r="C42" s="116">
        <v>111.14006652165149</v>
      </c>
      <c r="D42" s="80">
        <f t="shared" si="17"/>
        <v>5.6780977461459221E-2</v>
      </c>
      <c r="E42" s="82">
        <f>$D42*'MWh Impact Summary'!B$14</f>
        <v>32760.387218204312</v>
      </c>
      <c r="F42" s="85">
        <f>$D42*'MWh Impact Summary'!L$14</f>
        <v>0</v>
      </c>
      <c r="G42" s="85">
        <f>$D42*'MWh Impact Summary'!C$14</f>
        <v>26226.92231854525</v>
      </c>
      <c r="H42" s="85">
        <f>$D42*'MWh Impact Summary'!D$14</f>
        <v>0</v>
      </c>
      <c r="I42" s="85">
        <f>$D42*'MWh Impact Summary'!E$14</f>
        <v>12457.109520797485</v>
      </c>
      <c r="J42" s="82">
        <f t="shared" si="0"/>
        <v>71444.419057547042</v>
      </c>
      <c r="K42" s="83">
        <v>30</v>
      </c>
      <c r="L42" s="84">
        <f t="shared" si="19"/>
        <v>8.1967213114754092E-2</v>
      </c>
      <c r="M42" s="85">
        <f>$L42*'MWh Impact Summary'!F$14</f>
        <v>18542.185542965512</v>
      </c>
      <c r="N42" s="85">
        <f>$L42*'MWh Impact Summary'!G$14</f>
        <v>0</v>
      </c>
      <c r="O42" s="85">
        <f>$L42*'MWh Impact Summary'!H$14</f>
        <v>0</v>
      </c>
      <c r="P42" s="85">
        <f>$L42*'MWh Impact Summary'!I$14</f>
        <v>336.34941191235333</v>
      </c>
      <c r="Q42" s="85">
        <f>$L42*'MWh Impact Summary'!J$14</f>
        <v>0</v>
      </c>
      <c r="R42" s="85">
        <f>$L42*'MWh Impact Summary'!K$14</f>
        <v>0</v>
      </c>
      <c r="S42" s="85">
        <f>$L42*'MWh Impact Summary'!M$14</f>
        <v>0</v>
      </c>
      <c r="T42" s="85">
        <f>$L42*'MWh Impact Summary'!O$14</f>
        <v>0</v>
      </c>
      <c r="U42" s="85">
        <f t="shared" si="2"/>
        <v>18878.534954877865</v>
      </c>
      <c r="V42" s="81">
        <f t="shared" si="6"/>
        <v>90322.954012424903</v>
      </c>
      <c r="W42" s="81"/>
      <c r="X42" s="81">
        <f>+'MWh by mo-WgtbyActulCDH&amp;Days'!AB44</f>
        <v>4518324</v>
      </c>
      <c r="Y42" s="120">
        <f t="shared" si="7"/>
        <v>19.990366784769066</v>
      </c>
      <c r="Z42" s="87">
        <f t="shared" si="8"/>
        <v>6.6634555949230225E-4</v>
      </c>
      <c r="AA42" s="88">
        <f t="shared" si="14"/>
        <v>2.4558373376630966E-4</v>
      </c>
      <c r="AC42" s="89">
        <f t="shared" si="4"/>
        <v>0</v>
      </c>
      <c r="AD42" s="93"/>
      <c r="AE42" s="96">
        <f t="shared" si="20"/>
        <v>0</v>
      </c>
      <c r="AF42" s="92">
        <f t="shared" si="18"/>
        <v>0</v>
      </c>
      <c r="AG42" s="98"/>
      <c r="AH42" s="123">
        <f t="shared" si="9"/>
        <v>6.6634555949230225E-4</v>
      </c>
      <c r="AI42" s="121">
        <f t="shared" si="10"/>
        <v>90322.954012424903</v>
      </c>
    </row>
    <row r="43" spans="1:35">
      <c r="A43" s="78">
        <v>2008</v>
      </c>
      <c r="B43" s="78">
        <v>5</v>
      </c>
      <c r="C43" s="116">
        <v>216.40455680076681</v>
      </c>
      <c r="D43" s="80">
        <f t="shared" si="17"/>
        <v>0.11056014852994191</v>
      </c>
      <c r="E43" s="82">
        <f>$D43*'MWh Impact Summary'!B$14</f>
        <v>63788.850398032533</v>
      </c>
      <c r="F43" s="85">
        <f>$D43*'MWh Impact Summary'!L$14</f>
        <v>0</v>
      </c>
      <c r="G43" s="85">
        <f>$D43*'MWh Impact Summary'!C$14</f>
        <v>51067.321428022005</v>
      </c>
      <c r="H43" s="85">
        <f>$D43*'MWh Impact Summary'!D$14</f>
        <v>0</v>
      </c>
      <c r="I43" s="85">
        <f>$D43*'MWh Impact Summary'!E$14</f>
        <v>24255.656391402477</v>
      </c>
      <c r="J43" s="82">
        <f t="shared" si="0"/>
        <v>139111.82821745702</v>
      </c>
      <c r="K43" s="83">
        <v>31</v>
      </c>
      <c r="L43" s="84">
        <f t="shared" si="19"/>
        <v>8.4699453551912565E-2</v>
      </c>
      <c r="M43" s="85">
        <f>$L43*'MWh Impact Summary'!F$14</f>
        <v>19160.258394397697</v>
      </c>
      <c r="N43" s="85">
        <f>$L43*'MWh Impact Summary'!G$14</f>
        <v>0</v>
      </c>
      <c r="O43" s="85">
        <f>$L43*'MWh Impact Summary'!H$14</f>
        <v>0</v>
      </c>
      <c r="P43" s="85">
        <f>$L43*'MWh Impact Summary'!I$14</f>
        <v>347.56105897609848</v>
      </c>
      <c r="Q43" s="85">
        <f>$L43*'MWh Impact Summary'!J$14</f>
        <v>0</v>
      </c>
      <c r="R43" s="85">
        <f>$L43*'MWh Impact Summary'!K$14</f>
        <v>0</v>
      </c>
      <c r="S43" s="85">
        <f>$L43*'MWh Impact Summary'!M$14</f>
        <v>0</v>
      </c>
      <c r="T43" s="85">
        <f>$L43*'MWh Impact Summary'!O$14</f>
        <v>0</v>
      </c>
      <c r="U43" s="85">
        <f t="shared" si="2"/>
        <v>19507.819453373795</v>
      </c>
      <c r="V43" s="81">
        <f t="shared" si="6"/>
        <v>158619.6476708308</v>
      </c>
      <c r="W43" s="81"/>
      <c r="X43" s="81">
        <f>+'MWh by mo-WgtbyActulCDH&amp;Days'!AB45</f>
        <v>4514164</v>
      </c>
      <c r="Y43" s="120">
        <f t="shared" si="7"/>
        <v>35.138211121888972</v>
      </c>
      <c r="Z43" s="87">
        <f t="shared" si="8"/>
        <v>1.1334906813512571E-3</v>
      </c>
      <c r="AA43" s="88">
        <f t="shared" si="14"/>
        <v>5.2028188948560978E-4</v>
      </c>
      <c r="AC43" s="89">
        <f t="shared" si="4"/>
        <v>0</v>
      </c>
      <c r="AD43" s="93"/>
      <c r="AE43" s="96">
        <f t="shared" si="20"/>
        <v>0</v>
      </c>
      <c r="AF43" s="92">
        <f t="shared" si="18"/>
        <v>0</v>
      </c>
      <c r="AG43" s="98"/>
      <c r="AH43" s="123">
        <f t="shared" si="9"/>
        <v>1.1334906813512571E-3</v>
      </c>
      <c r="AI43" s="121">
        <f t="shared" si="10"/>
        <v>158619.6476708308</v>
      </c>
    </row>
    <row r="44" spans="1:35">
      <c r="A44" s="78">
        <v>2008</v>
      </c>
      <c r="B44" s="78">
        <v>6</v>
      </c>
      <c r="C44" s="116">
        <v>285.28102425075247</v>
      </c>
      <c r="D44" s="80">
        <f t="shared" si="17"/>
        <v>0.14574883671684952</v>
      </c>
      <c r="E44" s="82">
        <f>$D44*'MWh Impact Summary'!B$14</f>
        <v>84091.337291397809</v>
      </c>
      <c r="F44" s="85">
        <f>$D44*'MWh Impact Summary'!L$14</f>
        <v>0</v>
      </c>
      <c r="G44" s="85">
        <f>$D44*'MWh Impact Summary'!C$14</f>
        <v>67320.845633306439</v>
      </c>
      <c r="H44" s="85">
        <f>$D44*'MWh Impact Summary'!D$14</f>
        <v>0</v>
      </c>
      <c r="I44" s="85">
        <f>$D44*'MWh Impact Summary'!E$14</f>
        <v>31975.659854446694</v>
      </c>
      <c r="J44" s="82">
        <f t="shared" si="0"/>
        <v>183387.84277915093</v>
      </c>
      <c r="K44" s="83">
        <v>30</v>
      </c>
      <c r="L44" s="84">
        <f t="shared" si="19"/>
        <v>8.1967213114754092E-2</v>
      </c>
      <c r="M44" s="85">
        <f>$L44*'MWh Impact Summary'!F$14</f>
        <v>18542.185542965512</v>
      </c>
      <c r="N44" s="85">
        <f>$L44*'MWh Impact Summary'!G$14</f>
        <v>0</v>
      </c>
      <c r="O44" s="85">
        <f>$L44*'MWh Impact Summary'!H$14</f>
        <v>0</v>
      </c>
      <c r="P44" s="85">
        <f>$L44*'MWh Impact Summary'!I$14</f>
        <v>336.34941191235333</v>
      </c>
      <c r="Q44" s="85">
        <f>$L44*'MWh Impact Summary'!J$14</f>
        <v>0</v>
      </c>
      <c r="R44" s="85">
        <f>$L44*'MWh Impact Summary'!K$14</f>
        <v>0</v>
      </c>
      <c r="S44" s="85">
        <f>$L44*'MWh Impact Summary'!M$14</f>
        <v>0</v>
      </c>
      <c r="T44" s="85">
        <f>$L44*'MWh Impact Summary'!O$14</f>
        <v>0</v>
      </c>
      <c r="U44" s="85">
        <f t="shared" si="2"/>
        <v>18878.534954877865</v>
      </c>
      <c r="V44" s="81">
        <f t="shared" si="6"/>
        <v>202266.37773402879</v>
      </c>
      <c r="W44" s="81"/>
      <c r="X44" s="81">
        <f>+'MWh by mo-WgtbyActulCDH&amp;Days'!AB46</f>
        <v>4514262</v>
      </c>
      <c r="Y44" s="120">
        <f t="shared" si="7"/>
        <v>44.806078542634161</v>
      </c>
      <c r="Z44" s="87">
        <f t="shared" si="8"/>
        <v>1.4935359514211385E-3</v>
      </c>
      <c r="AA44" s="88">
        <f t="shared" si="14"/>
        <v>5.4272306255975919E-4</v>
      </c>
      <c r="AC44" s="89">
        <f t="shared" si="4"/>
        <v>0</v>
      </c>
      <c r="AD44" s="93"/>
      <c r="AE44" s="96">
        <f t="shared" si="20"/>
        <v>0</v>
      </c>
      <c r="AF44" s="92">
        <f t="shared" si="18"/>
        <v>0</v>
      </c>
      <c r="AG44" s="98"/>
      <c r="AH44" s="123">
        <f t="shared" si="9"/>
        <v>1.4935359514211385E-3</v>
      </c>
      <c r="AI44" s="121">
        <f t="shared" si="10"/>
        <v>202266.37773402879</v>
      </c>
    </row>
    <row r="45" spans="1:35">
      <c r="A45" s="78">
        <v>2008</v>
      </c>
      <c r="B45" s="78">
        <v>7</v>
      </c>
      <c r="C45" s="116">
        <v>277.50678224326367</v>
      </c>
      <c r="D45" s="80">
        <f t="shared" si="17"/>
        <v>0.14177701022778444</v>
      </c>
      <c r="E45" s="82">
        <f>$D45*'MWh Impact Summary'!B$14</f>
        <v>81799.749869648818</v>
      </c>
      <c r="F45" s="85">
        <f>$D45*'MWh Impact Summary'!L$14</f>
        <v>0</v>
      </c>
      <c r="G45" s="85">
        <f>$D45*'MWh Impact Summary'!C$14</f>
        <v>65486.273749401196</v>
      </c>
      <c r="H45" s="85">
        <f>$D45*'MWh Impact Summary'!D$14</f>
        <v>0</v>
      </c>
      <c r="I45" s="85">
        <f>$D45*'MWh Impact Summary'!E$14</f>
        <v>31104.285676264015</v>
      </c>
      <c r="J45" s="82">
        <f t="shared" si="0"/>
        <v>178390.30929531401</v>
      </c>
      <c r="K45" s="83">
        <v>31</v>
      </c>
      <c r="L45" s="84">
        <f t="shared" si="19"/>
        <v>8.4699453551912565E-2</v>
      </c>
      <c r="M45" s="85">
        <f>$L45*'MWh Impact Summary'!F$14</f>
        <v>19160.258394397697</v>
      </c>
      <c r="N45" s="85">
        <f>$L45*'MWh Impact Summary'!G$14</f>
        <v>0</v>
      </c>
      <c r="O45" s="85">
        <f>$L45*'MWh Impact Summary'!H$14</f>
        <v>0</v>
      </c>
      <c r="P45" s="85">
        <f>$L45*'MWh Impact Summary'!I$14</f>
        <v>347.56105897609848</v>
      </c>
      <c r="Q45" s="85">
        <f>$L45*'MWh Impact Summary'!J$14</f>
        <v>0</v>
      </c>
      <c r="R45" s="85">
        <f>$L45*'MWh Impact Summary'!K$14</f>
        <v>0</v>
      </c>
      <c r="S45" s="85">
        <f>$L45*'MWh Impact Summary'!M$14</f>
        <v>0</v>
      </c>
      <c r="T45" s="85">
        <f>$L45*'MWh Impact Summary'!O$14</f>
        <v>0</v>
      </c>
      <c r="U45" s="85">
        <f t="shared" si="2"/>
        <v>19507.819453373795</v>
      </c>
      <c r="V45" s="81">
        <f t="shared" si="6"/>
        <v>197898.1287486878</v>
      </c>
      <c r="W45" s="81"/>
      <c r="X45" s="81">
        <f>+'MWh by mo-WgtbyActulCDH&amp;Days'!AB47</f>
        <v>4509574</v>
      </c>
      <c r="Y45" s="120">
        <f t="shared" si="7"/>
        <v>43.883996304016257</v>
      </c>
      <c r="Z45" s="87">
        <f t="shared" si="8"/>
        <v>1.4156127840005243E-3</v>
      </c>
      <c r="AA45" s="88">
        <f t="shared" si="14"/>
        <v>3.1255250237626473E-4</v>
      </c>
      <c r="AC45" s="89">
        <f t="shared" si="4"/>
        <v>0</v>
      </c>
      <c r="AD45" s="93"/>
      <c r="AE45" s="96">
        <f t="shared" si="20"/>
        <v>0</v>
      </c>
      <c r="AF45" s="92">
        <f t="shared" si="18"/>
        <v>0</v>
      </c>
      <c r="AG45" s="98"/>
      <c r="AH45" s="123">
        <f t="shared" si="9"/>
        <v>1.4156127840005243E-3</v>
      </c>
      <c r="AI45" s="121">
        <f t="shared" si="10"/>
        <v>197898.1287486878</v>
      </c>
    </row>
    <row r="46" spans="1:35">
      <c r="A46" s="78">
        <v>2008</v>
      </c>
      <c r="B46" s="78">
        <v>8</v>
      </c>
      <c r="C46" s="116">
        <v>320.57276960580305</v>
      </c>
      <c r="D46" s="80">
        <f t="shared" si="17"/>
        <v>0.16377923619650342</v>
      </c>
      <c r="E46" s="82">
        <f>$D46*'MWh Impact Summary'!B$14</f>
        <v>94494.167518357266</v>
      </c>
      <c r="F46" s="85">
        <f>$D46*'MWh Impact Summary'!L$14</f>
        <v>0</v>
      </c>
      <c r="G46" s="85">
        <f>$D46*'MWh Impact Summary'!C$14</f>
        <v>75649.020097125685</v>
      </c>
      <c r="H46" s="85">
        <f>$D46*'MWh Impact Summary'!D$14</f>
        <v>0</v>
      </c>
      <c r="I46" s="85">
        <f>$D46*'MWh Impact Summary'!E$14</f>
        <v>35931.327246298708</v>
      </c>
      <c r="J46" s="82">
        <f t="shared" si="0"/>
        <v>206074.51486178167</v>
      </c>
      <c r="K46" s="83">
        <v>31</v>
      </c>
      <c r="L46" s="84">
        <f t="shared" si="19"/>
        <v>8.4699453551912565E-2</v>
      </c>
      <c r="M46" s="85">
        <f>$L46*'MWh Impact Summary'!F$14</f>
        <v>19160.258394397697</v>
      </c>
      <c r="N46" s="85">
        <f>$L46*'MWh Impact Summary'!G$14</f>
        <v>0</v>
      </c>
      <c r="O46" s="85">
        <f>$L46*'MWh Impact Summary'!H$14</f>
        <v>0</v>
      </c>
      <c r="P46" s="85">
        <f>$L46*'MWh Impact Summary'!I$14</f>
        <v>347.56105897609848</v>
      </c>
      <c r="Q46" s="85">
        <f>$L46*'MWh Impact Summary'!J$14</f>
        <v>0</v>
      </c>
      <c r="R46" s="85">
        <f>$L46*'MWh Impact Summary'!K$14</f>
        <v>0</v>
      </c>
      <c r="S46" s="85">
        <f>$L46*'MWh Impact Summary'!M$14</f>
        <v>0</v>
      </c>
      <c r="T46" s="85">
        <f>$L46*'MWh Impact Summary'!O$14</f>
        <v>0</v>
      </c>
      <c r="U46" s="85">
        <f t="shared" si="2"/>
        <v>19507.819453373795</v>
      </c>
      <c r="V46" s="81">
        <f t="shared" si="6"/>
        <v>225582.33431515546</v>
      </c>
      <c r="W46" s="81"/>
      <c r="X46" s="81">
        <f>+'MWh by mo-WgtbyActulCDH&amp;Days'!AB48</f>
        <v>4507318</v>
      </c>
      <c r="Y46" s="120">
        <f t="shared" si="7"/>
        <v>50.0480184258478</v>
      </c>
      <c r="Z46" s="87">
        <f t="shared" si="8"/>
        <v>1.6144522072854127E-3</v>
      </c>
      <c r="AA46" s="88">
        <f t="shared" si="14"/>
        <v>3.4888018947906285E-4</v>
      </c>
      <c r="AC46" s="89">
        <f t="shared" si="4"/>
        <v>0</v>
      </c>
      <c r="AD46" s="93"/>
      <c r="AE46" s="96">
        <f t="shared" si="20"/>
        <v>0</v>
      </c>
      <c r="AF46" s="92">
        <f t="shared" si="18"/>
        <v>0</v>
      </c>
      <c r="AG46" s="98"/>
      <c r="AH46" s="123">
        <f t="shared" si="9"/>
        <v>1.6144522072854127E-3</v>
      </c>
      <c r="AI46" s="121">
        <f t="shared" si="10"/>
        <v>225582.33431515546</v>
      </c>
    </row>
    <row r="47" spans="1:35">
      <c r="A47" s="78">
        <v>2008</v>
      </c>
      <c r="B47" s="78">
        <v>9</v>
      </c>
      <c r="C47" s="116">
        <v>318.90589510911758</v>
      </c>
      <c r="D47" s="80">
        <f t="shared" si="17"/>
        <v>0.16292763725303025</v>
      </c>
      <c r="E47" s="82">
        <f>$D47*'MWh Impact Summary'!B$14</f>
        <v>94002.828475070608</v>
      </c>
      <c r="F47" s="85">
        <f>$D47*'MWh Impact Summary'!L$14</f>
        <v>0</v>
      </c>
      <c r="G47" s="85">
        <f>$D47*'MWh Impact Summary'!C$14</f>
        <v>75255.669712268616</v>
      </c>
      <c r="H47" s="85">
        <f>$D47*'MWh Impact Summary'!D$14</f>
        <v>0</v>
      </c>
      <c r="I47" s="85">
        <f>$D47*'MWh Impact Summary'!E$14</f>
        <v>35744.495990816336</v>
      </c>
      <c r="J47" s="82">
        <f t="shared" si="0"/>
        <v>205002.99417815555</v>
      </c>
      <c r="K47" s="83">
        <v>30</v>
      </c>
      <c r="L47" s="84">
        <f t="shared" si="19"/>
        <v>8.1967213114754092E-2</v>
      </c>
      <c r="M47" s="85">
        <f>$L47*'MWh Impact Summary'!F$14</f>
        <v>18542.185542965512</v>
      </c>
      <c r="N47" s="85">
        <f>$L47*'MWh Impact Summary'!G$14</f>
        <v>0</v>
      </c>
      <c r="O47" s="85">
        <f>$L47*'MWh Impact Summary'!H$14</f>
        <v>0</v>
      </c>
      <c r="P47" s="85">
        <f>$L47*'MWh Impact Summary'!I$14</f>
        <v>336.34941191235333</v>
      </c>
      <c r="Q47" s="85">
        <f>$L47*'MWh Impact Summary'!J$14</f>
        <v>0</v>
      </c>
      <c r="R47" s="85">
        <f>$L47*'MWh Impact Summary'!K$14</f>
        <v>0</v>
      </c>
      <c r="S47" s="85">
        <f>$L47*'MWh Impact Summary'!M$14</f>
        <v>0</v>
      </c>
      <c r="T47" s="85">
        <f>$L47*'MWh Impact Summary'!O$14</f>
        <v>0</v>
      </c>
      <c r="U47" s="85">
        <f t="shared" si="2"/>
        <v>18878.534954877865</v>
      </c>
      <c r="V47" s="81">
        <f t="shared" si="6"/>
        <v>223881.52913303341</v>
      </c>
      <c r="W47" s="81"/>
      <c r="X47" s="81">
        <f>+'MWh by mo-WgtbyActulCDH&amp;Days'!AB49</f>
        <v>4503137</v>
      </c>
      <c r="Y47" s="120">
        <f t="shared" si="7"/>
        <v>49.716792789789302</v>
      </c>
      <c r="Z47" s="87">
        <f t="shared" si="8"/>
        <v>1.6572264263263101E-3</v>
      </c>
      <c r="AA47" s="88">
        <f t="shared" si="14"/>
        <v>5.3851862299183605E-4</v>
      </c>
      <c r="AC47" s="89">
        <f t="shared" si="4"/>
        <v>0</v>
      </c>
      <c r="AD47" s="93"/>
      <c r="AE47" s="96">
        <f t="shared" si="20"/>
        <v>0</v>
      </c>
      <c r="AF47" s="92">
        <f t="shared" si="18"/>
        <v>0</v>
      </c>
      <c r="AH47" s="123">
        <f t="shared" si="9"/>
        <v>1.6572264263263101E-3</v>
      </c>
      <c r="AI47" s="121">
        <f t="shared" si="10"/>
        <v>223881.52913303341</v>
      </c>
    </row>
    <row r="48" spans="1:35">
      <c r="A48" s="78">
        <v>2008</v>
      </c>
      <c r="B48" s="78">
        <v>10</v>
      </c>
      <c r="C48" s="116">
        <v>182.06087900820035</v>
      </c>
      <c r="D48" s="80">
        <f t="shared" si="17"/>
        <v>9.3014112651841757E-2</v>
      </c>
      <c r="E48" s="82">
        <f>$D48*'MWh Impact Summary'!B$14</f>
        <v>53665.47888860001</v>
      </c>
      <c r="F48" s="85">
        <f>$D48*'MWh Impact Summary'!L$14</f>
        <v>0</v>
      </c>
      <c r="G48" s="85">
        <f>$D48*'MWh Impact Summary'!C$14</f>
        <v>42962.872710391312</v>
      </c>
      <c r="H48" s="85">
        <f>$D48*'MWh Impact Summary'!D$14</f>
        <v>0</v>
      </c>
      <c r="I48" s="85">
        <f>$D48*'MWh Impact Summary'!E$14</f>
        <v>20406.252940436974</v>
      </c>
      <c r="J48" s="82">
        <f t="shared" si="0"/>
        <v>117034.60453942828</v>
      </c>
      <c r="K48" s="83">
        <v>31</v>
      </c>
      <c r="L48" s="84">
        <f t="shared" si="19"/>
        <v>8.4699453551912565E-2</v>
      </c>
      <c r="M48" s="85">
        <f>$L48*'MWh Impact Summary'!F$14</f>
        <v>19160.258394397697</v>
      </c>
      <c r="N48" s="85">
        <f>$L48*'MWh Impact Summary'!G$14</f>
        <v>0</v>
      </c>
      <c r="O48" s="85">
        <f>$L48*'MWh Impact Summary'!H$14</f>
        <v>0</v>
      </c>
      <c r="P48" s="85">
        <f>$L48*'MWh Impact Summary'!I$14</f>
        <v>347.56105897609848</v>
      </c>
      <c r="Q48" s="85">
        <f>$L48*'MWh Impact Summary'!J$14</f>
        <v>0</v>
      </c>
      <c r="R48" s="85">
        <f>$L48*'MWh Impact Summary'!K$14</f>
        <v>0</v>
      </c>
      <c r="S48" s="85">
        <f>$L48*'MWh Impact Summary'!M$14</f>
        <v>0</v>
      </c>
      <c r="T48" s="85">
        <f>$L48*'MWh Impact Summary'!O$14</f>
        <v>0</v>
      </c>
      <c r="U48" s="85">
        <f t="shared" si="2"/>
        <v>19507.819453373795</v>
      </c>
      <c r="V48" s="81">
        <f t="shared" si="6"/>
        <v>136542.42399280207</v>
      </c>
      <c r="W48" s="81"/>
      <c r="X48" s="81">
        <f>+'MWh by mo-WgtbyActulCDH&amp;Days'!AB50</f>
        <v>4501918</v>
      </c>
      <c r="Y48" s="120">
        <f t="shared" si="7"/>
        <v>30.329833638196451</v>
      </c>
      <c r="Z48" s="87">
        <f t="shared" si="8"/>
        <v>9.7838173026440164E-4</v>
      </c>
      <c r="AA48" s="88">
        <f t="shared" si="14"/>
        <v>7.1543170342104438E-5</v>
      </c>
      <c r="AC48" s="89">
        <f t="shared" si="4"/>
        <v>0</v>
      </c>
      <c r="AD48" s="93"/>
      <c r="AE48" s="96">
        <f t="shared" si="20"/>
        <v>0</v>
      </c>
      <c r="AF48" s="92">
        <f t="shared" si="18"/>
        <v>0</v>
      </c>
      <c r="AH48" s="123">
        <f t="shared" si="9"/>
        <v>9.7838173026440164E-4</v>
      </c>
      <c r="AI48" s="121">
        <f t="shared" si="10"/>
        <v>136542.42399280207</v>
      </c>
    </row>
    <row r="49" spans="1:35">
      <c r="A49" s="78">
        <v>2008</v>
      </c>
      <c r="B49" s="78">
        <v>11</v>
      </c>
      <c r="C49" s="116">
        <v>53.240502772726046</v>
      </c>
      <c r="D49" s="80">
        <f t="shared" si="17"/>
        <v>2.7200341718222627E-2</v>
      </c>
      <c r="E49" s="82">
        <f>$D49*'MWh Impact Summary'!B$14</f>
        <v>15693.525666430995</v>
      </c>
      <c r="F49" s="85">
        <f>$D49*'MWh Impact Summary'!L$14</f>
        <v>0</v>
      </c>
      <c r="G49" s="85">
        <f>$D49*'MWh Impact Summary'!C$14</f>
        <v>12563.73668040369</v>
      </c>
      <c r="H49" s="85">
        <f>$D49*'MWh Impact Summary'!D$14</f>
        <v>0</v>
      </c>
      <c r="I49" s="85">
        <f>$D49*'MWh Impact Summary'!E$14</f>
        <v>5967.4498561953478</v>
      </c>
      <c r="J49" s="82">
        <f t="shared" si="0"/>
        <v>34224.712203030038</v>
      </c>
      <c r="K49" s="83">
        <v>30</v>
      </c>
      <c r="L49" s="84">
        <f t="shared" si="19"/>
        <v>8.1967213114754092E-2</v>
      </c>
      <c r="M49" s="85">
        <f>$L49*'MWh Impact Summary'!F$14</f>
        <v>18542.185542965512</v>
      </c>
      <c r="N49" s="85">
        <f>$L49*'MWh Impact Summary'!G$14</f>
        <v>0</v>
      </c>
      <c r="O49" s="85">
        <f>$L49*'MWh Impact Summary'!H$14</f>
        <v>0</v>
      </c>
      <c r="P49" s="85">
        <f>$L49*'MWh Impact Summary'!I$14</f>
        <v>336.34941191235333</v>
      </c>
      <c r="Q49" s="85">
        <f>$L49*'MWh Impact Summary'!J$14</f>
        <v>0</v>
      </c>
      <c r="R49" s="85">
        <f>$L49*'MWh Impact Summary'!K$14</f>
        <v>0</v>
      </c>
      <c r="S49" s="85">
        <f>$L49*'MWh Impact Summary'!M$14</f>
        <v>0</v>
      </c>
      <c r="T49" s="85">
        <f>$L49*'MWh Impact Summary'!O$14</f>
        <v>0</v>
      </c>
      <c r="U49" s="85">
        <f t="shared" si="2"/>
        <v>18878.534954877865</v>
      </c>
      <c r="V49" s="81">
        <f t="shared" si="6"/>
        <v>53103.247157907899</v>
      </c>
      <c r="W49" s="81"/>
      <c r="X49" s="81">
        <f>+'MWh by mo-WgtbyActulCDH&amp;Days'!AB51</f>
        <v>4498960</v>
      </c>
      <c r="Y49" s="120">
        <f t="shared" si="7"/>
        <v>11.803449498974851</v>
      </c>
      <c r="Z49" s="87">
        <f t="shared" si="8"/>
        <v>3.9344831663249504E-4</v>
      </c>
      <c r="AA49" s="88">
        <f t="shared" si="14"/>
        <v>1.1015586334647571E-5</v>
      </c>
      <c r="AC49" s="89">
        <f t="shared" si="4"/>
        <v>0</v>
      </c>
      <c r="AD49" s="93"/>
      <c r="AE49" s="96">
        <f t="shared" si="20"/>
        <v>0</v>
      </c>
      <c r="AF49" s="92">
        <f t="shared" si="18"/>
        <v>0</v>
      </c>
      <c r="AH49" s="123">
        <f t="shared" si="9"/>
        <v>3.9344831663249504E-4</v>
      </c>
      <c r="AI49" s="121">
        <f t="shared" si="10"/>
        <v>53103.247157907899</v>
      </c>
    </row>
    <row r="50" spans="1:35">
      <c r="A50" s="78">
        <v>2008</v>
      </c>
      <c r="B50" s="78">
        <v>12</v>
      </c>
      <c r="C50" s="116">
        <v>36.448562002199012</v>
      </c>
      <c r="D50" s="80">
        <f t="shared" si="17"/>
        <v>1.8621412082259998E-2</v>
      </c>
      <c r="E50" s="82">
        <f>$D50*'MWh Impact Summary'!B$14</f>
        <v>10743.82121686195</v>
      </c>
      <c r="F50" s="85">
        <f>$D50*'MWh Impact Summary'!L$14</f>
        <v>0</v>
      </c>
      <c r="G50" s="85">
        <f>$D50*'MWh Impact Summary'!C$14</f>
        <v>8601.1609869616696</v>
      </c>
      <c r="H50" s="85">
        <f>$D50*'MWh Impact Summary'!D$14</f>
        <v>0</v>
      </c>
      <c r="I50" s="85">
        <f>$D50*'MWh Impact Summary'!E$14</f>
        <v>4085.3289272462084</v>
      </c>
      <c r="J50" s="82">
        <f t="shared" si="0"/>
        <v>23430.31113106983</v>
      </c>
      <c r="K50" s="83">
        <v>31</v>
      </c>
      <c r="L50" s="84">
        <f t="shared" si="19"/>
        <v>8.4699453551912565E-2</v>
      </c>
      <c r="M50" s="85">
        <f>$L50*'MWh Impact Summary'!F$14</f>
        <v>19160.258394397697</v>
      </c>
      <c r="N50" s="85">
        <f>$L50*'MWh Impact Summary'!G$14</f>
        <v>0</v>
      </c>
      <c r="O50" s="85">
        <f>$L50*'MWh Impact Summary'!H$14</f>
        <v>0</v>
      </c>
      <c r="P50" s="85">
        <f>$L50*'MWh Impact Summary'!I$14</f>
        <v>347.56105897609848</v>
      </c>
      <c r="Q50" s="85">
        <f>$L50*'MWh Impact Summary'!J$14</f>
        <v>0</v>
      </c>
      <c r="R50" s="85">
        <f>$L50*'MWh Impact Summary'!K$14</f>
        <v>0</v>
      </c>
      <c r="S50" s="85">
        <f>$L50*'MWh Impact Summary'!M$14</f>
        <v>0</v>
      </c>
      <c r="T50" s="85">
        <f>$L50*'MWh Impact Summary'!O$14</f>
        <v>0</v>
      </c>
      <c r="U50" s="85">
        <f t="shared" si="2"/>
        <v>19507.819453373795</v>
      </c>
      <c r="V50" s="81">
        <f t="shared" si="6"/>
        <v>42938.130584443628</v>
      </c>
      <c r="W50" s="81">
        <f>SUM(V39:V50)</f>
        <v>1488563.7969478881</v>
      </c>
      <c r="X50" s="81">
        <f>+'MWh by mo-WgtbyActulCDH&amp;Days'!AB52</f>
        <v>4497793</v>
      </c>
      <c r="Y50" s="120">
        <f t="shared" si="7"/>
        <v>9.546488818948232</v>
      </c>
      <c r="Z50" s="87">
        <f t="shared" si="8"/>
        <v>3.0795125222413648E-4</v>
      </c>
      <c r="AA50" s="88">
        <f t="shared" si="14"/>
        <v>-1.9478557476857448E-5</v>
      </c>
      <c r="AC50" s="89">
        <f t="shared" si="4"/>
        <v>0</v>
      </c>
      <c r="AD50" s="90">
        <f>SUM(AC39:AC50)</f>
        <v>0</v>
      </c>
      <c r="AE50" s="96">
        <f t="shared" si="20"/>
        <v>0</v>
      </c>
      <c r="AF50" s="92">
        <f t="shared" si="18"/>
        <v>0</v>
      </c>
      <c r="AH50" s="123">
        <f t="shared" si="9"/>
        <v>3.0795125222413648E-4</v>
      </c>
      <c r="AI50" s="121">
        <f t="shared" si="10"/>
        <v>42938.130584443628</v>
      </c>
    </row>
    <row r="51" spans="1:35">
      <c r="A51" s="78">
        <v>2009</v>
      </c>
      <c r="B51" s="78">
        <v>1</v>
      </c>
      <c r="C51" s="116">
        <v>24.483176423718522</v>
      </c>
      <c r="D51" s="80">
        <f t="shared" ref="D51:D62" si="21">C51/(SUM(C$51:C$62))</f>
        <v>1.1492176084766131E-2</v>
      </c>
      <c r="E51" s="82">
        <f>$D51*'MWh Impact Summary'!B$15</f>
        <v>8152.5386250847141</v>
      </c>
      <c r="F51" s="85">
        <f>$D51*'MWh Impact Summary'!L$15</f>
        <v>0</v>
      </c>
      <c r="G51" s="85">
        <f>$D51*'MWh Impact Summary'!C$15</f>
        <v>6439.608639954562</v>
      </c>
      <c r="H51" s="85">
        <f>$D51*'MWh Impact Summary'!D$15</f>
        <v>0</v>
      </c>
      <c r="I51" s="85">
        <f>$D51*'MWh Impact Summary'!E$15</f>
        <v>3005.9158038309693</v>
      </c>
      <c r="J51" s="82">
        <f t="shared" si="0"/>
        <v>17598.063068870244</v>
      </c>
      <c r="K51" s="83">
        <v>31</v>
      </c>
      <c r="L51" s="97">
        <f t="shared" ref="L51:L62" si="22">K51/(SUM(K$51:K$62))</f>
        <v>8.4931506849315067E-2</v>
      </c>
      <c r="M51" s="85">
        <f>$L51*'MWh Impact Summary'!$F$15</f>
        <v>25209.25095135537</v>
      </c>
      <c r="N51" s="85">
        <f>$L51*'MWh Impact Summary'!G$15</f>
        <v>0</v>
      </c>
      <c r="O51" s="85">
        <f>$L51*'MWh Impact Summary'!H$15</f>
        <v>0</v>
      </c>
      <c r="P51" s="85">
        <f>$L51*'MWh Impact Summary'!I$15</f>
        <v>464.68437474064666</v>
      </c>
      <c r="Q51" s="85">
        <f>$L51*'MWh Impact Summary'!J$15</f>
        <v>2901.5041676750739</v>
      </c>
      <c r="R51" s="85">
        <f>$L51*'MWh Impact Summary'!K$15</f>
        <v>0</v>
      </c>
      <c r="S51" s="85">
        <f>$L51*'MWh Impact Summary'!M$15</f>
        <v>0</v>
      </c>
      <c r="T51" s="85">
        <f>$L51*'MWh Impact Summary'!O$15</f>
        <v>0</v>
      </c>
      <c r="U51" s="85">
        <f t="shared" si="2"/>
        <v>28575.439493771089</v>
      </c>
      <c r="V51" s="81">
        <f t="shared" si="6"/>
        <v>46173.502562641333</v>
      </c>
      <c r="W51" s="81"/>
      <c r="X51" s="81">
        <f>+'MWh by mo-WgtbyActulCDH&amp;Days'!AB53</f>
        <v>4497781</v>
      </c>
      <c r="Y51" s="120">
        <f t="shared" si="7"/>
        <v>10.265840547292393</v>
      </c>
      <c r="Z51" s="87">
        <f t="shared" si="8"/>
        <v>3.311561466868514E-4</v>
      </c>
      <c r="AA51" s="88">
        <f t="shared" si="14"/>
        <v>2.5692550245359866E-5</v>
      </c>
      <c r="AC51" s="89">
        <f t="shared" si="4"/>
        <v>0</v>
      </c>
      <c r="AD51" s="90"/>
      <c r="AE51" s="96">
        <f t="shared" si="20"/>
        <v>0</v>
      </c>
      <c r="AF51" s="92">
        <f t="shared" si="18"/>
        <v>0</v>
      </c>
      <c r="AH51" s="123">
        <f t="shared" si="9"/>
        <v>3.311561466868514E-4</v>
      </c>
      <c r="AI51" s="121">
        <f t="shared" si="10"/>
        <v>46173.502562641333</v>
      </c>
    </row>
    <row r="52" spans="1:35">
      <c r="A52" s="78">
        <v>2009</v>
      </c>
      <c r="B52" s="78">
        <v>2</v>
      </c>
      <c r="C52" s="116">
        <v>18.140086514143775</v>
      </c>
      <c r="D52" s="80">
        <f t="shared" si="21"/>
        <v>8.5147884737485895E-3</v>
      </c>
      <c r="E52" s="82">
        <f>$D52*'MWh Impact Summary'!B$15</f>
        <v>6040.3827268779751</v>
      </c>
      <c r="F52" s="85">
        <f>$D52*'MWh Impact Summary'!L$15</f>
        <v>0</v>
      </c>
      <c r="G52" s="85">
        <f>$D52*'MWh Impact Summary'!C$15</f>
        <v>4771.2378420324894</v>
      </c>
      <c r="H52" s="85">
        <f>$D52*'MWh Impact Summary'!D$15</f>
        <v>0</v>
      </c>
      <c r="I52" s="85">
        <f>$D52*'MWh Impact Summary'!E$15</f>
        <v>2227.1445417066561</v>
      </c>
      <c r="J52" s="82">
        <f t="shared" si="0"/>
        <v>13038.765110617122</v>
      </c>
      <c r="K52" s="83">
        <v>28</v>
      </c>
      <c r="L52" s="97">
        <f t="shared" si="22"/>
        <v>7.6712328767123292E-2</v>
      </c>
      <c r="M52" s="85">
        <f>$L52*'MWh Impact Summary'!$F$15</f>
        <v>22769.646020579046</v>
      </c>
      <c r="N52" s="85">
        <f>$L52*'MWh Impact Summary'!G$15</f>
        <v>0</v>
      </c>
      <c r="O52" s="85">
        <f>$L52*'MWh Impact Summary'!H$15</f>
        <v>0</v>
      </c>
      <c r="P52" s="85">
        <f>$L52*'MWh Impact Summary'!I$15</f>
        <v>419.71491912058411</v>
      </c>
      <c r="Q52" s="85">
        <f>$L52*'MWh Impact Summary'!J$15</f>
        <v>2620.7134417710345</v>
      </c>
      <c r="R52" s="85">
        <f>$L52*'MWh Impact Summary'!K$15</f>
        <v>0</v>
      </c>
      <c r="S52" s="85">
        <f>$L52*'MWh Impact Summary'!M$15</f>
        <v>0</v>
      </c>
      <c r="T52" s="85">
        <f>$L52*'MWh Impact Summary'!O$15</f>
        <v>0</v>
      </c>
      <c r="U52" s="85">
        <f t="shared" si="2"/>
        <v>25810.074381470662</v>
      </c>
      <c r="V52" s="81">
        <f t="shared" si="6"/>
        <v>38848.839492087784</v>
      </c>
      <c r="W52" s="81"/>
      <c r="X52" s="81">
        <f>+'MWh by mo-WgtbyActulCDH&amp;Days'!AB54</f>
        <v>4502684</v>
      </c>
      <c r="Y52" s="120">
        <f t="shared" si="7"/>
        <v>8.6279293621510593</v>
      </c>
      <c r="Z52" s="87">
        <f t="shared" si="8"/>
        <v>3.0814033436253786E-4</v>
      </c>
      <c r="AA52" s="88">
        <f t="shared" si="14"/>
        <v>-1.3877594215008462E-4</v>
      </c>
      <c r="AC52" s="89">
        <f t="shared" si="4"/>
        <v>0</v>
      </c>
      <c r="AD52" s="99"/>
      <c r="AE52" s="96">
        <f t="shared" si="20"/>
        <v>0</v>
      </c>
      <c r="AF52" s="92">
        <f t="shared" si="18"/>
        <v>0</v>
      </c>
      <c r="AH52" s="123">
        <f t="shared" si="9"/>
        <v>3.0814033436253786E-4</v>
      </c>
      <c r="AI52" s="121">
        <f t="shared" si="10"/>
        <v>38848.839492087784</v>
      </c>
    </row>
    <row r="53" spans="1:35">
      <c r="A53" s="78">
        <v>2009</v>
      </c>
      <c r="B53" s="78">
        <v>3</v>
      </c>
      <c r="C53" s="116">
        <v>49.882568605072933</v>
      </c>
      <c r="D53" s="80">
        <f t="shared" si="21"/>
        <v>2.341441535398853E-2</v>
      </c>
      <c r="E53" s="82">
        <f>$D53*'MWh Impact Summary'!B$15</f>
        <v>16610.1636582305</v>
      </c>
      <c r="F53" s="85">
        <f>$D53*'MWh Impact Summary'!L$15</f>
        <v>0</v>
      </c>
      <c r="G53" s="85">
        <f>$D53*'MWh Impact Summary'!C$15</f>
        <v>13120.20197923183</v>
      </c>
      <c r="H53" s="85">
        <f>$D53*'MWh Impact Summary'!D$15</f>
        <v>0</v>
      </c>
      <c r="I53" s="85">
        <f>$D53*'MWh Impact Summary'!E$15</f>
        <v>6124.3197659765847</v>
      </c>
      <c r="J53" s="82">
        <f t="shared" si="0"/>
        <v>35854.685403438918</v>
      </c>
      <c r="K53" s="83">
        <v>31</v>
      </c>
      <c r="L53" s="97">
        <f t="shared" si="22"/>
        <v>8.4931506849315067E-2</v>
      </c>
      <c r="M53" s="85">
        <f>$L53*'MWh Impact Summary'!$F$15</f>
        <v>25209.25095135537</v>
      </c>
      <c r="N53" s="85">
        <f>$L53*'MWh Impact Summary'!G$15</f>
        <v>0</v>
      </c>
      <c r="O53" s="85">
        <f>$L53*'MWh Impact Summary'!H$15</f>
        <v>0</v>
      </c>
      <c r="P53" s="85">
        <f>$L53*'MWh Impact Summary'!I$15</f>
        <v>464.68437474064666</v>
      </c>
      <c r="Q53" s="85">
        <f>$L53*'MWh Impact Summary'!J$15</f>
        <v>2901.5041676750739</v>
      </c>
      <c r="R53" s="85">
        <f>$L53*'MWh Impact Summary'!K$15</f>
        <v>0</v>
      </c>
      <c r="S53" s="85">
        <f>$L53*'MWh Impact Summary'!M$15</f>
        <v>0</v>
      </c>
      <c r="T53" s="85">
        <f>$L53*'MWh Impact Summary'!O$15</f>
        <v>0</v>
      </c>
      <c r="U53" s="85">
        <f t="shared" si="2"/>
        <v>28575.439493771089</v>
      </c>
      <c r="V53" s="81">
        <f t="shared" si="6"/>
        <v>64430.124897210007</v>
      </c>
      <c r="W53" s="81"/>
      <c r="X53" s="81">
        <f>+'MWh by mo-WgtbyActulCDH&amp;Days'!AB55</f>
        <v>4502987</v>
      </c>
      <c r="Y53" s="120">
        <f t="shared" si="7"/>
        <v>14.308307995828105</v>
      </c>
      <c r="Z53" s="87">
        <f t="shared" si="8"/>
        <v>4.6155832244606794E-4</v>
      </c>
      <c r="AA53" s="88">
        <f t="shared" si="14"/>
        <v>6.1101318369813297E-5</v>
      </c>
      <c r="AC53" s="89">
        <f t="shared" si="4"/>
        <v>0</v>
      </c>
      <c r="AD53" s="93"/>
      <c r="AE53" s="96">
        <f t="shared" si="20"/>
        <v>0</v>
      </c>
      <c r="AF53" s="92">
        <f t="shared" si="18"/>
        <v>0</v>
      </c>
      <c r="AH53" s="123">
        <f t="shared" si="9"/>
        <v>4.6155832244606794E-4</v>
      </c>
      <c r="AI53" s="121">
        <f t="shared" si="10"/>
        <v>64430.124897210007</v>
      </c>
    </row>
    <row r="54" spans="1:35">
      <c r="A54" s="78">
        <v>2009</v>
      </c>
      <c r="B54" s="78">
        <v>4</v>
      </c>
      <c r="C54" s="116">
        <v>126.25523475594419</v>
      </c>
      <c r="D54" s="80">
        <f t="shared" si="21"/>
        <v>5.9263036965790265E-2</v>
      </c>
      <c r="E54" s="82">
        <f>$D54*'MWh Impact Summary'!B$15</f>
        <v>42041.141237287302</v>
      </c>
      <c r="F54" s="85">
        <f>$D54*'MWh Impact Summary'!L$15</f>
        <v>0</v>
      </c>
      <c r="G54" s="85">
        <f>$D54*'MWh Impact Summary'!C$15</f>
        <v>33207.876564015933</v>
      </c>
      <c r="H54" s="85">
        <f>$D54*'MWh Impact Summary'!D$15</f>
        <v>0</v>
      </c>
      <c r="I54" s="85">
        <f>$D54*'MWh Impact Summary'!E$15</f>
        <v>15500.954569833591</v>
      </c>
      <c r="J54" s="82">
        <f t="shared" si="0"/>
        <v>90749.972371136828</v>
      </c>
      <c r="K54" s="83">
        <v>30</v>
      </c>
      <c r="L54" s="97">
        <f t="shared" si="22"/>
        <v>8.2191780821917804E-2</v>
      </c>
      <c r="M54" s="85">
        <f>$L54*'MWh Impact Summary'!$F$15</f>
        <v>24396.04930776326</v>
      </c>
      <c r="N54" s="85">
        <f>$L54*'MWh Impact Summary'!G$15</f>
        <v>0</v>
      </c>
      <c r="O54" s="85">
        <f>$L54*'MWh Impact Summary'!H$15</f>
        <v>0</v>
      </c>
      <c r="P54" s="85">
        <f>$L54*'MWh Impact Summary'!I$15</f>
        <v>449.69455620062581</v>
      </c>
      <c r="Q54" s="85">
        <f>$L54*'MWh Impact Summary'!J$15</f>
        <v>2807.9072590403939</v>
      </c>
      <c r="R54" s="85">
        <f>$L54*'MWh Impact Summary'!K$15</f>
        <v>0</v>
      </c>
      <c r="S54" s="85">
        <f>$L54*'MWh Impact Summary'!M$15</f>
        <v>0</v>
      </c>
      <c r="T54" s="85">
        <f>$L54*'MWh Impact Summary'!O$15</f>
        <v>0</v>
      </c>
      <c r="U54" s="85">
        <f t="shared" si="2"/>
        <v>27653.651123004282</v>
      </c>
      <c r="V54" s="81">
        <f t="shared" si="6"/>
        <v>118403.62349414111</v>
      </c>
      <c r="W54" s="81"/>
      <c r="X54" s="81">
        <f>+'MWh by mo-WgtbyActulCDH&amp;Days'!AB56</f>
        <v>4502465</v>
      </c>
      <c r="Y54" s="120">
        <f t="shared" si="7"/>
        <v>26.297511139818102</v>
      </c>
      <c r="Z54" s="87">
        <f t="shared" si="8"/>
        <v>8.7658370466060342E-4</v>
      </c>
      <c r="AA54" s="88">
        <f t="shared" si="14"/>
        <v>2.1023814516830117E-4</v>
      </c>
      <c r="AC54" s="89">
        <f t="shared" si="4"/>
        <v>0</v>
      </c>
      <c r="AD54" s="93"/>
      <c r="AE54" s="96">
        <f t="shared" si="20"/>
        <v>0</v>
      </c>
      <c r="AF54" s="92">
        <f t="shared" si="18"/>
        <v>0</v>
      </c>
      <c r="AH54" s="123">
        <f t="shared" si="9"/>
        <v>8.7658370466060342E-4</v>
      </c>
      <c r="AI54" s="121">
        <f t="shared" si="10"/>
        <v>118403.62349414111</v>
      </c>
    </row>
    <row r="55" spans="1:35">
      <c r="A55" s="78">
        <v>2009</v>
      </c>
      <c r="B55" s="78">
        <v>5</v>
      </c>
      <c r="C55" s="116">
        <v>193.36367005912052</v>
      </c>
      <c r="D55" s="80">
        <f t="shared" si="21"/>
        <v>9.0763114485556157E-2</v>
      </c>
      <c r="E55" s="82">
        <f>$D55*'MWh Impact Summary'!B$15</f>
        <v>64387.265833609148</v>
      </c>
      <c r="F55" s="85">
        <f>$D55*'MWh Impact Summary'!L$15</f>
        <v>0</v>
      </c>
      <c r="G55" s="85">
        <f>$D55*'MWh Impact Summary'!C$15</f>
        <v>50858.856662068523</v>
      </c>
      <c r="H55" s="85">
        <f>$D55*'MWh Impact Summary'!D$15</f>
        <v>0</v>
      </c>
      <c r="I55" s="85">
        <f>$D55*'MWh Impact Summary'!E$15</f>
        <v>23740.175770427632</v>
      </c>
      <c r="J55" s="82">
        <f t="shared" si="0"/>
        <v>138986.2982661053</v>
      </c>
      <c r="K55" s="83">
        <v>31</v>
      </c>
      <c r="L55" s="97">
        <f t="shared" si="22"/>
        <v>8.4931506849315067E-2</v>
      </c>
      <c r="M55" s="85">
        <f>$L55*'MWh Impact Summary'!$F$15</f>
        <v>25209.25095135537</v>
      </c>
      <c r="N55" s="85">
        <f>$L55*'MWh Impact Summary'!G$15</f>
        <v>0</v>
      </c>
      <c r="O55" s="85">
        <f>$L55*'MWh Impact Summary'!H$15</f>
        <v>0</v>
      </c>
      <c r="P55" s="85">
        <f>$L55*'MWh Impact Summary'!I$15</f>
        <v>464.68437474064666</v>
      </c>
      <c r="Q55" s="85">
        <f>$L55*'MWh Impact Summary'!J$15</f>
        <v>2901.5041676750739</v>
      </c>
      <c r="R55" s="85">
        <f>$L55*'MWh Impact Summary'!K$15</f>
        <v>0</v>
      </c>
      <c r="S55" s="85">
        <f>$L55*'MWh Impact Summary'!M$15</f>
        <v>0</v>
      </c>
      <c r="T55" s="85">
        <f>$L55*'MWh Impact Summary'!O$15</f>
        <v>0</v>
      </c>
      <c r="U55" s="85">
        <f t="shared" si="2"/>
        <v>28575.439493771089</v>
      </c>
      <c r="V55" s="81">
        <f t="shared" si="6"/>
        <v>167561.73775987639</v>
      </c>
      <c r="W55" s="81"/>
      <c r="X55" s="81">
        <f>+'MWh by mo-WgtbyActulCDH&amp;Days'!AB57</f>
        <v>4499097</v>
      </c>
      <c r="Y55" s="120">
        <f t="shared" si="7"/>
        <v>37.243415236407742</v>
      </c>
      <c r="Z55" s="87">
        <f t="shared" si="8"/>
        <v>1.2014004914970239E-3</v>
      </c>
      <c r="AA55" s="88">
        <f t="shared" si="14"/>
        <v>6.7909810145766773E-5</v>
      </c>
      <c r="AC55" s="89">
        <f t="shared" si="4"/>
        <v>0</v>
      </c>
      <c r="AD55" s="93"/>
      <c r="AE55" s="96">
        <f t="shared" si="20"/>
        <v>0</v>
      </c>
      <c r="AF55" s="92">
        <f t="shared" si="18"/>
        <v>0</v>
      </c>
      <c r="AH55" s="123">
        <f t="shared" si="9"/>
        <v>1.2014004914970239E-3</v>
      </c>
      <c r="AI55" s="121">
        <f t="shared" si="10"/>
        <v>167561.73775987639</v>
      </c>
    </row>
    <row r="56" spans="1:35">
      <c r="A56" s="78">
        <v>2009</v>
      </c>
      <c r="B56" s="78">
        <v>6</v>
      </c>
      <c r="C56" s="116">
        <v>290.69629221537059</v>
      </c>
      <c r="D56" s="80">
        <f t="shared" si="21"/>
        <v>0.13645014517361698</v>
      </c>
      <c r="E56" s="82">
        <f>$D56*'MWh Impact Summary'!B$15</f>
        <v>96797.601317728753</v>
      </c>
      <c r="F56" s="85">
        <f>$D56*'MWh Impact Summary'!L$15</f>
        <v>0</v>
      </c>
      <c r="G56" s="85">
        <f>$D56*'MWh Impact Summary'!C$15</f>
        <v>76459.456181484333</v>
      </c>
      <c r="H56" s="85">
        <f>$D56*'MWh Impact Summary'!D$15</f>
        <v>0</v>
      </c>
      <c r="I56" s="85">
        <f>$D56*'MWh Impact Summary'!E$15</f>
        <v>35690.163880807966</v>
      </c>
      <c r="J56" s="82">
        <f t="shared" si="0"/>
        <v>208947.22138002104</v>
      </c>
      <c r="K56" s="83">
        <v>30</v>
      </c>
      <c r="L56" s="97">
        <f t="shared" si="22"/>
        <v>8.2191780821917804E-2</v>
      </c>
      <c r="M56" s="85">
        <f>$L56*'MWh Impact Summary'!$F$15</f>
        <v>24396.04930776326</v>
      </c>
      <c r="N56" s="85">
        <f>$L56*'MWh Impact Summary'!G$15</f>
        <v>0</v>
      </c>
      <c r="O56" s="85">
        <f>$L56*'MWh Impact Summary'!H$15</f>
        <v>0</v>
      </c>
      <c r="P56" s="85">
        <f>$L56*'MWh Impact Summary'!I$15</f>
        <v>449.69455620062581</v>
      </c>
      <c r="Q56" s="85">
        <f>$L56*'MWh Impact Summary'!J$15</f>
        <v>2807.9072590403939</v>
      </c>
      <c r="R56" s="85">
        <f>$L56*'MWh Impact Summary'!K$15</f>
        <v>0</v>
      </c>
      <c r="S56" s="85">
        <f>$L56*'MWh Impact Summary'!M$15</f>
        <v>0</v>
      </c>
      <c r="T56" s="85">
        <f>$L56*'MWh Impact Summary'!O$15</f>
        <v>0</v>
      </c>
      <c r="U56" s="85">
        <f t="shared" si="2"/>
        <v>27653.651123004282</v>
      </c>
      <c r="V56" s="81">
        <f t="shared" si="6"/>
        <v>236600.87250302534</v>
      </c>
      <c r="W56" s="81"/>
      <c r="X56" s="81">
        <f>+'MWh by mo-WgtbyActulCDH&amp;Days'!AB58</f>
        <v>4497918</v>
      </c>
      <c r="Y56" s="120">
        <f t="shared" si="7"/>
        <v>52.602309002304033</v>
      </c>
      <c r="Z56" s="87">
        <f t="shared" si="8"/>
        <v>1.753410300076801E-3</v>
      </c>
      <c r="AA56" s="88">
        <f t="shared" si="14"/>
        <v>2.598743486556625E-4</v>
      </c>
      <c r="AC56" s="89">
        <f t="shared" si="4"/>
        <v>0</v>
      </c>
      <c r="AD56" s="93"/>
      <c r="AE56" s="96">
        <f t="shared" si="20"/>
        <v>0</v>
      </c>
      <c r="AF56" s="92">
        <f t="shared" si="18"/>
        <v>0</v>
      </c>
      <c r="AH56" s="123">
        <f t="shared" si="9"/>
        <v>1.753410300076801E-3</v>
      </c>
      <c r="AI56" s="121">
        <f t="shared" si="10"/>
        <v>236600.87250302534</v>
      </c>
    </row>
    <row r="57" spans="1:35">
      <c r="A57" s="78">
        <v>2009</v>
      </c>
      <c r="B57" s="78">
        <v>7</v>
      </c>
      <c r="C57" s="116">
        <v>318.41148260028547</v>
      </c>
      <c r="D57" s="80">
        <f t="shared" si="21"/>
        <v>0.14945939865502794</v>
      </c>
      <c r="E57" s="82">
        <f>$D57*'MWh Impact Summary'!B$15</f>
        <v>106026.35318407984</v>
      </c>
      <c r="F57" s="85">
        <f>$D57*'MWh Impact Summary'!L$15</f>
        <v>0</v>
      </c>
      <c r="G57" s="85">
        <f>$D57*'MWh Impact Summary'!C$15</f>
        <v>83749.154886092874</v>
      </c>
      <c r="H57" s="85">
        <f>$D57*'MWh Impact Summary'!D$15</f>
        <v>0</v>
      </c>
      <c r="I57" s="85">
        <f>$D57*'MWh Impact Summary'!E$15</f>
        <v>39092.889382695546</v>
      </c>
      <c r="J57" s="82">
        <f t="shared" si="0"/>
        <v>228868.39745286826</v>
      </c>
      <c r="K57" s="83">
        <v>31</v>
      </c>
      <c r="L57" s="97">
        <f t="shared" si="22"/>
        <v>8.4931506849315067E-2</v>
      </c>
      <c r="M57" s="85">
        <f>$L57*'MWh Impact Summary'!$F$15</f>
        <v>25209.25095135537</v>
      </c>
      <c r="N57" s="85">
        <f>$L57*'MWh Impact Summary'!G$15</f>
        <v>0</v>
      </c>
      <c r="O57" s="85">
        <f>$L57*'MWh Impact Summary'!H$15</f>
        <v>0</v>
      </c>
      <c r="P57" s="85">
        <f>$L57*'MWh Impact Summary'!I$15</f>
        <v>464.68437474064666</v>
      </c>
      <c r="Q57" s="85">
        <f>$L57*'MWh Impact Summary'!J$15</f>
        <v>2901.5041676750739</v>
      </c>
      <c r="R57" s="85">
        <f>$L57*'MWh Impact Summary'!K$15</f>
        <v>0</v>
      </c>
      <c r="S57" s="85">
        <f>$L57*'MWh Impact Summary'!M$15</f>
        <v>0</v>
      </c>
      <c r="T57" s="85">
        <f>$L57*'MWh Impact Summary'!O$15</f>
        <v>0</v>
      </c>
      <c r="U57" s="85">
        <f t="shared" si="2"/>
        <v>28575.439493771089</v>
      </c>
      <c r="V57" s="81">
        <f t="shared" si="6"/>
        <v>257443.83694663935</v>
      </c>
      <c r="W57" s="81"/>
      <c r="X57" s="81">
        <f>+'MWh by mo-WgtbyActulCDH&amp;Days'!AB59</f>
        <v>4498393</v>
      </c>
      <c r="Y57" s="120">
        <f t="shared" si="7"/>
        <v>57.230179076536743</v>
      </c>
      <c r="Z57" s="87">
        <f t="shared" si="8"/>
        <v>1.8461348089205401E-3</v>
      </c>
      <c r="AA57" s="88">
        <f t="shared" si="14"/>
        <v>4.3052202492001573E-4</v>
      </c>
      <c r="AC57" s="89">
        <f t="shared" si="4"/>
        <v>0</v>
      </c>
      <c r="AD57" s="93"/>
      <c r="AE57" s="96">
        <f t="shared" si="20"/>
        <v>0</v>
      </c>
      <c r="AF57" s="92">
        <f t="shared" si="18"/>
        <v>0</v>
      </c>
      <c r="AH57" s="123">
        <f t="shared" si="9"/>
        <v>1.8461348089205401E-3</v>
      </c>
      <c r="AI57" s="121">
        <f t="shared" si="10"/>
        <v>257443.83694663935</v>
      </c>
    </row>
    <row r="58" spans="1:35">
      <c r="A58" s="78">
        <v>2009</v>
      </c>
      <c r="B58" s="78">
        <v>8</v>
      </c>
      <c r="C58" s="116">
        <v>356.05452345394741</v>
      </c>
      <c r="D58" s="80">
        <f t="shared" si="21"/>
        <v>0.16712869312766993</v>
      </c>
      <c r="E58" s="82">
        <f>$D58*'MWh Impact Summary'!B$15</f>
        <v>118560.93363287402</v>
      </c>
      <c r="F58" s="85">
        <f>$D58*'MWh Impact Summary'!L$15</f>
        <v>0</v>
      </c>
      <c r="G58" s="85">
        <f>$D58*'MWh Impact Summary'!C$15</f>
        <v>93650.094491321899</v>
      </c>
      <c r="H58" s="85">
        <f>$D58*'MWh Impact Summary'!D$15</f>
        <v>0</v>
      </c>
      <c r="I58" s="85">
        <f>$D58*'MWh Impact Summary'!E$15</f>
        <v>43714.504219267954</v>
      </c>
      <c r="J58" s="82">
        <f t="shared" si="0"/>
        <v>255925.53234346388</v>
      </c>
      <c r="K58" s="83">
        <v>31</v>
      </c>
      <c r="L58" s="97">
        <f t="shared" si="22"/>
        <v>8.4931506849315067E-2</v>
      </c>
      <c r="M58" s="85">
        <f>$L58*'MWh Impact Summary'!$F$15</f>
        <v>25209.25095135537</v>
      </c>
      <c r="N58" s="85">
        <f>$L58*'MWh Impact Summary'!G$15</f>
        <v>0</v>
      </c>
      <c r="O58" s="85">
        <f>$L58*'MWh Impact Summary'!H$15</f>
        <v>0</v>
      </c>
      <c r="P58" s="85">
        <f>$L58*'MWh Impact Summary'!I$15</f>
        <v>464.68437474064666</v>
      </c>
      <c r="Q58" s="85">
        <f>$L58*'MWh Impact Summary'!J$15</f>
        <v>2901.5041676750739</v>
      </c>
      <c r="R58" s="85">
        <f>$L58*'MWh Impact Summary'!K$15</f>
        <v>0</v>
      </c>
      <c r="S58" s="85">
        <f>$L58*'MWh Impact Summary'!M$15</f>
        <v>0</v>
      </c>
      <c r="T58" s="85">
        <f>$L58*'MWh Impact Summary'!O$15</f>
        <v>0</v>
      </c>
      <c r="U58" s="85">
        <f t="shared" si="2"/>
        <v>28575.439493771089</v>
      </c>
      <c r="V58" s="81">
        <f t="shared" si="6"/>
        <v>284500.97183723497</v>
      </c>
      <c r="W58" s="81"/>
      <c r="X58" s="81">
        <f>+'MWh by mo-WgtbyActulCDH&amp;Days'!AB60</f>
        <v>4498960</v>
      </c>
      <c r="Y58" s="120">
        <f t="shared" si="7"/>
        <v>63.237052971627882</v>
      </c>
      <c r="Z58" s="87">
        <f t="shared" si="8"/>
        <v>2.0399049345686416E-3</v>
      </c>
      <c r="AA58" s="88">
        <f t="shared" si="14"/>
        <v>4.2545272728322886E-4</v>
      </c>
      <c r="AC58" s="89">
        <f t="shared" si="4"/>
        <v>0</v>
      </c>
      <c r="AD58" s="93"/>
      <c r="AE58" s="96">
        <f t="shared" si="20"/>
        <v>0</v>
      </c>
      <c r="AF58" s="92">
        <f t="shared" si="18"/>
        <v>0</v>
      </c>
      <c r="AH58" s="123">
        <f t="shared" si="9"/>
        <v>2.0399049345686416E-3</v>
      </c>
      <c r="AI58" s="121">
        <f t="shared" si="10"/>
        <v>284500.97183723497</v>
      </c>
    </row>
    <row r="59" spans="1:35">
      <c r="A59" s="78">
        <v>2009</v>
      </c>
      <c r="B59" s="78">
        <v>9</v>
      </c>
      <c r="C59" s="116">
        <v>310.26409597364955</v>
      </c>
      <c r="D59" s="80">
        <f t="shared" si="21"/>
        <v>0.14563509088860341</v>
      </c>
      <c r="E59" s="82">
        <f>$D59*'MWh Impact Summary'!B$15</f>
        <v>103313.39294486836</v>
      </c>
      <c r="F59" s="85">
        <f>$D59*'MWh Impact Summary'!L$15</f>
        <v>0</v>
      </c>
      <c r="G59" s="85">
        <f>$D59*'MWh Impact Summary'!C$15</f>
        <v>81606.214754227156</v>
      </c>
      <c r="H59" s="85">
        <f>$D59*'MWh Impact Summary'!D$15</f>
        <v>0</v>
      </c>
      <c r="I59" s="85">
        <f>$D59*'MWh Impact Summary'!E$15</f>
        <v>38092.596046688683</v>
      </c>
      <c r="J59" s="82">
        <f t="shared" si="0"/>
        <v>223012.20374578418</v>
      </c>
      <c r="K59" s="83">
        <v>30</v>
      </c>
      <c r="L59" s="97">
        <f t="shared" si="22"/>
        <v>8.2191780821917804E-2</v>
      </c>
      <c r="M59" s="85">
        <f>$L59*'MWh Impact Summary'!$F$15</f>
        <v>24396.04930776326</v>
      </c>
      <c r="N59" s="85">
        <f>$L59*'MWh Impact Summary'!G$15</f>
        <v>0</v>
      </c>
      <c r="O59" s="85">
        <f>$L59*'MWh Impact Summary'!H$15</f>
        <v>0</v>
      </c>
      <c r="P59" s="85">
        <f>$L59*'MWh Impact Summary'!I$15</f>
        <v>449.69455620062581</v>
      </c>
      <c r="Q59" s="85">
        <f>$L59*'MWh Impact Summary'!J$15</f>
        <v>2807.9072590403939</v>
      </c>
      <c r="R59" s="85">
        <f>$L59*'MWh Impact Summary'!K$15</f>
        <v>0</v>
      </c>
      <c r="S59" s="85">
        <f>$L59*'MWh Impact Summary'!M$15</f>
        <v>0</v>
      </c>
      <c r="T59" s="85">
        <f>$L59*'MWh Impact Summary'!O$15</f>
        <v>0</v>
      </c>
      <c r="U59" s="85">
        <f t="shared" si="2"/>
        <v>27653.651123004282</v>
      </c>
      <c r="V59" s="81">
        <f t="shared" si="6"/>
        <v>250665.85486878845</v>
      </c>
      <c r="W59" s="81"/>
      <c r="X59" s="81">
        <f>+'MWh by mo-WgtbyActulCDH&amp;Days'!AB61</f>
        <v>4495923</v>
      </c>
      <c r="Y59" s="120">
        <f t="shared" si="7"/>
        <v>55.754036461209068</v>
      </c>
      <c r="Z59" s="87">
        <f t="shared" si="8"/>
        <v>1.8584678820403023E-3</v>
      </c>
      <c r="AA59" s="88">
        <f t="shared" si="14"/>
        <v>2.0124145571399216E-4</v>
      </c>
      <c r="AC59" s="89">
        <f t="shared" si="4"/>
        <v>0</v>
      </c>
      <c r="AD59" s="93"/>
      <c r="AE59" s="96">
        <f t="shared" si="20"/>
        <v>0</v>
      </c>
      <c r="AF59" s="92">
        <f t="shared" si="18"/>
        <v>0</v>
      </c>
      <c r="AH59" s="123">
        <f t="shared" si="9"/>
        <v>1.8584678820403023E-3</v>
      </c>
      <c r="AI59" s="121">
        <f t="shared" si="10"/>
        <v>250665.85486878845</v>
      </c>
    </row>
    <row r="60" spans="1:35">
      <c r="A60" s="78">
        <v>2009</v>
      </c>
      <c r="B60" s="78">
        <v>10</v>
      </c>
      <c r="C60" s="116">
        <v>253.98000492254022</v>
      </c>
      <c r="D60" s="80">
        <f t="shared" si="21"/>
        <v>0.119215860232579</v>
      </c>
      <c r="E60" s="82">
        <f>$D60*'MWh Impact Summary'!B$15</f>
        <v>84571.616210889246</v>
      </c>
      <c r="F60" s="85">
        <f>$D60*'MWh Impact Summary'!L$15</f>
        <v>0</v>
      </c>
      <c r="G60" s="85">
        <f>$D60*'MWh Impact Summary'!C$15</f>
        <v>66802.272947330508</v>
      </c>
      <c r="H60" s="85">
        <f>$D60*'MWh Impact Summary'!D$15</f>
        <v>0</v>
      </c>
      <c r="I60" s="85">
        <f>$D60*'MWh Impact Summary'!E$15</f>
        <v>31182.330978676939</v>
      </c>
      <c r="J60" s="82">
        <f t="shared" si="0"/>
        <v>182556.22013689668</v>
      </c>
      <c r="K60" s="83">
        <v>31</v>
      </c>
      <c r="L60" s="97">
        <f t="shared" si="22"/>
        <v>8.4931506849315067E-2</v>
      </c>
      <c r="M60" s="85">
        <f>$L60*'MWh Impact Summary'!$F$15</f>
        <v>25209.25095135537</v>
      </c>
      <c r="N60" s="85">
        <f>$L60*'MWh Impact Summary'!G$15</f>
        <v>0</v>
      </c>
      <c r="O60" s="85">
        <f>$L60*'MWh Impact Summary'!H$15</f>
        <v>0</v>
      </c>
      <c r="P60" s="85">
        <f>$L60*'MWh Impact Summary'!I$15</f>
        <v>464.68437474064666</v>
      </c>
      <c r="Q60" s="85">
        <f>$L60*'MWh Impact Summary'!J$15</f>
        <v>2901.5041676750739</v>
      </c>
      <c r="R60" s="85">
        <f>$L60*'MWh Impact Summary'!K$15</f>
        <v>0</v>
      </c>
      <c r="S60" s="85">
        <f>$L60*'MWh Impact Summary'!M$15</f>
        <v>0</v>
      </c>
      <c r="T60" s="85">
        <f>$L60*'MWh Impact Summary'!O$15</f>
        <v>0</v>
      </c>
      <c r="U60" s="85">
        <f t="shared" si="2"/>
        <v>28575.439493771089</v>
      </c>
      <c r="V60" s="81">
        <f t="shared" si="6"/>
        <v>211131.65963066777</v>
      </c>
      <c r="W60" s="81"/>
      <c r="X60" s="81">
        <f>+'MWh by mo-WgtbyActulCDH&amp;Days'!AB62</f>
        <v>4495215</v>
      </c>
      <c r="Y60" s="120">
        <f t="shared" si="7"/>
        <v>46.968089319569316</v>
      </c>
      <c r="Z60" s="87">
        <f t="shared" si="8"/>
        <v>1.5150996554699778E-3</v>
      </c>
      <c r="AA60" s="88">
        <f t="shared" si="14"/>
        <v>5.3671792520557614E-4</v>
      </c>
      <c r="AC60" s="89">
        <f t="shared" si="4"/>
        <v>0</v>
      </c>
      <c r="AD60" s="93"/>
      <c r="AE60" s="96">
        <f t="shared" si="20"/>
        <v>0</v>
      </c>
      <c r="AF60" s="92">
        <f t="shared" si="18"/>
        <v>0</v>
      </c>
      <c r="AH60" s="123">
        <f t="shared" si="9"/>
        <v>1.5150996554699778E-3</v>
      </c>
      <c r="AI60" s="121">
        <f t="shared" si="10"/>
        <v>211131.65963066777</v>
      </c>
    </row>
    <row r="61" spans="1:35">
      <c r="A61" s="78">
        <v>2009</v>
      </c>
      <c r="B61" s="78">
        <v>11</v>
      </c>
      <c r="C61" s="116">
        <v>124.51115722310387</v>
      </c>
      <c r="D61" s="80">
        <f t="shared" si="21"/>
        <v>5.8444383137299764E-2</v>
      </c>
      <c r="E61" s="82">
        <f>$D61*'MWh Impact Summary'!B$15</f>
        <v>41460.38900132136</v>
      </c>
      <c r="F61" s="85">
        <f>$D61*'MWh Impact Summary'!L$15</f>
        <v>0</v>
      </c>
      <c r="G61" s="85">
        <f>$D61*'MWh Impact Summary'!C$15</f>
        <v>32749.146187088663</v>
      </c>
      <c r="H61" s="85">
        <f>$D61*'MWh Impact Summary'!D$15</f>
        <v>0</v>
      </c>
      <c r="I61" s="85">
        <f>$D61*'MWh Impact Summary'!E$15</f>
        <v>15286.825891089422</v>
      </c>
      <c r="J61" s="82">
        <f t="shared" si="0"/>
        <v>89496.361079499446</v>
      </c>
      <c r="K61" s="83">
        <v>30</v>
      </c>
      <c r="L61" s="97">
        <f t="shared" si="22"/>
        <v>8.2191780821917804E-2</v>
      </c>
      <c r="M61" s="85">
        <f>$L61*'MWh Impact Summary'!$F$15</f>
        <v>24396.04930776326</v>
      </c>
      <c r="N61" s="85">
        <f>$L61*'MWh Impact Summary'!G$15</f>
        <v>0</v>
      </c>
      <c r="O61" s="85">
        <f>$L61*'MWh Impact Summary'!H$15</f>
        <v>0</v>
      </c>
      <c r="P61" s="85">
        <f>$L61*'MWh Impact Summary'!I$15</f>
        <v>449.69455620062581</v>
      </c>
      <c r="Q61" s="85">
        <f>$L61*'MWh Impact Summary'!J$15</f>
        <v>2807.9072590403939</v>
      </c>
      <c r="R61" s="85">
        <f>$L61*'MWh Impact Summary'!K$15</f>
        <v>0</v>
      </c>
      <c r="S61" s="85">
        <f>$L61*'MWh Impact Summary'!M$15</f>
        <v>0</v>
      </c>
      <c r="T61" s="85">
        <f>$L61*'MWh Impact Summary'!O$15</f>
        <v>0</v>
      </c>
      <c r="U61" s="85">
        <f t="shared" si="2"/>
        <v>27653.651123004282</v>
      </c>
      <c r="V61" s="81">
        <f t="shared" si="6"/>
        <v>117150.01220250373</v>
      </c>
      <c r="W61" s="81"/>
      <c r="X61" s="81">
        <f>+'MWh by mo-WgtbyActulCDH&amp;Days'!AB63</f>
        <v>4498782</v>
      </c>
      <c r="Y61" s="120">
        <f t="shared" si="7"/>
        <v>26.040384309020471</v>
      </c>
      <c r="Z61" s="87">
        <f t="shared" si="8"/>
        <v>8.6801281030068238E-4</v>
      </c>
      <c r="AA61" s="88">
        <f t="shared" si="14"/>
        <v>4.7456449366818735E-4</v>
      </c>
      <c r="AC61" s="89">
        <f t="shared" si="4"/>
        <v>0</v>
      </c>
      <c r="AD61" s="93"/>
      <c r="AE61" s="96">
        <f t="shared" si="20"/>
        <v>0</v>
      </c>
      <c r="AF61" s="92">
        <f t="shared" si="18"/>
        <v>0</v>
      </c>
      <c r="AH61" s="123">
        <f t="shared" si="9"/>
        <v>8.6801281030068238E-4</v>
      </c>
      <c r="AI61" s="121">
        <f t="shared" si="10"/>
        <v>117150.01220250373</v>
      </c>
    </row>
    <row r="62" spans="1:35">
      <c r="A62" s="78">
        <v>2009</v>
      </c>
      <c r="B62" s="78">
        <v>12</v>
      </c>
      <c r="C62" s="116">
        <v>64.378981964781048</v>
      </c>
      <c r="D62" s="80">
        <f t="shared" si="21"/>
        <v>3.0218897421353353E-2</v>
      </c>
      <c r="E62" s="82">
        <f>$D62*'MWh Impact Summary'!B$15</f>
        <v>21437.25667079087</v>
      </c>
      <c r="F62" s="85">
        <f>$D62*'MWh Impact Summary'!L$15</f>
        <v>0</v>
      </c>
      <c r="G62" s="85">
        <f>$D62*'MWh Impact Summary'!C$15</f>
        <v>16933.074422902719</v>
      </c>
      <c r="H62" s="85">
        <f>$D62*'MWh Impact Summary'!D$15</f>
        <v>0</v>
      </c>
      <c r="I62" s="85">
        <f>$D62*'MWh Impact Summary'!E$15</f>
        <v>7904.1132561137119</v>
      </c>
      <c r="J62" s="82">
        <f t="shared" si="0"/>
        <v>46274.444349807301</v>
      </c>
      <c r="K62" s="83">
        <v>31</v>
      </c>
      <c r="L62" s="97">
        <f t="shared" si="22"/>
        <v>8.4931506849315067E-2</v>
      </c>
      <c r="M62" s="85">
        <f>$L62*'MWh Impact Summary'!$F$15</f>
        <v>25209.25095135537</v>
      </c>
      <c r="N62" s="85">
        <f>$L62*'MWh Impact Summary'!G$15</f>
        <v>0</v>
      </c>
      <c r="O62" s="85">
        <f>$L62*'MWh Impact Summary'!H$15</f>
        <v>0</v>
      </c>
      <c r="P62" s="85">
        <f>$L62*'MWh Impact Summary'!I$15</f>
        <v>464.68437474064666</v>
      </c>
      <c r="Q62" s="85">
        <f>$L62*'MWh Impact Summary'!J$15</f>
        <v>2901.5041676750739</v>
      </c>
      <c r="R62" s="85">
        <f>$L62*'MWh Impact Summary'!K$15</f>
        <v>0</v>
      </c>
      <c r="S62" s="85">
        <f>$L62*'MWh Impact Summary'!M$15</f>
        <v>0</v>
      </c>
      <c r="T62" s="85">
        <f>$L62*'MWh Impact Summary'!O$15</f>
        <v>0</v>
      </c>
      <c r="U62" s="85">
        <f t="shared" si="2"/>
        <v>28575.439493771089</v>
      </c>
      <c r="V62" s="81">
        <f t="shared" si="6"/>
        <v>74849.883843578398</v>
      </c>
      <c r="W62" s="81">
        <f>SUM(V51:V62)</f>
        <v>1867760.9200383946</v>
      </c>
      <c r="X62" s="81">
        <f>+'MWh by mo-WgtbyActulCDH&amp;Days'!AB64</f>
        <v>4498596</v>
      </c>
      <c r="Y62" s="120">
        <f t="shared" si="7"/>
        <v>16.638498732399707</v>
      </c>
      <c r="Z62" s="87">
        <f t="shared" si="8"/>
        <v>5.3672576556128098E-4</v>
      </c>
      <c r="AA62" s="88">
        <f t="shared" si="14"/>
        <v>2.287745133371445E-4</v>
      </c>
      <c r="AC62" s="89">
        <f t="shared" si="4"/>
        <v>0</v>
      </c>
      <c r="AD62" s="90">
        <f>SUM(AC51:AC62)</f>
        <v>0</v>
      </c>
      <c r="AE62" s="96">
        <f t="shared" si="20"/>
        <v>0</v>
      </c>
      <c r="AF62" s="92">
        <f t="shared" si="18"/>
        <v>0</v>
      </c>
      <c r="AH62" s="123">
        <f t="shared" si="9"/>
        <v>5.3672576556128098E-4</v>
      </c>
      <c r="AI62" s="121">
        <f t="shared" si="10"/>
        <v>74849.883843578398</v>
      </c>
    </row>
    <row r="63" spans="1:35">
      <c r="A63" s="78">
        <v>2010</v>
      </c>
      <c r="B63" s="78">
        <v>1</v>
      </c>
      <c r="C63" s="116">
        <v>18.124593485966685</v>
      </c>
      <c r="D63" s="80">
        <f t="shared" ref="D63:D74" si="23">C63/(SUM(C$63:C$74))</f>
        <v>8.883987294663975E-3</v>
      </c>
      <c r="E63" s="100">
        <f>$D63*'MWh Impact Summary'!B$16</f>
        <v>7543.4505539833444</v>
      </c>
      <c r="F63" s="81">
        <f>$D63*'MWh Impact Summary'!L$16</f>
        <v>0</v>
      </c>
      <c r="G63" s="81">
        <f>$D63*'MWh Impact Summary'!C$16</f>
        <v>6183.1816190434147</v>
      </c>
      <c r="H63" s="81">
        <f>$D63*'MWh Impact Summary'!D$16</f>
        <v>6.3067230531030765</v>
      </c>
      <c r="I63" s="81">
        <f>$D63*'MWh Impact Summary'!E$16</f>
        <v>2752.4567396394273</v>
      </c>
      <c r="J63" s="82">
        <f t="shared" si="0"/>
        <v>16485.395635719291</v>
      </c>
      <c r="K63" s="83">
        <v>31</v>
      </c>
      <c r="L63" s="97">
        <f>K63/(SUM(K63:K74))</f>
        <v>8.4931506849315067E-2</v>
      </c>
      <c r="M63" s="85">
        <f>$L63*'MWh Impact Summary'!F$16</f>
        <v>32751.921227896411</v>
      </c>
      <c r="N63" s="85">
        <f>$L63*'MWh Impact Summary'!G$16</f>
        <v>0</v>
      </c>
      <c r="O63" s="85">
        <f>$L63*'MWh Impact Summary'!H$16</f>
        <v>629.02008129806632</v>
      </c>
      <c r="P63" s="85">
        <f>$L63*'MWh Impact Summary'!I$16</f>
        <v>580.85546842580834</v>
      </c>
      <c r="Q63" s="85">
        <f>$L63*'MWh Impact Summary'!J$16</f>
        <v>5891.6079990401058</v>
      </c>
      <c r="R63" s="85">
        <f>$L63*'MWh Impact Summary'!K$16</f>
        <v>0</v>
      </c>
      <c r="S63" s="85">
        <f>$L63*'MWh Impact Summary'!M$16</f>
        <v>0</v>
      </c>
      <c r="T63" s="85">
        <f>$L63*'MWh Impact Summary'!O$16</f>
        <v>0</v>
      </c>
      <c r="U63" s="85">
        <f t="shared" si="2"/>
        <v>39853.404776660391</v>
      </c>
      <c r="V63" s="81">
        <f t="shared" si="6"/>
        <v>56338.800412379685</v>
      </c>
      <c r="W63" s="81"/>
      <c r="X63" s="81">
        <f>+'MWh by mo-WgtbyActulCDH&amp;Days'!AB65</f>
        <v>4502130</v>
      </c>
      <c r="Y63" s="120">
        <f t="shared" si="7"/>
        <v>12.513810221468434</v>
      </c>
      <c r="Z63" s="87">
        <f t="shared" si="8"/>
        <v>4.036712974667237E-4</v>
      </c>
      <c r="AA63" s="88">
        <f t="shared" si="14"/>
        <v>7.2515150779872304E-5</v>
      </c>
      <c r="AC63" s="89">
        <f t="shared" si="4"/>
        <v>0</v>
      </c>
      <c r="AD63" s="93"/>
      <c r="AE63" s="96">
        <f t="shared" si="20"/>
        <v>0</v>
      </c>
      <c r="AF63" s="92">
        <f t="shared" si="18"/>
        <v>0</v>
      </c>
      <c r="AH63" s="123">
        <f t="shared" si="9"/>
        <v>4.036712974667237E-4</v>
      </c>
      <c r="AI63" s="121">
        <f t="shared" si="10"/>
        <v>56338.800412379685</v>
      </c>
    </row>
    <row r="64" spans="1:35">
      <c r="A64" s="78">
        <v>2010</v>
      </c>
      <c r="B64" s="78">
        <v>2</v>
      </c>
      <c r="C64" s="116">
        <v>10.091272154204862</v>
      </c>
      <c r="D64" s="80">
        <f t="shared" si="23"/>
        <v>4.9463583100148511E-3</v>
      </c>
      <c r="E64" s="100">
        <f>$D64*'MWh Impact Summary'!B$16</f>
        <v>4199.9845448105116</v>
      </c>
      <c r="F64" s="81">
        <f>$D64*'MWh Impact Summary'!L$16</f>
        <v>0</v>
      </c>
      <c r="G64" s="81">
        <f>$D64*'MWh Impact Summary'!C$16</f>
        <v>3442.6244398229169</v>
      </c>
      <c r="H64" s="81">
        <f>$D64*'MWh Impact Summary'!D$16</f>
        <v>3.5114088919752962</v>
      </c>
      <c r="I64" s="81">
        <f>$D64*'MWh Impact Summary'!E$16</f>
        <v>1532.4917534775493</v>
      </c>
      <c r="J64" s="82">
        <f t="shared" si="0"/>
        <v>9178.6121470029539</v>
      </c>
      <c r="K64" s="83">
        <v>28</v>
      </c>
      <c r="L64" s="97">
        <f>K64/(SUM(K63:K74))</f>
        <v>7.6712328767123292E-2</v>
      </c>
      <c r="M64" s="85">
        <f>$L64*'MWh Impact Summary'!F$16</f>
        <v>29582.38046390644</v>
      </c>
      <c r="N64" s="85">
        <f>$L64*'MWh Impact Summary'!G$16</f>
        <v>0</v>
      </c>
      <c r="O64" s="85">
        <f>$L64*'MWh Impact Summary'!H$16</f>
        <v>568.14717020470505</v>
      </c>
      <c r="P64" s="85">
        <f>$L64*'MWh Impact Summary'!I$16</f>
        <v>524.64364890073023</v>
      </c>
      <c r="Q64" s="85">
        <f>$L64*'MWh Impact Summary'!J$16</f>
        <v>5321.4523862297738</v>
      </c>
      <c r="R64" s="85">
        <f>$L64*'MWh Impact Summary'!K$16</f>
        <v>0</v>
      </c>
      <c r="S64" s="85">
        <f>$L64*'MWh Impact Summary'!M$16</f>
        <v>0</v>
      </c>
      <c r="T64" s="85">
        <f>$L64*'MWh Impact Summary'!O$16</f>
        <v>0</v>
      </c>
      <c r="U64" s="85">
        <f t="shared" si="2"/>
        <v>35996.62366924165</v>
      </c>
      <c r="V64" s="81">
        <f t="shared" si="6"/>
        <v>45175.235816244603</v>
      </c>
      <c r="W64" s="81"/>
      <c r="X64" s="81">
        <f>+'MWh by mo-WgtbyActulCDH&amp;Days'!AB66</f>
        <v>4510659</v>
      </c>
      <c r="Y64" s="120">
        <f t="shared" si="7"/>
        <v>10.01521857809349</v>
      </c>
      <c r="Z64" s="87">
        <f t="shared" si="8"/>
        <v>3.576863777890532E-4</v>
      </c>
      <c r="AA64" s="88">
        <f t="shared" si="14"/>
        <v>4.9546043426515344E-5</v>
      </c>
      <c r="AC64" s="89">
        <f t="shared" si="4"/>
        <v>0</v>
      </c>
      <c r="AD64" s="93"/>
      <c r="AE64" s="96">
        <f t="shared" si="20"/>
        <v>0</v>
      </c>
      <c r="AF64" s="92">
        <f t="shared" si="18"/>
        <v>0</v>
      </c>
      <c r="AH64" s="123">
        <f t="shared" si="9"/>
        <v>3.576863777890532E-4</v>
      </c>
      <c r="AI64" s="121">
        <f t="shared" si="10"/>
        <v>45175.235816244603</v>
      </c>
    </row>
    <row r="65" spans="1:35">
      <c r="A65" s="78">
        <v>2010</v>
      </c>
      <c r="B65" s="78">
        <v>3</v>
      </c>
      <c r="C65" s="116">
        <v>14.192357639291513</v>
      </c>
      <c r="D65" s="80">
        <f t="shared" si="23"/>
        <v>6.9565546419795028E-3</v>
      </c>
      <c r="E65" s="100">
        <f>$D65*'MWh Impact Summary'!B$16</f>
        <v>5906.8551346730101</v>
      </c>
      <c r="F65" s="81">
        <f>$D65*'MWh Impact Summary'!L$16</f>
        <v>0</v>
      </c>
      <c r="G65" s="81">
        <f>$D65*'MWh Impact Summary'!C$16</f>
        <v>4841.7044472805883</v>
      </c>
      <c r="H65" s="81">
        <f>$D65*'MWh Impact Summary'!D$16</f>
        <v>4.9384428495406567</v>
      </c>
      <c r="I65" s="81">
        <f>$D65*'MWh Impact Summary'!E$16</f>
        <v>2155.2952603260851</v>
      </c>
      <c r="J65" s="82">
        <f t="shared" si="0"/>
        <v>12908.793285129226</v>
      </c>
      <c r="K65" s="83">
        <v>31</v>
      </c>
      <c r="L65" s="97">
        <f>K65/(SUM(K63:K74))</f>
        <v>8.4931506849315067E-2</v>
      </c>
      <c r="M65" s="85">
        <f>$L65*'MWh Impact Summary'!F$16</f>
        <v>32751.921227896411</v>
      </c>
      <c r="N65" s="85">
        <f>$L65*'MWh Impact Summary'!G$16</f>
        <v>0</v>
      </c>
      <c r="O65" s="85">
        <f>$L65*'MWh Impact Summary'!H$16</f>
        <v>629.02008129806632</v>
      </c>
      <c r="P65" s="85">
        <f>$L65*'MWh Impact Summary'!I$16</f>
        <v>580.85546842580834</v>
      </c>
      <c r="Q65" s="85">
        <f>$L65*'MWh Impact Summary'!J$16</f>
        <v>5891.6079990401058</v>
      </c>
      <c r="R65" s="85">
        <f>$L65*'MWh Impact Summary'!K$16</f>
        <v>0</v>
      </c>
      <c r="S65" s="85">
        <f>$L65*'MWh Impact Summary'!M$16</f>
        <v>0</v>
      </c>
      <c r="T65" s="85">
        <f>$L65*'MWh Impact Summary'!O$16</f>
        <v>0</v>
      </c>
      <c r="U65" s="85">
        <f t="shared" si="2"/>
        <v>39853.404776660391</v>
      </c>
      <c r="V65" s="81">
        <f t="shared" si="6"/>
        <v>52762.198061789619</v>
      </c>
      <c r="W65" s="81"/>
      <c r="X65" s="81">
        <f>+'MWh by mo-WgtbyActulCDH&amp;Days'!AB67</f>
        <v>4516712</v>
      </c>
      <c r="Y65" s="120">
        <f t="shared" si="7"/>
        <v>11.681550220999172</v>
      </c>
      <c r="Z65" s="87">
        <f t="shared" si="8"/>
        <v>3.7682420067739261E-4</v>
      </c>
      <c r="AA65" s="88">
        <f t="shared" si="14"/>
        <v>-8.4734121768675322E-5</v>
      </c>
      <c r="AC65" s="89">
        <f t="shared" si="4"/>
        <v>0</v>
      </c>
      <c r="AD65" s="93"/>
      <c r="AE65" s="96">
        <f t="shared" si="20"/>
        <v>0</v>
      </c>
      <c r="AF65" s="92">
        <f t="shared" si="18"/>
        <v>0</v>
      </c>
      <c r="AH65" s="123">
        <f t="shared" si="9"/>
        <v>3.7682420067739261E-4</v>
      </c>
      <c r="AI65" s="121">
        <f t="shared" si="10"/>
        <v>52762.198061789619</v>
      </c>
    </row>
    <row r="66" spans="1:35">
      <c r="A66" s="78">
        <v>2010</v>
      </c>
      <c r="B66" s="78">
        <v>4</v>
      </c>
      <c r="C66" s="116">
        <v>81.765451730198578</v>
      </c>
      <c r="D66" s="80">
        <f t="shared" si="23"/>
        <v>4.007831871517429E-2</v>
      </c>
      <c r="E66" s="100">
        <f>$D66*'MWh Impact Summary'!B$16</f>
        <v>34030.75730379438</v>
      </c>
      <c r="F66" s="81">
        <f>$D66*'MWh Impact Summary'!L$16</f>
        <v>0</v>
      </c>
      <c r="G66" s="81">
        <f>$D66*'MWh Impact Summary'!C$16</f>
        <v>27894.178073698215</v>
      </c>
      <c r="H66" s="81">
        <f>$D66*'MWh Impact Summary'!D$16</f>
        <v>28.451510362066834</v>
      </c>
      <c r="I66" s="81">
        <f>$D66*'MWh Impact Summary'!E$16</f>
        <v>12417.154010030688</v>
      </c>
      <c r="J66" s="82">
        <f t="shared" si="0"/>
        <v>74370.540897885352</v>
      </c>
      <c r="K66" s="83">
        <v>30</v>
      </c>
      <c r="L66" s="97">
        <f>K66/(SUM(K63:K74))</f>
        <v>8.2191780821917804E-2</v>
      </c>
      <c r="M66" s="85">
        <f>$L66*'MWh Impact Summary'!F$16</f>
        <v>31695.407639899753</v>
      </c>
      <c r="N66" s="85">
        <f>$L66*'MWh Impact Summary'!G$16</f>
        <v>0</v>
      </c>
      <c r="O66" s="85">
        <f>$L66*'MWh Impact Summary'!H$16</f>
        <v>608.72911093361256</v>
      </c>
      <c r="P66" s="85">
        <f>$L66*'MWh Impact Summary'!I$16</f>
        <v>562.11819525078226</v>
      </c>
      <c r="Q66" s="85">
        <f>$L66*'MWh Impact Summary'!J$16</f>
        <v>5701.5561281033288</v>
      </c>
      <c r="R66" s="85">
        <f>$L66*'MWh Impact Summary'!K$16</f>
        <v>0</v>
      </c>
      <c r="S66" s="85">
        <f>$L66*'MWh Impact Summary'!M$16</f>
        <v>0</v>
      </c>
      <c r="T66" s="85">
        <f>$L66*'MWh Impact Summary'!O$16</f>
        <v>0</v>
      </c>
      <c r="U66" s="85">
        <f t="shared" si="2"/>
        <v>38567.811074187477</v>
      </c>
      <c r="V66" s="81">
        <f t="shared" si="6"/>
        <v>112938.35197207282</v>
      </c>
      <c r="W66" s="81"/>
      <c r="X66" s="81">
        <f>+'MWh by mo-WgtbyActulCDH&amp;Days'!AB68</f>
        <v>4520229</v>
      </c>
      <c r="Y66" s="120">
        <f>+V66*1000/X66</f>
        <v>24.985095217979627</v>
      </c>
      <c r="Z66" s="87">
        <f t="shared" si="8"/>
        <v>8.3283650726598756E-4</v>
      </c>
      <c r="AA66" s="88">
        <f t="shared" si="14"/>
        <v>-4.3747197394615857E-5</v>
      </c>
      <c r="AC66" s="89">
        <f t="shared" si="4"/>
        <v>0</v>
      </c>
      <c r="AD66" s="93"/>
      <c r="AE66" s="96">
        <f t="shared" si="20"/>
        <v>0</v>
      </c>
      <c r="AF66" s="92">
        <f t="shared" si="18"/>
        <v>0</v>
      </c>
      <c r="AH66" s="123">
        <f t="shared" si="9"/>
        <v>8.3283650726598756E-4</v>
      </c>
      <c r="AI66" s="121">
        <f t="shared" si="10"/>
        <v>112938.35197207282</v>
      </c>
    </row>
    <row r="67" spans="1:35">
      <c r="A67" s="78">
        <v>2010</v>
      </c>
      <c r="B67" s="78">
        <v>5</v>
      </c>
      <c r="C67" s="116">
        <v>235.20518287858062</v>
      </c>
      <c r="D67" s="80">
        <f t="shared" si="23"/>
        <v>0.1152886467743571</v>
      </c>
      <c r="E67" s="100">
        <f>$D67*'MWh Impact Summary'!B$16</f>
        <v>97892.328920863059</v>
      </c>
      <c r="F67" s="81">
        <f>$D67*'MWh Impact Summary'!L$16</f>
        <v>0</v>
      </c>
      <c r="G67" s="81">
        <f>$D67*'MWh Impact Summary'!C$16</f>
        <v>80239.943842305598</v>
      </c>
      <c r="H67" s="81">
        <f>$D67*'MWh Impact Summary'!D$16</f>
        <v>81.84315693580659</v>
      </c>
      <c r="I67" s="81">
        <f>$D67*'MWh Impact Summary'!E$16</f>
        <v>35718.985438957789</v>
      </c>
      <c r="J67" s="82">
        <f t="shared" ref="J67:J130" si="24">SUM(E67:I67)</f>
        <v>213933.10135906225</v>
      </c>
      <c r="K67" s="83">
        <v>31</v>
      </c>
      <c r="L67" s="97">
        <f>K67/(SUM(K63:K74))</f>
        <v>8.4931506849315067E-2</v>
      </c>
      <c r="M67" s="85">
        <f>$L67*'MWh Impact Summary'!F$16</f>
        <v>32751.921227896411</v>
      </c>
      <c r="N67" s="85">
        <f>$L67*'MWh Impact Summary'!G$16</f>
        <v>0</v>
      </c>
      <c r="O67" s="85">
        <f>$L67*'MWh Impact Summary'!H$16</f>
        <v>629.02008129806632</v>
      </c>
      <c r="P67" s="85">
        <f>$L67*'MWh Impact Summary'!I$16</f>
        <v>580.85546842580834</v>
      </c>
      <c r="Q67" s="85">
        <f>$L67*'MWh Impact Summary'!J$16</f>
        <v>5891.6079990401058</v>
      </c>
      <c r="R67" s="85">
        <f>$L67*'MWh Impact Summary'!K$16</f>
        <v>0</v>
      </c>
      <c r="S67" s="85">
        <f>$L67*'MWh Impact Summary'!M$16</f>
        <v>0</v>
      </c>
      <c r="T67" s="85">
        <f>$L67*'MWh Impact Summary'!O$16</f>
        <v>0</v>
      </c>
      <c r="U67" s="85">
        <f t="shared" ref="U67:U130" si="25">SUM(M67:T67)</f>
        <v>39853.404776660391</v>
      </c>
      <c r="V67" s="81">
        <f t="shared" si="6"/>
        <v>253786.50613572262</v>
      </c>
      <c r="W67" s="81"/>
      <c r="X67" s="81">
        <f>+'MWh by mo-WgtbyActulCDH&amp;Days'!AB69</f>
        <v>4521728</v>
      </c>
      <c r="Y67" s="120">
        <f t="shared" si="7"/>
        <v>56.126000090169654</v>
      </c>
      <c r="Z67" s="87">
        <f t="shared" si="8"/>
        <v>1.8105161319409567E-3</v>
      </c>
      <c r="AA67" s="88">
        <f t="shared" si="14"/>
        <v>6.0911564044393283E-4</v>
      </c>
      <c r="AC67" s="89">
        <f t="shared" ref="AC67:AC130" si="26">+S67</f>
        <v>0</v>
      </c>
      <c r="AD67" s="93"/>
      <c r="AE67" s="96">
        <f t="shared" si="20"/>
        <v>0</v>
      </c>
      <c r="AF67" s="92">
        <f t="shared" si="18"/>
        <v>0</v>
      </c>
      <c r="AH67" s="123">
        <f t="shared" si="9"/>
        <v>1.8105161319409567E-3</v>
      </c>
      <c r="AI67" s="121">
        <f t="shared" si="10"/>
        <v>253786.50613572262</v>
      </c>
    </row>
    <row r="68" spans="1:35">
      <c r="A68" s="78">
        <v>2010</v>
      </c>
      <c r="B68" s="78">
        <v>6</v>
      </c>
      <c r="C68" s="116">
        <v>361.4550489293996</v>
      </c>
      <c r="D68" s="80">
        <f t="shared" si="23"/>
        <v>0.1771715357239452</v>
      </c>
      <c r="E68" s="100">
        <f>$D68*'MWh Impact Summary'!B$16</f>
        <v>150437.48656750246</v>
      </c>
      <c r="F68" s="81">
        <f>$D68*'MWh Impact Summary'!L$16</f>
        <v>0</v>
      </c>
      <c r="G68" s="81">
        <f>$D68*'MWh Impact Summary'!C$16</f>
        <v>123309.92230976924</v>
      </c>
      <c r="H68" s="81">
        <f>$D68*'MWh Impact Summary'!D$16</f>
        <v>125.7736837799185</v>
      </c>
      <c r="I68" s="81">
        <f>$D68*'MWh Impact Summary'!E$16</f>
        <v>54891.679985691095</v>
      </c>
      <c r="J68" s="82">
        <f t="shared" si="24"/>
        <v>328764.86254674272</v>
      </c>
      <c r="K68" s="83">
        <v>30</v>
      </c>
      <c r="L68" s="97">
        <f>K68/(SUM(K63:K74))</f>
        <v>8.2191780821917804E-2</v>
      </c>
      <c r="M68" s="85">
        <f>$L68*'MWh Impact Summary'!F$16</f>
        <v>31695.407639899753</v>
      </c>
      <c r="N68" s="85">
        <f>$L68*'MWh Impact Summary'!G$16</f>
        <v>0</v>
      </c>
      <c r="O68" s="85">
        <f>$L68*'MWh Impact Summary'!H$16</f>
        <v>608.72911093361256</v>
      </c>
      <c r="P68" s="85">
        <f>$L68*'MWh Impact Summary'!I$16</f>
        <v>562.11819525078226</v>
      </c>
      <c r="Q68" s="85">
        <f>$L68*'MWh Impact Summary'!J$16</f>
        <v>5701.5561281033288</v>
      </c>
      <c r="R68" s="85">
        <f>$L68*'MWh Impact Summary'!K$16</f>
        <v>0</v>
      </c>
      <c r="S68" s="85">
        <f>$L68*'MWh Impact Summary'!M$16</f>
        <v>0</v>
      </c>
      <c r="T68" s="85">
        <f>$L68*'MWh Impact Summary'!O$16</f>
        <v>0</v>
      </c>
      <c r="U68" s="85">
        <f t="shared" si="25"/>
        <v>38567.811074187477</v>
      </c>
      <c r="V68" s="81">
        <f t="shared" ref="V68:V131" si="27">U68+J68</f>
        <v>367332.67362093017</v>
      </c>
      <c r="W68" s="81"/>
      <c r="X68" s="81">
        <f>+'MWh by mo-WgtbyActulCDH&amp;Days'!AB70</f>
        <v>4521918</v>
      </c>
      <c r="Y68" s="120">
        <f t="shared" ref="Y68:Y90" si="28">+V68*1000/X68</f>
        <v>81.233820166781044</v>
      </c>
      <c r="Z68" s="87">
        <f t="shared" ref="Z68:Z131" si="29">+Y68/K68/1000</f>
        <v>2.7077940055593684E-3</v>
      </c>
      <c r="AA68" s="88">
        <f t="shared" si="14"/>
        <v>9.5438370548256738E-4</v>
      </c>
      <c r="AC68" s="89">
        <f t="shared" si="26"/>
        <v>0</v>
      </c>
      <c r="AD68" s="93"/>
      <c r="AE68" s="96">
        <f t="shared" si="20"/>
        <v>0</v>
      </c>
      <c r="AF68" s="92">
        <f t="shared" si="18"/>
        <v>0</v>
      </c>
      <c r="AH68" s="123">
        <f t="shared" ref="AH68:AH131" si="30">Z68</f>
        <v>2.7077940055593684E-3</v>
      </c>
      <c r="AI68" s="121">
        <f t="shared" ref="AI68:AI131" si="31">+V68</f>
        <v>367332.67362093017</v>
      </c>
    </row>
    <row r="69" spans="1:35">
      <c r="A69" s="78">
        <v>2010</v>
      </c>
      <c r="B69" s="78">
        <v>7</v>
      </c>
      <c r="C69" s="116">
        <v>352.69258151610575</v>
      </c>
      <c r="D69" s="80">
        <f t="shared" si="23"/>
        <v>0.17287650702551491</v>
      </c>
      <c r="E69" s="100">
        <f>$D69*'MWh Impact Summary'!B$16</f>
        <v>146790.55017059782</v>
      </c>
      <c r="F69" s="81">
        <f>$D69*'MWh Impact Summary'!L$16</f>
        <v>0</v>
      </c>
      <c r="G69" s="81">
        <f>$D69*'MWh Impact Summary'!C$16</f>
        <v>120320.61788816689</v>
      </c>
      <c r="H69" s="81">
        <f>$D69*'MWh Impact Summary'!D$16</f>
        <v>122.72465234755713</v>
      </c>
      <c r="I69" s="81">
        <f>$D69*'MWh Impact Summary'!E$16</f>
        <v>53560.984623819088</v>
      </c>
      <c r="J69" s="82">
        <f t="shared" si="24"/>
        <v>320794.87733493134</v>
      </c>
      <c r="K69" s="83">
        <v>31</v>
      </c>
      <c r="L69" s="97">
        <f>K69/(SUM(K63:K74))</f>
        <v>8.4931506849315067E-2</v>
      </c>
      <c r="M69" s="85">
        <f>$L69*'MWh Impact Summary'!F$16</f>
        <v>32751.921227896411</v>
      </c>
      <c r="N69" s="85">
        <f>$L69*'MWh Impact Summary'!G$16</f>
        <v>0</v>
      </c>
      <c r="O69" s="85">
        <f>$L69*'MWh Impact Summary'!H$16</f>
        <v>629.02008129806632</v>
      </c>
      <c r="P69" s="85">
        <f>$L69*'MWh Impact Summary'!I$16</f>
        <v>580.85546842580834</v>
      </c>
      <c r="Q69" s="85">
        <f>$L69*'MWh Impact Summary'!J$16</f>
        <v>5891.6079990401058</v>
      </c>
      <c r="R69" s="85">
        <f>$L69*'MWh Impact Summary'!K$16</f>
        <v>0</v>
      </c>
      <c r="S69" s="85">
        <f>$L69*'MWh Impact Summary'!M$16</f>
        <v>0</v>
      </c>
      <c r="T69" s="85">
        <f>$L69*'MWh Impact Summary'!O$16</f>
        <v>0</v>
      </c>
      <c r="U69" s="85">
        <f t="shared" si="25"/>
        <v>39853.404776660391</v>
      </c>
      <c r="V69" s="81">
        <f t="shared" si="27"/>
        <v>360648.28211159172</v>
      </c>
      <c r="W69" s="81"/>
      <c r="X69" s="81">
        <f>+'MWh by mo-WgtbyActulCDH&amp;Days'!AB71</f>
        <v>4522790</v>
      </c>
      <c r="Y69" s="120">
        <f t="shared" si="28"/>
        <v>79.740222763292508</v>
      </c>
      <c r="Z69" s="87">
        <f t="shared" si="29"/>
        <v>2.5722652504287903E-3</v>
      </c>
      <c r="AA69" s="88">
        <f t="shared" si="14"/>
        <v>7.2613044150825028E-4</v>
      </c>
      <c r="AC69" s="89">
        <f t="shared" si="26"/>
        <v>0</v>
      </c>
      <c r="AD69" s="93"/>
      <c r="AE69" s="96">
        <f t="shared" si="20"/>
        <v>0</v>
      </c>
      <c r="AF69" s="92">
        <f t="shared" si="18"/>
        <v>0</v>
      </c>
      <c r="AH69" s="123">
        <f t="shared" si="30"/>
        <v>2.5722652504287903E-3</v>
      </c>
      <c r="AI69" s="121">
        <f t="shared" si="31"/>
        <v>360648.28211159172</v>
      </c>
    </row>
    <row r="70" spans="1:35">
      <c r="A70" s="78">
        <v>2010</v>
      </c>
      <c r="B70" s="78">
        <v>8</v>
      </c>
      <c r="C70" s="116">
        <v>362.03321597310298</v>
      </c>
      <c r="D70" s="80">
        <f t="shared" si="23"/>
        <v>0.17745493124806724</v>
      </c>
      <c r="E70" s="100">
        <f>$D70*'MWh Impact Summary'!B$16</f>
        <v>150678.11952346345</v>
      </c>
      <c r="F70" s="81">
        <f>$D70*'MWh Impact Summary'!L$16</f>
        <v>0</v>
      </c>
      <c r="G70" s="81">
        <f>$D70*'MWh Impact Summary'!C$16</f>
        <v>123507.163248725</v>
      </c>
      <c r="H70" s="81">
        <f>$D70*'MWh Impact Summary'!D$16</f>
        <v>125.97486563957743</v>
      </c>
      <c r="I70" s="81">
        <f>$D70*'MWh Impact Summary'!E$16</f>
        <v>54979.482218459016</v>
      </c>
      <c r="J70" s="82">
        <f t="shared" si="24"/>
        <v>329290.73985628702</v>
      </c>
      <c r="K70" s="83">
        <v>31</v>
      </c>
      <c r="L70" s="97">
        <f>K70/(SUM(K63:K74))</f>
        <v>8.4931506849315067E-2</v>
      </c>
      <c r="M70" s="85">
        <f>$L70*'MWh Impact Summary'!F$16</f>
        <v>32751.921227896411</v>
      </c>
      <c r="N70" s="85">
        <f>$L70*'MWh Impact Summary'!G$16</f>
        <v>0</v>
      </c>
      <c r="O70" s="85">
        <f>$L70*'MWh Impact Summary'!H$16</f>
        <v>629.02008129806632</v>
      </c>
      <c r="P70" s="85">
        <f>$L70*'MWh Impact Summary'!I$16</f>
        <v>580.85546842580834</v>
      </c>
      <c r="Q70" s="85">
        <f>$L70*'MWh Impact Summary'!J$16</f>
        <v>5891.6079990401058</v>
      </c>
      <c r="R70" s="85">
        <f>$L70*'MWh Impact Summary'!K$16</f>
        <v>0</v>
      </c>
      <c r="S70" s="85">
        <f>$L70*'MWh Impact Summary'!M$16</f>
        <v>0</v>
      </c>
      <c r="T70" s="85">
        <f>$L70*'MWh Impact Summary'!O$16</f>
        <v>0</v>
      </c>
      <c r="U70" s="85">
        <f t="shared" si="25"/>
        <v>39853.404776660391</v>
      </c>
      <c r="V70" s="81">
        <f t="shared" si="27"/>
        <v>369144.1446329474</v>
      </c>
      <c r="W70" s="81"/>
      <c r="X70" s="81">
        <f>+'MWh by mo-WgtbyActulCDH&amp;Days'!AB72</f>
        <v>4526766</v>
      </c>
      <c r="Y70" s="120">
        <f t="shared" si="28"/>
        <v>81.546990640326314</v>
      </c>
      <c r="Z70" s="87">
        <f t="shared" si="29"/>
        <v>2.6305480851718166E-3</v>
      </c>
      <c r="AA70" s="88">
        <f t="shared" si="14"/>
        <v>5.9064315060317497E-4</v>
      </c>
      <c r="AC70" s="89">
        <f t="shared" si="26"/>
        <v>0</v>
      </c>
      <c r="AD70" s="93"/>
      <c r="AE70" s="96">
        <f t="shared" si="20"/>
        <v>0</v>
      </c>
      <c r="AF70" s="92">
        <f t="shared" si="18"/>
        <v>0</v>
      </c>
      <c r="AH70" s="123">
        <f t="shared" si="30"/>
        <v>2.6305480851718166E-3</v>
      </c>
      <c r="AI70" s="121">
        <f t="shared" si="31"/>
        <v>369144.1446329474</v>
      </c>
    </row>
    <row r="71" spans="1:35">
      <c r="A71" s="78">
        <v>2010</v>
      </c>
      <c r="B71" s="78">
        <v>9</v>
      </c>
      <c r="C71" s="116">
        <v>329.82039538151969</v>
      </c>
      <c r="D71" s="80">
        <f t="shared" si="23"/>
        <v>0.16166543014380827</v>
      </c>
      <c r="E71" s="100">
        <f>$D71*'MWh Impact Summary'!B$16</f>
        <v>137271.15293273196</v>
      </c>
      <c r="F71" s="81">
        <f>$D71*'MWh Impact Summary'!L$16</f>
        <v>0</v>
      </c>
      <c r="G71" s="81">
        <f>$D71*'MWh Impact Summary'!C$16</f>
        <v>112517.8011792453</v>
      </c>
      <c r="H71" s="81">
        <f>$D71*'MWh Impact Summary'!D$16</f>
        <v>114.76593351165354</v>
      </c>
      <c r="I71" s="81">
        <f>$D71*'MWh Impact Summary'!E$16</f>
        <v>50087.543802916116</v>
      </c>
      <c r="J71" s="82">
        <f t="shared" si="24"/>
        <v>299991.26384840504</v>
      </c>
      <c r="K71" s="83">
        <v>30</v>
      </c>
      <c r="L71" s="97">
        <f>K71/(SUM(K63:K74))</f>
        <v>8.2191780821917804E-2</v>
      </c>
      <c r="M71" s="85">
        <f>$L71*'MWh Impact Summary'!F$16</f>
        <v>31695.407639899753</v>
      </c>
      <c r="N71" s="85">
        <f>$L71*'MWh Impact Summary'!G$16</f>
        <v>0</v>
      </c>
      <c r="O71" s="85">
        <f>$L71*'MWh Impact Summary'!H$16</f>
        <v>608.72911093361256</v>
      </c>
      <c r="P71" s="85">
        <f>$L71*'MWh Impact Summary'!I$16</f>
        <v>562.11819525078226</v>
      </c>
      <c r="Q71" s="85">
        <f>$L71*'MWh Impact Summary'!J$16</f>
        <v>5701.5561281033288</v>
      </c>
      <c r="R71" s="85">
        <f>$L71*'MWh Impact Summary'!K$16</f>
        <v>0</v>
      </c>
      <c r="S71" s="85">
        <f>$L71*'MWh Impact Summary'!M$16</f>
        <v>0</v>
      </c>
      <c r="T71" s="85">
        <f>$L71*'MWh Impact Summary'!O$16</f>
        <v>0</v>
      </c>
      <c r="U71" s="85">
        <f t="shared" si="25"/>
        <v>38567.811074187477</v>
      </c>
      <c r="V71" s="81">
        <f t="shared" si="27"/>
        <v>338559.0749225925</v>
      </c>
      <c r="W71" s="81"/>
      <c r="X71" s="81">
        <f>+'MWh by mo-WgtbyActulCDH&amp;Days'!AB73</f>
        <v>4524923</v>
      </c>
      <c r="Y71" s="120">
        <f t="shared" si="28"/>
        <v>74.82095826218314</v>
      </c>
      <c r="Z71" s="87">
        <f t="shared" si="29"/>
        <v>2.4940319420727716E-3</v>
      </c>
      <c r="AA71" s="88">
        <f t="shared" si="14"/>
        <v>6.3556406003246937E-4</v>
      </c>
      <c r="AC71" s="89">
        <f t="shared" si="26"/>
        <v>0</v>
      </c>
      <c r="AD71" s="93"/>
      <c r="AE71" s="96">
        <f t="shared" si="20"/>
        <v>0</v>
      </c>
      <c r="AF71" s="92">
        <f t="shared" ref="AF71:AF102" si="32">+AE71/K71/1000</f>
        <v>0</v>
      </c>
      <c r="AH71" s="123">
        <f t="shared" si="30"/>
        <v>2.4940319420727716E-3</v>
      </c>
      <c r="AI71" s="121">
        <f t="shared" si="31"/>
        <v>338559.0749225925</v>
      </c>
    </row>
    <row r="72" spans="1:35">
      <c r="A72" s="78">
        <v>2010</v>
      </c>
      <c r="B72" s="78">
        <v>10</v>
      </c>
      <c r="C72" s="116">
        <v>175.64700209624169</v>
      </c>
      <c r="D72" s="80">
        <f t="shared" si="23"/>
        <v>8.6095488772039652E-2</v>
      </c>
      <c r="E72" s="100">
        <f>$D72*'MWh Impact Summary'!B$16</f>
        <v>73104.231346998364</v>
      </c>
      <c r="F72" s="81">
        <f>$D72*'MWh Impact Summary'!L$16</f>
        <v>0</v>
      </c>
      <c r="G72" s="81">
        <f>$D72*'MWh Impact Summary'!C$16</f>
        <v>59921.747521811318</v>
      </c>
      <c r="H72" s="81">
        <f>$D72*'MWh Impact Summary'!D$16</f>
        <v>61.118998237754354</v>
      </c>
      <c r="I72" s="81">
        <f>$D72*'MWh Impact Summary'!E$16</f>
        <v>26674.296176164713</v>
      </c>
      <c r="J72" s="82">
        <f t="shared" si="24"/>
        <v>159761.39404321212</v>
      </c>
      <c r="K72" s="83">
        <v>31</v>
      </c>
      <c r="L72" s="97">
        <f>K72/(SUM(K63:K74))</f>
        <v>8.4931506849315067E-2</v>
      </c>
      <c r="M72" s="85">
        <f>$L72*'MWh Impact Summary'!F$16</f>
        <v>32751.921227896411</v>
      </c>
      <c r="N72" s="85">
        <f>$L72*'MWh Impact Summary'!G$16</f>
        <v>0</v>
      </c>
      <c r="O72" s="85">
        <f>$L72*'MWh Impact Summary'!H$16</f>
        <v>629.02008129806632</v>
      </c>
      <c r="P72" s="85">
        <f>$L72*'MWh Impact Summary'!I$16</f>
        <v>580.85546842580834</v>
      </c>
      <c r="Q72" s="85">
        <f>$L72*'MWh Impact Summary'!J$16</f>
        <v>5891.6079990401058</v>
      </c>
      <c r="R72" s="85">
        <f>$L72*'MWh Impact Summary'!K$16</f>
        <v>0</v>
      </c>
      <c r="S72" s="85">
        <f>$L72*'MWh Impact Summary'!M$16</f>
        <v>0</v>
      </c>
      <c r="T72" s="85">
        <f>$L72*'MWh Impact Summary'!O$16</f>
        <v>0</v>
      </c>
      <c r="U72" s="85">
        <f t="shared" si="25"/>
        <v>39853.404776660391</v>
      </c>
      <c r="V72" s="81">
        <f t="shared" si="27"/>
        <v>199614.79881987249</v>
      </c>
      <c r="W72" s="81"/>
      <c r="X72" s="81">
        <f>+'MWh by mo-WgtbyActulCDH&amp;Days'!AB74</f>
        <v>4524001</v>
      </c>
      <c r="Y72" s="120">
        <f t="shared" si="28"/>
        <v>44.123508995659485</v>
      </c>
      <c r="Z72" s="87">
        <f t="shared" si="29"/>
        <v>1.4233389998599836E-3</v>
      </c>
      <c r="AA72" s="88">
        <f t="shared" si="14"/>
        <v>-9.176065560999422E-5</v>
      </c>
      <c r="AC72" s="89">
        <f t="shared" si="26"/>
        <v>0</v>
      </c>
      <c r="AD72" s="93"/>
      <c r="AE72" s="96">
        <f t="shared" si="20"/>
        <v>0</v>
      </c>
      <c r="AF72" s="92">
        <f t="shared" si="32"/>
        <v>0</v>
      </c>
      <c r="AH72" s="123">
        <f t="shared" si="30"/>
        <v>1.4233389998599836E-3</v>
      </c>
      <c r="AI72" s="121">
        <f t="shared" si="31"/>
        <v>199614.79881987249</v>
      </c>
    </row>
    <row r="73" spans="1:35">
      <c r="A73" s="78">
        <v>2010</v>
      </c>
      <c r="B73" s="78">
        <v>11</v>
      </c>
      <c r="C73" s="116">
        <v>88.251825721408679</v>
      </c>
      <c r="D73" s="80">
        <f t="shared" si="23"/>
        <v>4.3257692871674219E-2</v>
      </c>
      <c r="E73" s="100">
        <f>$D73*'MWh Impact Summary'!B$16</f>
        <v>36730.384278337107</v>
      </c>
      <c r="F73" s="81">
        <f>$D73*'MWh Impact Summary'!L$16</f>
        <v>0</v>
      </c>
      <c r="G73" s="81">
        <f>$D73*'MWh Impact Summary'!C$16</f>
        <v>30106.996169052727</v>
      </c>
      <c r="H73" s="81">
        <f>$D73*'MWh Impact Summary'!D$16</f>
        <v>30.708541087367603</v>
      </c>
      <c r="I73" s="81">
        <f>$D73*'MWh Impact Summary'!E$16</f>
        <v>13402.194795731704</v>
      </c>
      <c r="J73" s="82">
        <f t="shared" si="24"/>
        <v>80270.283784208907</v>
      </c>
      <c r="K73" s="83">
        <v>30</v>
      </c>
      <c r="L73" s="97">
        <f>K73/(SUM(K63:K74))</f>
        <v>8.2191780821917804E-2</v>
      </c>
      <c r="M73" s="85">
        <f>$L73*'MWh Impact Summary'!F$16</f>
        <v>31695.407639899753</v>
      </c>
      <c r="N73" s="85">
        <f>$L73*'MWh Impact Summary'!G$16</f>
        <v>0</v>
      </c>
      <c r="O73" s="85">
        <f>$L73*'MWh Impact Summary'!H$16</f>
        <v>608.72911093361256</v>
      </c>
      <c r="P73" s="85">
        <f>$L73*'MWh Impact Summary'!I$16</f>
        <v>562.11819525078226</v>
      </c>
      <c r="Q73" s="85">
        <f>$L73*'MWh Impact Summary'!J$16</f>
        <v>5701.5561281033288</v>
      </c>
      <c r="R73" s="85">
        <f>$L73*'MWh Impact Summary'!K$16</f>
        <v>0</v>
      </c>
      <c r="S73" s="85">
        <f>$L73*'MWh Impact Summary'!M$16</f>
        <v>0</v>
      </c>
      <c r="T73" s="85">
        <f>$L73*'MWh Impact Summary'!O$16</f>
        <v>0</v>
      </c>
      <c r="U73" s="85">
        <f t="shared" si="25"/>
        <v>38567.811074187477</v>
      </c>
      <c r="V73" s="81">
        <f t="shared" si="27"/>
        <v>118838.09485839639</v>
      </c>
      <c r="W73" s="81"/>
      <c r="X73" s="81">
        <f>+'MWh by mo-WgtbyActulCDH&amp;Days'!AB75</f>
        <v>4525048</v>
      </c>
      <c r="Y73" s="120">
        <f t="shared" si="28"/>
        <v>26.262283816303473</v>
      </c>
      <c r="Z73" s="87">
        <f t="shared" si="29"/>
        <v>8.7540946054344914E-4</v>
      </c>
      <c r="AA73" s="88">
        <f t="shared" si="14"/>
        <v>7.3966502427667575E-6</v>
      </c>
      <c r="AC73" s="89">
        <f t="shared" si="26"/>
        <v>0</v>
      </c>
      <c r="AD73" s="93"/>
      <c r="AE73" s="96">
        <f t="shared" si="20"/>
        <v>0</v>
      </c>
      <c r="AF73" s="92">
        <f t="shared" si="32"/>
        <v>0</v>
      </c>
      <c r="AH73" s="123">
        <f t="shared" si="30"/>
        <v>8.7540946054344914E-4</v>
      </c>
      <c r="AI73" s="121">
        <f t="shared" si="31"/>
        <v>118838.09485839639</v>
      </c>
    </row>
    <row r="74" spans="1:35">
      <c r="A74" s="78">
        <v>2010</v>
      </c>
      <c r="B74" s="78">
        <v>12</v>
      </c>
      <c r="C74" s="116">
        <v>10.862833711145289</v>
      </c>
      <c r="D74" s="80">
        <f t="shared" si="23"/>
        <v>5.3245484787608236E-3</v>
      </c>
      <c r="E74" s="100">
        <f>$D74*'MWh Impact Summary'!B$16</f>
        <v>4521.1082411097386</v>
      </c>
      <c r="F74" s="81">
        <f>$D74*'MWh Impact Summary'!L$16</f>
        <v>0</v>
      </c>
      <c r="G74" s="81">
        <f>$D74*'MWh Impact Summary'!C$16</f>
        <v>3705.8416667653237</v>
      </c>
      <c r="H74" s="81">
        <f>$D74*'MWh Impact Summary'!D$16</f>
        <v>3.7798852614901155</v>
      </c>
      <c r="I74" s="81">
        <f>$D74*'MWh Impact Summary'!E$16</f>
        <v>1649.6634742718209</v>
      </c>
      <c r="J74" s="82">
        <f t="shared" si="24"/>
        <v>9880.3932674083753</v>
      </c>
      <c r="K74" s="83">
        <v>31</v>
      </c>
      <c r="L74" s="97">
        <f>K74/(SUM(K63:K74))</f>
        <v>8.4931506849315067E-2</v>
      </c>
      <c r="M74" s="85">
        <f>$L74*'MWh Impact Summary'!F$16</f>
        <v>32751.921227896411</v>
      </c>
      <c r="N74" s="85">
        <f>$L74*'MWh Impact Summary'!G$16</f>
        <v>0</v>
      </c>
      <c r="O74" s="85">
        <f>$L74*'MWh Impact Summary'!H$16</f>
        <v>629.02008129806632</v>
      </c>
      <c r="P74" s="85">
        <f>$L74*'MWh Impact Summary'!I$16</f>
        <v>580.85546842580834</v>
      </c>
      <c r="Q74" s="85">
        <f>$L74*'MWh Impact Summary'!J$16</f>
        <v>5891.6079990401058</v>
      </c>
      <c r="R74" s="85">
        <f>$L74*'MWh Impact Summary'!K$16</f>
        <v>0</v>
      </c>
      <c r="S74" s="85">
        <f>$L74*'MWh Impact Summary'!M$16</f>
        <v>0</v>
      </c>
      <c r="T74" s="85">
        <f>$L74*'MWh Impact Summary'!O$16</f>
        <v>0</v>
      </c>
      <c r="U74" s="85">
        <f t="shared" si="25"/>
        <v>39853.404776660391</v>
      </c>
      <c r="V74" s="81">
        <f t="shared" si="27"/>
        <v>49733.798044068768</v>
      </c>
      <c r="W74" s="81">
        <f>SUM(V63:V74)</f>
        <v>2324871.9594086087</v>
      </c>
      <c r="X74" s="81">
        <f>+'MWh by mo-WgtbyActulCDH&amp;Days'!AB76</f>
        <v>4527028</v>
      </c>
      <c r="Y74" s="120">
        <f t="shared" si="28"/>
        <v>10.985970938122929</v>
      </c>
      <c r="Z74" s="87">
        <f t="shared" si="29"/>
        <v>3.5438615929428804E-4</v>
      </c>
      <c r="AA74" s="88">
        <f t="shared" si="14"/>
        <v>-1.8233960626699294E-4</v>
      </c>
      <c r="AC74" s="89">
        <f t="shared" si="26"/>
        <v>0</v>
      </c>
      <c r="AD74" s="90">
        <f>SUM(AC63:AC74)</f>
        <v>0</v>
      </c>
      <c r="AE74" s="96">
        <f t="shared" si="20"/>
        <v>0</v>
      </c>
      <c r="AF74" s="92">
        <f t="shared" si="32"/>
        <v>0</v>
      </c>
      <c r="AH74" s="123">
        <f t="shared" si="30"/>
        <v>3.5438615929428804E-4</v>
      </c>
      <c r="AI74" s="121">
        <f t="shared" si="31"/>
        <v>49733.798044068768</v>
      </c>
    </row>
    <row r="75" spans="1:35">
      <c r="A75" s="78">
        <v>2011</v>
      </c>
      <c r="B75" s="78">
        <v>1</v>
      </c>
      <c r="C75" s="116">
        <v>14.087506468892272</v>
      </c>
      <c r="D75" s="80">
        <f t="shared" ref="D75:D85" si="33">C75/(SUM(C$75:C$86))</f>
        <v>6.5197597027992866E-3</v>
      </c>
      <c r="E75" s="100">
        <f>$D75*'MWh Impact Summary'!B$17</f>
        <v>6594.3479495210613</v>
      </c>
      <c r="F75" s="81">
        <f>$D75*'MWh Impact Summary'!L$17</f>
        <v>0</v>
      </c>
      <c r="G75" s="81">
        <f>$D75*'MWh Impact Summary'!C$17</f>
        <v>5498.971212987286</v>
      </c>
      <c r="H75" s="81">
        <f>$D75*'MWh Impact Summary'!D$17</f>
        <v>9.643495539568379</v>
      </c>
      <c r="I75" s="81">
        <f>$D75*'MWh Impact Summary'!E$17</f>
        <v>2361.9728335312893</v>
      </c>
      <c r="J75" s="82">
        <f t="shared" si="24"/>
        <v>14464.935491579206</v>
      </c>
      <c r="K75" s="83">
        <v>31</v>
      </c>
      <c r="L75" s="97">
        <f>K75/(SUM(K75:K86))</f>
        <v>8.4931506849315067E-2</v>
      </c>
      <c r="M75" s="85">
        <f>$L75*'MWh Impact Summary'!F$17</f>
        <v>41360.554028076185</v>
      </c>
      <c r="N75" s="85">
        <f>$L75*'MWh Impact Summary'!G$17</f>
        <v>0</v>
      </c>
      <c r="O75" s="85">
        <f>$L75*'MWh Impact Summary'!H$17</f>
        <v>1310.2888089999105</v>
      </c>
      <c r="P75" s="85">
        <f>$L75*'MWh Impact Summary'!I$17</f>
        <v>673.45338262313226</v>
      </c>
      <c r="Q75" s="85">
        <f>$L75*'MWh Impact Summary'!J$17</f>
        <v>9083.059220915311</v>
      </c>
      <c r="R75" s="85">
        <f>$L75*'MWh Impact Summary'!K$17</f>
        <v>0</v>
      </c>
      <c r="S75" s="85">
        <f>$L75*'MWh Impact Summary'!M$17</f>
        <v>0</v>
      </c>
      <c r="T75" s="85">
        <f>$L75*'MWh Impact Summary'!O$17</f>
        <v>0</v>
      </c>
      <c r="U75" s="85">
        <f t="shared" si="25"/>
        <v>52427.355440614541</v>
      </c>
      <c r="V75" s="81">
        <f t="shared" si="27"/>
        <v>66892.290932193748</v>
      </c>
      <c r="W75" s="81"/>
      <c r="X75" s="81">
        <f>+'MWh by mo-WgtbyActulCDH&amp;Days'!AB77</f>
        <v>4533029</v>
      </c>
      <c r="Y75" s="120">
        <f t="shared" si="28"/>
        <v>14.756643059683437</v>
      </c>
      <c r="Z75" s="87">
        <f t="shared" si="29"/>
        <v>4.7602074386075605E-4</v>
      </c>
      <c r="AA75" s="88">
        <f t="shared" si="14"/>
        <v>7.2349446394032342E-5</v>
      </c>
      <c r="AC75" s="89">
        <f t="shared" si="26"/>
        <v>0</v>
      </c>
      <c r="AD75" s="93"/>
      <c r="AE75" s="96">
        <f t="shared" si="20"/>
        <v>0</v>
      </c>
      <c r="AF75" s="92">
        <f t="shared" si="32"/>
        <v>0</v>
      </c>
      <c r="AH75" s="123">
        <f t="shared" si="30"/>
        <v>4.7602074386075605E-4</v>
      </c>
      <c r="AI75" s="121">
        <f t="shared" si="31"/>
        <v>66892.290932193748</v>
      </c>
    </row>
    <row r="76" spans="1:35">
      <c r="A76" s="78">
        <v>2011</v>
      </c>
      <c r="B76" s="78">
        <v>2</v>
      </c>
      <c r="C76" s="116">
        <v>33.297629086731071</v>
      </c>
      <c r="D76" s="80">
        <f t="shared" si="33"/>
        <v>1.5410288598468843E-2</v>
      </c>
      <c r="E76" s="100">
        <f>$D76*'MWh Impact Summary'!B$17</f>
        <v>15586.587489905414</v>
      </c>
      <c r="F76" s="81">
        <f>$D76*'MWh Impact Summary'!L$17</f>
        <v>0</v>
      </c>
      <c r="G76" s="81">
        <f>$D76*'MWh Impact Summary'!C$17</f>
        <v>12997.52402690893</v>
      </c>
      <c r="H76" s="81">
        <f>$D76*'MWh Impact Summary'!D$17</f>
        <v>22.79363905068308</v>
      </c>
      <c r="I76" s="81">
        <f>$D76*'MWh Impact Summary'!E$17</f>
        <v>5582.8258533565968</v>
      </c>
      <c r="J76" s="82">
        <f t="shared" si="24"/>
        <v>34189.731009221621</v>
      </c>
      <c r="K76" s="83">
        <v>28</v>
      </c>
      <c r="L76" s="97">
        <f>K76/(SUM(K75:K86))</f>
        <v>7.6712328767123292E-2</v>
      </c>
      <c r="M76" s="85">
        <f>$L76*'MWh Impact Summary'!F$17</f>
        <v>37357.919767294625</v>
      </c>
      <c r="N76" s="85">
        <f>$L76*'MWh Impact Summary'!G$17</f>
        <v>0</v>
      </c>
      <c r="O76" s="85">
        <f>$L76*'MWh Impact Summary'!H$17</f>
        <v>1183.4866661934677</v>
      </c>
      <c r="P76" s="85">
        <f>$L76*'MWh Impact Summary'!I$17</f>
        <v>608.28047462734526</v>
      </c>
      <c r="Q76" s="85">
        <f>$L76*'MWh Impact Summary'!J$17</f>
        <v>8204.0534898589904</v>
      </c>
      <c r="R76" s="85">
        <f>$L76*'MWh Impact Summary'!K$17</f>
        <v>0</v>
      </c>
      <c r="S76" s="85">
        <f>$L76*'MWh Impact Summary'!M$17</f>
        <v>0</v>
      </c>
      <c r="T76" s="85">
        <f>$L76*'MWh Impact Summary'!O$17</f>
        <v>0</v>
      </c>
      <c r="U76" s="85">
        <f t="shared" si="25"/>
        <v>47353.740397974427</v>
      </c>
      <c r="V76" s="81">
        <f t="shared" si="27"/>
        <v>81543.471407196048</v>
      </c>
      <c r="W76" s="81"/>
      <c r="X76" s="81">
        <f>+'MWh by mo-WgtbyActulCDH&amp;Days'!AB78</f>
        <v>4539389</v>
      </c>
      <c r="Y76" s="120">
        <f t="shared" si="28"/>
        <v>17.963534609436653</v>
      </c>
      <c r="Z76" s="87">
        <f t="shared" si="29"/>
        <v>6.415548074798805E-4</v>
      </c>
      <c r="AA76" s="88">
        <f t="shared" si="14"/>
        <v>2.838684296908273E-4</v>
      </c>
      <c r="AC76" s="89">
        <f t="shared" si="26"/>
        <v>0</v>
      </c>
      <c r="AD76" s="93"/>
      <c r="AE76" s="96">
        <f t="shared" si="20"/>
        <v>0</v>
      </c>
      <c r="AF76" s="92">
        <f t="shared" si="32"/>
        <v>0</v>
      </c>
      <c r="AH76" s="123">
        <f t="shared" si="30"/>
        <v>6.415548074798805E-4</v>
      </c>
      <c r="AI76" s="121">
        <f t="shared" si="31"/>
        <v>81543.471407196048</v>
      </c>
    </row>
    <row r="77" spans="1:35">
      <c r="A77" s="78">
        <v>2011</v>
      </c>
      <c r="B77" s="78">
        <v>3</v>
      </c>
      <c r="C77" s="116">
        <v>71.929921377919044</v>
      </c>
      <c r="D77" s="80">
        <f t="shared" si="33"/>
        <v>3.328948269595032E-2</v>
      </c>
      <c r="E77" s="100">
        <f>$D77*'MWh Impact Summary'!B$17</f>
        <v>33670.325589209053</v>
      </c>
      <c r="F77" s="81">
        <f>$D77*'MWh Impact Summary'!L$17</f>
        <v>0</v>
      </c>
      <c r="G77" s="81">
        <f>$D77*'MWh Impact Summary'!C$17</f>
        <v>28077.400914281014</v>
      </c>
      <c r="H77" s="81">
        <f>$D77*'MWh Impact Summary'!D$17</f>
        <v>49.23908127397722</v>
      </c>
      <c r="I77" s="81">
        <f>$D77*'MWh Impact Summary'!E$17</f>
        <v>12060.084628024708</v>
      </c>
      <c r="J77" s="82">
        <f t="shared" si="24"/>
        <v>73857.050212788745</v>
      </c>
      <c r="K77" s="83">
        <v>31</v>
      </c>
      <c r="L77" s="97">
        <f>K77/(SUM(K75:K86))</f>
        <v>8.4931506849315067E-2</v>
      </c>
      <c r="M77" s="85">
        <f>$L77*'MWh Impact Summary'!F$17</f>
        <v>41360.554028076185</v>
      </c>
      <c r="N77" s="85">
        <f>$L77*'MWh Impact Summary'!G$17</f>
        <v>0</v>
      </c>
      <c r="O77" s="85">
        <f>$L77*'MWh Impact Summary'!H$17</f>
        <v>1310.2888089999105</v>
      </c>
      <c r="P77" s="85">
        <f>$L77*'MWh Impact Summary'!I$17</f>
        <v>673.45338262313226</v>
      </c>
      <c r="Q77" s="85">
        <f>$L77*'MWh Impact Summary'!J$17</f>
        <v>9083.059220915311</v>
      </c>
      <c r="R77" s="85">
        <f>$L77*'MWh Impact Summary'!K$17</f>
        <v>0</v>
      </c>
      <c r="S77" s="85">
        <f>$L77*'MWh Impact Summary'!M$17</f>
        <v>0</v>
      </c>
      <c r="T77" s="85">
        <f>$L77*'MWh Impact Summary'!O$17</f>
        <v>0</v>
      </c>
      <c r="U77" s="85">
        <f t="shared" si="25"/>
        <v>52427.355440614541</v>
      </c>
      <c r="V77" s="81">
        <f t="shared" si="27"/>
        <v>126284.40565340329</v>
      </c>
      <c r="W77" s="81"/>
      <c r="X77" s="81">
        <f>+'MWh by mo-WgtbyActulCDH&amp;Days'!AB79</f>
        <v>4546574</v>
      </c>
      <c r="Y77" s="120">
        <f t="shared" si="28"/>
        <v>27.775728637299927</v>
      </c>
      <c r="Z77" s="87">
        <f t="shared" si="29"/>
        <v>8.9599124636451381E-4</v>
      </c>
      <c r="AA77" s="88">
        <f t="shared" si="14"/>
        <v>5.1916704568712125E-4</v>
      </c>
      <c r="AC77" s="89">
        <f t="shared" si="26"/>
        <v>0</v>
      </c>
      <c r="AD77" s="93"/>
      <c r="AE77" s="96">
        <f t="shared" si="20"/>
        <v>0</v>
      </c>
      <c r="AF77" s="92">
        <f t="shared" si="32"/>
        <v>0</v>
      </c>
      <c r="AH77" s="123">
        <f t="shared" si="30"/>
        <v>8.9599124636451381E-4</v>
      </c>
      <c r="AI77" s="121">
        <f t="shared" si="31"/>
        <v>126284.40565340329</v>
      </c>
    </row>
    <row r="78" spans="1:35">
      <c r="A78" s="78">
        <v>2011</v>
      </c>
      <c r="B78" s="78">
        <v>4</v>
      </c>
      <c r="C78" s="116">
        <v>194.05680206145911</v>
      </c>
      <c r="D78" s="80">
        <f t="shared" si="33"/>
        <v>8.9810338041596938E-2</v>
      </c>
      <c r="E78" s="100">
        <f>$D78*'MWh Impact Summary'!B$17</f>
        <v>90837.798555078203</v>
      </c>
      <c r="F78" s="81">
        <f>$D78*'MWh Impact Summary'!L$17</f>
        <v>0</v>
      </c>
      <c r="G78" s="81">
        <f>$D78*'MWh Impact Summary'!C$17</f>
        <v>75748.875116878262</v>
      </c>
      <c r="H78" s="81">
        <f>$D78*'MWh Impact Summary'!D$17</f>
        <v>132.84010972665308</v>
      </c>
      <c r="I78" s="81">
        <f>$D78*'MWh Impact Summary'!E$17</f>
        <v>32536.410587867977</v>
      </c>
      <c r="J78" s="82">
        <f t="shared" si="24"/>
        <v>199255.9243695511</v>
      </c>
      <c r="K78" s="83">
        <v>30</v>
      </c>
      <c r="L78" s="97">
        <f>K78/(SUM(K75:K86))</f>
        <v>8.2191780821917804E-2</v>
      </c>
      <c r="M78" s="85">
        <f>$L78*'MWh Impact Summary'!F$17</f>
        <v>40026.342607815663</v>
      </c>
      <c r="N78" s="85">
        <f>$L78*'MWh Impact Summary'!G$17</f>
        <v>0</v>
      </c>
      <c r="O78" s="85">
        <f>$L78*'MWh Impact Summary'!H$17</f>
        <v>1268.0214280644295</v>
      </c>
      <c r="P78" s="85">
        <f>$L78*'MWh Impact Summary'!I$17</f>
        <v>651.72907995786989</v>
      </c>
      <c r="Q78" s="85">
        <f>$L78*'MWh Impact Summary'!J$17</f>
        <v>8790.0573105632047</v>
      </c>
      <c r="R78" s="85">
        <f>$L78*'MWh Impact Summary'!K$17</f>
        <v>0</v>
      </c>
      <c r="S78" s="85">
        <f>$L78*'MWh Impact Summary'!M$17</f>
        <v>0</v>
      </c>
      <c r="T78" s="85">
        <f>$L78*'MWh Impact Summary'!O$17</f>
        <v>0</v>
      </c>
      <c r="U78" s="85">
        <f t="shared" si="25"/>
        <v>50736.150426401167</v>
      </c>
      <c r="V78" s="81">
        <f t="shared" si="27"/>
        <v>249992.07479595227</v>
      </c>
      <c r="W78" s="81"/>
      <c r="X78" s="81">
        <f>+'MWh by mo-WgtbyActulCDH&amp;Days'!AB80</f>
        <v>4550254</v>
      </c>
      <c r="Y78" s="120">
        <f t="shared" si="28"/>
        <v>54.940246148006743</v>
      </c>
      <c r="Z78" s="87">
        <f t="shared" si="29"/>
        <v>1.8313415382668913E-3</v>
      </c>
      <c r="AA78" s="88">
        <f t="shared" si="14"/>
        <v>9.9850503100090389E-4</v>
      </c>
      <c r="AC78" s="89">
        <f t="shared" si="26"/>
        <v>0</v>
      </c>
      <c r="AD78" s="93"/>
      <c r="AE78" s="96">
        <f t="shared" si="20"/>
        <v>0</v>
      </c>
      <c r="AF78" s="92">
        <f t="shared" si="32"/>
        <v>0</v>
      </c>
      <c r="AH78" s="123">
        <f t="shared" si="30"/>
        <v>1.8313415382668913E-3</v>
      </c>
      <c r="AI78" s="121">
        <f t="shared" si="31"/>
        <v>249992.07479595227</v>
      </c>
    </row>
    <row r="79" spans="1:35">
      <c r="A79" s="78">
        <v>2011</v>
      </c>
      <c r="B79" s="78">
        <v>5</v>
      </c>
      <c r="C79" s="116">
        <v>225.86808616688504</v>
      </c>
      <c r="D79" s="80">
        <f t="shared" si="33"/>
        <v>0.10453273967192349</v>
      </c>
      <c r="E79" s="100">
        <f>$D79*'MWh Impact Summary'!B$17</f>
        <v>105728.62941825952</v>
      </c>
      <c r="F79" s="81">
        <f>$D79*'MWh Impact Summary'!L$17</f>
        <v>0</v>
      </c>
      <c r="G79" s="81">
        <f>$D79*'MWh Impact Summary'!C$17</f>
        <v>88166.213552901158</v>
      </c>
      <c r="H79" s="81">
        <f>$D79*'MWh Impact Summary'!D$17</f>
        <v>154.61628261118909</v>
      </c>
      <c r="I79" s="81">
        <f>$D79*'MWh Impact Summary'!E$17</f>
        <v>37870.029353025493</v>
      </c>
      <c r="J79" s="82">
        <f t="shared" si="24"/>
        <v>231919.48860679733</v>
      </c>
      <c r="K79" s="83">
        <v>31</v>
      </c>
      <c r="L79" s="97">
        <f>K79/(SUM(K75:K86))</f>
        <v>8.4931506849315067E-2</v>
      </c>
      <c r="M79" s="85">
        <f>$L79*'MWh Impact Summary'!F$17</f>
        <v>41360.554028076185</v>
      </c>
      <c r="N79" s="85">
        <f>$L79*'MWh Impact Summary'!G$17</f>
        <v>0</v>
      </c>
      <c r="O79" s="85">
        <f>$L79*'MWh Impact Summary'!H$17</f>
        <v>1310.2888089999105</v>
      </c>
      <c r="P79" s="85">
        <f>$L79*'MWh Impact Summary'!I$17</f>
        <v>673.45338262313226</v>
      </c>
      <c r="Q79" s="85">
        <f>$L79*'MWh Impact Summary'!J$17</f>
        <v>9083.059220915311</v>
      </c>
      <c r="R79" s="85">
        <f>$L79*'MWh Impact Summary'!K$17</f>
        <v>0</v>
      </c>
      <c r="S79" s="85">
        <f>$L79*'MWh Impact Summary'!M$17</f>
        <v>0</v>
      </c>
      <c r="T79" s="85">
        <f>$L79*'MWh Impact Summary'!O$17</f>
        <v>0</v>
      </c>
      <c r="U79" s="85">
        <f t="shared" si="25"/>
        <v>52427.355440614541</v>
      </c>
      <c r="V79" s="81">
        <f t="shared" si="27"/>
        <v>284346.84404741187</v>
      </c>
      <c r="W79" s="81"/>
      <c r="X79" s="81">
        <f>+'MWh by mo-WgtbyActulCDH&amp;Days'!AB81</f>
        <v>4549811</v>
      </c>
      <c r="Y79" s="120">
        <f t="shared" si="28"/>
        <v>62.496407883187203</v>
      </c>
      <c r="Z79" s="87">
        <f t="shared" si="29"/>
        <v>2.0160131575221677E-3</v>
      </c>
      <c r="AA79" s="88">
        <f t="shared" ref="AA79:AA142" si="34">Z79-Z67</f>
        <v>2.0549702558121099E-4</v>
      </c>
      <c r="AC79" s="89">
        <f t="shared" si="26"/>
        <v>0</v>
      </c>
      <c r="AD79" s="93"/>
      <c r="AE79" s="96">
        <f t="shared" si="20"/>
        <v>0</v>
      </c>
      <c r="AF79" s="92">
        <f t="shared" si="32"/>
        <v>0</v>
      </c>
      <c r="AH79" s="123">
        <f t="shared" si="30"/>
        <v>2.0160131575221677E-3</v>
      </c>
      <c r="AI79" s="121">
        <f t="shared" si="31"/>
        <v>284346.84404741187</v>
      </c>
    </row>
    <row r="80" spans="1:35">
      <c r="A80" s="78">
        <v>2011</v>
      </c>
      <c r="B80" s="78">
        <v>6</v>
      </c>
      <c r="C80" s="116">
        <v>319.23238938915313</v>
      </c>
      <c r="D80" s="80">
        <f t="shared" si="33"/>
        <v>0.14774214817673048</v>
      </c>
      <c r="E80" s="100">
        <f>$D80*'MWh Impact Summary'!B$17</f>
        <v>149432.36810840672</v>
      </c>
      <c r="F80" s="81">
        <f>$D80*'MWh Impact Summary'!L$17</f>
        <v>0</v>
      </c>
      <c r="G80" s="81">
        <f>$D80*'MWh Impact Summary'!C$17</f>
        <v>124610.39314377226</v>
      </c>
      <c r="H80" s="81">
        <f>$D80*'MWh Impact Summary'!D$17</f>
        <v>218.52810715352408</v>
      </c>
      <c r="I80" s="81">
        <f>$D80*'MWh Impact Summary'!E$17</f>
        <v>53523.896012787562</v>
      </c>
      <c r="J80" s="82">
        <f t="shared" si="24"/>
        <v>327785.18537212012</v>
      </c>
      <c r="K80" s="83">
        <v>30</v>
      </c>
      <c r="L80" s="97">
        <f>K80/(SUM(K75:K86))</f>
        <v>8.2191780821917804E-2</v>
      </c>
      <c r="M80" s="85">
        <f>$L80*'MWh Impact Summary'!F$17</f>
        <v>40026.342607815663</v>
      </c>
      <c r="N80" s="85">
        <f>$L80*'MWh Impact Summary'!G$17</f>
        <v>0</v>
      </c>
      <c r="O80" s="85">
        <f>$L80*'MWh Impact Summary'!H$17</f>
        <v>1268.0214280644295</v>
      </c>
      <c r="P80" s="85">
        <f>$L80*'MWh Impact Summary'!I$17</f>
        <v>651.72907995786989</v>
      </c>
      <c r="Q80" s="85">
        <f>$L80*'MWh Impact Summary'!J$17</f>
        <v>8790.0573105632047</v>
      </c>
      <c r="R80" s="85">
        <f>$L80*'MWh Impact Summary'!K$17</f>
        <v>0</v>
      </c>
      <c r="S80" s="85">
        <f>$L80*'MWh Impact Summary'!M$17</f>
        <v>0</v>
      </c>
      <c r="T80" s="85">
        <f>$L80*'MWh Impact Summary'!O$17</f>
        <v>0</v>
      </c>
      <c r="U80" s="85">
        <f t="shared" si="25"/>
        <v>50736.150426401167</v>
      </c>
      <c r="V80" s="81">
        <f t="shared" si="27"/>
        <v>378521.33579852129</v>
      </c>
      <c r="W80" s="81"/>
      <c r="X80" s="81">
        <f>+'MWh by mo-WgtbyActulCDH&amp;Days'!AB82</f>
        <v>4549338</v>
      </c>
      <c r="Y80" s="120">
        <f t="shared" si="28"/>
        <v>83.20360804110868</v>
      </c>
      <c r="Z80" s="87">
        <f t="shared" si="29"/>
        <v>2.7734536013702894E-3</v>
      </c>
      <c r="AA80" s="88">
        <f t="shared" si="34"/>
        <v>6.5659595810921029E-5</v>
      </c>
      <c r="AC80" s="89">
        <f t="shared" si="26"/>
        <v>0</v>
      </c>
      <c r="AD80" s="93"/>
      <c r="AE80" s="96">
        <f t="shared" si="20"/>
        <v>0</v>
      </c>
      <c r="AF80" s="92">
        <f t="shared" si="32"/>
        <v>0</v>
      </c>
      <c r="AH80" s="123">
        <f t="shared" si="30"/>
        <v>2.7734536013702894E-3</v>
      </c>
      <c r="AI80" s="121">
        <f t="shared" si="31"/>
        <v>378521.33579852129</v>
      </c>
    </row>
    <row r="81" spans="1:35">
      <c r="A81" s="78">
        <v>2011</v>
      </c>
      <c r="B81" s="78">
        <v>7</v>
      </c>
      <c r="C81" s="79">
        <v>370.40277656986956</v>
      </c>
      <c r="D81" s="80">
        <f t="shared" si="33"/>
        <v>0.17142402751103011</v>
      </c>
      <c r="E81" s="100">
        <f>$D81*'MWh Impact Summary'!B$17</f>
        <v>173385.17611786345</v>
      </c>
      <c r="F81" s="81">
        <f>$D81*'MWh Impact Summary'!L$17</f>
        <v>0</v>
      </c>
      <c r="G81" s="81">
        <f>$D81*'MWh Impact Summary'!C$17</f>
        <v>144584.43799589144</v>
      </c>
      <c r="H81" s="81">
        <f>$D81*'MWh Impact Summary'!D$17</f>
        <v>253.55640698961477</v>
      </c>
      <c r="I81" s="81">
        <f>$D81*'MWh Impact Summary'!E$17</f>
        <v>62103.346511640368</v>
      </c>
      <c r="J81" s="82">
        <f t="shared" si="24"/>
        <v>380326.51703238487</v>
      </c>
      <c r="K81" s="83">
        <v>31</v>
      </c>
      <c r="L81" s="97">
        <f>K81/(SUM(K75:K86))</f>
        <v>8.4931506849315067E-2</v>
      </c>
      <c r="M81" s="85">
        <f>$L81*'MWh Impact Summary'!F$17</f>
        <v>41360.554028076185</v>
      </c>
      <c r="N81" s="85">
        <f>$L81*'MWh Impact Summary'!G$17</f>
        <v>0</v>
      </c>
      <c r="O81" s="85">
        <f>$L81*'MWh Impact Summary'!H$17</f>
        <v>1310.2888089999105</v>
      </c>
      <c r="P81" s="85">
        <f>$L81*'MWh Impact Summary'!I$17</f>
        <v>673.45338262313226</v>
      </c>
      <c r="Q81" s="85">
        <f>$L81*'MWh Impact Summary'!J$17</f>
        <v>9083.059220915311</v>
      </c>
      <c r="R81" s="85">
        <f>$L81*'MWh Impact Summary'!K$17</f>
        <v>0</v>
      </c>
      <c r="S81" s="85">
        <f>$L81*'MWh Impact Summary'!M$17</f>
        <v>0</v>
      </c>
      <c r="T81" s="85">
        <f>$L81*'MWh Impact Summary'!O$17</f>
        <v>0</v>
      </c>
      <c r="U81" s="85">
        <f t="shared" si="25"/>
        <v>52427.355440614541</v>
      </c>
      <c r="V81" s="81">
        <f t="shared" si="27"/>
        <v>432753.87247299938</v>
      </c>
      <c r="W81" s="81"/>
      <c r="X81" s="81">
        <f>+'MWh by mo-WgtbyActulCDH&amp;Days'!AB83</f>
        <v>4549687</v>
      </c>
      <c r="Y81" s="120">
        <f t="shared" si="28"/>
        <v>95.117284435830285</v>
      </c>
      <c r="Z81" s="87">
        <f t="shared" si="29"/>
        <v>3.0682994979300093E-3</v>
      </c>
      <c r="AA81" s="88">
        <f t="shared" si="34"/>
        <v>4.9603424750121897E-4</v>
      </c>
      <c r="AC81" s="89">
        <f t="shared" si="26"/>
        <v>0</v>
      </c>
      <c r="AD81" s="93"/>
      <c r="AE81" s="96">
        <f t="shared" si="20"/>
        <v>0</v>
      </c>
      <c r="AF81" s="92">
        <f t="shared" si="32"/>
        <v>0</v>
      </c>
      <c r="AH81" s="123">
        <f t="shared" si="30"/>
        <v>3.0682994979300093E-3</v>
      </c>
      <c r="AI81" s="121">
        <f t="shared" si="31"/>
        <v>432753.87247299938</v>
      </c>
    </row>
    <row r="82" spans="1:35">
      <c r="A82" s="78">
        <v>2011</v>
      </c>
      <c r="B82" s="78">
        <v>8</v>
      </c>
      <c r="C82" s="79">
        <v>342.38255905344039</v>
      </c>
      <c r="D82" s="80">
        <f t="shared" si="33"/>
        <v>0.15845614810450157</v>
      </c>
      <c r="E82" s="100">
        <f>$D82*'MWh Impact Summary'!B$17</f>
        <v>160268.93980360762</v>
      </c>
      <c r="F82" s="81">
        <f>$D82*'MWh Impact Summary'!L$17</f>
        <v>0</v>
      </c>
      <c r="G82" s="81">
        <f>$D82*'MWh Impact Summary'!C$17</f>
        <v>133646.91900736585</v>
      </c>
      <c r="H82" s="81">
        <f>$D82*'MWh Impact Summary'!D$17</f>
        <v>234.37537994028574</v>
      </c>
      <c r="I82" s="81">
        <f>$D82*'MWh Impact Summary'!E$17</f>
        <v>57405.35452068106</v>
      </c>
      <c r="J82" s="82">
        <f t="shared" si="24"/>
        <v>351555.58871159481</v>
      </c>
      <c r="K82" s="83">
        <v>31</v>
      </c>
      <c r="L82" s="97">
        <f>K82/(SUM(K75:K86))</f>
        <v>8.4931506849315067E-2</v>
      </c>
      <c r="M82" s="85">
        <f>$L82*'MWh Impact Summary'!F$17</f>
        <v>41360.554028076185</v>
      </c>
      <c r="N82" s="85">
        <f>$L82*'MWh Impact Summary'!G$17</f>
        <v>0</v>
      </c>
      <c r="O82" s="85">
        <f>$L82*'MWh Impact Summary'!H$17</f>
        <v>1310.2888089999105</v>
      </c>
      <c r="P82" s="85">
        <f>$L82*'MWh Impact Summary'!I$17</f>
        <v>673.45338262313226</v>
      </c>
      <c r="Q82" s="85">
        <f>$L82*'MWh Impact Summary'!J$17</f>
        <v>9083.059220915311</v>
      </c>
      <c r="R82" s="85">
        <f>$L82*'MWh Impact Summary'!K$17</f>
        <v>0</v>
      </c>
      <c r="S82" s="85">
        <f>$L82*'MWh Impact Summary'!M$17</f>
        <v>0</v>
      </c>
      <c r="T82" s="85">
        <f>$L82*'MWh Impact Summary'!O$17</f>
        <v>0</v>
      </c>
      <c r="U82" s="85">
        <f t="shared" si="25"/>
        <v>52427.355440614541</v>
      </c>
      <c r="V82" s="81">
        <f t="shared" si="27"/>
        <v>403982.94415220933</v>
      </c>
      <c r="W82" s="81"/>
      <c r="X82" s="81">
        <f>+'MWh by mo-WgtbyActulCDH&amp;Days'!AB84</f>
        <v>4550328</v>
      </c>
      <c r="Y82" s="120">
        <f t="shared" si="28"/>
        <v>88.781060211969191</v>
      </c>
      <c r="Z82" s="87">
        <f t="shared" si="29"/>
        <v>2.8639051681280383E-3</v>
      </c>
      <c r="AA82" s="88">
        <f t="shared" si="34"/>
        <v>2.3335708295622176E-4</v>
      </c>
      <c r="AC82" s="89">
        <f t="shared" si="26"/>
        <v>0</v>
      </c>
      <c r="AD82" s="93"/>
      <c r="AE82" s="96">
        <f t="shared" si="20"/>
        <v>0</v>
      </c>
      <c r="AF82" s="92">
        <f t="shared" si="32"/>
        <v>0</v>
      </c>
      <c r="AH82" s="123">
        <f t="shared" si="30"/>
        <v>2.8639051681280383E-3</v>
      </c>
      <c r="AI82" s="121">
        <f t="shared" si="31"/>
        <v>403982.94415220933</v>
      </c>
    </row>
    <row r="83" spans="1:35">
      <c r="A83" s="78">
        <v>2011</v>
      </c>
      <c r="B83" s="78">
        <v>9</v>
      </c>
      <c r="C83" s="79">
        <v>298.65346555739433</v>
      </c>
      <c r="D83" s="80">
        <f t="shared" si="33"/>
        <v>0.13821813208335387</v>
      </c>
      <c r="E83" s="100">
        <f>$D83*'MWh Impact Summary'!B$17</f>
        <v>139799.39406342802</v>
      </c>
      <c r="F83" s="81">
        <f>$D83*'MWh Impact Summary'!L$17</f>
        <v>0</v>
      </c>
      <c r="G83" s="81">
        <f>$D83*'MWh Impact Summary'!C$17</f>
        <v>116577.53722317456</v>
      </c>
      <c r="H83" s="81">
        <f>$D83*'MWh Impact Summary'!D$17</f>
        <v>204.4409611693215</v>
      </c>
      <c r="I83" s="81">
        <f>$D83*'MWh Impact Summary'!E$17</f>
        <v>50073.543805939837</v>
      </c>
      <c r="J83" s="82">
        <f t="shared" si="24"/>
        <v>306654.91605371173</v>
      </c>
      <c r="K83" s="83">
        <v>30</v>
      </c>
      <c r="L83" s="97">
        <f>K83/(SUM(K75:K86))</f>
        <v>8.2191780821917804E-2</v>
      </c>
      <c r="M83" s="85">
        <f>$L83*'MWh Impact Summary'!F$17</f>
        <v>40026.342607815663</v>
      </c>
      <c r="N83" s="85">
        <f>$L83*'MWh Impact Summary'!G$17</f>
        <v>0</v>
      </c>
      <c r="O83" s="85">
        <f>$L83*'MWh Impact Summary'!H$17</f>
        <v>1268.0214280644295</v>
      </c>
      <c r="P83" s="85">
        <f>$L83*'MWh Impact Summary'!I$17</f>
        <v>651.72907995786989</v>
      </c>
      <c r="Q83" s="85">
        <f>$L83*'MWh Impact Summary'!J$17</f>
        <v>8790.0573105632047</v>
      </c>
      <c r="R83" s="85">
        <f>$L83*'MWh Impact Summary'!K$17</f>
        <v>0</v>
      </c>
      <c r="S83" s="85">
        <f>$L83*'MWh Impact Summary'!M$17</f>
        <v>0</v>
      </c>
      <c r="T83" s="85">
        <f>$L83*'MWh Impact Summary'!O$17</f>
        <v>0</v>
      </c>
      <c r="U83" s="85">
        <f t="shared" si="25"/>
        <v>50736.150426401167</v>
      </c>
      <c r="V83" s="81">
        <f t="shared" si="27"/>
        <v>357391.0664801129</v>
      </c>
      <c r="W83" s="81"/>
      <c r="X83" s="81">
        <f>+'MWh by mo-WgtbyActulCDH&amp;Days'!AB85</f>
        <v>4545995</v>
      </c>
      <c r="Y83" s="120">
        <f t="shared" si="28"/>
        <v>78.61668710152847</v>
      </c>
      <c r="Z83" s="87">
        <f t="shared" si="29"/>
        <v>2.620556236717616E-3</v>
      </c>
      <c r="AA83" s="88">
        <f t="shared" si="34"/>
        <v>1.2652429464484437E-4</v>
      </c>
      <c r="AC83" s="89">
        <f t="shared" si="26"/>
        <v>0</v>
      </c>
      <c r="AD83" s="93"/>
      <c r="AE83" s="96">
        <f t="shared" si="20"/>
        <v>0</v>
      </c>
      <c r="AF83" s="92">
        <f t="shared" si="32"/>
        <v>0</v>
      </c>
      <c r="AH83" s="123">
        <f t="shared" si="30"/>
        <v>2.620556236717616E-3</v>
      </c>
      <c r="AI83" s="121">
        <f t="shared" si="31"/>
        <v>357391.0664801129</v>
      </c>
    </row>
    <row r="84" spans="1:35">
      <c r="A84" s="78">
        <v>2011</v>
      </c>
      <c r="B84" s="78">
        <v>10</v>
      </c>
      <c r="C84" s="79">
        <v>161.51919520840667</v>
      </c>
      <c r="D84" s="80">
        <f t="shared" si="33"/>
        <v>7.4751791062080422E-2</v>
      </c>
      <c r="E84" s="100">
        <f>$D84*'MWh Impact Summary'!B$17</f>
        <v>75606.97672670531</v>
      </c>
      <c r="F84" s="81">
        <f>$D84*'MWh Impact Summary'!L$17</f>
        <v>0</v>
      </c>
      <c r="G84" s="81">
        <f>$D84*'MWh Impact Summary'!C$17</f>
        <v>63048.021078619058</v>
      </c>
      <c r="H84" s="81">
        <f>$D84*'MWh Impact Summary'!D$17</f>
        <v>110.5667381226354</v>
      </c>
      <c r="I84" s="81">
        <f>$D84*'MWh Impact Summary'!E$17</f>
        <v>27081.013380084161</v>
      </c>
      <c r="J84" s="82">
        <f t="shared" si="24"/>
        <v>165846.57792353118</v>
      </c>
      <c r="K84" s="83">
        <v>31</v>
      </c>
      <c r="L84" s="97">
        <f>K84/(SUM(K75:K86))</f>
        <v>8.4931506849315067E-2</v>
      </c>
      <c r="M84" s="85">
        <f>$L84*'MWh Impact Summary'!F$17</f>
        <v>41360.554028076185</v>
      </c>
      <c r="N84" s="85">
        <f>$L84*'MWh Impact Summary'!G$17</f>
        <v>0</v>
      </c>
      <c r="O84" s="85">
        <f>$L84*'MWh Impact Summary'!H$17</f>
        <v>1310.2888089999105</v>
      </c>
      <c r="P84" s="85">
        <f>$L84*'MWh Impact Summary'!I$17</f>
        <v>673.45338262313226</v>
      </c>
      <c r="Q84" s="85">
        <f>$L84*'MWh Impact Summary'!J$17</f>
        <v>9083.059220915311</v>
      </c>
      <c r="R84" s="85">
        <f>$L84*'MWh Impact Summary'!K$17</f>
        <v>0</v>
      </c>
      <c r="S84" s="85">
        <f>$L84*'MWh Impact Summary'!M$17</f>
        <v>0</v>
      </c>
      <c r="T84" s="85">
        <f>$L84*'MWh Impact Summary'!O$17</f>
        <v>0</v>
      </c>
      <c r="U84" s="85">
        <f t="shared" si="25"/>
        <v>52427.355440614541</v>
      </c>
      <c r="V84" s="81">
        <f t="shared" si="27"/>
        <v>218273.93336414572</v>
      </c>
      <c r="W84" s="81"/>
      <c r="X84" s="81">
        <f>+'MWh by mo-WgtbyActulCDH&amp;Days'!AB86</f>
        <v>4546841</v>
      </c>
      <c r="Y84" s="120">
        <f t="shared" si="28"/>
        <v>48.005622665086754</v>
      </c>
      <c r="Z84" s="87">
        <f t="shared" si="29"/>
        <v>1.5485684730673147E-3</v>
      </c>
      <c r="AA84" s="88">
        <f t="shared" si="34"/>
        <v>1.252294732073311E-4</v>
      </c>
      <c r="AC84" s="89">
        <f t="shared" si="26"/>
        <v>0</v>
      </c>
      <c r="AD84" s="93"/>
      <c r="AE84" s="96">
        <f t="shared" si="20"/>
        <v>0</v>
      </c>
      <c r="AF84" s="92">
        <f t="shared" si="32"/>
        <v>0</v>
      </c>
      <c r="AH84" s="123">
        <f t="shared" si="30"/>
        <v>1.5485684730673147E-3</v>
      </c>
      <c r="AI84" s="121">
        <f t="shared" si="31"/>
        <v>218273.93336414572</v>
      </c>
    </row>
    <row r="85" spans="1:35">
      <c r="A85" s="78">
        <v>2011</v>
      </c>
      <c r="B85" s="78">
        <v>11</v>
      </c>
      <c r="C85" s="79">
        <v>81.388173550047853</v>
      </c>
      <c r="D85" s="80">
        <f t="shared" si="33"/>
        <v>3.7666803232194811E-2</v>
      </c>
      <c r="E85" s="100">
        <f>$D85*'MWh Impact Summary'!B$17</f>
        <v>38097.724146580229</v>
      </c>
      <c r="F85" s="81">
        <f>$D85*'MWh Impact Summary'!L$17</f>
        <v>0</v>
      </c>
      <c r="G85" s="81">
        <f>$D85*'MWh Impact Summary'!C$17</f>
        <v>31769.371280687559</v>
      </c>
      <c r="H85" s="81">
        <f>$D85*'MWh Impact Summary'!D$17</f>
        <v>55.713655950159016</v>
      </c>
      <c r="I85" s="81">
        <f>$D85*'MWh Impact Summary'!E$17</f>
        <v>13645.896477168313</v>
      </c>
      <c r="J85" s="82">
        <f t="shared" si="24"/>
        <v>83568.705560386254</v>
      </c>
      <c r="K85" s="83">
        <v>30</v>
      </c>
      <c r="L85" s="97">
        <f>K85/(SUM(K75:K86))</f>
        <v>8.2191780821917804E-2</v>
      </c>
      <c r="M85" s="85">
        <f>$L85*'MWh Impact Summary'!F$17</f>
        <v>40026.342607815663</v>
      </c>
      <c r="N85" s="85">
        <f>$L85*'MWh Impact Summary'!G$17</f>
        <v>0</v>
      </c>
      <c r="O85" s="85">
        <f>$L85*'MWh Impact Summary'!H$17</f>
        <v>1268.0214280644295</v>
      </c>
      <c r="P85" s="85">
        <f>$L85*'MWh Impact Summary'!I$17</f>
        <v>651.72907995786989</v>
      </c>
      <c r="Q85" s="85">
        <f>$L85*'MWh Impact Summary'!J$17</f>
        <v>8790.0573105632047</v>
      </c>
      <c r="R85" s="85">
        <f>$L85*'MWh Impact Summary'!K$17</f>
        <v>0</v>
      </c>
      <c r="S85" s="85">
        <f>$L85*'MWh Impact Summary'!M$17</f>
        <v>0</v>
      </c>
      <c r="T85" s="85">
        <f>$L85*'MWh Impact Summary'!O$17</f>
        <v>0</v>
      </c>
      <c r="U85" s="85">
        <f t="shared" si="25"/>
        <v>50736.150426401167</v>
      </c>
      <c r="V85" s="81">
        <f t="shared" si="27"/>
        <v>134304.85598678741</v>
      </c>
      <c r="W85" s="81"/>
      <c r="X85" s="81">
        <f>+'MWh by mo-WgtbyActulCDH&amp;Days'!AB87</f>
        <v>4549257</v>
      </c>
      <c r="Y85" s="120">
        <f t="shared" si="28"/>
        <v>29.52237167229449</v>
      </c>
      <c r="Z85" s="87">
        <f t="shared" si="29"/>
        <v>9.840790557431498E-4</v>
      </c>
      <c r="AA85" s="88">
        <f t="shared" si="34"/>
        <v>1.0866959519970066E-4</v>
      </c>
      <c r="AC85" s="89">
        <f t="shared" si="26"/>
        <v>0</v>
      </c>
      <c r="AD85" s="93"/>
      <c r="AE85" s="96">
        <f t="shared" si="20"/>
        <v>0</v>
      </c>
      <c r="AF85" s="92">
        <f t="shared" si="32"/>
        <v>0</v>
      </c>
      <c r="AH85" s="123">
        <f t="shared" si="30"/>
        <v>9.840790557431498E-4</v>
      </c>
      <c r="AI85" s="121">
        <f t="shared" si="31"/>
        <v>134304.85598678741</v>
      </c>
    </row>
    <row r="86" spans="1:35">
      <c r="A86" s="78">
        <v>2011</v>
      </c>
      <c r="B86" s="78">
        <v>12</v>
      </c>
      <c r="C86" s="79">
        <v>47.92163181325175</v>
      </c>
      <c r="D86" s="80">
        <f>C86/(SUM(C$75:C$86))</f>
        <v>2.2178341119369911E-2</v>
      </c>
      <c r="E86" s="100">
        <f>$D86*'MWh Impact Summary'!B$17</f>
        <v>22432.068810987283</v>
      </c>
      <c r="F86" s="81">
        <f>$D86*'MWh Impact Summary'!L$17</f>
        <v>0</v>
      </c>
      <c r="G86" s="81">
        <f>$D86*'MWh Impact Summary'!C$17</f>
        <v>18705.913243223389</v>
      </c>
      <c r="H86" s="81">
        <f>$D86*'MWh Impact Summary'!D$17</f>
        <v>32.80438902799451</v>
      </c>
      <c r="I86" s="81">
        <f>$D86*'MWh Impact Summary'!E$17</f>
        <v>8034.7499915142716</v>
      </c>
      <c r="J86" s="82">
        <f t="shared" si="24"/>
        <v>49205.536434752939</v>
      </c>
      <c r="K86" s="83">
        <v>31</v>
      </c>
      <c r="L86" s="97">
        <f>K86/(SUM(K75:K86))</f>
        <v>8.4931506849315067E-2</v>
      </c>
      <c r="M86" s="85">
        <f>$L86*'MWh Impact Summary'!F$17</f>
        <v>41360.554028076185</v>
      </c>
      <c r="N86" s="85">
        <f>$L86*'MWh Impact Summary'!G$17</f>
        <v>0</v>
      </c>
      <c r="O86" s="85">
        <f>$L86*'MWh Impact Summary'!H$17</f>
        <v>1310.2888089999105</v>
      </c>
      <c r="P86" s="85">
        <f>$L86*'MWh Impact Summary'!I$17</f>
        <v>673.45338262313226</v>
      </c>
      <c r="Q86" s="85">
        <f>$L86*'MWh Impact Summary'!J$17</f>
        <v>9083.059220915311</v>
      </c>
      <c r="R86" s="85">
        <f>$L86*'MWh Impact Summary'!K$17</f>
        <v>0</v>
      </c>
      <c r="S86" s="85">
        <f>$L86*'MWh Impact Summary'!M$17</f>
        <v>0</v>
      </c>
      <c r="T86" s="85">
        <f>$L86*'MWh Impact Summary'!O$17</f>
        <v>0</v>
      </c>
      <c r="U86" s="85">
        <f t="shared" si="25"/>
        <v>52427.355440614541</v>
      </c>
      <c r="V86" s="81">
        <f t="shared" si="27"/>
        <v>101632.89187536748</v>
      </c>
      <c r="W86" s="81">
        <f>SUM(V75:V86)</f>
        <v>2835919.9869663008</v>
      </c>
      <c r="X86" s="81">
        <f>+'MWh by mo-WgtbyActulCDH&amp;Days'!AB88</f>
        <v>4554107</v>
      </c>
      <c r="Y86" s="120">
        <f t="shared" si="28"/>
        <v>22.316755376052313</v>
      </c>
      <c r="Z86" s="87">
        <f t="shared" si="29"/>
        <v>7.1989533471136487E-4</v>
      </c>
      <c r="AA86" s="88">
        <f t="shared" si="34"/>
        <v>3.6550917541707683E-4</v>
      </c>
      <c r="AC86" s="89">
        <f t="shared" si="26"/>
        <v>0</v>
      </c>
      <c r="AD86" s="90">
        <f>SUM(AC75:AC86)</f>
        <v>0</v>
      </c>
      <c r="AE86" s="96">
        <f t="shared" si="20"/>
        <v>0</v>
      </c>
      <c r="AF86" s="92">
        <f t="shared" si="32"/>
        <v>0</v>
      </c>
      <c r="AH86" s="123">
        <f t="shared" si="30"/>
        <v>7.1989533471136487E-4</v>
      </c>
      <c r="AI86" s="121">
        <f t="shared" si="31"/>
        <v>101632.89187536748</v>
      </c>
    </row>
    <row r="87" spans="1:35">
      <c r="A87" s="78">
        <v>2012</v>
      </c>
      <c r="B87" s="78">
        <v>1</v>
      </c>
      <c r="C87" s="79">
        <v>27.111349482191514</v>
      </c>
      <c r="D87" s="80">
        <f>C87/(SUM(C$87:C$98))</f>
        <v>1.3833949179418678E-2</v>
      </c>
      <c r="E87" s="100">
        <f>$D87*'MWh Impact Summary'!B$18</f>
        <v>16262.367018294985</v>
      </c>
      <c r="F87" s="81">
        <f>$D87*'MWh Impact Summary'!L$18</f>
        <v>0</v>
      </c>
      <c r="G87" s="81">
        <f>$D87*'MWh Impact Summary'!C$18</f>
        <v>13689.861525228376</v>
      </c>
      <c r="H87" s="81">
        <f>$D87*'MWh Impact Summary'!D$18</f>
        <v>31.013737143405727</v>
      </c>
      <c r="I87" s="81">
        <f>$D87*'MWh Impact Summary'!E$18</f>
        <v>5731.102790567068</v>
      </c>
      <c r="J87" s="82">
        <f t="shared" si="24"/>
        <v>35714.345071233838</v>
      </c>
      <c r="K87" s="83">
        <v>31</v>
      </c>
      <c r="L87" s="97">
        <f>K87/(SUM(K87:K98))</f>
        <v>8.4931506849315067E-2</v>
      </c>
      <c r="M87" s="85">
        <f>$L87*'MWh Impact Summary'!F$18</f>
        <v>49852.883615217244</v>
      </c>
      <c r="N87" s="85">
        <f>$L87*'MWh Impact Summary'!G$18</f>
        <v>0</v>
      </c>
      <c r="O87" s="85">
        <f>$L87*'MWh Impact Summary'!H$18</f>
        <v>1987.5988409504969</v>
      </c>
      <c r="P87" s="85">
        <f>$L87*'MWh Impact Summary'!I$18</f>
        <v>766.05129682045595</v>
      </c>
      <c r="Q87" s="85">
        <f>$L87*'MWh Impact Summary'!J$18</f>
        <v>12252.542176614179</v>
      </c>
      <c r="R87" s="85">
        <f>$L87*'MWh Impact Summary'!K$18</f>
        <v>0</v>
      </c>
      <c r="S87" s="85">
        <f>$L87*'MWh Impact Summary'!M$18</f>
        <v>0</v>
      </c>
      <c r="T87" s="85">
        <f>$L87*'MWh Impact Summary'!O$18</f>
        <v>161.22665208343423</v>
      </c>
      <c r="U87" s="85">
        <f t="shared" si="25"/>
        <v>65020.302581685806</v>
      </c>
      <c r="V87" s="81">
        <f t="shared" si="27"/>
        <v>100734.64765291964</v>
      </c>
      <c r="W87" s="81"/>
      <c r="X87" s="81">
        <f>+'MWh by mo-WgtbyActulCDH&amp;Days'!AB89</f>
        <v>4560015</v>
      </c>
      <c r="Y87" s="120">
        <f t="shared" si="28"/>
        <v>22.090858835534451</v>
      </c>
      <c r="Z87" s="87">
        <f t="shared" si="29"/>
        <v>7.1260834953336936E-4</v>
      </c>
      <c r="AA87" s="88">
        <f t="shared" si="34"/>
        <v>2.3658760567261332E-4</v>
      </c>
      <c r="AC87" s="89">
        <f t="shared" si="26"/>
        <v>0</v>
      </c>
      <c r="AD87" s="93"/>
      <c r="AE87" s="96">
        <f t="shared" si="20"/>
        <v>0</v>
      </c>
      <c r="AF87" s="92">
        <f t="shared" si="32"/>
        <v>0</v>
      </c>
      <c r="AH87" s="123">
        <f t="shared" si="30"/>
        <v>7.1260834953336936E-4</v>
      </c>
      <c r="AI87" s="121">
        <f t="shared" si="31"/>
        <v>100734.64765291964</v>
      </c>
    </row>
    <row r="88" spans="1:35">
      <c r="A88" s="78">
        <v>2012</v>
      </c>
      <c r="B88" s="78">
        <v>2</v>
      </c>
      <c r="C88" s="79">
        <v>50.063863942660532</v>
      </c>
      <c r="D88" s="80">
        <f t="shared" ref="D88:D90" si="35">C88/(SUM(C$87:C$98))</f>
        <v>2.55457940211729E-2</v>
      </c>
      <c r="E88" s="100">
        <f>$D88*'MWh Impact Summary'!B$18</f>
        <v>30030.114521754847</v>
      </c>
      <c r="F88" s="81">
        <f>$D88*'MWh Impact Summary'!L$18</f>
        <v>0</v>
      </c>
      <c r="G88" s="81">
        <f>$D88*'MWh Impact Summary'!C$18</f>
        <v>25279.721514529927</v>
      </c>
      <c r="H88" s="81">
        <f>$D88*'MWh Impact Summary'!D$18</f>
        <v>57.270019617459248</v>
      </c>
      <c r="I88" s="81">
        <f>$D88*'MWh Impact Summary'!E$18</f>
        <v>10583.064134701968</v>
      </c>
      <c r="J88" s="82">
        <f t="shared" si="24"/>
        <v>65950.1701906042</v>
      </c>
      <c r="K88" s="83">
        <v>28</v>
      </c>
      <c r="L88" s="97">
        <f>K88/(SUM(K87:K98))</f>
        <v>7.6712328767123292E-2</v>
      </c>
      <c r="M88" s="85">
        <f>$L88*'MWh Impact Summary'!F$18</f>
        <v>45028.411007292998</v>
      </c>
      <c r="N88" s="85">
        <f>$L88*'MWh Impact Summary'!G$18</f>
        <v>0</v>
      </c>
      <c r="O88" s="85">
        <f>$L88*'MWh Impact Summary'!H$18</f>
        <v>1795.250566019804</v>
      </c>
      <c r="P88" s="85">
        <f>$L88*'MWh Impact Summary'!I$18</f>
        <v>691.91730035396029</v>
      </c>
      <c r="Q88" s="85">
        <f>$L88*'MWh Impact Summary'!J$18</f>
        <v>11066.812288554742</v>
      </c>
      <c r="R88" s="85">
        <f>$L88*'MWh Impact Summary'!K$18</f>
        <v>0</v>
      </c>
      <c r="S88" s="85">
        <f>$L88*'MWh Impact Summary'!M$18</f>
        <v>0</v>
      </c>
      <c r="T88" s="85">
        <f>$L88*'MWh Impact Summary'!O$18</f>
        <v>145.62407284955353</v>
      </c>
      <c r="U88" s="85">
        <f t="shared" si="25"/>
        <v>58728.015235071056</v>
      </c>
      <c r="V88" s="81">
        <f t="shared" si="27"/>
        <v>124678.18542567526</v>
      </c>
      <c r="W88" s="81"/>
      <c r="X88" s="81">
        <f>+'MWh by mo-WgtbyActulCDH&amp;Days'!AB90</f>
        <v>4565707</v>
      </c>
      <c r="Y88" s="120">
        <f t="shared" si="28"/>
        <v>27.307530996990227</v>
      </c>
      <c r="Z88" s="87">
        <f t="shared" si="29"/>
        <v>9.7526896417822234E-4</v>
      </c>
      <c r="AA88" s="88">
        <f t="shared" si="34"/>
        <v>3.3371415669834184E-4</v>
      </c>
      <c r="AC88" s="89">
        <f t="shared" si="26"/>
        <v>0</v>
      </c>
      <c r="AD88" s="93"/>
      <c r="AE88" s="96">
        <f t="shared" si="20"/>
        <v>0</v>
      </c>
      <c r="AF88" s="92">
        <f t="shared" si="32"/>
        <v>0</v>
      </c>
      <c r="AH88" s="123">
        <f t="shared" si="30"/>
        <v>9.7526896417822234E-4</v>
      </c>
      <c r="AI88" s="121">
        <f t="shared" si="31"/>
        <v>124678.18542567526</v>
      </c>
    </row>
    <row r="89" spans="1:35">
      <c r="A89" s="78">
        <v>2012</v>
      </c>
      <c r="B89" s="78">
        <v>3</v>
      </c>
      <c r="C89" s="79">
        <v>89.238204374581343</v>
      </c>
      <c r="D89" s="80">
        <f t="shared" si="35"/>
        <v>4.5535054792880975E-2</v>
      </c>
      <c r="E89" s="100">
        <f>$D89*'MWh Impact Summary'!B$18</f>
        <v>53528.299376846473</v>
      </c>
      <c r="F89" s="81">
        <f>$D89*'MWh Impact Summary'!L$18</f>
        <v>0</v>
      </c>
      <c r="G89" s="81">
        <f>$D89*'MWh Impact Summary'!C$18</f>
        <v>45060.783914519343</v>
      </c>
      <c r="H89" s="81">
        <f>$D89*'MWh Impact Summary'!D$18</f>
        <v>102.08308573650051</v>
      </c>
      <c r="I89" s="81">
        <f>$D89*'MWh Impact Summary'!E$18</f>
        <v>18864.177987609946</v>
      </c>
      <c r="J89" s="82">
        <f t="shared" si="24"/>
        <v>117555.34436471228</v>
      </c>
      <c r="K89" s="83">
        <v>31</v>
      </c>
      <c r="L89" s="97">
        <f>K89/(SUM(K87:K98))</f>
        <v>8.4931506849315067E-2</v>
      </c>
      <c r="M89" s="85">
        <f>$L89*'MWh Impact Summary'!F$18</f>
        <v>49852.883615217244</v>
      </c>
      <c r="N89" s="85">
        <f>$L89*'MWh Impact Summary'!G$18</f>
        <v>0</v>
      </c>
      <c r="O89" s="85">
        <f>$L89*'MWh Impact Summary'!H$18</f>
        <v>1987.5988409504969</v>
      </c>
      <c r="P89" s="85">
        <f>$L89*'MWh Impact Summary'!I$18</f>
        <v>766.05129682045595</v>
      </c>
      <c r="Q89" s="85">
        <f>$L89*'MWh Impact Summary'!J$18</f>
        <v>12252.542176614179</v>
      </c>
      <c r="R89" s="85">
        <f>$L89*'MWh Impact Summary'!K$18</f>
        <v>0</v>
      </c>
      <c r="S89" s="85">
        <f>$L89*'MWh Impact Summary'!M$18</f>
        <v>0</v>
      </c>
      <c r="T89" s="85">
        <f>$L89*'MWh Impact Summary'!O$18</f>
        <v>161.22665208343423</v>
      </c>
      <c r="U89" s="85">
        <f t="shared" si="25"/>
        <v>65020.302581685806</v>
      </c>
      <c r="V89" s="81">
        <f t="shared" si="27"/>
        <v>182575.64694639808</v>
      </c>
      <c r="W89" s="81"/>
      <c r="X89" s="81">
        <f>+'MWh by mo-WgtbyActulCDH&amp;Days'!AB91</f>
        <v>4573930</v>
      </c>
      <c r="Y89" s="120">
        <f t="shared" si="28"/>
        <v>39.916580915404928</v>
      </c>
      <c r="Z89" s="87">
        <f t="shared" si="29"/>
        <v>1.287631642432417E-3</v>
      </c>
      <c r="AA89" s="88">
        <f t="shared" si="34"/>
        <v>3.9164039606790315E-4</v>
      </c>
      <c r="AC89" s="89">
        <f t="shared" si="26"/>
        <v>0</v>
      </c>
      <c r="AD89" s="93"/>
      <c r="AE89" s="96">
        <f t="shared" si="20"/>
        <v>0</v>
      </c>
      <c r="AF89" s="92">
        <f t="shared" si="32"/>
        <v>0</v>
      </c>
      <c r="AH89" s="123">
        <f t="shared" si="30"/>
        <v>1.287631642432417E-3</v>
      </c>
      <c r="AI89" s="121">
        <f t="shared" si="31"/>
        <v>182575.64694639808</v>
      </c>
    </row>
    <row r="90" spans="1:35">
      <c r="A90" s="78">
        <v>2012</v>
      </c>
      <c r="B90" s="78">
        <v>4</v>
      </c>
      <c r="C90" s="79">
        <v>106.45317747474797</v>
      </c>
      <c r="D90" s="80">
        <f t="shared" si="35"/>
        <v>5.431923807926433E-2</v>
      </c>
      <c r="E90" s="100">
        <f>$D90*'MWh Impact Summary'!B$18</f>
        <v>63854.462261098262</v>
      </c>
      <c r="F90" s="81">
        <f>$D90*'MWh Impact Summary'!L$18</f>
        <v>0</v>
      </c>
      <c r="G90" s="81">
        <f>$D90*'MWh Impact Summary'!C$18</f>
        <v>53753.475440502443</v>
      </c>
      <c r="H90" s="81">
        <f>$D90*'MWh Impact Summary'!D$18</f>
        <v>121.77596937588071</v>
      </c>
      <c r="I90" s="81">
        <f>$D90*'MWh Impact Summary'!E$18</f>
        <v>22503.273136256408</v>
      </c>
      <c r="J90" s="82">
        <f t="shared" si="24"/>
        <v>140232.98680723301</v>
      </c>
      <c r="K90" s="83">
        <v>30</v>
      </c>
      <c r="L90" s="97">
        <f>K90/(SUM(K87:K98))</f>
        <v>8.2191780821917804E-2</v>
      </c>
      <c r="M90" s="85">
        <f>$L90*'MWh Impact Summary'!F$18</f>
        <v>48244.726079242493</v>
      </c>
      <c r="N90" s="85">
        <f>$L90*'MWh Impact Summary'!G$18</f>
        <v>0</v>
      </c>
      <c r="O90" s="85">
        <f>$L90*'MWh Impact Summary'!H$18</f>
        <v>1923.4827493069324</v>
      </c>
      <c r="P90" s="85">
        <f>$L90*'MWh Impact Summary'!I$18</f>
        <v>741.33996466495739</v>
      </c>
      <c r="Q90" s="85">
        <f>$L90*'MWh Impact Summary'!J$18</f>
        <v>11857.298880594366</v>
      </c>
      <c r="R90" s="85">
        <f>$L90*'MWh Impact Summary'!K$18</f>
        <v>0</v>
      </c>
      <c r="S90" s="85">
        <f>$L90*'MWh Impact Summary'!M$18</f>
        <v>0</v>
      </c>
      <c r="T90" s="85">
        <f>$L90*'MWh Impact Summary'!O$18</f>
        <v>156.02579233880732</v>
      </c>
      <c r="U90" s="85">
        <f t="shared" si="25"/>
        <v>62922.873466147554</v>
      </c>
      <c r="V90" s="81">
        <f t="shared" si="27"/>
        <v>203155.86027338056</v>
      </c>
      <c r="W90" s="81"/>
      <c r="X90" s="81">
        <f>+'MWh by mo-WgtbyActulCDH&amp;Days'!AB92</f>
        <v>4577038</v>
      </c>
      <c r="Y90" s="120">
        <f t="shared" si="28"/>
        <v>44.385880185696635</v>
      </c>
      <c r="Z90" s="87">
        <f t="shared" si="29"/>
        <v>1.4795293395232212E-3</v>
      </c>
      <c r="AA90" s="88">
        <f t="shared" si="34"/>
        <v>-3.5181219874367013E-4</v>
      </c>
      <c r="AC90" s="89">
        <f t="shared" si="26"/>
        <v>0</v>
      </c>
      <c r="AD90" s="93"/>
      <c r="AE90" s="96">
        <f t="shared" si="20"/>
        <v>0</v>
      </c>
      <c r="AF90" s="92">
        <f t="shared" si="32"/>
        <v>0</v>
      </c>
      <c r="AH90" s="123">
        <f t="shared" si="30"/>
        <v>1.4795293395232212E-3</v>
      </c>
      <c r="AI90" s="121">
        <f t="shared" si="31"/>
        <v>203155.86027338056</v>
      </c>
    </row>
    <row r="91" spans="1:35">
      <c r="A91" s="78">
        <v>2012</v>
      </c>
      <c r="B91" s="78">
        <v>5</v>
      </c>
      <c r="C91" s="79">
        <v>202.05259632338476</v>
      </c>
      <c r="D91" s="80">
        <f t="shared" ref="D91:D98" si="36">C91/(SUM(C$87:C$98))</f>
        <v>0.1031001924468334</v>
      </c>
      <c r="E91" s="100">
        <f>$D91*'MWh Impact Summary'!B$18</f>
        <v>121198.44792560562</v>
      </c>
      <c r="F91" s="81">
        <f>$D91*'MWh Impact Summary'!L$18</f>
        <v>0</v>
      </c>
      <c r="G91" s="81">
        <f>$D91*'MWh Impact Summary'!C$18</f>
        <v>102026.35122596684</v>
      </c>
      <c r="H91" s="81">
        <f>$D91*'MWh Impact Summary'!D$18</f>
        <v>231.13589810910381</v>
      </c>
      <c r="I91" s="81">
        <f>$D91*'MWh Impact Summary'!E$18</f>
        <v>42712.156375355291</v>
      </c>
      <c r="J91" s="82">
        <f t="shared" si="24"/>
        <v>266168.0914250369</v>
      </c>
      <c r="K91" s="83">
        <v>31</v>
      </c>
      <c r="L91" s="97">
        <f>K91/(SUM(K87:K98))</f>
        <v>8.4931506849315067E-2</v>
      </c>
      <c r="M91" s="85">
        <f>$L91*'MWh Impact Summary'!F$18</f>
        <v>49852.883615217244</v>
      </c>
      <c r="N91" s="85">
        <f>$L91*'MWh Impact Summary'!G$18</f>
        <v>0</v>
      </c>
      <c r="O91" s="85">
        <f>$L91*'MWh Impact Summary'!H$18</f>
        <v>1987.5988409504969</v>
      </c>
      <c r="P91" s="85">
        <f>$L91*'MWh Impact Summary'!I$18</f>
        <v>766.05129682045595</v>
      </c>
      <c r="Q91" s="85">
        <f>$L91*'MWh Impact Summary'!J$18</f>
        <v>12252.542176614179</v>
      </c>
      <c r="R91" s="85">
        <f>$L91*'MWh Impact Summary'!K$18</f>
        <v>0</v>
      </c>
      <c r="S91" s="85">
        <f>$L91*'MWh Impact Summary'!M$18</f>
        <v>0</v>
      </c>
      <c r="T91" s="85">
        <f>$L91*'MWh Impact Summary'!O$18</f>
        <v>161.22665208343423</v>
      </c>
      <c r="U91" s="85">
        <f t="shared" si="25"/>
        <v>65020.302581685806</v>
      </c>
      <c r="V91" s="81">
        <f t="shared" si="27"/>
        <v>331188.39400672272</v>
      </c>
      <c r="W91" s="81"/>
      <c r="X91" s="81">
        <f>+'MWh by mo-WgtbyActulCDH&amp;Days'!AB93</f>
        <v>4576751</v>
      </c>
      <c r="Y91" s="120">
        <f>+V91*1000/X91</f>
        <v>72.36321006030758</v>
      </c>
      <c r="Z91" s="87">
        <f t="shared" si="29"/>
        <v>2.3342970987195993E-3</v>
      </c>
      <c r="AA91" s="88">
        <f t="shared" si="34"/>
        <v>3.1828394119743156E-4</v>
      </c>
      <c r="AC91" s="89">
        <f t="shared" si="26"/>
        <v>0</v>
      </c>
      <c r="AD91" s="93"/>
      <c r="AE91" s="96">
        <f t="shared" si="20"/>
        <v>0</v>
      </c>
      <c r="AF91" s="92">
        <f t="shared" si="32"/>
        <v>0</v>
      </c>
      <c r="AH91" s="123">
        <f t="shared" si="30"/>
        <v>2.3342970987195993E-3</v>
      </c>
      <c r="AI91" s="121">
        <f t="shared" si="31"/>
        <v>331188.39400672272</v>
      </c>
    </row>
    <row r="92" spans="1:35">
      <c r="A92" s="78">
        <v>2012</v>
      </c>
      <c r="B92" s="78">
        <v>6</v>
      </c>
      <c r="C92" s="79">
        <v>276.45568441315464</v>
      </c>
      <c r="D92" s="80">
        <f t="shared" si="36"/>
        <v>0.14106541952274088</v>
      </c>
      <c r="E92" s="100">
        <f>$D92*'MWh Impact Summary'!B$18</f>
        <v>165828.10852605477</v>
      </c>
      <c r="F92" s="81">
        <f>$D92*'MWh Impact Summary'!L$18</f>
        <v>0</v>
      </c>
      <c r="G92" s="81">
        <f>$D92*'MWh Impact Summary'!C$18</f>
        <v>139596.15104974099</v>
      </c>
      <c r="H92" s="81">
        <f>$D92*'MWh Impact Summary'!D$18</f>
        <v>316.24851185743495</v>
      </c>
      <c r="I92" s="81">
        <f>$D92*'MWh Impact Summary'!E$18</f>
        <v>58440.320185798671</v>
      </c>
      <c r="J92" s="82">
        <f t="shared" si="24"/>
        <v>364180.82827345183</v>
      </c>
      <c r="K92" s="83">
        <v>30</v>
      </c>
      <c r="L92" s="97">
        <f>K92/(SUM(K87:K98))</f>
        <v>8.2191780821917804E-2</v>
      </c>
      <c r="M92" s="85">
        <f>$L92*'MWh Impact Summary'!F$18</f>
        <v>48244.726079242493</v>
      </c>
      <c r="N92" s="85">
        <f>$L92*'MWh Impact Summary'!G$18</f>
        <v>0</v>
      </c>
      <c r="O92" s="85">
        <f>$L92*'MWh Impact Summary'!H$18</f>
        <v>1923.4827493069324</v>
      </c>
      <c r="P92" s="85">
        <f>$L92*'MWh Impact Summary'!I$18</f>
        <v>741.33996466495739</v>
      </c>
      <c r="Q92" s="85">
        <f>$L92*'MWh Impact Summary'!J$18</f>
        <v>11857.298880594366</v>
      </c>
      <c r="R92" s="85">
        <f>$L92*'MWh Impact Summary'!K$18</f>
        <v>0</v>
      </c>
      <c r="S92" s="85">
        <f>$L92*'MWh Impact Summary'!M$18</f>
        <v>0</v>
      </c>
      <c r="T92" s="85">
        <f>$L92*'MWh Impact Summary'!O$18</f>
        <v>156.02579233880732</v>
      </c>
      <c r="U92" s="85">
        <f t="shared" si="25"/>
        <v>62922.873466147554</v>
      </c>
      <c r="V92" s="81">
        <f t="shared" si="27"/>
        <v>427103.7017395994</v>
      </c>
      <c r="W92" s="81"/>
      <c r="X92" s="81">
        <f>+'MWh by mo-WgtbyActulCDH&amp;Days'!AB94</f>
        <v>4575347</v>
      </c>
      <c r="Y92" s="120">
        <f t="shared" ref="Y92:Y155" si="37">+V92*1000/X92</f>
        <v>93.348920145204161</v>
      </c>
      <c r="Z92" s="87">
        <f t="shared" si="29"/>
        <v>3.1116306715068052E-3</v>
      </c>
      <c r="AA92" s="88">
        <f t="shared" si="34"/>
        <v>3.3817707013651579E-4</v>
      </c>
      <c r="AC92" s="89">
        <f t="shared" si="26"/>
        <v>0</v>
      </c>
      <c r="AD92" s="93"/>
      <c r="AE92" s="96">
        <f t="shared" si="20"/>
        <v>0</v>
      </c>
      <c r="AF92" s="92">
        <f t="shared" si="32"/>
        <v>0</v>
      </c>
      <c r="AH92" s="123">
        <f t="shared" si="30"/>
        <v>3.1116306715068052E-3</v>
      </c>
      <c r="AI92" s="121">
        <f t="shared" si="31"/>
        <v>427103.7017395994</v>
      </c>
    </row>
    <row r="93" spans="1:35">
      <c r="A93" s="78">
        <v>2012</v>
      </c>
      <c r="B93" s="78">
        <v>7</v>
      </c>
      <c r="C93" s="79">
        <v>321.70797733942311</v>
      </c>
      <c r="D93" s="80">
        <f t="shared" si="36"/>
        <v>0.16415604144126156</v>
      </c>
      <c r="E93" s="100">
        <f>$D93*'MWh Impact Summary'!B$18</f>
        <v>192972.06889843554</v>
      </c>
      <c r="F93" s="81">
        <f>$D93*'MWh Impact Summary'!L$18</f>
        <v>0</v>
      </c>
      <c r="G93" s="81">
        <f>$D93*'MWh Impact Summary'!C$18</f>
        <v>162446.27233443075</v>
      </c>
      <c r="H93" s="81">
        <f>$D93*'MWh Impact Summary'!D$18</f>
        <v>368.01438647291883</v>
      </c>
      <c r="I93" s="81">
        <f>$D93*'MWh Impact Summary'!E$18</f>
        <v>68006.26017855524</v>
      </c>
      <c r="J93" s="82">
        <f t="shared" si="24"/>
        <v>423792.61579789442</v>
      </c>
      <c r="K93" s="83">
        <v>31</v>
      </c>
      <c r="L93" s="97">
        <f>K93/(SUM(K87:K98))</f>
        <v>8.4931506849315067E-2</v>
      </c>
      <c r="M93" s="85">
        <f>$L93*'MWh Impact Summary'!F$18</f>
        <v>49852.883615217244</v>
      </c>
      <c r="N93" s="85">
        <f>$L93*'MWh Impact Summary'!G$18</f>
        <v>0</v>
      </c>
      <c r="O93" s="85">
        <f>$L93*'MWh Impact Summary'!H$18</f>
        <v>1987.5988409504969</v>
      </c>
      <c r="P93" s="85">
        <f>$L93*'MWh Impact Summary'!I$18</f>
        <v>766.05129682045595</v>
      </c>
      <c r="Q93" s="85">
        <f>$L93*'MWh Impact Summary'!J$18</f>
        <v>12252.542176614179</v>
      </c>
      <c r="R93" s="85">
        <f>$L93*'MWh Impact Summary'!K$18</f>
        <v>0</v>
      </c>
      <c r="S93" s="85">
        <f>$L93*'MWh Impact Summary'!M$18</f>
        <v>0</v>
      </c>
      <c r="T93" s="85">
        <f>$L93*'MWh Impact Summary'!O$18</f>
        <v>161.22665208343423</v>
      </c>
      <c r="U93" s="85">
        <f t="shared" si="25"/>
        <v>65020.302581685806</v>
      </c>
      <c r="V93" s="81">
        <f t="shared" si="27"/>
        <v>488812.91837958025</v>
      </c>
      <c r="W93" s="81"/>
      <c r="X93" s="81">
        <f>+'MWh by mo-WgtbyActulCDH&amp;Days'!AB95</f>
        <v>4577123</v>
      </c>
      <c r="Y93" s="120">
        <f t="shared" si="37"/>
        <v>106.79479629006698</v>
      </c>
      <c r="Z93" s="87">
        <f t="shared" si="29"/>
        <v>3.4449934287118381E-3</v>
      </c>
      <c r="AA93" s="88">
        <f t="shared" si="34"/>
        <v>3.7669393078182878E-4</v>
      </c>
      <c r="AC93" s="89">
        <f t="shared" si="26"/>
        <v>0</v>
      </c>
      <c r="AD93" s="93"/>
      <c r="AE93" s="96">
        <f t="shared" si="20"/>
        <v>0</v>
      </c>
      <c r="AF93" s="92">
        <f t="shared" si="32"/>
        <v>0</v>
      </c>
      <c r="AH93" s="123">
        <f t="shared" si="30"/>
        <v>3.4449934287118381E-3</v>
      </c>
      <c r="AI93" s="121">
        <f t="shared" si="31"/>
        <v>488812.91837958025</v>
      </c>
    </row>
    <row r="94" spans="1:35">
      <c r="A94" s="78">
        <v>2012</v>
      </c>
      <c r="B94" s="78">
        <v>8</v>
      </c>
      <c r="C94" s="79">
        <v>322.40717165394568</v>
      </c>
      <c r="D94" s="80">
        <f t="shared" si="36"/>
        <v>0.16451281522044939</v>
      </c>
      <c r="E94" s="100">
        <f>$D94*'MWh Impact Summary'!B$18</f>
        <v>193391.4709118742</v>
      </c>
      <c r="F94" s="81">
        <f>$D94*'MWh Impact Summary'!L$18</f>
        <v>0</v>
      </c>
      <c r="G94" s="81">
        <f>$D94*'MWh Impact Summary'!C$18</f>
        <v>162799.33013228505</v>
      </c>
      <c r="H94" s="81">
        <f>$D94*'MWh Impact Summary'!D$18</f>
        <v>368.81422230171114</v>
      </c>
      <c r="I94" s="81">
        <f>$D94*'MWh Impact Summary'!E$18</f>
        <v>68154.06375763347</v>
      </c>
      <c r="J94" s="82">
        <f t="shared" si="24"/>
        <v>424713.67902409437</v>
      </c>
      <c r="K94" s="83">
        <v>31</v>
      </c>
      <c r="L94" s="97">
        <f>K94/(SUM(K87:K98))</f>
        <v>8.4931506849315067E-2</v>
      </c>
      <c r="M94" s="85">
        <f>$L94*'MWh Impact Summary'!F$18</f>
        <v>49852.883615217244</v>
      </c>
      <c r="N94" s="85">
        <f>$L94*'MWh Impact Summary'!G$18</f>
        <v>0</v>
      </c>
      <c r="O94" s="85">
        <f>$L94*'MWh Impact Summary'!H$18</f>
        <v>1987.5988409504969</v>
      </c>
      <c r="P94" s="85">
        <f>$L94*'MWh Impact Summary'!I$18</f>
        <v>766.05129682045595</v>
      </c>
      <c r="Q94" s="85">
        <f>$L94*'MWh Impact Summary'!J$18</f>
        <v>12252.542176614179</v>
      </c>
      <c r="R94" s="85">
        <f>$L94*'MWh Impact Summary'!K$18</f>
        <v>0</v>
      </c>
      <c r="S94" s="85">
        <f>$L94*'MWh Impact Summary'!M$18</f>
        <v>0</v>
      </c>
      <c r="T94" s="85">
        <f>$L94*'MWh Impact Summary'!O$18</f>
        <v>161.22665208343423</v>
      </c>
      <c r="U94" s="85">
        <f t="shared" si="25"/>
        <v>65020.302581685806</v>
      </c>
      <c r="V94" s="81">
        <f t="shared" si="27"/>
        <v>489733.98160578019</v>
      </c>
      <c r="W94" s="81"/>
      <c r="X94" s="81">
        <f>+'MWh by mo-WgtbyActulCDH&amp;Days'!AB96</f>
        <v>4579585</v>
      </c>
      <c r="Y94" s="120">
        <f t="shared" si="37"/>
        <v>106.93850678735741</v>
      </c>
      <c r="Z94" s="87">
        <f t="shared" si="29"/>
        <v>3.4496292512050781E-3</v>
      </c>
      <c r="AA94" s="88">
        <f t="shared" si="34"/>
        <v>5.8572408307703975E-4</v>
      </c>
      <c r="AC94" s="89">
        <f t="shared" si="26"/>
        <v>0</v>
      </c>
      <c r="AD94" s="93"/>
      <c r="AE94" s="96">
        <f t="shared" si="20"/>
        <v>0</v>
      </c>
      <c r="AF94" s="92">
        <f t="shared" si="32"/>
        <v>0</v>
      </c>
      <c r="AH94" s="123">
        <f t="shared" si="30"/>
        <v>3.4496292512050781E-3</v>
      </c>
      <c r="AI94" s="121">
        <f t="shared" si="31"/>
        <v>489733.98160578019</v>
      </c>
    </row>
    <row r="95" spans="1:35">
      <c r="A95" s="78">
        <v>2012</v>
      </c>
      <c r="B95" s="78">
        <v>9</v>
      </c>
      <c r="C95" s="79">
        <v>274.50677348457691</v>
      </c>
      <c r="D95" s="80">
        <f>C95/(SUM(C$87:C$98))</f>
        <v>0.14007096018168641</v>
      </c>
      <c r="E95" s="100">
        <f>$D95*'MWh Impact Summary'!B$18</f>
        <v>164659.08133221054</v>
      </c>
      <c r="F95" s="81">
        <f>$D95*'MWh Impact Summary'!L$18</f>
        <v>0</v>
      </c>
      <c r="G95" s="81">
        <f>$D95*'MWh Impact Summary'!C$18</f>
        <v>138612.04951120421</v>
      </c>
      <c r="H95" s="81">
        <f>$D95*'MWh Impact Summary'!D$18</f>
        <v>314.01907612630242</v>
      </c>
      <c r="I95" s="81">
        <f>$D95*'MWh Impact Summary'!E$18</f>
        <v>58028.337415679649</v>
      </c>
      <c r="J95" s="82">
        <f t="shared" si="24"/>
        <v>361613.48733522068</v>
      </c>
      <c r="K95" s="83">
        <v>30</v>
      </c>
      <c r="L95" s="97">
        <f>K95/(SUM(K87:K98))</f>
        <v>8.2191780821917804E-2</v>
      </c>
      <c r="M95" s="85">
        <f>$L95*'MWh Impact Summary'!F$18</f>
        <v>48244.726079242493</v>
      </c>
      <c r="N95" s="85">
        <f>$L95*'MWh Impact Summary'!G$18</f>
        <v>0</v>
      </c>
      <c r="O95" s="85">
        <f>$L95*'MWh Impact Summary'!H$18</f>
        <v>1923.4827493069324</v>
      </c>
      <c r="P95" s="85">
        <f>$L95*'MWh Impact Summary'!I$18</f>
        <v>741.33996466495739</v>
      </c>
      <c r="Q95" s="85">
        <f>$L95*'MWh Impact Summary'!J$18</f>
        <v>11857.298880594366</v>
      </c>
      <c r="R95" s="85">
        <f>$L95*'MWh Impact Summary'!K$18</f>
        <v>0</v>
      </c>
      <c r="S95" s="85">
        <f>$L95*'MWh Impact Summary'!M$18</f>
        <v>0</v>
      </c>
      <c r="T95" s="85">
        <f>$L95*'MWh Impact Summary'!O$18</f>
        <v>156.02579233880732</v>
      </c>
      <c r="U95" s="85">
        <f t="shared" si="25"/>
        <v>62922.873466147554</v>
      </c>
      <c r="V95" s="81">
        <f t="shared" si="27"/>
        <v>424536.36080136825</v>
      </c>
      <c r="W95" s="81"/>
      <c r="X95" s="81">
        <f>+'MWh by mo-WgtbyActulCDH&amp;Days'!AB97</f>
        <v>4578976</v>
      </c>
      <c r="Y95" s="120">
        <f t="shared" si="37"/>
        <v>92.714257685859948</v>
      </c>
      <c r="Z95" s="87">
        <f t="shared" si="29"/>
        <v>3.0904752561953315E-3</v>
      </c>
      <c r="AA95" s="88">
        <f t="shared" si="34"/>
        <v>4.6991901947771551E-4</v>
      </c>
      <c r="AC95" s="89">
        <f t="shared" si="26"/>
        <v>0</v>
      </c>
      <c r="AD95" s="93"/>
      <c r="AE95" s="96">
        <f t="shared" si="20"/>
        <v>0</v>
      </c>
      <c r="AF95" s="92">
        <f t="shared" si="32"/>
        <v>0</v>
      </c>
      <c r="AH95" s="123">
        <f t="shared" si="30"/>
        <v>3.0904752561953315E-3</v>
      </c>
      <c r="AI95" s="121">
        <f t="shared" si="31"/>
        <v>424536.36080136825</v>
      </c>
    </row>
    <row r="96" spans="1:35">
      <c r="A96" s="78">
        <v>2012</v>
      </c>
      <c r="B96" s="78">
        <v>10</v>
      </c>
      <c r="C96" s="79">
        <v>198.7182652930268</v>
      </c>
      <c r="D96" s="80">
        <f t="shared" si="36"/>
        <v>0.10139880292169634</v>
      </c>
      <c r="E96" s="100">
        <f>$D96*'MWh Impact Summary'!B$18</f>
        <v>119198.39569612185</v>
      </c>
      <c r="F96" s="81">
        <f>$D96*'MWh Impact Summary'!L$18</f>
        <v>0</v>
      </c>
      <c r="G96" s="81">
        <f>$D96*'MWh Impact Summary'!C$18</f>
        <v>100342.68254267772</v>
      </c>
      <c r="H96" s="81">
        <f>$D96*'MWh Impact Summary'!D$18</f>
        <v>227.32162592790718</v>
      </c>
      <c r="I96" s="81">
        <f>$D96*'MWh Impact Summary'!E$18</f>
        <v>42007.307880620232</v>
      </c>
      <c r="J96" s="82">
        <f t="shared" si="24"/>
        <v>261775.70774534772</v>
      </c>
      <c r="K96" s="83">
        <v>31</v>
      </c>
      <c r="L96" s="97">
        <f>K96/(SUM(K87:K98))</f>
        <v>8.4931506849315067E-2</v>
      </c>
      <c r="M96" s="85">
        <f>$L96*'MWh Impact Summary'!F$18</f>
        <v>49852.883615217244</v>
      </c>
      <c r="N96" s="85">
        <f>$L96*'MWh Impact Summary'!G$18</f>
        <v>0</v>
      </c>
      <c r="O96" s="85">
        <f>$L96*'MWh Impact Summary'!H$18</f>
        <v>1987.5988409504969</v>
      </c>
      <c r="P96" s="85">
        <f>$L96*'MWh Impact Summary'!I$18</f>
        <v>766.05129682045595</v>
      </c>
      <c r="Q96" s="85">
        <f>$L96*'MWh Impact Summary'!J$18</f>
        <v>12252.542176614179</v>
      </c>
      <c r="R96" s="85">
        <f>$L96*'MWh Impact Summary'!K$18</f>
        <v>0</v>
      </c>
      <c r="S96" s="85">
        <f>$L96*'MWh Impact Summary'!M$18</f>
        <v>0</v>
      </c>
      <c r="T96" s="85">
        <f>$L96*'MWh Impact Summary'!O$18</f>
        <v>161.22665208343423</v>
      </c>
      <c r="U96" s="85">
        <f t="shared" si="25"/>
        <v>65020.302581685806</v>
      </c>
      <c r="V96" s="81">
        <f t="shared" si="27"/>
        <v>326796.01032703352</v>
      </c>
      <c r="W96" s="81"/>
      <c r="X96" s="81">
        <f>+'MWh by mo-WgtbyActulCDH&amp;Days'!AB98</f>
        <v>4580752</v>
      </c>
      <c r="Y96" s="120">
        <f t="shared" si="37"/>
        <v>71.341127030459958</v>
      </c>
      <c r="Z96" s="87">
        <f t="shared" si="29"/>
        <v>2.3013266784019343E-3</v>
      </c>
      <c r="AA96" s="88">
        <f t="shared" si="34"/>
        <v>7.5275820533461961E-4</v>
      </c>
      <c r="AC96" s="89">
        <f t="shared" si="26"/>
        <v>0</v>
      </c>
      <c r="AD96" s="93"/>
      <c r="AE96" s="96">
        <f t="shared" si="20"/>
        <v>0</v>
      </c>
      <c r="AF96" s="92">
        <f t="shared" si="32"/>
        <v>0</v>
      </c>
      <c r="AH96" s="123">
        <f t="shared" si="30"/>
        <v>2.3013266784019343E-3</v>
      </c>
      <c r="AI96" s="121">
        <f t="shared" si="31"/>
        <v>326796.01032703352</v>
      </c>
    </row>
    <row r="97" spans="1:35">
      <c r="A97" s="78">
        <v>2012</v>
      </c>
      <c r="B97" s="78">
        <v>11</v>
      </c>
      <c r="C97" s="79">
        <v>39.051797399730034</v>
      </c>
      <c r="D97" s="80">
        <f t="shared" si="36"/>
        <v>1.99267314578968E-2</v>
      </c>
      <c r="E97" s="100">
        <f>$D97*'MWh Impact Summary'!B$18</f>
        <v>23424.679116606338</v>
      </c>
      <c r="F97" s="81">
        <f>$D97*'MWh Impact Summary'!L$18</f>
        <v>0</v>
      </c>
      <c r="G97" s="81">
        <f>$D97*'MWh Impact Summary'!C$18</f>
        <v>19719.184360953575</v>
      </c>
      <c r="H97" s="81">
        <f>$D97*'MWh Impact Summary'!D$18</f>
        <v>44.67288433312104</v>
      </c>
      <c r="I97" s="81">
        <f>$D97*'MWh Impact Summary'!E$18</f>
        <v>8255.2093248351703</v>
      </c>
      <c r="J97" s="82">
        <f t="shared" si="24"/>
        <v>51443.745686728202</v>
      </c>
      <c r="K97" s="83">
        <v>30</v>
      </c>
      <c r="L97" s="97">
        <f>K97/(SUM(K87:K98))</f>
        <v>8.2191780821917804E-2</v>
      </c>
      <c r="M97" s="85">
        <f>$L97*'MWh Impact Summary'!F$18</f>
        <v>48244.726079242493</v>
      </c>
      <c r="N97" s="85">
        <f>$L97*'MWh Impact Summary'!G$18</f>
        <v>0</v>
      </c>
      <c r="O97" s="85">
        <f>$L97*'MWh Impact Summary'!H$18</f>
        <v>1923.4827493069324</v>
      </c>
      <c r="P97" s="85">
        <f>$L97*'MWh Impact Summary'!I$18</f>
        <v>741.33996466495739</v>
      </c>
      <c r="Q97" s="85">
        <f>$L97*'MWh Impact Summary'!J$18</f>
        <v>11857.298880594366</v>
      </c>
      <c r="R97" s="85">
        <f>$L97*'MWh Impact Summary'!K$18</f>
        <v>0</v>
      </c>
      <c r="S97" s="85">
        <f>$L97*'MWh Impact Summary'!M$18</f>
        <v>0</v>
      </c>
      <c r="T97" s="85">
        <f>$L97*'MWh Impact Summary'!O$18</f>
        <v>156.02579233880732</v>
      </c>
      <c r="U97" s="85">
        <f t="shared" si="25"/>
        <v>62922.873466147554</v>
      </c>
      <c r="V97" s="81">
        <f t="shared" si="27"/>
        <v>114366.61915287576</v>
      </c>
      <c r="W97" s="81"/>
      <c r="X97" s="81">
        <f>+'MWh by mo-WgtbyActulCDH&amp;Days'!AB99</f>
        <v>4584041</v>
      </c>
      <c r="Y97" s="120">
        <f t="shared" si="37"/>
        <v>24.948864801356656</v>
      </c>
      <c r="Z97" s="87">
        <f t="shared" si="29"/>
        <v>8.3162882671188856E-4</v>
      </c>
      <c r="AA97" s="88">
        <f t="shared" si="34"/>
        <v>-1.5245022903126123E-4</v>
      </c>
      <c r="AC97" s="89">
        <f t="shared" si="26"/>
        <v>0</v>
      </c>
      <c r="AD97" s="93"/>
      <c r="AE97" s="96">
        <f t="shared" si="20"/>
        <v>0</v>
      </c>
      <c r="AF97" s="92">
        <f t="shared" si="32"/>
        <v>0</v>
      </c>
      <c r="AH97" s="123">
        <f t="shared" si="30"/>
        <v>8.3162882671188856E-4</v>
      </c>
      <c r="AI97" s="121">
        <f t="shared" si="31"/>
        <v>114366.61915287576</v>
      </c>
    </row>
    <row r="98" spans="1:35">
      <c r="A98" s="78">
        <v>2012</v>
      </c>
      <c r="B98" s="78">
        <v>12</v>
      </c>
      <c r="C98" s="79">
        <v>52.002480932841181</v>
      </c>
      <c r="D98" s="80">
        <f t="shared" si="36"/>
        <v>2.6535000734698281E-2</v>
      </c>
      <c r="E98" s="100">
        <f>$D98*'MWh Impact Summary'!B$18</f>
        <v>31192.967039403546</v>
      </c>
      <c r="F98" s="81">
        <f>$D98*'MWh Impact Summary'!L$18</f>
        <v>0</v>
      </c>
      <c r="G98" s="81">
        <f>$D98*'MWh Impact Summary'!C$18</f>
        <v>26258.625134339072</v>
      </c>
      <c r="H98" s="81">
        <f>$D98*'MWh Impact Summary'!D$18</f>
        <v>59.487679708289335</v>
      </c>
      <c r="I98" s="81">
        <f>$D98*'MWh Impact Summary'!E$18</f>
        <v>10992.870856036998</v>
      </c>
      <c r="J98" s="82">
        <f t="shared" si="24"/>
        <v>68503.950709487908</v>
      </c>
      <c r="K98" s="83">
        <v>31</v>
      </c>
      <c r="L98" s="97">
        <f>K98/(SUM(K87:K98))</f>
        <v>8.4931506849315067E-2</v>
      </c>
      <c r="M98" s="85">
        <f>$L98*'MWh Impact Summary'!F$18</f>
        <v>49852.883615217244</v>
      </c>
      <c r="N98" s="85">
        <f>$L98*'MWh Impact Summary'!G$18</f>
        <v>0</v>
      </c>
      <c r="O98" s="85">
        <f>$L98*'MWh Impact Summary'!H$18</f>
        <v>1987.5988409504969</v>
      </c>
      <c r="P98" s="85">
        <f>$L98*'MWh Impact Summary'!I$18</f>
        <v>766.05129682045595</v>
      </c>
      <c r="Q98" s="85">
        <f>$L98*'MWh Impact Summary'!J$18</f>
        <v>12252.542176614179</v>
      </c>
      <c r="R98" s="85">
        <f>$L98*'MWh Impact Summary'!K$18</f>
        <v>0</v>
      </c>
      <c r="S98" s="85">
        <f>$L98*'MWh Impact Summary'!M$18</f>
        <v>0</v>
      </c>
      <c r="T98" s="85">
        <f>$L98*'MWh Impact Summary'!O$18</f>
        <v>161.22665208343423</v>
      </c>
      <c r="U98" s="85">
        <f t="shared" si="25"/>
        <v>65020.302581685806</v>
      </c>
      <c r="V98" s="81">
        <f t="shared" si="27"/>
        <v>133524.25329117372</v>
      </c>
      <c r="W98" s="81">
        <f>SUM(V87:V98)</f>
        <v>3347206.5796025079</v>
      </c>
      <c r="X98" s="81">
        <f>+'MWh by mo-WgtbyActulCDH&amp;Days'!AB100</f>
        <v>4588119</v>
      </c>
      <c r="Y98" s="120">
        <f t="shared" si="37"/>
        <v>29.102177448138054</v>
      </c>
      <c r="Z98" s="87">
        <f>+Y98/K98/1000</f>
        <v>9.387799176818727E-4</v>
      </c>
      <c r="AA98" s="88">
        <f t="shared" si="34"/>
        <v>2.1888458297050783E-4</v>
      </c>
      <c r="AC98" s="89">
        <f t="shared" si="26"/>
        <v>0</v>
      </c>
      <c r="AD98" s="90">
        <f>SUM(AC87:AC98)</f>
        <v>0</v>
      </c>
      <c r="AE98" s="96">
        <f t="shared" si="20"/>
        <v>0</v>
      </c>
      <c r="AF98" s="92">
        <f t="shared" si="32"/>
        <v>0</v>
      </c>
      <c r="AH98" s="123">
        <f t="shared" si="30"/>
        <v>9.387799176818727E-4</v>
      </c>
      <c r="AI98" s="121">
        <f t="shared" si="31"/>
        <v>133524.25329117372</v>
      </c>
    </row>
    <row r="99" spans="1:35">
      <c r="A99" s="78">
        <v>2013</v>
      </c>
      <c r="B99" s="78">
        <v>1</v>
      </c>
      <c r="C99" s="79">
        <v>50.538702541757459</v>
      </c>
      <c r="D99" s="80">
        <f t="shared" ref="D99:D110" si="38">C99/(SUM(C$99:C$110))</f>
        <v>2.526841009750121E-2</v>
      </c>
      <c r="E99" s="100">
        <f>$D99*'MWh Impact Summary'!B$19</f>
        <v>34139.943856069382</v>
      </c>
      <c r="F99" s="81">
        <f>$D99*'MWh Impact Summary'!L$19</f>
        <v>0</v>
      </c>
      <c r="G99" s="81">
        <f>$D99*'MWh Impact Summary'!C$19</f>
        <v>28847.21054360416</v>
      </c>
      <c r="H99" s="81">
        <f>$D99*'MWh Impact Summary'!D$19</f>
        <v>76.670286554076128</v>
      </c>
      <c r="I99" s="81">
        <f>$D99*'MWh Impact Summary'!E$19</f>
        <v>11835.070439570807</v>
      </c>
      <c r="J99" s="82">
        <f t="shared" si="24"/>
        <v>74898.89512579843</v>
      </c>
      <c r="K99" s="83">
        <v>31</v>
      </c>
      <c r="L99" s="97">
        <f>K99/(SUM(K99:K110))</f>
        <v>8.4931506849315067E-2</v>
      </c>
      <c r="M99" s="85">
        <f>$L99*'MWh Impact Summary'!F$19</f>
        <v>58877.863886569408</v>
      </c>
      <c r="N99" s="85">
        <f>$L99*'MWh Impact Summary'!G$19</f>
        <v>77.595559913139994</v>
      </c>
      <c r="O99" s="85">
        <f>$L99*'MWh Impact Summary'!H$19</f>
        <v>2683.0390856905556</v>
      </c>
      <c r="P99" s="85">
        <f>$L99*'MWh Impact Summary'!I$19</f>
        <v>858.64921101777986</v>
      </c>
      <c r="Q99" s="85">
        <f>$L99*'MWh Impact Summary'!J$19</f>
        <v>15522.636385467882</v>
      </c>
      <c r="R99" s="85">
        <f>$L99*'MWh Impact Summary'!K$19</f>
        <v>0</v>
      </c>
      <c r="S99" s="85">
        <f>$L99*'MWh Impact Summary'!M$19</f>
        <v>0</v>
      </c>
      <c r="T99" s="85">
        <f>$L99*'MWh Impact Summary'!O$19</f>
        <v>742.2418292149988</v>
      </c>
      <c r="U99" s="85">
        <f t="shared" si="25"/>
        <v>78762.02595787376</v>
      </c>
      <c r="V99" s="81">
        <f t="shared" si="27"/>
        <v>153660.9210836722</v>
      </c>
      <c r="W99" s="81"/>
      <c r="X99" s="81">
        <f>+'MWh by mo-WgtbyActulCDH&amp;Days'!AB101</f>
        <v>4594969</v>
      </c>
      <c r="Y99" s="120">
        <f t="shared" si="37"/>
        <v>33.441122471919222</v>
      </c>
      <c r="Z99" s="87">
        <f t="shared" si="29"/>
        <v>1.0787458861909428E-3</v>
      </c>
      <c r="AA99" s="88">
        <f t="shared" si="34"/>
        <v>3.6613753665757341E-4</v>
      </c>
      <c r="AC99" s="89">
        <f t="shared" si="26"/>
        <v>0</v>
      </c>
      <c r="AD99" s="93"/>
      <c r="AE99" s="96">
        <f t="shared" si="20"/>
        <v>0</v>
      </c>
      <c r="AF99" s="92">
        <f t="shared" si="32"/>
        <v>0</v>
      </c>
      <c r="AH99" s="123">
        <f t="shared" si="30"/>
        <v>1.0787458861909428E-3</v>
      </c>
      <c r="AI99" s="121">
        <f t="shared" si="31"/>
        <v>153660.9210836722</v>
      </c>
    </row>
    <row r="100" spans="1:35">
      <c r="A100" s="78">
        <f t="shared" ref="A100:A110" si="39">A99</f>
        <v>2013</v>
      </c>
      <c r="B100" s="78">
        <v>2</v>
      </c>
      <c r="C100" s="79">
        <v>44.995401174839188</v>
      </c>
      <c r="D100" s="80">
        <f t="shared" si="38"/>
        <v>2.2496862645969444E-2</v>
      </c>
      <c r="E100" s="100">
        <f>$D100*'MWh Impact Summary'!B$19</f>
        <v>30395.328582507565</v>
      </c>
      <c r="F100" s="81">
        <f>$D100*'MWh Impact Summary'!L$19</f>
        <v>0</v>
      </c>
      <c r="G100" s="81">
        <f>$D100*'MWh Impact Summary'!C$19</f>
        <v>25683.124930088146</v>
      </c>
      <c r="H100" s="81">
        <f>$D100*'MWh Impact Summary'!D$19</f>
        <v>68.260761123420977</v>
      </c>
      <c r="I100" s="81">
        <f>$D100*'MWh Impact Summary'!E$19</f>
        <v>10536.949220668508</v>
      </c>
      <c r="J100" s="82">
        <f t="shared" si="24"/>
        <v>66683.663494387642</v>
      </c>
      <c r="K100" s="83">
        <v>28</v>
      </c>
      <c r="L100" s="97">
        <f>K100/(SUM(K99:K110))</f>
        <v>7.6712328767123292E-2</v>
      </c>
      <c r="M100" s="85">
        <f>$L100*'MWh Impact Summary'!F$19</f>
        <v>53180.006091094954</v>
      </c>
      <c r="N100" s="85">
        <f>$L100*'MWh Impact Summary'!G$19</f>
        <v>70.086312179610331</v>
      </c>
      <c r="O100" s="85">
        <f>$L100*'MWh Impact Summary'!H$19</f>
        <v>2423.3901419140502</v>
      </c>
      <c r="P100" s="85">
        <f>$L100*'MWh Impact Summary'!I$19</f>
        <v>775.55412608057543</v>
      </c>
      <c r="Q100" s="85">
        <f>$L100*'MWh Impact Summary'!J$19</f>
        <v>14020.445767519379</v>
      </c>
      <c r="R100" s="85">
        <f>$L100*'MWh Impact Summary'!K$19</f>
        <v>0</v>
      </c>
      <c r="S100" s="85">
        <f>$L100*'MWh Impact Summary'!M$19</f>
        <v>0</v>
      </c>
      <c r="T100" s="85">
        <f>$L100*'MWh Impact Summary'!O$19</f>
        <v>670.41197477483763</v>
      </c>
      <c r="U100" s="85">
        <f t="shared" si="25"/>
        <v>71139.894413563408</v>
      </c>
      <c r="V100" s="81">
        <f t="shared" si="27"/>
        <v>137823.55790795106</v>
      </c>
      <c r="W100" s="81"/>
      <c r="X100" s="81">
        <f>+'MWh by mo-WgtbyActulCDH&amp;Days'!AB102</f>
        <v>4599265</v>
      </c>
      <c r="Y100" s="120">
        <f t="shared" si="37"/>
        <v>29.966431138008151</v>
      </c>
      <c r="Z100" s="87">
        <f t="shared" si="29"/>
        <v>1.0702296835002911E-3</v>
      </c>
      <c r="AA100" s="88">
        <f t="shared" si="34"/>
        <v>9.496071932206876E-5</v>
      </c>
      <c r="AC100" s="89">
        <f t="shared" si="26"/>
        <v>0</v>
      </c>
      <c r="AD100" s="90"/>
      <c r="AE100" s="96">
        <f t="shared" si="20"/>
        <v>0</v>
      </c>
      <c r="AF100" s="92">
        <f t="shared" si="32"/>
        <v>0</v>
      </c>
      <c r="AH100" s="123">
        <f t="shared" si="30"/>
        <v>1.0702296835002911E-3</v>
      </c>
      <c r="AI100" s="121">
        <f t="shared" si="31"/>
        <v>137823.55790795106</v>
      </c>
    </row>
    <row r="101" spans="1:35">
      <c r="A101" s="78">
        <f t="shared" si="39"/>
        <v>2013</v>
      </c>
      <c r="B101" s="78">
        <v>3</v>
      </c>
      <c r="C101" s="79">
        <v>28.558939154600807</v>
      </c>
      <c r="D101" s="80">
        <f t="shared" si="38"/>
        <v>1.4278937729194485E-2</v>
      </c>
      <c r="E101" s="100">
        <f>$D101*'MWh Impact Summary'!B$19</f>
        <v>19292.156907300534</v>
      </c>
      <c r="F101" s="81">
        <f>$D101*'MWh Impact Summary'!L$19</f>
        <v>0</v>
      </c>
      <c r="G101" s="81">
        <f>$D101*'MWh Impact Summary'!C$19</f>
        <v>16301.283754050672</v>
      </c>
      <c r="H101" s="81">
        <f>$D101*'MWh Impact Summary'!D$19</f>
        <v>43.32564823670532</v>
      </c>
      <c r="I101" s="81">
        <f>$D101*'MWh Impact Summary'!E$19</f>
        <v>6687.8855129857802</v>
      </c>
      <c r="J101" s="82">
        <f t="shared" si="24"/>
        <v>42324.651822573695</v>
      </c>
      <c r="K101" s="83">
        <v>31</v>
      </c>
      <c r="L101" s="97">
        <f>K101/(SUM(K99:K110))</f>
        <v>8.4931506849315067E-2</v>
      </c>
      <c r="M101" s="85">
        <f>$L101*'MWh Impact Summary'!F$19</f>
        <v>58877.863886569408</v>
      </c>
      <c r="N101" s="85">
        <f>$L101*'MWh Impact Summary'!G$19</f>
        <v>77.595559913139994</v>
      </c>
      <c r="O101" s="85">
        <f>$L101*'MWh Impact Summary'!H$19</f>
        <v>2683.0390856905556</v>
      </c>
      <c r="P101" s="85">
        <f>$L101*'MWh Impact Summary'!I$19</f>
        <v>858.64921101777986</v>
      </c>
      <c r="Q101" s="85">
        <f>$L101*'MWh Impact Summary'!J$19</f>
        <v>15522.636385467882</v>
      </c>
      <c r="R101" s="85">
        <f>$L101*'MWh Impact Summary'!K$19</f>
        <v>0</v>
      </c>
      <c r="S101" s="85">
        <f>$L101*'MWh Impact Summary'!M$19</f>
        <v>0</v>
      </c>
      <c r="T101" s="85">
        <f>$L101*'MWh Impact Summary'!O$19</f>
        <v>742.2418292149988</v>
      </c>
      <c r="U101" s="85">
        <f t="shared" si="25"/>
        <v>78762.02595787376</v>
      </c>
      <c r="V101" s="81">
        <f t="shared" si="27"/>
        <v>121086.67778044746</v>
      </c>
      <c r="W101" s="80"/>
      <c r="X101" s="81">
        <f>+'MWh by mo-WgtbyActulCDH&amp;Days'!AB103</f>
        <v>4605771</v>
      </c>
      <c r="Y101" s="120">
        <f t="shared" si="37"/>
        <v>26.290208041269846</v>
      </c>
      <c r="Z101" s="87">
        <f t="shared" si="29"/>
        <v>8.4807122713773694E-4</v>
      </c>
      <c r="AA101" s="88">
        <f t="shared" si="34"/>
        <v>-4.3956041529468002E-4</v>
      </c>
      <c r="AC101" s="89">
        <f t="shared" si="26"/>
        <v>0</v>
      </c>
      <c r="AD101" s="99"/>
      <c r="AE101" s="96">
        <f t="shared" si="20"/>
        <v>0</v>
      </c>
      <c r="AF101" s="92">
        <f t="shared" si="32"/>
        <v>0</v>
      </c>
      <c r="AH101" s="123">
        <f t="shared" si="30"/>
        <v>8.4807122713773694E-4</v>
      </c>
      <c r="AI101" s="121">
        <f t="shared" si="31"/>
        <v>121086.67778044746</v>
      </c>
    </row>
    <row r="102" spans="1:35">
      <c r="A102" s="78">
        <f t="shared" si="39"/>
        <v>2013</v>
      </c>
      <c r="B102" s="78">
        <v>4</v>
      </c>
      <c r="C102" s="79">
        <v>135.35989619627648</v>
      </c>
      <c r="D102" s="80">
        <f t="shared" si="38"/>
        <v>6.7677427314574823E-2</v>
      </c>
      <c r="E102" s="100">
        <f>$D102*'MWh Impact Summary'!B$19</f>
        <v>91438.422913331073</v>
      </c>
      <c r="F102" s="81">
        <f>$D102*'MWh Impact Summary'!L$19</f>
        <v>0</v>
      </c>
      <c r="G102" s="81">
        <f>$D102*'MWh Impact Summary'!C$19</f>
        <v>77262.676490519298</v>
      </c>
      <c r="H102" s="81">
        <f>$D102*'MWh Impact Summary'!D$19</f>
        <v>205.3491978889576</v>
      </c>
      <c r="I102" s="81">
        <f>$D102*'MWh Impact Summary'!E$19</f>
        <v>31698.358398739696</v>
      </c>
      <c r="J102" s="82">
        <f t="shared" si="24"/>
        <v>200604.80700047902</v>
      </c>
      <c r="K102" s="83">
        <v>30</v>
      </c>
      <c r="L102" s="97">
        <f>K102/(SUM(K99:K110))</f>
        <v>8.2191780821917804E-2</v>
      </c>
      <c r="M102" s="85">
        <f>$L102*'MWh Impact Summary'!F$19</f>
        <v>56978.577954744585</v>
      </c>
      <c r="N102" s="85">
        <f>$L102*'MWh Impact Summary'!G$19</f>
        <v>75.092477335296763</v>
      </c>
      <c r="O102" s="85">
        <f>$L102*'MWh Impact Summary'!H$19</f>
        <v>2596.4894377650535</v>
      </c>
      <c r="P102" s="85">
        <f>$L102*'MWh Impact Summary'!I$19</f>
        <v>830.95084937204501</v>
      </c>
      <c r="Q102" s="85">
        <f>$L102*'MWh Impact Summary'!J$19</f>
        <v>15021.906179485048</v>
      </c>
      <c r="R102" s="85">
        <f>$L102*'MWh Impact Summary'!K$19</f>
        <v>0</v>
      </c>
      <c r="S102" s="85">
        <f>$L102*'MWh Impact Summary'!M$19</f>
        <v>0</v>
      </c>
      <c r="T102" s="85">
        <f>$L102*'MWh Impact Summary'!O$19</f>
        <v>718.29854440161171</v>
      </c>
      <c r="U102" s="85">
        <f t="shared" si="25"/>
        <v>76221.315443103638</v>
      </c>
      <c r="V102" s="81">
        <f t="shared" si="27"/>
        <v>276826.12244358263</v>
      </c>
      <c r="W102" s="80"/>
      <c r="X102" s="81">
        <f>+'MWh by mo-WgtbyActulCDH&amp;Days'!AB104</f>
        <v>4609509</v>
      </c>
      <c r="Y102" s="120">
        <f t="shared" si="37"/>
        <v>60.05544678263621</v>
      </c>
      <c r="Z102" s="87">
        <f t="shared" si="29"/>
        <v>2.0018482260878738E-3</v>
      </c>
      <c r="AA102" s="88">
        <f t="shared" si="34"/>
        <v>5.2231888656465255E-4</v>
      </c>
      <c r="AC102" s="89">
        <f t="shared" si="26"/>
        <v>0</v>
      </c>
      <c r="AD102" s="93"/>
      <c r="AE102" s="96">
        <f t="shared" si="20"/>
        <v>0</v>
      </c>
      <c r="AF102" s="92">
        <f t="shared" si="32"/>
        <v>0</v>
      </c>
      <c r="AH102" s="123">
        <f t="shared" si="30"/>
        <v>2.0018482260878738E-3</v>
      </c>
      <c r="AI102" s="121">
        <f t="shared" si="31"/>
        <v>276826.12244358263</v>
      </c>
    </row>
    <row r="103" spans="1:35">
      <c r="A103" s="78">
        <f t="shared" si="39"/>
        <v>2013</v>
      </c>
      <c r="B103" s="78">
        <v>5</v>
      </c>
      <c r="C103" s="79">
        <v>163.92411756805507</v>
      </c>
      <c r="D103" s="80">
        <f t="shared" si="38"/>
        <v>8.1959006053988398E-2</v>
      </c>
      <c r="E103" s="100">
        <f>$D103*'MWh Impact Summary'!B$19</f>
        <v>110734.14806810959</v>
      </c>
      <c r="F103" s="81">
        <f>$D103*'MWh Impact Summary'!L$19</f>
        <v>0</v>
      </c>
      <c r="G103" s="81">
        <f>$D103*'MWh Impact Summary'!C$19</f>
        <v>93566.975304779291</v>
      </c>
      <c r="H103" s="81">
        <f>$D103*'MWh Impact Summary'!D$19</f>
        <v>248.68285957049417</v>
      </c>
      <c r="I103" s="81">
        <f>$D103*'MWh Impact Summary'!E$19</f>
        <v>38387.48089267734</v>
      </c>
      <c r="J103" s="82">
        <f t="shared" si="24"/>
        <v>242937.2871251367</v>
      </c>
      <c r="K103" s="83">
        <v>31</v>
      </c>
      <c r="L103" s="97">
        <f>K103/(SUM(K99:K110))</f>
        <v>8.4931506849315067E-2</v>
      </c>
      <c r="M103" s="85">
        <f>$L103*'MWh Impact Summary'!F$19</f>
        <v>58877.863886569408</v>
      </c>
      <c r="N103" s="85">
        <f>$L103*'MWh Impact Summary'!G$19</f>
        <v>77.595559913139994</v>
      </c>
      <c r="O103" s="85">
        <f>$L103*'MWh Impact Summary'!H$19</f>
        <v>2683.0390856905556</v>
      </c>
      <c r="P103" s="85">
        <f>$L103*'MWh Impact Summary'!I$19</f>
        <v>858.64921101777986</v>
      </c>
      <c r="Q103" s="85">
        <f>$L103*'MWh Impact Summary'!J$19</f>
        <v>15522.636385467882</v>
      </c>
      <c r="R103" s="85">
        <f>$L103*'MWh Impact Summary'!K$19</f>
        <v>0</v>
      </c>
      <c r="S103" s="85">
        <f>$L103*'MWh Impact Summary'!M$19</f>
        <v>0</v>
      </c>
      <c r="T103" s="85">
        <f>$L103*'MWh Impact Summary'!O$19</f>
        <v>742.2418292149988</v>
      </c>
      <c r="U103" s="85">
        <f t="shared" si="25"/>
        <v>78762.02595787376</v>
      </c>
      <c r="V103" s="81">
        <f t="shared" si="27"/>
        <v>321699.31308301049</v>
      </c>
      <c r="W103" s="80"/>
      <c r="X103" s="81">
        <f>+'MWh by mo-WgtbyActulCDH&amp;Days'!AB105</f>
        <v>4611553</v>
      </c>
      <c r="Y103" s="120">
        <f t="shared" si="37"/>
        <v>69.75943095157109</v>
      </c>
      <c r="Z103" s="87">
        <f>+Y103/K103/1000</f>
        <v>2.2503042242442289E-3</v>
      </c>
      <c r="AA103" s="88">
        <f>Z103-Z91</f>
        <v>-8.3992874475370335E-5</v>
      </c>
      <c r="AC103" s="89">
        <f t="shared" si="26"/>
        <v>0</v>
      </c>
      <c r="AD103" s="93"/>
      <c r="AE103" s="96">
        <f t="shared" si="20"/>
        <v>0</v>
      </c>
      <c r="AF103" s="92">
        <f t="shared" ref="AF103:AF134" si="40">+AE103/K103/1000</f>
        <v>0</v>
      </c>
      <c r="AH103" s="123">
        <f t="shared" si="30"/>
        <v>2.2503042242442289E-3</v>
      </c>
      <c r="AI103" s="121">
        <f t="shared" si="31"/>
        <v>321699.31308301049</v>
      </c>
    </row>
    <row r="104" spans="1:35">
      <c r="A104" s="78">
        <f t="shared" si="39"/>
        <v>2013</v>
      </c>
      <c r="B104" s="78">
        <v>6</v>
      </c>
      <c r="C104" s="79">
        <v>272.87629990709786</v>
      </c>
      <c r="D104" s="80">
        <f t="shared" si="38"/>
        <v>0.13643306822616158</v>
      </c>
      <c r="E104" s="100">
        <f>$D104*'MWh Impact Summary'!B$19</f>
        <v>184333.6114690117</v>
      </c>
      <c r="F104" s="81">
        <f>$D104*'MWh Impact Summary'!L$19</f>
        <v>0</v>
      </c>
      <c r="G104" s="81">
        <f>$D104*'MWh Impact Summary'!C$19</f>
        <v>155756.27548561897</v>
      </c>
      <c r="H104" s="81">
        <f>$D104*'MWh Impact Summary'!D$19</f>
        <v>413.96994888040268</v>
      </c>
      <c r="I104" s="81">
        <f>$D104*'MWh Impact Summary'!E$19</f>
        <v>63901.724188933797</v>
      </c>
      <c r="J104" s="82">
        <f t="shared" si="24"/>
        <v>404405.58109244483</v>
      </c>
      <c r="K104" s="83">
        <v>30</v>
      </c>
      <c r="L104" s="97">
        <f>K104/(SUM(K99:K110))</f>
        <v>8.2191780821917804E-2</v>
      </c>
      <c r="M104" s="85">
        <f>$L104*'MWh Impact Summary'!F$19</f>
        <v>56978.577954744585</v>
      </c>
      <c r="N104" s="85">
        <f>$L104*'MWh Impact Summary'!G$19</f>
        <v>75.092477335296763</v>
      </c>
      <c r="O104" s="85">
        <f>$L104*'MWh Impact Summary'!H$19</f>
        <v>2596.4894377650535</v>
      </c>
      <c r="P104" s="85">
        <f>$L104*'MWh Impact Summary'!I$19</f>
        <v>830.95084937204501</v>
      </c>
      <c r="Q104" s="85">
        <f>$L104*'MWh Impact Summary'!J$19</f>
        <v>15021.906179485048</v>
      </c>
      <c r="R104" s="85">
        <f>$L104*'MWh Impact Summary'!K$19</f>
        <v>0</v>
      </c>
      <c r="S104" s="85">
        <f>$L104*'MWh Impact Summary'!M$19</f>
        <v>0</v>
      </c>
      <c r="T104" s="85">
        <f>$L104*'MWh Impact Summary'!O$19</f>
        <v>718.29854440161171</v>
      </c>
      <c r="U104" s="85">
        <f t="shared" si="25"/>
        <v>76221.315443103638</v>
      </c>
      <c r="V104" s="81">
        <f t="shared" si="27"/>
        <v>480626.8965355485</v>
      </c>
      <c r="W104" s="80"/>
      <c r="X104" s="81">
        <f>+'MWh by mo-WgtbyActulCDH&amp;Days'!AB106</f>
        <v>4613739</v>
      </c>
      <c r="Y104" s="120">
        <f t="shared" si="37"/>
        <v>104.17297045531802</v>
      </c>
      <c r="Z104" s="87">
        <f t="shared" si="29"/>
        <v>3.4724323485106007E-3</v>
      </c>
      <c r="AA104" s="88">
        <f>Z104-Z92</f>
        <v>3.6080167700379548E-4</v>
      </c>
      <c r="AC104" s="89">
        <f t="shared" si="26"/>
        <v>0</v>
      </c>
      <c r="AD104" s="93"/>
      <c r="AE104" s="96">
        <f t="shared" ref="AE104:AE167" si="41">+AC104*1000/X104</f>
        <v>0</v>
      </c>
      <c r="AF104" s="92">
        <f t="shared" si="40"/>
        <v>0</v>
      </c>
      <c r="AH104" s="123">
        <f t="shared" si="30"/>
        <v>3.4724323485106007E-3</v>
      </c>
      <c r="AI104" s="121">
        <f t="shared" si="31"/>
        <v>480626.8965355485</v>
      </c>
    </row>
    <row r="105" spans="1:35">
      <c r="A105" s="78">
        <f t="shared" si="39"/>
        <v>2013</v>
      </c>
      <c r="B105" s="78">
        <v>7</v>
      </c>
      <c r="C105" s="79">
        <v>293.70814398852195</v>
      </c>
      <c r="D105" s="80">
        <f t="shared" si="38"/>
        <v>0.14684860231910155</v>
      </c>
      <c r="E105" s="100">
        <f>$D105*'MWh Impact Summary'!B$19</f>
        <v>198405.95507084008</v>
      </c>
      <c r="F105" s="81">
        <f>$D105*'MWh Impact Summary'!L$19</f>
        <v>0</v>
      </c>
      <c r="G105" s="81">
        <f>$D105*'MWh Impact Summary'!C$19</f>
        <v>167646.97631498531</v>
      </c>
      <c r="H105" s="81">
        <f>$D105*'MWh Impact Summary'!D$19</f>
        <v>445.57312377103131</v>
      </c>
      <c r="I105" s="81">
        <f>$D105*'MWh Impact Summary'!E$19</f>
        <v>68780.091255957363</v>
      </c>
      <c r="J105" s="82">
        <f t="shared" si="24"/>
        <v>435278.59576555382</v>
      </c>
      <c r="K105" s="83">
        <v>31</v>
      </c>
      <c r="L105" s="97">
        <f>K105/(SUM(K99:K110))</f>
        <v>8.4931506849315067E-2</v>
      </c>
      <c r="M105" s="85">
        <f>$L105*'MWh Impact Summary'!F$19</f>
        <v>58877.863886569408</v>
      </c>
      <c r="N105" s="85">
        <f>$L105*'MWh Impact Summary'!G$19</f>
        <v>77.595559913139994</v>
      </c>
      <c r="O105" s="85">
        <f>$L105*'MWh Impact Summary'!H$19</f>
        <v>2683.0390856905556</v>
      </c>
      <c r="P105" s="85">
        <f>$L105*'MWh Impact Summary'!I$19</f>
        <v>858.64921101777986</v>
      </c>
      <c r="Q105" s="85">
        <f>$L105*'MWh Impact Summary'!J$19</f>
        <v>15522.636385467882</v>
      </c>
      <c r="R105" s="85">
        <f>$L105*'MWh Impact Summary'!K$19</f>
        <v>0</v>
      </c>
      <c r="S105" s="85">
        <f>$L105*'MWh Impact Summary'!M$19</f>
        <v>0</v>
      </c>
      <c r="T105" s="85">
        <f>$L105*'MWh Impact Summary'!O$19</f>
        <v>742.2418292149988</v>
      </c>
      <c r="U105" s="85">
        <f t="shared" si="25"/>
        <v>78762.02595787376</v>
      </c>
      <c r="V105" s="81">
        <f t="shared" si="27"/>
        <v>514040.62172342755</v>
      </c>
      <c r="W105" s="81"/>
      <c r="X105" s="81">
        <f>+'MWh by mo-WgtbyActulCDH&amp;Days'!AB107</f>
        <v>4620943</v>
      </c>
      <c r="Y105" s="120">
        <f t="shared" si="37"/>
        <v>111.24149804994944</v>
      </c>
      <c r="Z105" s="87">
        <f t="shared" si="29"/>
        <v>3.588435420966111E-3</v>
      </c>
      <c r="AA105" s="88">
        <f>Z105-Z93</f>
        <v>1.434419922542729E-4</v>
      </c>
      <c r="AC105" s="89">
        <f t="shared" si="26"/>
        <v>0</v>
      </c>
      <c r="AD105" s="93"/>
      <c r="AE105" s="96">
        <f t="shared" si="41"/>
        <v>0</v>
      </c>
      <c r="AF105" s="92">
        <f t="shared" si="40"/>
        <v>0</v>
      </c>
      <c r="AH105" s="123">
        <f t="shared" si="30"/>
        <v>3.588435420966111E-3</v>
      </c>
      <c r="AI105" s="121">
        <f t="shared" si="31"/>
        <v>514040.62172342755</v>
      </c>
    </row>
    <row r="106" spans="1:35">
      <c r="A106" s="78">
        <f t="shared" si="39"/>
        <v>2013</v>
      </c>
      <c r="B106" s="78">
        <v>8</v>
      </c>
      <c r="C106" s="79">
        <v>337.54482289408111</v>
      </c>
      <c r="D106" s="80">
        <f t="shared" si="38"/>
        <v>0.16876612540911221</v>
      </c>
      <c r="E106" s="100">
        <f>$D106*'MWh Impact Summary'!B$19</f>
        <v>228018.54268002501</v>
      </c>
      <c r="F106" s="81">
        <f>$D106*'MWh Impact Summary'!L$19</f>
        <v>0</v>
      </c>
      <c r="G106" s="81">
        <f>$D106*'MWh Impact Summary'!C$19</f>
        <v>192668.70901333055</v>
      </c>
      <c r="H106" s="81">
        <f>$D106*'MWh Impact Summary'!D$19</f>
        <v>512.07603271475125</v>
      </c>
      <c r="I106" s="81">
        <f>$D106*'MWh Impact Summary'!E$19</f>
        <v>79045.692796785908</v>
      </c>
      <c r="J106" s="82">
        <f t="shared" si="24"/>
        <v>500245.02052285621</v>
      </c>
      <c r="K106" s="83">
        <v>31</v>
      </c>
      <c r="L106" s="97">
        <f>K106/(SUM(K99:K110))</f>
        <v>8.4931506849315067E-2</v>
      </c>
      <c r="M106" s="85">
        <f>$L106*'MWh Impact Summary'!F$19</f>
        <v>58877.863886569408</v>
      </c>
      <c r="N106" s="85">
        <f>$L106*'MWh Impact Summary'!G$19</f>
        <v>77.595559913139994</v>
      </c>
      <c r="O106" s="85">
        <f>$L106*'MWh Impact Summary'!H$19</f>
        <v>2683.0390856905556</v>
      </c>
      <c r="P106" s="85">
        <f>$L106*'MWh Impact Summary'!I$19</f>
        <v>858.64921101777986</v>
      </c>
      <c r="Q106" s="85">
        <f>$L106*'MWh Impact Summary'!J$19</f>
        <v>15522.636385467882</v>
      </c>
      <c r="R106" s="85">
        <f>$L106*'MWh Impact Summary'!K$19</f>
        <v>0</v>
      </c>
      <c r="S106" s="85">
        <f>$L106*'MWh Impact Summary'!M$19</f>
        <v>0</v>
      </c>
      <c r="T106" s="85">
        <f>$L106*'MWh Impact Summary'!O$19</f>
        <v>742.2418292149988</v>
      </c>
      <c r="U106" s="85">
        <f t="shared" si="25"/>
        <v>78762.02595787376</v>
      </c>
      <c r="V106" s="81">
        <f t="shared" si="27"/>
        <v>579007.04648072994</v>
      </c>
      <c r="W106" s="81"/>
      <c r="X106" s="81">
        <f>+'MWh by mo-WgtbyActulCDH&amp;Days'!AB108</f>
        <v>4630751</v>
      </c>
      <c r="Y106" s="120">
        <f t="shared" si="37"/>
        <v>125.03523650499237</v>
      </c>
      <c r="Z106" s="87">
        <f t="shared" si="29"/>
        <v>4.0333947259674954E-3</v>
      </c>
      <c r="AA106" s="88">
        <f>Z106-Z94</f>
        <v>5.8376547476241729E-4</v>
      </c>
      <c r="AC106" s="89">
        <f>+S106</f>
        <v>0</v>
      </c>
      <c r="AD106" s="93"/>
      <c r="AE106" s="96">
        <f t="shared" si="41"/>
        <v>0</v>
      </c>
      <c r="AF106" s="92">
        <f t="shared" si="40"/>
        <v>0</v>
      </c>
      <c r="AH106" s="123">
        <f t="shared" si="30"/>
        <v>4.0333947259674954E-3</v>
      </c>
      <c r="AI106" s="121">
        <f t="shared" si="31"/>
        <v>579007.04648072994</v>
      </c>
    </row>
    <row r="107" spans="1:35">
      <c r="A107" s="78">
        <f t="shared" si="39"/>
        <v>2013</v>
      </c>
      <c r="B107" s="78">
        <v>9</v>
      </c>
      <c r="C107" s="79">
        <v>270.04400483226198</v>
      </c>
      <c r="D107" s="80">
        <f t="shared" si="38"/>
        <v>0.13501697343407715</v>
      </c>
      <c r="E107" s="100">
        <f>$D107*'MWh Impact Summary'!B$19</f>
        <v>182420.33728555145</v>
      </c>
      <c r="F107" s="81">
        <f>$D107*'MWh Impact Summary'!L$19</f>
        <v>0</v>
      </c>
      <c r="G107" s="81">
        <f>$D107*'MWh Impact Summary'!C$19</f>
        <v>154139.61719729236</v>
      </c>
      <c r="H107" s="81">
        <f>$D107*'MWh Impact Summary'!D$19</f>
        <v>409.67318493372346</v>
      </c>
      <c r="I107" s="81">
        <f>$D107*'MWh Impact Summary'!E$19</f>
        <v>63238.461975412654</v>
      </c>
      <c r="J107" s="82">
        <f t="shared" si="24"/>
        <v>400208.08964319021</v>
      </c>
      <c r="K107" s="83">
        <v>30</v>
      </c>
      <c r="L107" s="97">
        <f>K107/(SUM(K99:K110))</f>
        <v>8.2191780821917804E-2</v>
      </c>
      <c r="M107" s="85">
        <f>$L107*'MWh Impact Summary'!F$19</f>
        <v>56978.577954744585</v>
      </c>
      <c r="N107" s="85">
        <f>$L107*'MWh Impact Summary'!G$19</f>
        <v>75.092477335296763</v>
      </c>
      <c r="O107" s="85">
        <f>$L107*'MWh Impact Summary'!H$19</f>
        <v>2596.4894377650535</v>
      </c>
      <c r="P107" s="85">
        <f>$L107*'MWh Impact Summary'!I$19</f>
        <v>830.95084937204501</v>
      </c>
      <c r="Q107" s="85">
        <f>$L107*'MWh Impact Summary'!J$19</f>
        <v>15021.906179485048</v>
      </c>
      <c r="R107" s="85">
        <f>$L107*'MWh Impact Summary'!K$19</f>
        <v>0</v>
      </c>
      <c r="S107" s="85">
        <f>$L107*'MWh Impact Summary'!M$19</f>
        <v>0</v>
      </c>
      <c r="T107" s="85">
        <f>$L107*'MWh Impact Summary'!O$19</f>
        <v>718.29854440161171</v>
      </c>
      <c r="U107" s="85">
        <f t="shared" si="25"/>
        <v>76221.315443103638</v>
      </c>
      <c r="V107" s="81">
        <f t="shared" si="27"/>
        <v>476429.40508629382</v>
      </c>
      <c r="W107" s="81"/>
      <c r="X107" s="81">
        <f>+'MWh by mo-WgtbyActulCDH&amp;Days'!AB109</f>
        <v>4644296</v>
      </c>
      <c r="Y107" s="120">
        <f t="shared" si="37"/>
        <v>102.58377267217547</v>
      </c>
      <c r="Z107" s="87">
        <f t="shared" si="29"/>
        <v>3.419459089072516E-3</v>
      </c>
      <c r="AA107" s="88">
        <f t="shared" si="34"/>
        <v>3.2898383287718446E-4</v>
      </c>
      <c r="AC107" s="89">
        <f t="shared" si="26"/>
        <v>0</v>
      </c>
      <c r="AD107" s="93"/>
      <c r="AE107" s="96">
        <f>+AC107*1000/X107</f>
        <v>0</v>
      </c>
      <c r="AF107" s="92">
        <f t="shared" si="40"/>
        <v>0</v>
      </c>
      <c r="AH107" s="123">
        <f t="shared" si="30"/>
        <v>3.419459089072516E-3</v>
      </c>
      <c r="AI107" s="121">
        <f t="shared" si="31"/>
        <v>476429.40508629382</v>
      </c>
    </row>
    <row r="108" spans="1:35">
      <c r="A108" s="78">
        <f t="shared" si="39"/>
        <v>2013</v>
      </c>
      <c r="B108" s="78">
        <v>10</v>
      </c>
      <c r="C108" s="79">
        <v>213.28592721551468</v>
      </c>
      <c r="D108" s="80">
        <f t="shared" si="38"/>
        <v>0.10663899162141027</v>
      </c>
      <c r="E108" s="100">
        <f>$D108*'MWh Impact Summary'!B$19</f>
        <v>144079.07631603713</v>
      </c>
      <c r="F108" s="81">
        <f>$D108*'MWh Impact Summary'!L$19</f>
        <v>0</v>
      </c>
      <c r="G108" s="81">
        <f>$D108*'MWh Impact Summary'!C$19</f>
        <v>121742.42192486305</v>
      </c>
      <c r="H108" s="81">
        <f>$D108*'MWh Impact Summary'!D$19</f>
        <v>323.56772800120797</v>
      </c>
      <c r="I108" s="81">
        <f>$D108*'MWh Impact Summary'!E$19</f>
        <v>49946.948485255059</v>
      </c>
      <c r="J108" s="82">
        <f t="shared" si="24"/>
        <v>316092.01445415645</v>
      </c>
      <c r="K108" s="83">
        <v>31</v>
      </c>
      <c r="L108" s="97">
        <f>K108/(SUM(K99:K110))</f>
        <v>8.4931506849315067E-2</v>
      </c>
      <c r="M108" s="85">
        <f>$L108*'MWh Impact Summary'!F$19</f>
        <v>58877.863886569408</v>
      </c>
      <c r="N108" s="85">
        <f>$L108*'MWh Impact Summary'!G$19</f>
        <v>77.595559913139994</v>
      </c>
      <c r="O108" s="85">
        <f>$L108*'MWh Impact Summary'!H$19</f>
        <v>2683.0390856905556</v>
      </c>
      <c r="P108" s="85">
        <f>$L108*'MWh Impact Summary'!I$19</f>
        <v>858.64921101777986</v>
      </c>
      <c r="Q108" s="85">
        <f>$L108*'MWh Impact Summary'!J$19</f>
        <v>15522.636385467882</v>
      </c>
      <c r="R108" s="85">
        <f>$L108*'MWh Impact Summary'!K$19</f>
        <v>0</v>
      </c>
      <c r="S108" s="85">
        <f>$L108*'MWh Impact Summary'!M$19</f>
        <v>0</v>
      </c>
      <c r="T108" s="85">
        <f>$L108*'MWh Impact Summary'!O$19</f>
        <v>742.2418292149988</v>
      </c>
      <c r="U108" s="85">
        <f t="shared" si="25"/>
        <v>78762.02595787376</v>
      </c>
      <c r="V108" s="81">
        <f t="shared" si="27"/>
        <v>394854.04041203018</v>
      </c>
      <c r="W108" s="81"/>
      <c r="X108" s="81">
        <f>+'MWh by mo-WgtbyActulCDH&amp;Days'!AB110</f>
        <v>4655414</v>
      </c>
      <c r="Y108" s="120">
        <f t="shared" si="37"/>
        <v>84.816095928746648</v>
      </c>
      <c r="Z108" s="87">
        <f t="shared" si="29"/>
        <v>2.736003094475698E-3</v>
      </c>
      <c r="AA108" s="88">
        <f t="shared" si="34"/>
        <v>4.3467641607376371E-4</v>
      </c>
      <c r="AC108" s="89">
        <f t="shared" si="26"/>
        <v>0</v>
      </c>
      <c r="AD108" s="93"/>
      <c r="AE108" s="96">
        <f t="shared" si="41"/>
        <v>0</v>
      </c>
      <c r="AF108" s="92">
        <f t="shared" si="40"/>
        <v>0</v>
      </c>
      <c r="AH108" s="123">
        <f t="shared" si="30"/>
        <v>2.736003094475698E-3</v>
      </c>
      <c r="AI108" s="121">
        <f t="shared" si="31"/>
        <v>394854.04041203018</v>
      </c>
    </row>
    <row r="109" spans="1:35">
      <c r="A109" s="78">
        <f t="shared" si="39"/>
        <v>2013</v>
      </c>
      <c r="B109" s="78">
        <v>11</v>
      </c>
      <c r="C109" s="79">
        <v>110.23315885291359</v>
      </c>
      <c r="D109" s="80">
        <f t="shared" si="38"/>
        <v>5.5114526573708029E-2</v>
      </c>
      <c r="E109" s="100">
        <f>$D109*'MWh Impact Summary'!B$19</f>
        <v>74464.789657118468</v>
      </c>
      <c r="F109" s="81">
        <f>$D109*'MWh Impact Summary'!L$19</f>
        <v>0</v>
      </c>
      <c r="G109" s="81">
        <f>$D109*'MWh Impact Summary'!C$19</f>
        <v>62920.4744559709</v>
      </c>
      <c r="H109" s="81">
        <f>$D109*'MWh Impact Summary'!D$19</f>
        <v>167.23040861665893</v>
      </c>
      <c r="I109" s="81">
        <f>$D109*'MWh Impact Summary'!E$19</f>
        <v>25814.220274505358</v>
      </c>
      <c r="J109" s="82">
        <f t="shared" si="24"/>
        <v>163366.71479621137</v>
      </c>
      <c r="K109" s="83">
        <v>30</v>
      </c>
      <c r="L109" s="97">
        <f>K109/(SUM(K99:K110))</f>
        <v>8.2191780821917804E-2</v>
      </c>
      <c r="M109" s="85">
        <f>$L109*'MWh Impact Summary'!F$19</f>
        <v>56978.577954744585</v>
      </c>
      <c r="N109" s="85">
        <f>$L109*'MWh Impact Summary'!G$19</f>
        <v>75.092477335296763</v>
      </c>
      <c r="O109" s="85">
        <f>$L109*'MWh Impact Summary'!H$19</f>
        <v>2596.4894377650535</v>
      </c>
      <c r="P109" s="85">
        <f>$L109*'MWh Impact Summary'!I$19</f>
        <v>830.95084937204501</v>
      </c>
      <c r="Q109" s="85">
        <f>$L109*'MWh Impact Summary'!J$19</f>
        <v>15021.906179485048</v>
      </c>
      <c r="R109" s="85">
        <f>$L109*'MWh Impact Summary'!K$19</f>
        <v>0</v>
      </c>
      <c r="S109" s="85">
        <f>$L109*'MWh Impact Summary'!M$19</f>
        <v>0</v>
      </c>
      <c r="T109" s="85">
        <f>$L109*'MWh Impact Summary'!O$19</f>
        <v>718.29854440161171</v>
      </c>
      <c r="U109" s="85">
        <f t="shared" si="25"/>
        <v>76221.315443103638</v>
      </c>
      <c r="V109" s="81">
        <f t="shared" si="27"/>
        <v>239588.03023931501</v>
      </c>
      <c r="W109" s="81"/>
      <c r="X109" s="81">
        <f>+'MWh by mo-WgtbyActulCDH&amp;Days'!AB111</f>
        <v>4665143</v>
      </c>
      <c r="Y109" s="120">
        <f t="shared" si="37"/>
        <v>51.357060274318492</v>
      </c>
      <c r="Z109" s="87">
        <f t="shared" si="29"/>
        <v>1.7119020091439497E-3</v>
      </c>
      <c r="AA109" s="88">
        <f t="shared" si="34"/>
        <v>8.802731824320611E-4</v>
      </c>
      <c r="AC109" s="89">
        <f t="shared" si="26"/>
        <v>0</v>
      </c>
      <c r="AD109" s="93"/>
      <c r="AE109" s="96">
        <f t="shared" si="41"/>
        <v>0</v>
      </c>
      <c r="AF109" s="92">
        <f t="shared" si="40"/>
        <v>0</v>
      </c>
      <c r="AH109" s="123">
        <f t="shared" si="30"/>
        <v>1.7119020091439497E-3</v>
      </c>
      <c r="AI109" s="121">
        <f t="shared" si="31"/>
        <v>239588.03023931501</v>
      </c>
    </row>
    <row r="110" spans="1:35">
      <c r="A110" s="78">
        <f t="shared" si="39"/>
        <v>2013</v>
      </c>
      <c r="B110" s="78">
        <v>12</v>
      </c>
      <c r="C110" s="79">
        <v>79.005079745838657</v>
      </c>
      <c r="D110" s="80">
        <f t="shared" si="38"/>
        <v>3.9501068575200832E-2</v>
      </c>
      <c r="E110" s="100">
        <f>$D110*'MWh Impact Summary'!B$19</f>
        <v>53369.573242182829</v>
      </c>
      <c r="F110" s="81">
        <f>$D110*'MWh Impact Summary'!L$19</f>
        <v>0</v>
      </c>
      <c r="G110" s="81">
        <f>$D110*'MWh Impact Summary'!C$19</f>
        <v>45095.660450708332</v>
      </c>
      <c r="H110" s="81">
        <f>$D110*'MWh Impact Summary'!D$19</f>
        <v>119.85551268033097</v>
      </c>
      <c r="I110" s="81">
        <f>$D110*'MWh Impact Summary'!E$19</f>
        <v>18501.27994685544</v>
      </c>
      <c r="J110" s="82">
        <f t="shared" si="24"/>
        <v>117086.36915242694</v>
      </c>
      <c r="K110" s="83">
        <v>31</v>
      </c>
      <c r="L110" s="97">
        <f>K110/(SUM(K99:K110))</f>
        <v>8.4931506849315067E-2</v>
      </c>
      <c r="M110" s="85">
        <f>$L110*'MWh Impact Summary'!F$19</f>
        <v>58877.863886569408</v>
      </c>
      <c r="N110" s="85">
        <f>$L110*'MWh Impact Summary'!G$19</f>
        <v>77.595559913139994</v>
      </c>
      <c r="O110" s="85">
        <f>$L110*'MWh Impact Summary'!H$19</f>
        <v>2683.0390856905556</v>
      </c>
      <c r="P110" s="85">
        <f>$L110*'MWh Impact Summary'!I$19</f>
        <v>858.64921101777986</v>
      </c>
      <c r="Q110" s="85">
        <f>$L110*'MWh Impact Summary'!J$19</f>
        <v>15522.636385467882</v>
      </c>
      <c r="R110" s="85">
        <f>$L110*'MWh Impact Summary'!K$19</f>
        <v>0</v>
      </c>
      <c r="S110" s="85">
        <f>$L110*'MWh Impact Summary'!M$19</f>
        <v>0</v>
      </c>
      <c r="T110" s="85">
        <f>$L110*'MWh Impact Summary'!O$19</f>
        <v>742.2418292149988</v>
      </c>
      <c r="U110" s="85">
        <f t="shared" si="25"/>
        <v>78762.02595787376</v>
      </c>
      <c r="V110" s="81">
        <f t="shared" si="27"/>
        <v>195848.39511030068</v>
      </c>
      <c r="W110" s="81">
        <f>SUM(V99:V110)</f>
        <v>3891491.0278863097</v>
      </c>
      <c r="X110" s="81">
        <f>+'MWh by mo-WgtbyActulCDH&amp;Days'!AB112</f>
        <v>4671859</v>
      </c>
      <c r="Y110" s="120">
        <f t="shared" si="37"/>
        <v>41.920870281038169</v>
      </c>
      <c r="Z110" s="87">
        <f t="shared" si="29"/>
        <v>1.3522861380980055E-3</v>
      </c>
      <c r="AA110" s="88">
        <f t="shared" si="34"/>
        <v>4.1350622041613284E-4</v>
      </c>
      <c r="AC110" s="89">
        <f t="shared" si="26"/>
        <v>0</v>
      </c>
      <c r="AD110" s="90">
        <f>SUM(AC99:AC110)</f>
        <v>0</v>
      </c>
      <c r="AE110" s="96">
        <f t="shared" si="41"/>
        <v>0</v>
      </c>
      <c r="AF110" s="92">
        <f t="shared" si="40"/>
        <v>0</v>
      </c>
      <c r="AH110" s="123">
        <f t="shared" si="30"/>
        <v>1.3522861380980055E-3</v>
      </c>
      <c r="AI110" s="121">
        <f t="shared" si="31"/>
        <v>195848.39511030068</v>
      </c>
    </row>
    <row r="111" spans="1:35">
      <c r="A111" s="78">
        <v>2014</v>
      </c>
      <c r="B111" s="78">
        <v>1</v>
      </c>
      <c r="C111" s="79">
        <v>26.95686291874426</v>
      </c>
      <c r="D111" s="80">
        <f t="shared" ref="D111:D122" si="42">C123/(SUM(C$123:C$134))</f>
        <v>1.2915057734219224E-2</v>
      </c>
      <c r="E111" s="100">
        <f>$D111*'MWh Impact Summary'!B$20</f>
        <v>19838.707484904986</v>
      </c>
      <c r="F111" s="81">
        <f>$D111*'MWh Impact Summary'!L$20</f>
        <v>0</v>
      </c>
      <c r="G111" s="81">
        <f>$D111*'MWh Impact Summary'!C$20</f>
        <v>16927.164648536567</v>
      </c>
      <c r="H111" s="81">
        <f>$D111*'MWh Impact Summary'!D$20</f>
        <v>50.523145694197865</v>
      </c>
      <c r="I111" s="81">
        <f>$D111*'MWh Impact Summary'!E$20</f>
        <v>6825.73290168112</v>
      </c>
      <c r="J111" s="82">
        <f t="shared" si="24"/>
        <v>43642.128180816871</v>
      </c>
      <c r="K111" s="83">
        <v>31</v>
      </c>
      <c r="L111" s="97">
        <f>K111/(SUM(K111:K122))</f>
        <v>8.4931506849315067E-2</v>
      </c>
      <c r="M111" s="85">
        <f>$L111*'MWh Impact Summary'!F$20</f>
        <v>69436.910975051389</v>
      </c>
      <c r="N111" s="85">
        <f>$L111*'MWh Impact Summary'!G$20</f>
        <v>304.55870729542738</v>
      </c>
      <c r="O111" s="85">
        <f>$L111*'MWh Impact Summary'!H$20</f>
        <v>3430.6954612875843</v>
      </c>
      <c r="P111" s="85">
        <f>$L111*'MWh Impact Summary'!I$20</f>
        <v>951.24712521510378</v>
      </c>
      <c r="Q111" s="85">
        <f>$L111*'MWh Impact Summary'!J$20</f>
        <v>19082.497207732114</v>
      </c>
      <c r="R111" s="85">
        <f>$L111*'MWh Impact Summary'!K$20</f>
        <v>0</v>
      </c>
      <c r="S111" s="85">
        <f>$L111*'MWh Impact Summary'!M$20</f>
        <v>0</v>
      </c>
      <c r="T111" s="85">
        <f>$L111*'MWh Impact Summary'!O$20</f>
        <v>2368.0540787230984</v>
      </c>
      <c r="U111" s="85">
        <f t="shared" si="25"/>
        <v>95573.963555304712</v>
      </c>
      <c r="V111" s="81">
        <f t="shared" si="27"/>
        <v>139216.09173612157</v>
      </c>
      <c r="W111" s="81"/>
      <c r="X111" s="81">
        <f>+'MWh by mo-WgtbyActulCDH&amp;Days'!AB113</f>
        <v>4679556</v>
      </c>
      <c r="Y111" s="120">
        <f t="shared" si="37"/>
        <v>29.749850570464712</v>
      </c>
      <c r="Z111" s="87">
        <f t="shared" si="29"/>
        <v>9.5967259904724883E-4</v>
      </c>
      <c r="AA111" s="88">
        <f t="shared" si="34"/>
        <v>-1.1907328714369394E-4</v>
      </c>
      <c r="AC111" s="89">
        <f t="shared" si="26"/>
        <v>0</v>
      </c>
      <c r="AD111" s="93"/>
      <c r="AE111" s="96">
        <f t="shared" si="41"/>
        <v>0</v>
      </c>
      <c r="AF111" s="92">
        <f t="shared" si="40"/>
        <v>0</v>
      </c>
      <c r="AH111" s="123">
        <f t="shared" si="30"/>
        <v>9.5967259904724883E-4</v>
      </c>
      <c r="AI111" s="121">
        <f t="shared" si="31"/>
        <v>139216.09173612157</v>
      </c>
    </row>
    <row r="112" spans="1:35">
      <c r="A112" s="78">
        <v>2014</v>
      </c>
      <c r="B112" s="78">
        <v>2</v>
      </c>
      <c r="C112" s="79">
        <v>57.510679559652473</v>
      </c>
      <c r="D112" s="80">
        <f t="shared" si="42"/>
        <v>2.7553419293853541E-2</v>
      </c>
      <c r="E112" s="100">
        <f>$D112*'MWh Impact Summary'!B$20</f>
        <v>42324.566937969146</v>
      </c>
      <c r="F112" s="81">
        <f>$D112*'MWh Impact Summary'!L$20</f>
        <v>0</v>
      </c>
      <c r="G112" s="81">
        <f>$D112*'MWh Impact Summary'!C$20</f>
        <v>36112.983357516459</v>
      </c>
      <c r="H112" s="81">
        <f>$D112*'MWh Impact Summary'!D$20</f>
        <v>107.78778120892721</v>
      </c>
      <c r="I112" s="81">
        <f>$D112*'MWh Impact Summary'!E$20</f>
        <v>14562.248539513892</v>
      </c>
      <c r="J112" s="82">
        <f t="shared" si="24"/>
        <v>93107.586616208428</v>
      </c>
      <c r="K112" s="83">
        <v>28</v>
      </c>
      <c r="L112" s="97">
        <f>K112/(SUM(K111:K122))</f>
        <v>7.6712328767123292E-2</v>
      </c>
      <c r="M112" s="85">
        <f>$L112*'MWh Impact Summary'!F$20</f>
        <v>62717.209912949649</v>
      </c>
      <c r="N112" s="85">
        <f>$L112*'MWh Impact Summary'!G$20</f>
        <v>275.08528400877316</v>
      </c>
      <c r="O112" s="85">
        <f>$L112*'MWh Impact Summary'!H$20</f>
        <v>3098.6926747113666</v>
      </c>
      <c r="P112" s="85">
        <f>$L112*'MWh Impact Summary'!I$20</f>
        <v>859.19095180719057</v>
      </c>
      <c r="Q112" s="85">
        <f>$L112*'MWh Impact Summary'!J$20</f>
        <v>17235.803929564492</v>
      </c>
      <c r="R112" s="85">
        <f>$L112*'MWh Impact Summary'!K$20</f>
        <v>0</v>
      </c>
      <c r="S112" s="85">
        <f>$L112*'MWh Impact Summary'!M$20</f>
        <v>0</v>
      </c>
      <c r="T112" s="85">
        <f>$L112*'MWh Impact Summary'!O$20</f>
        <v>2138.8875549757017</v>
      </c>
      <c r="U112" s="85">
        <f t="shared" si="25"/>
        <v>86324.870308017169</v>
      </c>
      <c r="V112" s="81">
        <f t="shared" si="27"/>
        <v>179432.45692422561</v>
      </c>
      <c r="W112" s="81"/>
      <c r="X112" s="81">
        <f>+'MWh by mo-WgtbyActulCDH&amp;Days'!AB114</f>
        <v>4687089</v>
      </c>
      <c r="Y112" s="120">
        <f t="shared" si="37"/>
        <v>38.282280734209571</v>
      </c>
      <c r="Z112" s="87">
        <f t="shared" si="29"/>
        <v>1.3672243119360562E-3</v>
      </c>
      <c r="AA112" s="88">
        <f t="shared" si="34"/>
        <v>2.9699462843576509E-4</v>
      </c>
      <c r="AC112" s="89">
        <f t="shared" si="26"/>
        <v>0</v>
      </c>
      <c r="AD112" s="93"/>
      <c r="AE112" s="96">
        <f t="shared" si="41"/>
        <v>0</v>
      </c>
      <c r="AF112" s="92">
        <f t="shared" si="40"/>
        <v>0</v>
      </c>
      <c r="AH112" s="123">
        <f t="shared" si="30"/>
        <v>1.3672243119360562E-3</v>
      </c>
      <c r="AI112" s="121">
        <f t="shared" si="31"/>
        <v>179432.45692422561</v>
      </c>
    </row>
    <row r="113" spans="1:35">
      <c r="A113" s="78">
        <v>2014</v>
      </c>
      <c r="B113" s="78">
        <v>3</v>
      </c>
      <c r="C113" s="79">
        <v>62.20178223460303</v>
      </c>
      <c r="D113" s="80">
        <f t="shared" si="42"/>
        <v>2.9800930885493855E-2</v>
      </c>
      <c r="E113" s="100">
        <f>$D113*'MWh Impact Summary'!B$20</f>
        <v>45776.949881434244</v>
      </c>
      <c r="F113" s="81">
        <f>$D113*'MWh Impact Summary'!L$20</f>
        <v>0</v>
      </c>
      <c r="G113" s="81">
        <f>$D113*'MWh Impact Summary'!C$20</f>
        <v>39058.692121975961</v>
      </c>
      <c r="H113" s="81">
        <f>$D113*'MWh Impact Summary'!D$20</f>
        <v>116.57994907457918</v>
      </c>
      <c r="I113" s="81">
        <f>$D113*'MWh Impact Summary'!E$20</f>
        <v>15750.080149226507</v>
      </c>
      <c r="J113" s="82">
        <f t="shared" si="24"/>
        <v>100702.30210171129</v>
      </c>
      <c r="K113" s="83">
        <v>31</v>
      </c>
      <c r="L113" s="97">
        <f>K113/(SUM(K111:K122))</f>
        <v>8.4931506849315067E-2</v>
      </c>
      <c r="M113" s="85">
        <f>$L113*'MWh Impact Summary'!F$20</f>
        <v>69436.910975051389</v>
      </c>
      <c r="N113" s="85">
        <f>$L113*'MWh Impact Summary'!G$20</f>
        <v>304.55870729542738</v>
      </c>
      <c r="O113" s="85">
        <f>$L113*'MWh Impact Summary'!H$20</f>
        <v>3430.6954612875843</v>
      </c>
      <c r="P113" s="85">
        <f>$L113*'MWh Impact Summary'!I$20</f>
        <v>951.24712521510378</v>
      </c>
      <c r="Q113" s="85">
        <f>$L113*'MWh Impact Summary'!J$20</f>
        <v>19082.497207732114</v>
      </c>
      <c r="R113" s="85">
        <f>$L113*'MWh Impact Summary'!K$20</f>
        <v>0</v>
      </c>
      <c r="S113" s="85">
        <f>$L113*'MWh Impact Summary'!M$20</f>
        <v>0</v>
      </c>
      <c r="T113" s="85">
        <f>$L113*'MWh Impact Summary'!O$20</f>
        <v>2368.0540787230984</v>
      </c>
      <c r="U113" s="85">
        <f t="shared" si="25"/>
        <v>95573.963555304712</v>
      </c>
      <c r="V113" s="81">
        <f t="shared" si="27"/>
        <v>196276.26565701602</v>
      </c>
      <c r="W113" s="85"/>
      <c r="X113" s="81">
        <f>+'MWh by mo-WgtbyActulCDH&amp;Days'!AB115</f>
        <v>4694845</v>
      </c>
      <c r="Y113" s="120">
        <f t="shared" si="37"/>
        <v>41.806761598522634</v>
      </c>
      <c r="Z113" s="87">
        <f t="shared" si="29"/>
        <v>1.3486052128555688E-3</v>
      </c>
      <c r="AA113" s="88">
        <f t="shared" si="34"/>
        <v>5.0053398571783185E-4</v>
      </c>
      <c r="AC113" s="89">
        <f t="shared" si="26"/>
        <v>0</v>
      </c>
      <c r="AD113" s="89"/>
      <c r="AE113" s="96">
        <f t="shared" si="41"/>
        <v>0</v>
      </c>
      <c r="AF113" s="92">
        <f t="shared" si="40"/>
        <v>0</v>
      </c>
      <c r="AH113" s="123">
        <f t="shared" si="30"/>
        <v>1.3486052128555688E-3</v>
      </c>
      <c r="AI113" s="121">
        <f t="shared" si="31"/>
        <v>196276.26565701602</v>
      </c>
    </row>
    <row r="114" spans="1:35">
      <c r="A114" s="78">
        <v>2014</v>
      </c>
      <c r="B114" s="78">
        <v>4</v>
      </c>
      <c r="C114" s="79">
        <v>137.13602413996043</v>
      </c>
      <c r="D114" s="80">
        <f t="shared" si="42"/>
        <v>6.5701994870379921E-2</v>
      </c>
      <c r="E114" s="100">
        <f>$D114*'MWh Impact Summary'!B$20</f>
        <v>100924.26098527189</v>
      </c>
      <c r="F114" s="81">
        <f>$D114*'MWh Impact Summary'!L$20</f>
        <v>0</v>
      </c>
      <c r="G114" s="81">
        <f>$D114*'MWh Impact Summary'!C$20</f>
        <v>86112.544581316237</v>
      </c>
      <c r="H114" s="81">
        <f>$D114*'MWh Impact Summary'!D$20</f>
        <v>257.02335425419784</v>
      </c>
      <c r="I114" s="81">
        <f>$D114*'MWh Impact Summary'!E$20</f>
        <v>34724.139630022968</v>
      </c>
      <c r="J114" s="82">
        <f t="shared" si="24"/>
        <v>222017.96855086531</v>
      </c>
      <c r="K114" s="83">
        <v>30</v>
      </c>
      <c r="L114" s="97">
        <f>K114/(SUM(K111:K122))</f>
        <v>8.2191780821917804E-2</v>
      </c>
      <c r="M114" s="85">
        <f>$L114*'MWh Impact Summary'!F$20</f>
        <v>67197.010621017471</v>
      </c>
      <c r="N114" s="85">
        <f>$L114*'MWh Impact Summary'!G$20</f>
        <v>294.73423286654264</v>
      </c>
      <c r="O114" s="85">
        <f>$L114*'MWh Impact Summary'!H$20</f>
        <v>3320.0278657621784</v>
      </c>
      <c r="P114" s="85">
        <f>$L114*'MWh Impact Summary'!I$20</f>
        <v>920.56173407913263</v>
      </c>
      <c r="Q114" s="85">
        <f>$L114*'MWh Impact Summary'!J$20</f>
        <v>18466.932781676242</v>
      </c>
      <c r="R114" s="85">
        <f>$L114*'MWh Impact Summary'!K$20</f>
        <v>0</v>
      </c>
      <c r="S114" s="85">
        <f>$L114*'MWh Impact Summary'!M$20</f>
        <v>0</v>
      </c>
      <c r="T114" s="85">
        <f>$L114*'MWh Impact Summary'!O$20</f>
        <v>2291.665237473966</v>
      </c>
      <c r="U114" s="85">
        <f t="shared" si="25"/>
        <v>92490.932472875531</v>
      </c>
      <c r="V114" s="81">
        <f t="shared" si="27"/>
        <v>314508.90102374082</v>
      </c>
      <c r="W114" s="81"/>
      <c r="X114" s="81">
        <f>+'MWh by mo-WgtbyActulCDH&amp;Days'!AB116</f>
        <v>4699582</v>
      </c>
      <c r="Y114" s="120">
        <f t="shared" si="37"/>
        <v>66.922739303993595</v>
      </c>
      <c r="Z114" s="87">
        <f t="shared" si="29"/>
        <v>2.2307579767997863E-3</v>
      </c>
      <c r="AA114" s="88">
        <f t="shared" si="34"/>
        <v>2.2890975071191257E-4</v>
      </c>
      <c r="AC114" s="89">
        <f t="shared" si="26"/>
        <v>0</v>
      </c>
      <c r="AD114" s="93"/>
      <c r="AE114" s="96">
        <f t="shared" si="41"/>
        <v>0</v>
      </c>
      <c r="AF114" s="92">
        <f t="shared" si="40"/>
        <v>0</v>
      </c>
      <c r="AH114" s="123">
        <f t="shared" si="30"/>
        <v>2.2307579767997863E-3</v>
      </c>
      <c r="AI114" s="121">
        <f t="shared" si="31"/>
        <v>314508.90102374082</v>
      </c>
    </row>
    <row r="115" spans="1:35">
      <c r="A115" s="78">
        <v>2014</v>
      </c>
      <c r="B115" s="78">
        <v>5</v>
      </c>
      <c r="C115" s="79">
        <v>220.65709530534707</v>
      </c>
      <c r="D115" s="80">
        <f t="shared" si="42"/>
        <v>0.10571701662481223</v>
      </c>
      <c r="E115" s="100">
        <f>$D115*'MWh Impact Summary'!B$20</f>
        <v>162390.9867192923</v>
      </c>
      <c r="F115" s="81">
        <f>$D115*'MWh Impact Summary'!L$20</f>
        <v>0</v>
      </c>
      <c r="G115" s="81">
        <f>$D115*'MWh Impact Summary'!C$20</f>
        <v>138558.36988005979</v>
      </c>
      <c r="H115" s="81">
        <f>$D115*'MWh Impact Summary'!D$20</f>
        <v>413.56038379446113</v>
      </c>
      <c r="I115" s="81">
        <f>$D115*'MWh Impact Summary'!E$20</f>
        <v>55872.465574167611</v>
      </c>
      <c r="J115" s="82">
        <f t="shared" si="24"/>
        <v>357235.38255731418</v>
      </c>
      <c r="K115" s="83">
        <v>31</v>
      </c>
      <c r="L115" s="97">
        <f>K115/(SUM(K111:K122))</f>
        <v>8.4931506849315067E-2</v>
      </c>
      <c r="M115" s="85">
        <f>$L115*'MWh Impact Summary'!F$20</f>
        <v>69436.910975051389</v>
      </c>
      <c r="N115" s="85">
        <f>$L115*'MWh Impact Summary'!G$20</f>
        <v>304.55870729542738</v>
      </c>
      <c r="O115" s="85">
        <f>$L115*'MWh Impact Summary'!H$20</f>
        <v>3430.6954612875843</v>
      </c>
      <c r="P115" s="85">
        <f>$L115*'MWh Impact Summary'!I$20</f>
        <v>951.24712521510378</v>
      </c>
      <c r="Q115" s="85">
        <f>$L115*'MWh Impact Summary'!J$20</f>
        <v>19082.497207732114</v>
      </c>
      <c r="R115" s="85">
        <f>$L115*'MWh Impact Summary'!K$20</f>
        <v>0</v>
      </c>
      <c r="S115" s="85">
        <f>$L115*'MWh Impact Summary'!M$20</f>
        <v>0</v>
      </c>
      <c r="T115" s="85">
        <f>$L115*'MWh Impact Summary'!O$20</f>
        <v>2368.0540787230984</v>
      </c>
      <c r="U115" s="85">
        <f t="shared" si="25"/>
        <v>95573.963555304712</v>
      </c>
      <c r="V115" s="81">
        <f t="shared" si="27"/>
        <v>452809.34611261892</v>
      </c>
      <c r="W115" s="81"/>
      <c r="X115" s="81">
        <f>+'MWh by mo-WgtbyActulCDH&amp;Days'!AB117</f>
        <v>4702414</v>
      </c>
      <c r="Y115" s="120">
        <f t="shared" si="37"/>
        <v>96.292956365096501</v>
      </c>
      <c r="Z115" s="87">
        <f t="shared" si="29"/>
        <v>3.1062243988740803E-3</v>
      </c>
      <c r="AA115" s="88">
        <f t="shared" si="34"/>
        <v>8.5592017462985141E-4</v>
      </c>
      <c r="AC115" s="89">
        <f t="shared" si="26"/>
        <v>0</v>
      </c>
      <c r="AD115" s="93"/>
      <c r="AE115" s="96">
        <f t="shared" si="41"/>
        <v>0</v>
      </c>
      <c r="AF115" s="92">
        <f t="shared" si="40"/>
        <v>0</v>
      </c>
      <c r="AH115" s="123">
        <f t="shared" si="30"/>
        <v>3.1062243988740803E-3</v>
      </c>
      <c r="AI115" s="121">
        <f t="shared" si="31"/>
        <v>452809.34611261892</v>
      </c>
    </row>
    <row r="116" spans="1:35">
      <c r="A116" s="78">
        <v>2014</v>
      </c>
      <c r="B116" s="78">
        <v>6</v>
      </c>
      <c r="C116" s="79">
        <v>247.5875604864128</v>
      </c>
      <c r="D116" s="80">
        <f t="shared" si="42"/>
        <v>0.11861942717871234</v>
      </c>
      <c r="E116" s="100">
        <f>$D116*'MWh Impact Summary'!B$20</f>
        <v>182210.26698087214</v>
      </c>
      <c r="F116" s="81">
        <f>$D116*'MWh Impact Summary'!L$20</f>
        <v>0</v>
      </c>
      <c r="G116" s="81">
        <f>$D116*'MWh Impact Summary'!C$20</f>
        <v>155468.95845839931</v>
      </c>
      <c r="H116" s="81">
        <f>$D116*'MWh Impact Summary'!D$20</f>
        <v>464.03405426779409</v>
      </c>
      <c r="I116" s="81">
        <f>$D116*'MWh Impact Summary'!E$20</f>
        <v>62691.514318751317</v>
      </c>
      <c r="J116" s="82">
        <f t="shared" si="24"/>
        <v>400834.77381229051</v>
      </c>
      <c r="K116" s="83">
        <v>30</v>
      </c>
      <c r="L116" s="97">
        <f>K116/(SUM(K111:K122))</f>
        <v>8.2191780821917804E-2</v>
      </c>
      <c r="M116" s="85">
        <f>$L116*'MWh Impact Summary'!F$20</f>
        <v>67197.010621017471</v>
      </c>
      <c r="N116" s="85">
        <f>$L116*'MWh Impact Summary'!G$20</f>
        <v>294.73423286654264</v>
      </c>
      <c r="O116" s="85">
        <f>$L116*'MWh Impact Summary'!H$20</f>
        <v>3320.0278657621784</v>
      </c>
      <c r="P116" s="85">
        <f>$L116*'MWh Impact Summary'!I$20</f>
        <v>920.56173407913263</v>
      </c>
      <c r="Q116" s="85">
        <f>$L116*'MWh Impact Summary'!J$20</f>
        <v>18466.932781676242</v>
      </c>
      <c r="R116" s="85">
        <f>$L116*'MWh Impact Summary'!K$20</f>
        <v>0</v>
      </c>
      <c r="S116" s="85">
        <f>$L116*'MWh Impact Summary'!M$20</f>
        <v>0</v>
      </c>
      <c r="T116" s="85">
        <f>$L116*'MWh Impact Summary'!O$20</f>
        <v>2291.665237473966</v>
      </c>
      <c r="U116" s="85">
        <f t="shared" si="25"/>
        <v>92490.932472875531</v>
      </c>
      <c r="V116" s="81">
        <f t="shared" si="27"/>
        <v>493325.70628516603</v>
      </c>
      <c r="W116" s="81"/>
      <c r="X116" s="81">
        <f>+'MWh by mo-WgtbyActulCDH&amp;Days'!AB118</f>
        <v>4705494</v>
      </c>
      <c r="Y116" s="120">
        <f t="shared" si="37"/>
        <v>104.84036453668116</v>
      </c>
      <c r="Z116" s="87">
        <f t="shared" si="29"/>
        <v>3.4946788178893723E-3</v>
      </c>
      <c r="AA116" s="88">
        <f t="shared" si="34"/>
        <v>2.2246469378771599E-5</v>
      </c>
      <c r="AC116" s="89">
        <f t="shared" si="26"/>
        <v>0</v>
      </c>
      <c r="AD116" s="93"/>
      <c r="AE116" s="96">
        <f t="shared" si="41"/>
        <v>0</v>
      </c>
      <c r="AF116" s="92">
        <f t="shared" si="40"/>
        <v>0</v>
      </c>
      <c r="AH116" s="123">
        <f t="shared" si="30"/>
        <v>3.4946788178893723E-3</v>
      </c>
      <c r="AI116" s="121">
        <f t="shared" si="31"/>
        <v>493325.70628516603</v>
      </c>
    </row>
    <row r="117" spans="1:35">
      <c r="A117" s="78">
        <v>2014</v>
      </c>
      <c r="B117" s="78">
        <v>7</v>
      </c>
      <c r="C117" s="79">
        <v>311.6666769190017</v>
      </c>
      <c r="D117" s="80">
        <f t="shared" si="42"/>
        <v>0.1493197905993085</v>
      </c>
      <c r="E117" s="100">
        <f>$D117*'MWh Impact Summary'!B$20</f>
        <v>229368.82733076165</v>
      </c>
      <c r="F117" s="81">
        <f>$D117*'MWh Impact Summary'!L$20</f>
        <v>0</v>
      </c>
      <c r="G117" s="81">
        <f>$D117*'MWh Impact Summary'!C$20</f>
        <v>195706.49491272296</v>
      </c>
      <c r="H117" s="81">
        <f>$D117*'MWh Impact Summary'!D$20</f>
        <v>584.13254440879643</v>
      </c>
      <c r="I117" s="81">
        <f>$D117*'MWh Impact Summary'!E$20</f>
        <v>78916.953260329479</v>
      </c>
      <c r="J117" s="82">
        <f t="shared" si="24"/>
        <v>504576.40804822289</v>
      </c>
      <c r="K117" s="83">
        <v>31</v>
      </c>
      <c r="L117" s="97">
        <f>K117/(SUM(K111:K122))</f>
        <v>8.4931506849315067E-2</v>
      </c>
      <c r="M117" s="85">
        <f>$L117*'MWh Impact Summary'!F$20</f>
        <v>69436.910975051389</v>
      </c>
      <c r="N117" s="85">
        <f>$L117*'MWh Impact Summary'!G$20</f>
        <v>304.55870729542738</v>
      </c>
      <c r="O117" s="85">
        <f>$L117*'MWh Impact Summary'!H$20</f>
        <v>3430.6954612875843</v>
      </c>
      <c r="P117" s="85">
        <f>$L117*'MWh Impact Summary'!I$20</f>
        <v>951.24712521510378</v>
      </c>
      <c r="Q117" s="85">
        <f>$L117*'MWh Impact Summary'!J$20</f>
        <v>19082.497207732114</v>
      </c>
      <c r="R117" s="85">
        <f>$L117*'MWh Impact Summary'!K$20</f>
        <v>0</v>
      </c>
      <c r="S117" s="85">
        <f>$L117*'MWh Impact Summary'!M$20</f>
        <v>0</v>
      </c>
      <c r="T117" s="85">
        <f>$L117*'MWh Impact Summary'!O$20</f>
        <v>2368.0540787230984</v>
      </c>
      <c r="U117" s="85">
        <f t="shared" si="25"/>
        <v>95573.963555304712</v>
      </c>
      <c r="V117" s="81">
        <f t="shared" si="27"/>
        <v>600150.37160352757</v>
      </c>
      <c r="W117" s="81"/>
      <c r="X117" s="81">
        <f>+'MWh by mo-WgtbyActulCDH&amp;Days'!AB119</f>
        <v>4709239</v>
      </c>
      <c r="Y117" s="120">
        <f t="shared" si="37"/>
        <v>127.44105185647354</v>
      </c>
      <c r="Z117" s="87">
        <f t="shared" si="29"/>
        <v>4.1110016727894686E-3</v>
      </c>
      <c r="AA117" s="88">
        <f t="shared" si="34"/>
        <v>5.2256625182335766E-4</v>
      </c>
      <c r="AC117" s="89">
        <f t="shared" si="26"/>
        <v>0</v>
      </c>
      <c r="AD117" s="93"/>
      <c r="AE117" s="96">
        <f t="shared" si="41"/>
        <v>0</v>
      </c>
      <c r="AF117" s="92">
        <f t="shared" si="40"/>
        <v>0</v>
      </c>
      <c r="AH117" s="123">
        <f t="shared" si="30"/>
        <v>4.1110016727894686E-3</v>
      </c>
      <c r="AI117" s="121">
        <f t="shared" si="31"/>
        <v>600150.37160352757</v>
      </c>
    </row>
    <row r="118" spans="1:35">
      <c r="A118" s="78">
        <v>2014</v>
      </c>
      <c r="B118" s="78">
        <v>8</v>
      </c>
      <c r="C118" s="79">
        <v>350.95807565684066</v>
      </c>
      <c r="D118" s="80">
        <f t="shared" si="42"/>
        <v>0.16814433575083526</v>
      </c>
      <c r="E118" s="100">
        <f>$D118*'MWh Impact Summary'!B$20</f>
        <v>258285.0468694506</v>
      </c>
      <c r="F118" s="81">
        <f>$D118*'MWh Impact Summary'!L$20</f>
        <v>0</v>
      </c>
      <c r="G118" s="81">
        <f>$D118*'MWh Impact Summary'!C$20</f>
        <v>220378.94948251027</v>
      </c>
      <c r="H118" s="81">
        <f>$D118*'MWh Impact Summary'!D$20</f>
        <v>657.77334856855339</v>
      </c>
      <c r="I118" s="81">
        <f>$D118*'MWh Impact Summary'!E$20</f>
        <v>88865.907407047111</v>
      </c>
      <c r="J118" s="82">
        <f t="shared" si="24"/>
        <v>568187.67710757651</v>
      </c>
      <c r="K118" s="83">
        <v>31</v>
      </c>
      <c r="L118" s="97">
        <f>K118/(SUM(K111:K122))</f>
        <v>8.4931506849315067E-2</v>
      </c>
      <c r="M118" s="85">
        <f>$L118*'MWh Impact Summary'!F$20</f>
        <v>69436.910975051389</v>
      </c>
      <c r="N118" s="85">
        <f>$L118*'MWh Impact Summary'!G$20</f>
        <v>304.55870729542738</v>
      </c>
      <c r="O118" s="85">
        <f>$L118*'MWh Impact Summary'!H$20</f>
        <v>3430.6954612875843</v>
      </c>
      <c r="P118" s="85">
        <f>$L118*'MWh Impact Summary'!I$20</f>
        <v>951.24712521510378</v>
      </c>
      <c r="Q118" s="85">
        <f>$L118*'MWh Impact Summary'!J$20</f>
        <v>19082.497207732114</v>
      </c>
      <c r="R118" s="85">
        <f>$L118*'MWh Impact Summary'!K$20</f>
        <v>0</v>
      </c>
      <c r="S118" s="85">
        <f>$L118*'MWh Impact Summary'!M$20</f>
        <v>0</v>
      </c>
      <c r="T118" s="85">
        <f>$L118*'MWh Impact Summary'!O$20</f>
        <v>2368.0540787230984</v>
      </c>
      <c r="U118" s="85">
        <f t="shared" si="25"/>
        <v>95573.963555304712</v>
      </c>
      <c r="V118" s="81">
        <f t="shared" si="27"/>
        <v>663761.6406628812</v>
      </c>
      <c r="W118" s="81"/>
      <c r="X118" s="81">
        <f>+'MWh by mo-WgtbyActulCDH&amp;Days'!AB120</f>
        <v>4712926</v>
      </c>
      <c r="Y118" s="120">
        <f t="shared" si="37"/>
        <v>140.83854502762853</v>
      </c>
      <c r="Z118" s="87">
        <f t="shared" si="29"/>
        <v>4.5431788718589853E-3</v>
      </c>
      <c r="AA118" s="88">
        <f t="shared" si="34"/>
        <v>5.0978414589148997E-4</v>
      </c>
      <c r="AC118" s="89">
        <f t="shared" si="26"/>
        <v>0</v>
      </c>
      <c r="AD118" s="93"/>
      <c r="AE118" s="96">
        <f t="shared" si="41"/>
        <v>0</v>
      </c>
      <c r="AF118" s="92">
        <f t="shared" si="40"/>
        <v>0</v>
      </c>
      <c r="AH118" s="123">
        <f t="shared" si="30"/>
        <v>4.5431788718589853E-3</v>
      </c>
      <c r="AI118" s="121">
        <f t="shared" si="31"/>
        <v>663761.6406628812</v>
      </c>
    </row>
    <row r="119" spans="1:35">
      <c r="A119" s="78">
        <v>2014</v>
      </c>
      <c r="B119" s="78">
        <v>9</v>
      </c>
      <c r="C119" s="79">
        <f t="shared" ref="C119:C175" si="43">+C107</f>
        <v>270.04400483226198</v>
      </c>
      <c r="D119" s="80">
        <f t="shared" si="42"/>
        <v>0.12937833024937548</v>
      </c>
      <c r="E119" s="100">
        <f>$D119*'MWh Impact Summary'!B$20</f>
        <v>198736.92410233454</v>
      </c>
      <c r="F119" s="81">
        <f>$D119*'MWh Impact Summary'!L$20</f>
        <v>0</v>
      </c>
      <c r="G119" s="81">
        <f>$D119*'MWh Impact Summary'!C$20</f>
        <v>169570.15161313285</v>
      </c>
      <c r="H119" s="81">
        <f>$D119*'MWh Impact Summary'!D$20</f>
        <v>506.12241643660082</v>
      </c>
      <c r="I119" s="81">
        <f>$D119*'MWh Impact Summary'!E$20</f>
        <v>68377.698630637635</v>
      </c>
      <c r="J119" s="82">
        <f t="shared" si="24"/>
        <v>437190.89676254161</v>
      </c>
      <c r="K119" s="83">
        <v>30</v>
      </c>
      <c r="L119" s="97">
        <f>K119/(SUM(K111:K122))</f>
        <v>8.2191780821917804E-2</v>
      </c>
      <c r="M119" s="85">
        <f>$L119*'MWh Impact Summary'!F$20</f>
        <v>67197.010621017471</v>
      </c>
      <c r="N119" s="85">
        <f>$L119*'MWh Impact Summary'!G$20</f>
        <v>294.73423286654264</v>
      </c>
      <c r="O119" s="85">
        <f>$L119*'MWh Impact Summary'!H$20</f>
        <v>3320.0278657621784</v>
      </c>
      <c r="P119" s="85">
        <f>$L119*'MWh Impact Summary'!I$20</f>
        <v>920.56173407913263</v>
      </c>
      <c r="Q119" s="85">
        <f>$L119*'MWh Impact Summary'!J$20</f>
        <v>18466.932781676242</v>
      </c>
      <c r="R119" s="85">
        <f>$L119*'MWh Impact Summary'!K$20</f>
        <v>0</v>
      </c>
      <c r="S119" s="85">
        <f>$L119*'MWh Impact Summary'!M$20</f>
        <v>0</v>
      </c>
      <c r="T119" s="85">
        <f>$L119*'MWh Impact Summary'!O$20</f>
        <v>2291.665237473966</v>
      </c>
      <c r="U119" s="85">
        <f t="shared" si="25"/>
        <v>92490.932472875531</v>
      </c>
      <c r="V119" s="81">
        <f t="shared" si="27"/>
        <v>529681.82923541719</v>
      </c>
      <c r="W119" s="81"/>
      <c r="X119" s="81">
        <f>+'MWh by mo-WgtbyActulCDH&amp;Days'!AB121</f>
        <v>4718734</v>
      </c>
      <c r="Y119" s="120">
        <f t="shared" si="37"/>
        <v>112.25083448980536</v>
      </c>
      <c r="Z119" s="87">
        <f t="shared" si="29"/>
        <v>3.7416944829935118E-3</v>
      </c>
      <c r="AA119" s="88">
        <f t="shared" si="34"/>
        <v>3.2223539392099579E-4</v>
      </c>
      <c r="AC119" s="89">
        <f t="shared" si="26"/>
        <v>0</v>
      </c>
      <c r="AD119" s="93"/>
      <c r="AE119" s="96">
        <f t="shared" si="41"/>
        <v>0</v>
      </c>
      <c r="AF119" s="92">
        <f t="shared" si="40"/>
        <v>0</v>
      </c>
      <c r="AH119" s="123">
        <f t="shared" si="30"/>
        <v>3.7416944829935118E-3</v>
      </c>
      <c r="AI119" s="121">
        <f t="shared" si="31"/>
        <v>529681.82923541719</v>
      </c>
    </row>
    <row r="120" spans="1:35">
      <c r="A120" s="78">
        <v>2014</v>
      </c>
      <c r="B120" s="78">
        <v>10</v>
      </c>
      <c r="C120" s="79">
        <f t="shared" si="43"/>
        <v>213.28592721551468</v>
      </c>
      <c r="D120" s="80">
        <f t="shared" si="42"/>
        <v>0.10218548323623593</v>
      </c>
      <c r="E120" s="100">
        <f>$D120*'MWh Impact Summary'!B$20</f>
        <v>156966.22909830936</v>
      </c>
      <c r="F120" s="81">
        <f>$D120*'MWh Impact Summary'!L$20</f>
        <v>0</v>
      </c>
      <c r="G120" s="81">
        <f>$D120*'MWh Impact Summary'!C$20</f>
        <v>133929.75355015771</v>
      </c>
      <c r="H120" s="81">
        <f>$D120*'MWh Impact Summary'!D$20</f>
        <v>399.74517835080144</v>
      </c>
      <c r="I120" s="81">
        <f>$D120*'MWh Impact Summary'!E$20</f>
        <v>54006.016028230064</v>
      </c>
      <c r="J120" s="82">
        <f t="shared" si="24"/>
        <v>345301.74385504797</v>
      </c>
      <c r="K120" s="83">
        <v>31</v>
      </c>
      <c r="L120" s="97">
        <f>K120/(SUM(K111:K122))</f>
        <v>8.4931506849315067E-2</v>
      </c>
      <c r="M120" s="85">
        <f>$L120*'MWh Impact Summary'!F$20</f>
        <v>69436.910975051389</v>
      </c>
      <c r="N120" s="85">
        <f>$L120*'MWh Impact Summary'!G$20</f>
        <v>304.55870729542738</v>
      </c>
      <c r="O120" s="85">
        <f>$L120*'MWh Impact Summary'!H$20</f>
        <v>3430.6954612875843</v>
      </c>
      <c r="P120" s="85">
        <f>$L120*'MWh Impact Summary'!I$20</f>
        <v>951.24712521510378</v>
      </c>
      <c r="Q120" s="85">
        <f>$L120*'MWh Impact Summary'!J$20</f>
        <v>19082.497207732114</v>
      </c>
      <c r="R120" s="85">
        <f>$L120*'MWh Impact Summary'!K$20</f>
        <v>0</v>
      </c>
      <c r="S120" s="85">
        <f>$L120*'MWh Impact Summary'!M$20</f>
        <v>0</v>
      </c>
      <c r="T120" s="85">
        <f>$L120*'MWh Impact Summary'!O$20</f>
        <v>2368.0540787230984</v>
      </c>
      <c r="U120" s="85">
        <f t="shared" si="25"/>
        <v>95573.963555304712</v>
      </c>
      <c r="V120" s="81">
        <f t="shared" si="27"/>
        <v>440875.70741035265</v>
      </c>
      <c r="W120" s="81"/>
      <c r="X120" s="81">
        <f>+'MWh by mo-WgtbyActulCDH&amp;Days'!AB122</f>
        <v>4724910</v>
      </c>
      <c r="Y120" s="120">
        <f t="shared" si="37"/>
        <v>93.308805333932852</v>
      </c>
      <c r="Z120" s="87">
        <f t="shared" si="29"/>
        <v>3.0099614623849309E-3</v>
      </c>
      <c r="AA120" s="88">
        <f t="shared" si="34"/>
        <v>2.7395836790923295E-4</v>
      </c>
      <c r="AC120" s="89">
        <f t="shared" si="26"/>
        <v>0</v>
      </c>
      <c r="AD120" s="93"/>
      <c r="AE120" s="96">
        <f t="shared" si="41"/>
        <v>0</v>
      </c>
      <c r="AF120" s="92">
        <f t="shared" si="40"/>
        <v>0</v>
      </c>
      <c r="AH120" s="123">
        <f t="shared" si="30"/>
        <v>3.0099614623849309E-3</v>
      </c>
      <c r="AI120" s="121">
        <f t="shared" si="31"/>
        <v>440875.70741035265</v>
      </c>
    </row>
    <row r="121" spans="1:35">
      <c r="A121" s="78">
        <v>2014</v>
      </c>
      <c r="B121" s="78">
        <v>11</v>
      </c>
      <c r="C121" s="79">
        <f t="shared" si="43"/>
        <v>110.23315885291359</v>
      </c>
      <c r="D121" s="80">
        <f t="shared" si="42"/>
        <v>5.2812807451003543E-2</v>
      </c>
      <c r="E121" s="100">
        <f>$D121*'MWh Impact Summary'!B$20</f>
        <v>81125.292665244953</v>
      </c>
      <c r="F121" s="81">
        <f>$D121*'MWh Impact Summary'!L$20</f>
        <v>0</v>
      </c>
      <c r="G121" s="81">
        <f>$D121*'MWh Impact Summary'!C$20</f>
        <v>69219.286949524467</v>
      </c>
      <c r="H121" s="81">
        <f>$D121*'MWh Impact Summary'!D$20</f>
        <v>206.6014121095975</v>
      </c>
      <c r="I121" s="81">
        <f>$D121*'MWh Impact Summary'!E$20</f>
        <v>27912.079439903315</v>
      </c>
      <c r="J121" s="82">
        <f t="shared" si="24"/>
        <v>178463.26046678235</v>
      </c>
      <c r="K121" s="83">
        <v>30</v>
      </c>
      <c r="L121" s="97">
        <f>K121/(SUM(K111:K122))</f>
        <v>8.2191780821917804E-2</v>
      </c>
      <c r="M121" s="85">
        <f>$L121*'MWh Impact Summary'!F$20</f>
        <v>67197.010621017471</v>
      </c>
      <c r="N121" s="85">
        <f>$L121*'MWh Impact Summary'!G$20</f>
        <v>294.73423286654264</v>
      </c>
      <c r="O121" s="85">
        <f>$L121*'MWh Impact Summary'!H$20</f>
        <v>3320.0278657621784</v>
      </c>
      <c r="P121" s="85">
        <f>$L121*'MWh Impact Summary'!I$20</f>
        <v>920.56173407913263</v>
      </c>
      <c r="Q121" s="85">
        <f>$L121*'MWh Impact Summary'!J$20</f>
        <v>18466.932781676242</v>
      </c>
      <c r="R121" s="85">
        <f>$L121*'MWh Impact Summary'!K$20</f>
        <v>0</v>
      </c>
      <c r="S121" s="85">
        <f>$L121*'MWh Impact Summary'!M$20</f>
        <v>0</v>
      </c>
      <c r="T121" s="85">
        <f>$L121*'MWh Impact Summary'!O$20</f>
        <v>2291.665237473966</v>
      </c>
      <c r="U121" s="85">
        <f t="shared" si="25"/>
        <v>92490.932472875531</v>
      </c>
      <c r="V121" s="81">
        <f t="shared" si="27"/>
        <v>270954.19293965789</v>
      </c>
      <c r="W121" s="81"/>
      <c r="X121" s="81">
        <f>+'MWh by mo-WgtbyActulCDH&amp;Days'!AB123</f>
        <v>4731887</v>
      </c>
      <c r="Y121" s="120">
        <f t="shared" si="37"/>
        <v>57.261340547578136</v>
      </c>
      <c r="Z121" s="87">
        <f t="shared" si="29"/>
        <v>1.9087113515859379E-3</v>
      </c>
      <c r="AA121" s="88">
        <f t="shared" si="34"/>
        <v>1.9680934244198822E-4</v>
      </c>
      <c r="AC121" s="89">
        <f t="shared" si="26"/>
        <v>0</v>
      </c>
      <c r="AD121" s="93"/>
      <c r="AE121" s="96">
        <f t="shared" si="41"/>
        <v>0</v>
      </c>
      <c r="AF121" s="92">
        <f t="shared" si="40"/>
        <v>0</v>
      </c>
      <c r="AH121" s="123">
        <f t="shared" si="30"/>
        <v>1.9087113515859379E-3</v>
      </c>
      <c r="AI121" s="121">
        <f t="shared" si="31"/>
        <v>270954.19293965789</v>
      </c>
    </row>
    <row r="122" spans="1:35">
      <c r="A122" s="78">
        <v>2014</v>
      </c>
      <c r="B122" s="78">
        <v>12</v>
      </c>
      <c r="C122" s="79">
        <f t="shared" si="43"/>
        <v>79.005079745838657</v>
      </c>
      <c r="D122" s="80">
        <f t="shared" si="42"/>
        <v>3.7851406125770058E-2</v>
      </c>
      <c r="E122" s="100">
        <f>$D122*'MWh Impact Summary'!B$20</f>
        <v>58143.214647184832</v>
      </c>
      <c r="F122" s="81">
        <f>$D122*'MWh Impact Summary'!L$20</f>
        <v>0</v>
      </c>
      <c r="G122" s="81">
        <f>$D122*'MWh Impact Summary'!C$20</f>
        <v>49610.07506547316</v>
      </c>
      <c r="H122" s="81">
        <f>$D122*'MWh Impact Summary'!D$20</f>
        <v>148.07305904297965</v>
      </c>
      <c r="I122" s="81">
        <f>$D122*'MWh Impact Summary'!E$20</f>
        <v>20004.834162143394</v>
      </c>
      <c r="J122" s="82">
        <f t="shared" si="24"/>
        <v>127906.19693384436</v>
      </c>
      <c r="K122" s="83">
        <v>31</v>
      </c>
      <c r="L122" s="97">
        <f>K122/(SUM(K111:K122))</f>
        <v>8.4931506849315067E-2</v>
      </c>
      <c r="M122" s="85">
        <f>$L122*'MWh Impact Summary'!F$20</f>
        <v>69436.910975051389</v>
      </c>
      <c r="N122" s="85">
        <f>$L122*'MWh Impact Summary'!G$20</f>
        <v>304.55870729542738</v>
      </c>
      <c r="O122" s="85">
        <f>$L122*'MWh Impact Summary'!H$20</f>
        <v>3430.6954612875843</v>
      </c>
      <c r="P122" s="85">
        <f>$L122*'MWh Impact Summary'!I$20</f>
        <v>951.24712521510378</v>
      </c>
      <c r="Q122" s="85">
        <f>$L122*'MWh Impact Summary'!J$20</f>
        <v>19082.497207732114</v>
      </c>
      <c r="R122" s="85">
        <f>$L122*'MWh Impact Summary'!K$20</f>
        <v>0</v>
      </c>
      <c r="S122" s="85">
        <f>$L122*'MWh Impact Summary'!M$20</f>
        <v>0</v>
      </c>
      <c r="T122" s="85">
        <f>$L122*'MWh Impact Summary'!O$20</f>
        <v>2368.0540787230984</v>
      </c>
      <c r="U122" s="85">
        <f t="shared" si="25"/>
        <v>95573.963555304712</v>
      </c>
      <c r="V122" s="81">
        <f t="shared" si="27"/>
        <v>223480.16048914907</v>
      </c>
      <c r="W122" s="81">
        <f>SUM(V111:V122)</f>
        <v>4504472.6700798748</v>
      </c>
      <c r="X122" s="81">
        <f>+'MWh by mo-WgtbyActulCDH&amp;Days'!AB124</f>
        <v>4739276</v>
      </c>
      <c r="Y122" s="120">
        <f t="shared" si="37"/>
        <v>47.154915748555069</v>
      </c>
      <c r="Z122" s="87">
        <f t="shared" si="29"/>
        <v>1.5211263144695184E-3</v>
      </c>
      <c r="AA122" s="88">
        <f t="shared" si="34"/>
        <v>1.6884017637151284E-4</v>
      </c>
      <c r="AC122" s="89">
        <f t="shared" si="26"/>
        <v>0</v>
      </c>
      <c r="AD122" s="90">
        <f>SUM(AC111:AC122)</f>
        <v>0</v>
      </c>
      <c r="AE122" s="96">
        <f t="shared" si="41"/>
        <v>0</v>
      </c>
      <c r="AF122" s="92">
        <f t="shared" si="40"/>
        <v>0</v>
      </c>
      <c r="AH122" s="123">
        <f t="shared" si="30"/>
        <v>1.5211263144695184E-3</v>
      </c>
      <c r="AI122" s="121">
        <f t="shared" si="31"/>
        <v>223480.16048914907</v>
      </c>
    </row>
    <row r="123" spans="1:35">
      <c r="A123" s="78">
        <v>2015</v>
      </c>
      <c r="B123" s="78">
        <v>1</v>
      </c>
      <c r="C123" s="79">
        <f t="shared" si="43"/>
        <v>26.95686291874426</v>
      </c>
      <c r="D123" s="101">
        <f>D111</f>
        <v>1.2915057734219224E-2</v>
      </c>
      <c r="E123" s="100">
        <f>$D123*'MWh Impact Summary'!B$21</f>
        <v>23324.875485858942</v>
      </c>
      <c r="F123" s="81">
        <f>$D123*'MWh Impact Summary'!L$21</f>
        <v>193.73918199505141</v>
      </c>
      <c r="G123" s="81">
        <f>$D123*'MWh Impact Summary'!C$21</f>
        <v>19331.278218707965</v>
      </c>
      <c r="H123" s="81">
        <f>$D123*'MWh Impact Summary'!D$21</f>
        <v>62.971309621248558</v>
      </c>
      <c r="I123" s="81">
        <f>$D123*'MWh Impact Summary'!E$21</f>
        <v>7681.0805579143771</v>
      </c>
      <c r="J123" s="82">
        <f t="shared" si="24"/>
        <v>50593.944754097582</v>
      </c>
      <c r="K123" s="83">
        <v>31</v>
      </c>
      <c r="L123" s="97">
        <f>K123/(SUM(K123:K134))</f>
        <v>8.4931506849315067E-2</v>
      </c>
      <c r="M123" s="85">
        <f>$L123*'MWh Impact Summary'!F$21</f>
        <v>81543.66993304163</v>
      </c>
      <c r="N123" s="85">
        <f>$L123*'MWh Impact Summary'!G$21</f>
        <v>720.92781252686359</v>
      </c>
      <c r="O123" s="85">
        <f>$L123*'MWh Impact Summary'!H$21</f>
        <v>4231.0324141611218</v>
      </c>
      <c r="P123" s="85">
        <f>$L123*'MWh Impact Summary'!I$21</f>
        <v>1043.8450394124277</v>
      </c>
      <c r="Q123" s="85">
        <f>$L123*'MWh Impact Summary'!J$21</f>
        <v>22934.702028285679</v>
      </c>
      <c r="R123" s="85">
        <f>$L123*'MWh Impact Summary'!K$21</f>
        <v>3389.0551970478264</v>
      </c>
      <c r="S123" s="85">
        <f>$L123*'MWh Impact Summary'!M$21</f>
        <v>3736.4736000662137</v>
      </c>
      <c r="T123" s="85">
        <f>$L123*'MWh Impact Summary'!O$21</f>
        <v>5480.6463034810513</v>
      </c>
      <c r="U123" s="85">
        <f t="shared" si="25"/>
        <v>123080.3523280228</v>
      </c>
      <c r="V123" s="81">
        <f t="shared" si="27"/>
        <v>173674.29708212038</v>
      </c>
      <c r="W123" s="81"/>
      <c r="X123" s="81">
        <f>+'MWh by mo-WgtbyActulCDH&amp;Days'!AB125</f>
        <v>4746212</v>
      </c>
      <c r="Y123" s="120">
        <f t="shared" si="37"/>
        <v>36.592191221572151</v>
      </c>
      <c r="Z123" s="87">
        <f t="shared" si="29"/>
        <v>1.1803932652120048E-3</v>
      </c>
      <c r="AA123" s="88">
        <f t="shared" si="34"/>
        <v>2.2072066616475594E-4</v>
      </c>
      <c r="AC123" s="89">
        <f t="shared" si="26"/>
        <v>3736.4736000662137</v>
      </c>
      <c r="AD123" s="93"/>
      <c r="AE123" s="96">
        <f t="shared" si="41"/>
        <v>0.7872538352830033</v>
      </c>
      <c r="AF123" s="92">
        <f t="shared" si="40"/>
        <v>2.5395285009129138E-5</v>
      </c>
      <c r="AH123" s="123">
        <f t="shared" si="30"/>
        <v>1.1803932652120048E-3</v>
      </c>
      <c r="AI123" s="121">
        <f t="shared" si="31"/>
        <v>173674.29708212038</v>
      </c>
    </row>
    <row r="124" spans="1:35">
      <c r="A124" s="78">
        <v>2015</v>
      </c>
      <c r="B124" s="78">
        <v>2</v>
      </c>
      <c r="C124" s="79">
        <f t="shared" si="43"/>
        <v>57.510679559652473</v>
      </c>
      <c r="D124" s="101">
        <f>D112</f>
        <v>2.7553419293853541E-2</v>
      </c>
      <c r="E124" s="100">
        <f>$D124*'MWh Impact Summary'!B$21</f>
        <v>49762.0752043545</v>
      </c>
      <c r="F124" s="81">
        <f>$D124*'MWh Impact Summary'!L$21</f>
        <v>413.3296981719277</v>
      </c>
      <c r="G124" s="81">
        <f>$D124*'MWh Impact Summary'!C$21</f>
        <v>41242.000245568357</v>
      </c>
      <c r="H124" s="81">
        <f>$D124*'MWh Impact Summary'!D$21</f>
        <v>134.34511352435922</v>
      </c>
      <c r="I124" s="81">
        <f>$D124*'MWh Impact Summary'!E$21</f>
        <v>16387.076047002738</v>
      </c>
      <c r="J124" s="82">
        <f t="shared" si="24"/>
        <v>107938.82630862188</v>
      </c>
      <c r="K124" s="83">
        <v>28</v>
      </c>
      <c r="L124" s="97">
        <f>K124/(SUM(K123:K134))</f>
        <v>7.6712328767123292E-2</v>
      </c>
      <c r="M124" s="85">
        <f>$L124*'MWh Impact Summary'!F$21</f>
        <v>73652.347036295672</v>
      </c>
      <c r="N124" s="85">
        <f>$L124*'MWh Impact Summary'!G$21</f>
        <v>651.16060486297363</v>
      </c>
      <c r="O124" s="85">
        <f>$L124*'MWh Impact Summary'!H$21</f>
        <v>3821.5776644035941</v>
      </c>
      <c r="P124" s="85">
        <f>$L124*'MWh Impact Summary'!I$21</f>
        <v>942.82777753380572</v>
      </c>
      <c r="Q124" s="85">
        <f>$L124*'MWh Impact Summary'!J$21</f>
        <v>20715.214735225774</v>
      </c>
      <c r="R124" s="85">
        <f>$L124*'MWh Impact Summary'!K$21</f>
        <v>3061.082113462553</v>
      </c>
      <c r="S124" s="85">
        <f>$L124*'MWh Impact Summary'!M$21</f>
        <v>3374.8793807049674</v>
      </c>
      <c r="T124" s="85">
        <f>$L124*'MWh Impact Summary'!O$21</f>
        <v>4950.2611773377239</v>
      </c>
      <c r="U124" s="85">
        <f t="shared" si="25"/>
        <v>111169.35048982708</v>
      </c>
      <c r="V124" s="81">
        <f t="shared" si="27"/>
        <v>219108.17679844896</v>
      </c>
      <c r="W124" s="81"/>
      <c r="X124" s="81">
        <f>+'MWh by mo-WgtbyActulCDH&amp;Days'!AB126</f>
        <v>4753351</v>
      </c>
      <c r="Y124" s="120">
        <f t="shared" si="37"/>
        <v>46.095518045784743</v>
      </c>
      <c r="Z124" s="87">
        <f t="shared" si="29"/>
        <v>1.6462685016351694E-3</v>
      </c>
      <c r="AA124" s="88">
        <f t="shared" si="34"/>
        <v>2.7904418969911318E-4</v>
      </c>
      <c r="AC124" s="89">
        <f t="shared" si="26"/>
        <v>3374.8793807049674</v>
      </c>
      <c r="AD124" s="93"/>
      <c r="AE124" s="96">
        <f t="shared" si="41"/>
        <v>0.71000003591255245</v>
      </c>
      <c r="AF124" s="92">
        <f t="shared" si="40"/>
        <v>2.5357144139734018E-5</v>
      </c>
      <c r="AH124" s="123">
        <f t="shared" si="30"/>
        <v>1.6462685016351694E-3</v>
      </c>
      <c r="AI124" s="121">
        <f t="shared" si="31"/>
        <v>219108.17679844896</v>
      </c>
    </row>
    <row r="125" spans="1:35">
      <c r="A125" s="78">
        <v>2015</v>
      </c>
      <c r="B125" s="78">
        <v>3</v>
      </c>
      <c r="C125" s="79">
        <f t="shared" si="43"/>
        <v>62.20178223460303</v>
      </c>
      <c r="D125" s="101">
        <f t="shared" ref="D125:D150" si="44">D113</f>
        <v>2.9800930885493855E-2</v>
      </c>
      <c r="E125" s="100">
        <f>$D125*'MWh Impact Summary'!B$21</f>
        <v>53821.130077112612</v>
      </c>
      <c r="F125" s="81">
        <f>$D125*'MWh Impact Summary'!L$21</f>
        <v>447.04468932795555</v>
      </c>
      <c r="G125" s="81">
        <f>$D125*'MWh Impact Summary'!C$21</f>
        <v>44606.079041952973</v>
      </c>
      <c r="H125" s="81">
        <f>$D125*'MWh Impact Summary'!D$21</f>
        <v>145.30354291949374</v>
      </c>
      <c r="I125" s="81">
        <f>$D125*'MWh Impact Summary'!E$21</f>
        <v>17723.757457608859</v>
      </c>
      <c r="J125" s="82">
        <f t="shared" si="24"/>
        <v>116743.31480892192</v>
      </c>
      <c r="K125" s="83">
        <v>31</v>
      </c>
      <c r="L125" s="97">
        <f>K125/(SUM(K123:K134))</f>
        <v>8.4931506849315067E-2</v>
      </c>
      <c r="M125" s="85">
        <f>$L125*'MWh Impact Summary'!F$21</f>
        <v>81543.66993304163</v>
      </c>
      <c r="N125" s="85">
        <f>$L125*'MWh Impact Summary'!G$21</f>
        <v>720.92781252686359</v>
      </c>
      <c r="O125" s="85">
        <f>$L125*'MWh Impact Summary'!H$21</f>
        <v>4231.0324141611218</v>
      </c>
      <c r="P125" s="85">
        <f>$L125*'MWh Impact Summary'!I$21</f>
        <v>1043.8450394124277</v>
      </c>
      <c r="Q125" s="85">
        <f>$L125*'MWh Impact Summary'!J$21</f>
        <v>22934.702028285679</v>
      </c>
      <c r="R125" s="85">
        <f>$L125*'MWh Impact Summary'!K$21</f>
        <v>3389.0551970478264</v>
      </c>
      <c r="S125" s="85">
        <f>$L125*'MWh Impact Summary'!M$21</f>
        <v>3736.4736000662137</v>
      </c>
      <c r="T125" s="85">
        <f>$L125*'MWh Impact Summary'!O$21</f>
        <v>5480.6463034810513</v>
      </c>
      <c r="U125" s="85">
        <f t="shared" si="25"/>
        <v>123080.3523280228</v>
      </c>
      <c r="V125" s="81">
        <f t="shared" si="27"/>
        <v>239823.66713694471</v>
      </c>
      <c r="W125" s="81"/>
      <c r="X125" s="81">
        <f>+'MWh by mo-WgtbyActulCDH&amp;Days'!AB127</f>
        <v>4761186</v>
      </c>
      <c r="Y125" s="120">
        <f t="shared" si="37"/>
        <v>50.370573033051997</v>
      </c>
      <c r="Z125" s="87">
        <f t="shared" si="29"/>
        <v>1.6248571946145805E-3</v>
      </c>
      <c r="AA125" s="88">
        <f t="shared" si="34"/>
        <v>2.7625198175901169E-4</v>
      </c>
      <c r="AC125" s="89">
        <f t="shared" si="26"/>
        <v>3736.4736000662137</v>
      </c>
      <c r="AD125" s="93"/>
      <c r="AE125" s="96">
        <f t="shared" si="41"/>
        <v>0.78477791039169942</v>
      </c>
      <c r="AF125" s="92">
        <f t="shared" si="40"/>
        <v>2.5315416464248369E-5</v>
      </c>
      <c r="AH125" s="123">
        <f t="shared" si="30"/>
        <v>1.6248571946145805E-3</v>
      </c>
      <c r="AI125" s="121">
        <f t="shared" si="31"/>
        <v>239823.66713694471</v>
      </c>
    </row>
    <row r="126" spans="1:35">
      <c r="A126" s="78">
        <v>2015</v>
      </c>
      <c r="B126" s="78">
        <v>4</v>
      </c>
      <c r="C126" s="79">
        <f t="shared" si="43"/>
        <v>137.13602413996043</v>
      </c>
      <c r="D126" s="101">
        <f t="shared" si="44"/>
        <v>6.5701994870379921E-2</v>
      </c>
      <c r="E126" s="100">
        <f>$D126*'MWh Impact Summary'!B$21</f>
        <v>118659.23335857241</v>
      </c>
      <c r="F126" s="81">
        <f>$D126*'MWh Impact Summary'!L$21</f>
        <v>985.59766464721895</v>
      </c>
      <c r="G126" s="81">
        <f>$D126*'MWh Impact Summary'!C$21</f>
        <v>98342.846660160241</v>
      </c>
      <c r="H126" s="81">
        <f>$D126*'MWh Impact Summary'!D$21</f>
        <v>320.3501483972654</v>
      </c>
      <c r="I126" s="81">
        <f>$D126*'MWh Impact Summary'!E$21</f>
        <v>39075.498213061182</v>
      </c>
      <c r="J126" s="82">
        <f t="shared" si="24"/>
        <v>257383.52604483831</v>
      </c>
      <c r="K126" s="83">
        <v>30</v>
      </c>
      <c r="L126" s="97">
        <f>K126/(SUM(K123:K134))</f>
        <v>8.2191780821917804E-2</v>
      </c>
      <c r="M126" s="85">
        <f>$L126*'MWh Impact Summary'!F$21</f>
        <v>78913.22896745964</v>
      </c>
      <c r="N126" s="85">
        <f>$L126*'MWh Impact Summary'!G$21</f>
        <v>697.67207663890019</v>
      </c>
      <c r="O126" s="85">
        <f>$L126*'MWh Impact Summary'!H$21</f>
        <v>4094.5474975752791</v>
      </c>
      <c r="P126" s="85">
        <f>$L126*'MWh Impact Summary'!I$21</f>
        <v>1010.1726187862204</v>
      </c>
      <c r="Q126" s="85">
        <f>$L126*'MWh Impact Summary'!J$21</f>
        <v>22194.872930599042</v>
      </c>
      <c r="R126" s="85">
        <f>$L126*'MWh Impact Summary'!K$21</f>
        <v>3279.7308358527348</v>
      </c>
      <c r="S126" s="85">
        <f>$L126*'MWh Impact Summary'!M$21</f>
        <v>3615.942193612465</v>
      </c>
      <c r="T126" s="85">
        <f>$L126*'MWh Impact Summary'!O$21</f>
        <v>5303.8512614332749</v>
      </c>
      <c r="U126" s="85">
        <f t="shared" si="25"/>
        <v>119110.01838195756</v>
      </c>
      <c r="V126" s="81">
        <f t="shared" si="27"/>
        <v>376493.54442679585</v>
      </c>
      <c r="W126" s="81"/>
      <c r="X126" s="81">
        <f>+'MWh by mo-WgtbyActulCDH&amp;Days'!AB128</f>
        <v>4765589</v>
      </c>
      <c r="Y126" s="120">
        <f t="shared" si="37"/>
        <v>79.00252086925579</v>
      </c>
      <c r="Z126" s="87">
        <f t="shared" si="29"/>
        <v>2.6334173623085264E-3</v>
      </c>
      <c r="AA126" s="88">
        <f t="shared" si="34"/>
        <v>4.0265938550874004E-4</v>
      </c>
      <c r="AC126" s="89">
        <f t="shared" si="26"/>
        <v>3615.942193612465</v>
      </c>
      <c r="AD126" s="93"/>
      <c r="AE126" s="96">
        <f t="shared" si="41"/>
        <v>0.75876081500365755</v>
      </c>
      <c r="AF126" s="92">
        <f t="shared" si="40"/>
        <v>2.5292027166788585E-5</v>
      </c>
      <c r="AH126" s="123">
        <f t="shared" si="30"/>
        <v>2.6334173623085264E-3</v>
      </c>
      <c r="AI126" s="121">
        <f t="shared" si="31"/>
        <v>376493.54442679585</v>
      </c>
    </row>
    <row r="127" spans="1:35">
      <c r="A127" s="78">
        <v>2015</v>
      </c>
      <c r="B127" s="78">
        <v>5</v>
      </c>
      <c r="C127" s="79">
        <f t="shared" si="43"/>
        <v>220.65709530534707</v>
      </c>
      <c r="D127" s="101">
        <f t="shared" si="44"/>
        <v>0.10571701662481223</v>
      </c>
      <c r="E127" s="100">
        <f>$D127*'MWh Impact Summary'!B$21</f>
        <v>190927.23395086674</v>
      </c>
      <c r="F127" s="81">
        <f>$D127*'MWh Impact Summary'!L$21</f>
        <v>1585.864248177639</v>
      </c>
      <c r="G127" s="81">
        <f>$D127*'MWh Impact Summary'!C$21</f>
        <v>158237.39257558715</v>
      </c>
      <c r="H127" s="81">
        <f>$D127*'MWh Impact Summary'!D$21</f>
        <v>515.45561182256597</v>
      </c>
      <c r="I127" s="81">
        <f>$D127*'MWh Impact Summary'!E$21</f>
        <v>62873.967561605066</v>
      </c>
      <c r="J127" s="82">
        <f t="shared" si="24"/>
        <v>414139.91394805908</v>
      </c>
      <c r="K127" s="83">
        <v>31</v>
      </c>
      <c r="L127" s="97">
        <f>K127/(SUM(K123:K134))</f>
        <v>8.4931506849315067E-2</v>
      </c>
      <c r="M127" s="85">
        <f>$L127*'MWh Impact Summary'!F$21</f>
        <v>81543.66993304163</v>
      </c>
      <c r="N127" s="85">
        <f>$L127*'MWh Impact Summary'!G$21</f>
        <v>720.92781252686359</v>
      </c>
      <c r="O127" s="85">
        <f>$L127*'MWh Impact Summary'!H$21</f>
        <v>4231.0324141611218</v>
      </c>
      <c r="P127" s="85">
        <f>$L127*'MWh Impact Summary'!I$21</f>
        <v>1043.8450394124277</v>
      </c>
      <c r="Q127" s="85">
        <f>$L127*'MWh Impact Summary'!J$21</f>
        <v>22934.702028285679</v>
      </c>
      <c r="R127" s="85">
        <f>$L127*'MWh Impact Summary'!K$21</f>
        <v>3389.0551970478264</v>
      </c>
      <c r="S127" s="85">
        <f>$L127*'MWh Impact Summary'!M$21</f>
        <v>3736.4736000662137</v>
      </c>
      <c r="T127" s="85">
        <f>$L127*'MWh Impact Summary'!O$21</f>
        <v>5480.6463034810513</v>
      </c>
      <c r="U127" s="85">
        <f t="shared" si="25"/>
        <v>123080.3523280228</v>
      </c>
      <c r="V127" s="81">
        <f t="shared" si="27"/>
        <v>537220.26627608191</v>
      </c>
      <c r="W127" s="81"/>
      <c r="X127" s="81">
        <f>+'MWh by mo-WgtbyActulCDH&amp;Days'!AB129</f>
        <v>4767866</v>
      </c>
      <c r="Y127" s="120">
        <f t="shared" si="37"/>
        <v>112.67520233917688</v>
      </c>
      <c r="Z127" s="87">
        <f t="shared" si="29"/>
        <v>3.6346839464250604E-3</v>
      </c>
      <c r="AA127" s="88">
        <f t="shared" si="34"/>
        <v>5.2845954755098004E-4</v>
      </c>
      <c r="AC127" s="89">
        <f t="shared" si="26"/>
        <v>3736.4736000662137</v>
      </c>
      <c r="AD127" s="93"/>
      <c r="AE127" s="96">
        <f t="shared" si="41"/>
        <v>0.78367840037161574</v>
      </c>
      <c r="AF127" s="92">
        <f t="shared" si="40"/>
        <v>2.527994839908438E-5</v>
      </c>
      <c r="AH127" s="123">
        <f t="shared" si="30"/>
        <v>3.6346839464250604E-3</v>
      </c>
      <c r="AI127" s="121">
        <f t="shared" si="31"/>
        <v>537220.26627608191</v>
      </c>
    </row>
    <row r="128" spans="1:35">
      <c r="A128" s="78">
        <v>2015</v>
      </c>
      <c r="B128" s="78">
        <v>6</v>
      </c>
      <c r="C128" s="79">
        <f t="shared" si="43"/>
        <v>247.5875604864128</v>
      </c>
      <c r="D128" s="101">
        <f t="shared" si="44"/>
        <v>0.11861942717871234</v>
      </c>
      <c r="E128" s="100">
        <f>$D128*'MWh Impact Summary'!B$21</f>
        <v>214229.26835368437</v>
      </c>
      <c r="F128" s="81">
        <f>$D128*'MWh Impact Summary'!L$21</f>
        <v>1779.4137094281152</v>
      </c>
      <c r="G128" s="81">
        <f>$D128*'MWh Impact Summary'!C$21</f>
        <v>177549.74047540204</v>
      </c>
      <c r="H128" s="81">
        <f>$D128*'MWh Impact Summary'!D$21</f>
        <v>578.36525625236891</v>
      </c>
      <c r="I128" s="81">
        <f>$D128*'MWh Impact Summary'!E$21</f>
        <v>70547.526355942333</v>
      </c>
      <c r="J128" s="82">
        <f t="shared" si="24"/>
        <v>464684.31415070919</v>
      </c>
      <c r="K128" s="83">
        <v>30</v>
      </c>
      <c r="L128" s="97">
        <f>K128/(SUM(K123:K134))</f>
        <v>8.2191780821917804E-2</v>
      </c>
      <c r="M128" s="85">
        <f>$L128*'MWh Impact Summary'!F$21</f>
        <v>78913.22896745964</v>
      </c>
      <c r="N128" s="85">
        <f>$L128*'MWh Impact Summary'!G$21</f>
        <v>697.67207663890019</v>
      </c>
      <c r="O128" s="85">
        <f>$L128*'MWh Impact Summary'!H$21</f>
        <v>4094.5474975752791</v>
      </c>
      <c r="P128" s="85">
        <f>$L128*'MWh Impact Summary'!I$21</f>
        <v>1010.1726187862204</v>
      </c>
      <c r="Q128" s="85">
        <f>$L128*'MWh Impact Summary'!J$21</f>
        <v>22194.872930599042</v>
      </c>
      <c r="R128" s="85">
        <f>$L128*'MWh Impact Summary'!K$21</f>
        <v>3279.7308358527348</v>
      </c>
      <c r="S128" s="85">
        <f>$L128*'MWh Impact Summary'!M$21</f>
        <v>3615.942193612465</v>
      </c>
      <c r="T128" s="85">
        <f>$L128*'MWh Impact Summary'!O$21</f>
        <v>5303.8512614332749</v>
      </c>
      <c r="U128" s="85">
        <f t="shared" si="25"/>
        <v>119110.01838195756</v>
      </c>
      <c r="V128" s="81">
        <f t="shared" si="27"/>
        <v>583794.33253266674</v>
      </c>
      <c r="W128" s="81"/>
      <c r="X128" s="81">
        <f>+'MWh by mo-WgtbyActulCDH&amp;Days'!AB130</f>
        <v>4772498</v>
      </c>
      <c r="Y128" s="120">
        <f t="shared" si="37"/>
        <v>122.32468877570335</v>
      </c>
      <c r="Z128" s="87">
        <f t="shared" si="29"/>
        <v>4.0774896258567788E-3</v>
      </c>
      <c r="AA128" s="88">
        <f t="shared" si="34"/>
        <v>5.8281080796740653E-4</v>
      </c>
      <c r="AC128" s="89">
        <f t="shared" si="26"/>
        <v>3615.942193612465</v>
      </c>
      <c r="AD128" s="93"/>
      <c r="AE128" s="96">
        <f t="shared" si="41"/>
        <v>0.75766238008113684</v>
      </c>
      <c r="AF128" s="92">
        <f t="shared" si="40"/>
        <v>2.5255412669371227E-5</v>
      </c>
      <c r="AH128" s="123">
        <f t="shared" si="30"/>
        <v>4.0774896258567788E-3</v>
      </c>
      <c r="AI128" s="121">
        <f t="shared" si="31"/>
        <v>583794.33253266674</v>
      </c>
    </row>
    <row r="129" spans="1:35">
      <c r="A129" s="78">
        <v>2015</v>
      </c>
      <c r="B129" s="78">
        <v>7</v>
      </c>
      <c r="C129" s="79">
        <f t="shared" si="43"/>
        <v>311.6666769190017</v>
      </c>
      <c r="D129" s="101">
        <f t="shared" si="44"/>
        <v>0.1493197905993085</v>
      </c>
      <c r="E129" s="100">
        <f>$D129*'MWh Impact Summary'!B$21</f>
        <v>269674.79317381128</v>
      </c>
      <c r="F129" s="81">
        <f>$D129*'MWh Impact Summary'!L$21</f>
        <v>2239.9508141363563</v>
      </c>
      <c r="G129" s="81">
        <f>$D129*'MWh Impact Summary'!C$21</f>
        <v>223502.0915149592</v>
      </c>
      <c r="H129" s="81">
        <f>$D129*'MWh Impact Summary'!D$21</f>
        <v>728.05425727951672</v>
      </c>
      <c r="I129" s="81">
        <f>$D129*'MWh Impact Summary'!E$21</f>
        <v>88806.210865423767</v>
      </c>
      <c r="J129" s="82">
        <f t="shared" si="24"/>
        <v>584951.1006256101</v>
      </c>
      <c r="K129" s="83">
        <v>31</v>
      </c>
      <c r="L129" s="97">
        <f>K129/(SUM(K123:K134))</f>
        <v>8.4931506849315067E-2</v>
      </c>
      <c r="M129" s="85">
        <f>$L129*'MWh Impact Summary'!F$21</f>
        <v>81543.66993304163</v>
      </c>
      <c r="N129" s="85">
        <f>$L129*'MWh Impact Summary'!G$21</f>
        <v>720.92781252686359</v>
      </c>
      <c r="O129" s="85">
        <f>$L129*'MWh Impact Summary'!H$21</f>
        <v>4231.0324141611218</v>
      </c>
      <c r="P129" s="85">
        <f>$L129*'MWh Impact Summary'!I$21</f>
        <v>1043.8450394124277</v>
      </c>
      <c r="Q129" s="85">
        <f>$L129*'MWh Impact Summary'!J$21</f>
        <v>22934.702028285679</v>
      </c>
      <c r="R129" s="85">
        <f>$L129*'MWh Impact Summary'!K$21</f>
        <v>3389.0551970478264</v>
      </c>
      <c r="S129" s="85">
        <f>$L129*'MWh Impact Summary'!M$21</f>
        <v>3736.4736000662137</v>
      </c>
      <c r="T129" s="85">
        <f>$L129*'MWh Impact Summary'!O$21</f>
        <v>5480.6463034810513</v>
      </c>
      <c r="U129" s="85">
        <f t="shared" si="25"/>
        <v>123080.3523280228</v>
      </c>
      <c r="V129" s="81">
        <f t="shared" si="27"/>
        <v>708031.45295363292</v>
      </c>
      <c r="W129" s="81"/>
      <c r="X129" s="262">
        <f>+'MWh by mo-WgtbyActulCDH&amp;Days'!AB131</f>
        <v>4784923.7420767779</v>
      </c>
      <c r="Y129" s="120">
        <f t="shared" si="37"/>
        <v>147.97131388479127</v>
      </c>
      <c r="Z129" s="87">
        <f t="shared" si="29"/>
        <v>4.7732681898319763E-3</v>
      </c>
      <c r="AA129" s="88">
        <f t="shared" si="34"/>
        <v>6.6226651704250766E-4</v>
      </c>
      <c r="AC129" s="89">
        <f t="shared" si="26"/>
        <v>3736.4736000662137</v>
      </c>
      <c r="AD129" s="93"/>
      <c r="AE129" s="96">
        <f t="shared" si="41"/>
        <v>0.78088467057669131</v>
      </c>
      <c r="AF129" s="92">
        <f t="shared" si="40"/>
        <v>2.5189828083119076E-5</v>
      </c>
      <c r="AH129" s="123">
        <f t="shared" si="30"/>
        <v>4.7732681898319763E-3</v>
      </c>
      <c r="AI129" s="121">
        <f t="shared" si="31"/>
        <v>708031.45295363292</v>
      </c>
    </row>
    <row r="130" spans="1:35">
      <c r="A130" s="78">
        <v>2015</v>
      </c>
      <c r="B130" s="78">
        <v>8</v>
      </c>
      <c r="C130" s="79">
        <f t="shared" si="43"/>
        <v>350.95807565684066</v>
      </c>
      <c r="D130" s="101">
        <f t="shared" si="44"/>
        <v>0.16814433575083526</v>
      </c>
      <c r="E130" s="100">
        <f>$D130*'MWh Impact Summary'!B$21</f>
        <v>303672.33161097381</v>
      </c>
      <c r="F130" s="81">
        <f>$D130*'MWh Impact Summary'!L$21</f>
        <v>2522.3384003275214</v>
      </c>
      <c r="G130" s="81">
        <f>$D130*'MWh Impact Summary'!C$21</f>
        <v>251678.69956066791</v>
      </c>
      <c r="H130" s="81">
        <f>$D130*'MWh Impact Summary'!D$21</f>
        <v>819.83907819248566</v>
      </c>
      <c r="I130" s="81">
        <f>$D130*'MWh Impact Summary'!E$21</f>
        <v>100001.89041642306</v>
      </c>
      <c r="J130" s="82">
        <f t="shared" si="24"/>
        <v>658695.09906658484</v>
      </c>
      <c r="K130" s="83">
        <v>31</v>
      </c>
      <c r="L130" s="97">
        <f>K130/(SUM(K123:K134))</f>
        <v>8.4931506849315067E-2</v>
      </c>
      <c r="M130" s="85">
        <f>$L130*'MWh Impact Summary'!F$21</f>
        <v>81543.66993304163</v>
      </c>
      <c r="N130" s="85">
        <f>$L130*'MWh Impact Summary'!G$21</f>
        <v>720.92781252686359</v>
      </c>
      <c r="O130" s="85">
        <f>$L130*'MWh Impact Summary'!H$21</f>
        <v>4231.0324141611218</v>
      </c>
      <c r="P130" s="85">
        <f>$L130*'MWh Impact Summary'!I$21</f>
        <v>1043.8450394124277</v>
      </c>
      <c r="Q130" s="85">
        <f>$L130*'MWh Impact Summary'!J$21</f>
        <v>22934.702028285679</v>
      </c>
      <c r="R130" s="85">
        <f>$L130*'MWh Impact Summary'!K$21</f>
        <v>3389.0551970478264</v>
      </c>
      <c r="S130" s="85">
        <f>$L130*'MWh Impact Summary'!M$21</f>
        <v>3736.4736000662137</v>
      </c>
      <c r="T130" s="85">
        <f>$L130*'MWh Impact Summary'!O$21</f>
        <v>5480.6463034810513</v>
      </c>
      <c r="U130" s="85">
        <f t="shared" si="25"/>
        <v>123080.3523280228</v>
      </c>
      <c r="V130" s="81">
        <f t="shared" si="27"/>
        <v>781775.45139460766</v>
      </c>
      <c r="W130" s="81"/>
      <c r="X130" s="262">
        <f>+'MWh by mo-WgtbyActulCDH&amp;Days'!AB132</f>
        <v>4793100.8139620237</v>
      </c>
      <c r="Y130" s="120">
        <f t="shared" si="37"/>
        <v>163.10432050945835</v>
      </c>
      <c r="Z130" s="87">
        <f t="shared" si="29"/>
        <v>5.2614296938534953E-3</v>
      </c>
      <c r="AA130" s="88">
        <f t="shared" si="34"/>
        <v>7.1825082199450992E-4</v>
      </c>
      <c r="AC130" s="89">
        <f t="shared" si="26"/>
        <v>3736.4736000662137</v>
      </c>
      <c r="AD130" s="93"/>
      <c r="AE130" s="96">
        <f t="shared" si="41"/>
        <v>0.77955247450295306</v>
      </c>
      <c r="AF130" s="92">
        <f t="shared" si="40"/>
        <v>2.5146854016224292E-5</v>
      </c>
      <c r="AH130" s="123">
        <f t="shared" si="30"/>
        <v>5.2614296938534953E-3</v>
      </c>
      <c r="AI130" s="121">
        <f t="shared" si="31"/>
        <v>781775.45139460766</v>
      </c>
    </row>
    <row r="131" spans="1:35">
      <c r="A131" s="78">
        <v>2015</v>
      </c>
      <c r="B131" s="78">
        <v>9</v>
      </c>
      <c r="C131" s="79">
        <f t="shared" si="43"/>
        <v>270.04400483226198</v>
      </c>
      <c r="D131" s="101">
        <f>D119</f>
        <v>0.12937833024937548</v>
      </c>
      <c r="E131" s="100">
        <f>$D131*'MWh Impact Summary'!B$21</f>
        <v>233660.08156814921</v>
      </c>
      <c r="F131" s="81">
        <f>$D131*'MWh Impact Summary'!L$21</f>
        <v>1940.8083483813368</v>
      </c>
      <c r="G131" s="81">
        <f>$D131*'MWh Impact Summary'!C$21</f>
        <v>193653.68308775569</v>
      </c>
      <c r="H131" s="81">
        <f>$D131*'MWh Impact Summary'!D$21</f>
        <v>630.82357509152109</v>
      </c>
      <c r="I131" s="81">
        <f>$D131*'MWh Impact Summary'!E$21</f>
        <v>76946.258974968587</v>
      </c>
      <c r="J131" s="82">
        <f t="shared" ref="J131:J194" si="45">SUM(E131:I131)</f>
        <v>506831.65555434639</v>
      </c>
      <c r="K131" s="83">
        <v>30</v>
      </c>
      <c r="L131" s="97">
        <f>K131/(SUM(K123:K134))</f>
        <v>8.2191780821917804E-2</v>
      </c>
      <c r="M131" s="85">
        <f>$L131*'MWh Impact Summary'!F$21</f>
        <v>78913.22896745964</v>
      </c>
      <c r="N131" s="85">
        <f>$L131*'MWh Impact Summary'!G$21</f>
        <v>697.67207663890019</v>
      </c>
      <c r="O131" s="85">
        <f>$L131*'MWh Impact Summary'!H$21</f>
        <v>4094.5474975752791</v>
      </c>
      <c r="P131" s="85">
        <f>$L131*'MWh Impact Summary'!I$21</f>
        <v>1010.1726187862204</v>
      </c>
      <c r="Q131" s="85">
        <f>$L131*'MWh Impact Summary'!J$21</f>
        <v>22194.872930599042</v>
      </c>
      <c r="R131" s="85">
        <f>$L131*'MWh Impact Summary'!K$21</f>
        <v>3279.7308358527348</v>
      </c>
      <c r="S131" s="85">
        <f>$L131*'MWh Impact Summary'!M$21</f>
        <v>3615.942193612465</v>
      </c>
      <c r="T131" s="85">
        <f>$L131*'MWh Impact Summary'!O$21</f>
        <v>5303.8512614332749</v>
      </c>
      <c r="U131" s="85">
        <f t="shared" ref="U131:U194" si="46">SUM(M131:T131)</f>
        <v>119110.01838195756</v>
      </c>
      <c r="V131" s="81">
        <f t="shared" si="27"/>
        <v>625941.67393630394</v>
      </c>
      <c r="W131" s="81"/>
      <c r="X131" s="262">
        <f>+'MWh by mo-WgtbyActulCDH&amp;Days'!AB133</f>
        <v>4797009.9970391067</v>
      </c>
      <c r="Y131" s="120">
        <f t="shared" si="37"/>
        <v>130.48579726176482</v>
      </c>
      <c r="Z131" s="87">
        <f t="shared" si="29"/>
        <v>4.3495265753921604E-3</v>
      </c>
      <c r="AA131" s="88">
        <f t="shared" si="34"/>
        <v>6.0783209239864862E-4</v>
      </c>
      <c r="AC131" s="89">
        <f t="shared" ref="AC131:AC194" si="47">+S131</f>
        <v>3615.942193612465</v>
      </c>
      <c r="AD131" s="93"/>
      <c r="AE131" s="96">
        <f t="shared" si="41"/>
        <v>0.75379083967812444</v>
      </c>
      <c r="AF131" s="92">
        <f t="shared" si="40"/>
        <v>2.5126361322604147E-5</v>
      </c>
      <c r="AH131" s="123">
        <f t="shared" si="30"/>
        <v>4.3495265753921604E-3</v>
      </c>
      <c r="AI131" s="121">
        <f t="shared" si="31"/>
        <v>625941.67393630394</v>
      </c>
    </row>
    <row r="132" spans="1:35">
      <c r="A132" s="78">
        <v>2015</v>
      </c>
      <c r="B132" s="78">
        <v>10</v>
      </c>
      <c r="C132" s="79">
        <f t="shared" si="43"/>
        <v>213.28592721551468</v>
      </c>
      <c r="D132" s="101">
        <f t="shared" si="44"/>
        <v>0.10218548323623593</v>
      </c>
      <c r="E132" s="100">
        <f>$D132*'MWh Impact Summary'!B$21</f>
        <v>184549.20775401557</v>
      </c>
      <c r="F132" s="81">
        <f>$D132*'MWh Impact Summary'!L$21</f>
        <v>1532.8876061856977</v>
      </c>
      <c r="G132" s="81">
        <f>$D132*'MWh Impact Summary'!C$21</f>
        <v>152951.38798481075</v>
      </c>
      <c r="H132" s="81">
        <f>$D132*'MWh Impact Summary'!D$21</f>
        <v>498.23654187906948</v>
      </c>
      <c r="I132" s="81">
        <f>$D132*'MWh Impact Summary'!E$21</f>
        <v>60773.6291032839</v>
      </c>
      <c r="J132" s="82">
        <f t="shared" si="45"/>
        <v>400305.348990175</v>
      </c>
      <c r="K132" s="83">
        <v>31</v>
      </c>
      <c r="L132" s="97">
        <f>K132/(SUM(K123:K134))</f>
        <v>8.4931506849315067E-2</v>
      </c>
      <c r="M132" s="85">
        <f>$L132*'MWh Impact Summary'!F$21</f>
        <v>81543.66993304163</v>
      </c>
      <c r="N132" s="85">
        <f>$L132*'MWh Impact Summary'!G$21</f>
        <v>720.92781252686359</v>
      </c>
      <c r="O132" s="85">
        <f>$L132*'MWh Impact Summary'!H$21</f>
        <v>4231.0324141611218</v>
      </c>
      <c r="P132" s="85">
        <f>$L132*'MWh Impact Summary'!I$21</f>
        <v>1043.8450394124277</v>
      </c>
      <c r="Q132" s="85">
        <f>$L132*'MWh Impact Summary'!J$21</f>
        <v>22934.702028285679</v>
      </c>
      <c r="R132" s="85">
        <f>$L132*'MWh Impact Summary'!K$21</f>
        <v>3389.0551970478264</v>
      </c>
      <c r="S132" s="85">
        <f>$L132*'MWh Impact Summary'!M$21</f>
        <v>3736.4736000662137</v>
      </c>
      <c r="T132" s="85">
        <f>$L132*'MWh Impact Summary'!O$21</f>
        <v>5480.6463034810513</v>
      </c>
      <c r="U132" s="85">
        <f t="shared" si="46"/>
        <v>123080.3523280228</v>
      </c>
      <c r="V132" s="81">
        <f t="shared" ref="V132:V195" si="48">U132+J132</f>
        <v>523385.70131819777</v>
      </c>
      <c r="W132" s="81"/>
      <c r="X132" s="262">
        <f>+'MWh by mo-WgtbyActulCDH&amp;Days'!AB134</f>
        <v>4802322.38639032</v>
      </c>
      <c r="Y132" s="120">
        <f t="shared" si="37"/>
        <v>108.98595704475439</v>
      </c>
      <c r="Z132" s="87">
        <f t="shared" ref="Z132:Z195" si="49">+Y132/K132/1000</f>
        <v>3.5156760337017542E-3</v>
      </c>
      <c r="AA132" s="88">
        <f t="shared" si="34"/>
        <v>5.0571457131682327E-4</v>
      </c>
      <c r="AC132" s="89">
        <f t="shared" si="47"/>
        <v>3736.4736000662137</v>
      </c>
      <c r="AD132" s="93"/>
      <c r="AE132" s="96">
        <f t="shared" si="41"/>
        <v>0.7780555530081239</v>
      </c>
      <c r="AF132" s="92">
        <f t="shared" si="40"/>
        <v>2.5098566226068514E-5</v>
      </c>
      <c r="AH132" s="123">
        <f t="shared" ref="AH132:AH195" si="50">Z132</f>
        <v>3.5156760337017542E-3</v>
      </c>
      <c r="AI132" s="121">
        <f t="shared" ref="AI132:AI195" si="51">+V132</f>
        <v>523385.70131819777</v>
      </c>
    </row>
    <row r="133" spans="1:35">
      <c r="A133" s="78">
        <v>2015</v>
      </c>
      <c r="B133" s="78">
        <v>11</v>
      </c>
      <c r="C133" s="79">
        <f t="shared" si="43"/>
        <v>110.23315885291359</v>
      </c>
      <c r="D133" s="101">
        <f t="shared" si="44"/>
        <v>5.2812807451003543E-2</v>
      </c>
      <c r="E133" s="100">
        <f>$D133*'MWh Impact Summary'!B$21</f>
        <v>95381.080224630699</v>
      </c>
      <c r="F133" s="81">
        <f>$D133*'MWh Impact Summary'!L$21</f>
        <v>792.24656404822099</v>
      </c>
      <c r="G133" s="81">
        <f>$D133*'MWh Impact Summary'!C$21</f>
        <v>79050.291168374941</v>
      </c>
      <c r="H133" s="81">
        <f>$D133*'MWh Impact Summary'!D$21</f>
        <v>257.50497739959047</v>
      </c>
      <c r="I133" s="81">
        <f>$D133*'MWh Impact Summary'!E$21</f>
        <v>31409.803724373585</v>
      </c>
      <c r="J133" s="82">
        <f t="shared" si="45"/>
        <v>206890.92665882705</v>
      </c>
      <c r="K133" s="83">
        <v>30</v>
      </c>
      <c r="L133" s="97">
        <f>K133/(SUM(K123:K134))</f>
        <v>8.2191780821917804E-2</v>
      </c>
      <c r="M133" s="85">
        <f>$L133*'MWh Impact Summary'!F$21</f>
        <v>78913.22896745964</v>
      </c>
      <c r="N133" s="85">
        <f>$L133*'MWh Impact Summary'!G$21</f>
        <v>697.67207663890019</v>
      </c>
      <c r="O133" s="85">
        <f>$L133*'MWh Impact Summary'!H$21</f>
        <v>4094.5474975752791</v>
      </c>
      <c r="P133" s="85">
        <f>$L133*'MWh Impact Summary'!I$21</f>
        <v>1010.1726187862204</v>
      </c>
      <c r="Q133" s="85">
        <f>$L133*'MWh Impact Summary'!J$21</f>
        <v>22194.872930599042</v>
      </c>
      <c r="R133" s="85">
        <f>$L133*'MWh Impact Summary'!K$21</f>
        <v>3279.7308358527348</v>
      </c>
      <c r="S133" s="85">
        <f>$L133*'MWh Impact Summary'!M$21</f>
        <v>3615.942193612465</v>
      </c>
      <c r="T133" s="85">
        <f>$L133*'MWh Impact Summary'!O$21</f>
        <v>5303.8512614332749</v>
      </c>
      <c r="U133" s="85">
        <f t="shared" si="46"/>
        <v>119110.01838195756</v>
      </c>
      <c r="V133" s="81">
        <f t="shared" si="48"/>
        <v>326000.9450407846</v>
      </c>
      <c r="W133" s="81"/>
      <c r="X133" s="262">
        <f>+'MWh by mo-WgtbyActulCDH&amp;Days'!AB135</f>
        <v>4807951.5017482825</v>
      </c>
      <c r="Y133" s="120">
        <f t="shared" si="37"/>
        <v>67.804541065408642</v>
      </c>
      <c r="Z133" s="87">
        <f t="shared" si="49"/>
        <v>2.2601513688469549E-3</v>
      </c>
      <c r="AA133" s="88">
        <f t="shared" si="34"/>
        <v>3.5144001726101701E-4</v>
      </c>
      <c r="AC133" s="89">
        <f t="shared" si="47"/>
        <v>3615.942193612465</v>
      </c>
      <c r="AD133" s="93"/>
      <c r="AE133" s="96">
        <f t="shared" si="41"/>
        <v>0.75207543010731803</v>
      </c>
      <c r="AF133" s="92">
        <f t="shared" si="40"/>
        <v>2.5069181003577266E-5</v>
      </c>
      <c r="AH133" s="123">
        <f t="shared" si="50"/>
        <v>2.2601513688469549E-3</v>
      </c>
      <c r="AI133" s="121">
        <f t="shared" si="51"/>
        <v>326000.9450407846</v>
      </c>
    </row>
    <row r="134" spans="1:35">
      <c r="A134" s="78">
        <v>2015</v>
      </c>
      <c r="B134" s="78">
        <v>12</v>
      </c>
      <c r="C134" s="79">
        <f t="shared" si="43"/>
        <v>79.005079745838657</v>
      </c>
      <c r="D134" s="101">
        <f t="shared" si="44"/>
        <v>3.7851406125770058E-2</v>
      </c>
      <c r="E134" s="100">
        <f>$D134*'MWh Impact Summary'!B$21</f>
        <v>68360.46365546032</v>
      </c>
      <c r="F134" s="81">
        <f>$D134*'MWh Impact Summary'!L$21</f>
        <v>567.81011831942089</v>
      </c>
      <c r="G134" s="81">
        <f>$D134*'MWh Impact Summary'!C$21</f>
        <v>56656.042725062085</v>
      </c>
      <c r="H134" s="81">
        <f>$D134*'MWh Impact Summary'!D$21</f>
        <v>184.55609442845341</v>
      </c>
      <c r="I134" s="81">
        <f>$D134*'MWh Impact Summary'!E$21</f>
        <v>22511.684087330184</v>
      </c>
      <c r="J134" s="82">
        <f t="shared" si="45"/>
        <v>148280.55668060045</v>
      </c>
      <c r="K134" s="83">
        <v>31</v>
      </c>
      <c r="L134" s="97">
        <f>K134/(SUM(K123:K134))</f>
        <v>8.4931506849315067E-2</v>
      </c>
      <c r="M134" s="85">
        <f>$L134*'MWh Impact Summary'!F$21</f>
        <v>81543.66993304163</v>
      </c>
      <c r="N134" s="85">
        <f>$L134*'MWh Impact Summary'!G$21</f>
        <v>720.92781252686359</v>
      </c>
      <c r="O134" s="85">
        <f>$L134*'MWh Impact Summary'!H$21</f>
        <v>4231.0324141611218</v>
      </c>
      <c r="P134" s="85">
        <f>$L134*'MWh Impact Summary'!I$21</f>
        <v>1043.8450394124277</v>
      </c>
      <c r="Q134" s="85">
        <f>$L134*'MWh Impact Summary'!J$21</f>
        <v>22934.702028285679</v>
      </c>
      <c r="R134" s="85">
        <f>$L134*'MWh Impact Summary'!K$21</f>
        <v>3389.0551970478264</v>
      </c>
      <c r="S134" s="85">
        <f>$L134*'MWh Impact Summary'!M$21</f>
        <v>3736.4736000662137</v>
      </c>
      <c r="T134" s="85">
        <f>$L134*'MWh Impact Summary'!O$21</f>
        <v>5480.6463034810513</v>
      </c>
      <c r="U134" s="85">
        <f t="shared" si="46"/>
        <v>123080.3523280228</v>
      </c>
      <c r="V134" s="81">
        <f t="shared" si="48"/>
        <v>271360.90900862322</v>
      </c>
      <c r="W134" s="81">
        <f>SUM(V123:V134)</f>
        <v>5366610.4179052087</v>
      </c>
      <c r="X134" s="262">
        <f>+'MWh by mo-WgtbyActulCDH&amp;Days'!AB136</f>
        <v>4813839.2600633735</v>
      </c>
      <c r="Y134" s="120">
        <f t="shared" si="37"/>
        <v>56.370995030908205</v>
      </c>
      <c r="Z134" s="87">
        <f t="shared" si="49"/>
        <v>1.8184191945454259E-3</v>
      </c>
      <c r="AA134" s="88">
        <f t="shared" si="34"/>
        <v>2.9729288007590755E-4</v>
      </c>
      <c r="AC134" s="89">
        <f t="shared" si="47"/>
        <v>3736.4736000662137</v>
      </c>
      <c r="AD134" s="90">
        <f>SUM(AC123:AC134)</f>
        <v>43993.963355618325</v>
      </c>
      <c r="AE134" s="96">
        <f t="shared" si="41"/>
        <v>0.77619409336426903</v>
      </c>
      <c r="AF134" s="92">
        <f t="shared" si="40"/>
        <v>2.5038519140782872E-5</v>
      </c>
      <c r="AH134" s="123">
        <f t="shared" si="50"/>
        <v>1.8184191945454259E-3</v>
      </c>
      <c r="AI134" s="121">
        <f t="shared" si="51"/>
        <v>271360.90900862322</v>
      </c>
    </row>
    <row r="135" spans="1:35">
      <c r="A135" s="78">
        <v>2016</v>
      </c>
      <c r="B135" s="78">
        <v>1</v>
      </c>
      <c r="C135" s="79">
        <f t="shared" si="43"/>
        <v>26.95686291874426</v>
      </c>
      <c r="D135" s="101">
        <f t="shared" si="44"/>
        <v>1.2915057734219224E-2</v>
      </c>
      <c r="E135" s="100">
        <f>$D135*'MWh Impact Summary'!B$22</f>
        <v>26713.796733954277</v>
      </c>
      <c r="F135" s="81">
        <f>$D135*'MWh Impact Summary'!L$22</f>
        <v>369.71467254990802</v>
      </c>
      <c r="G135" s="81">
        <f>$D135*'MWh Impact Summary'!C$22</f>
        <v>21491.195732716846</v>
      </c>
      <c r="H135" s="81">
        <f>$D135*'MWh Impact Summary'!D$22</f>
        <v>74.191810828658689</v>
      </c>
      <c r="I135" s="81">
        <f>$D135*'MWh Impact Summary'!E$22</f>
        <v>8449.5469091662326</v>
      </c>
      <c r="J135" s="82">
        <f t="shared" si="45"/>
        <v>57098.445859215921</v>
      </c>
      <c r="K135" s="83">
        <v>31</v>
      </c>
      <c r="L135" s="97">
        <f>K135/(SUM(K135:K146))</f>
        <v>8.4699453551912565E-2</v>
      </c>
      <c r="M135" s="85">
        <f>$L135*'MWh Impact Summary'!F$22</f>
        <v>91690.489145616724</v>
      </c>
      <c r="N135" s="85">
        <f>$L135*'MWh Impact Summary'!G$22</f>
        <v>1806.6680615811299</v>
      </c>
      <c r="O135" s="85">
        <f>$L135*'MWh Impact Summary'!H$22</f>
        <v>4959.6200007486323</v>
      </c>
      <c r="P135" s="85">
        <f>$L135*'MWh Impact Summary'!I$22</f>
        <v>1133.3379182173751</v>
      </c>
      <c r="Q135" s="85">
        <f>$L135*'MWh Impact Summary'!J$22</f>
        <v>26391.841511107759</v>
      </c>
      <c r="R135" s="85">
        <f>$L135*'MWh Impact Summary'!K$22</f>
        <v>6675.463536611971</v>
      </c>
      <c r="S135" s="85">
        <f>$L135*'MWh Impact Summary'!M$22</f>
        <v>7359.7778208164382</v>
      </c>
      <c r="T135" s="85">
        <f>$L135*'MWh Impact Summary'!O$22</f>
        <v>10642.366262984286</v>
      </c>
      <c r="U135" s="85">
        <f t="shared" si="46"/>
        <v>150659.56425768434</v>
      </c>
      <c r="V135" s="81">
        <f t="shared" si="48"/>
        <v>207758.01011690026</v>
      </c>
      <c r="W135" s="81"/>
      <c r="X135" s="262">
        <f>+'MWh by mo-WgtbyActulCDH&amp;Days'!AB137</f>
        <v>4820575.9363739984</v>
      </c>
      <c r="Y135" s="120">
        <f t="shared" si="37"/>
        <v>43.09817184897917</v>
      </c>
      <c r="Z135" s="87">
        <f t="shared" si="49"/>
        <v>1.3902636080315863E-3</v>
      </c>
      <c r="AA135" s="88">
        <f t="shared" si="34"/>
        <v>2.0987034281958156E-4</v>
      </c>
      <c r="AC135" s="89">
        <f t="shared" si="47"/>
        <v>7359.7778208164382</v>
      </c>
      <c r="AD135" s="93"/>
      <c r="AE135" s="96">
        <f t="shared" si="41"/>
        <v>1.5267424303562385</v>
      </c>
      <c r="AF135" s="92">
        <f t="shared" ref="AF135:AF166" si="52">+AE135/K135/1000</f>
        <v>4.924975581794318E-5</v>
      </c>
      <c r="AH135" s="123">
        <f t="shared" si="50"/>
        <v>1.3902636080315863E-3</v>
      </c>
      <c r="AI135" s="121">
        <f t="shared" si="51"/>
        <v>207758.01011690026</v>
      </c>
    </row>
    <row r="136" spans="1:35">
      <c r="A136" s="78">
        <v>2016</v>
      </c>
      <c r="B136" s="78">
        <v>2</v>
      </c>
      <c r="C136" s="79">
        <f t="shared" si="43"/>
        <v>57.510679559652473</v>
      </c>
      <c r="D136" s="101">
        <f t="shared" si="44"/>
        <v>2.7553419293853541E-2</v>
      </c>
      <c r="E136" s="100">
        <f>$D136*'MWh Impact Summary'!B$22</f>
        <v>56992.113971832398</v>
      </c>
      <c r="F136" s="81">
        <f>$D136*'MWh Impact Summary'!L$22</f>
        <v>788.76173854543174</v>
      </c>
      <c r="G136" s="81">
        <f>$D136*'MWh Impact Summary'!C$22</f>
        <v>45850.041040147305</v>
      </c>
      <c r="H136" s="81">
        <f>$D136*'MWh Impact Summary'!D$22</f>
        <v>158.28330883229151</v>
      </c>
      <c r="I136" s="81">
        <f>$D136*'MWh Impact Summary'!E$22</f>
        <v>18026.548051309666</v>
      </c>
      <c r="J136" s="82">
        <f t="shared" si="45"/>
        <v>121815.74811066709</v>
      </c>
      <c r="K136" s="83">
        <v>29</v>
      </c>
      <c r="L136" s="97">
        <f>K136/(SUM(K135:K146))</f>
        <v>7.9234972677595633E-2</v>
      </c>
      <c r="M136" s="85">
        <f>$L136*'MWh Impact Summary'!F$22</f>
        <v>85774.973716867273</v>
      </c>
      <c r="N136" s="85">
        <f>$L136*'MWh Impact Summary'!G$22</f>
        <v>1690.1088318017023</v>
      </c>
      <c r="O136" s="85">
        <f>$L136*'MWh Impact Summary'!H$22</f>
        <v>4639.6445168293658</v>
      </c>
      <c r="P136" s="85">
        <f>$L136*'MWh Impact Summary'!I$22</f>
        <v>1060.2193428485123</v>
      </c>
      <c r="Q136" s="85">
        <f>$L136*'MWh Impact Summary'!J$22</f>
        <v>24689.14205877823</v>
      </c>
      <c r="R136" s="85">
        <f>$L136*'MWh Impact Summary'!K$22</f>
        <v>6244.7884697337795</v>
      </c>
      <c r="S136" s="85">
        <f>$L136*'MWh Impact Summary'!M$22</f>
        <v>6884.9534452798944</v>
      </c>
      <c r="T136" s="85">
        <f>$L136*'MWh Impact Summary'!O$22</f>
        <v>9955.761987953043</v>
      </c>
      <c r="U136" s="85">
        <f t="shared" si="46"/>
        <v>140939.59237009182</v>
      </c>
      <c r="V136" s="81">
        <f t="shared" si="48"/>
        <v>262755.34048075892</v>
      </c>
      <c r="W136" s="81"/>
      <c r="X136" s="262">
        <f>+'MWh by mo-WgtbyActulCDH&amp;Days'!AB138</f>
        <v>4826494.7966620158</v>
      </c>
      <c r="Y136" s="120">
        <f t="shared" si="37"/>
        <v>54.440199679170782</v>
      </c>
      <c r="Z136" s="87">
        <f t="shared" si="49"/>
        <v>1.8772482647989926E-3</v>
      </c>
      <c r="AA136" s="88">
        <f t="shared" si="34"/>
        <v>2.3097976316382323E-4</v>
      </c>
      <c r="AC136" s="89">
        <f t="shared" si="47"/>
        <v>6884.9534452798944</v>
      </c>
      <c r="AD136" s="93"/>
      <c r="AE136" s="96">
        <f t="shared" si="41"/>
        <v>1.4264914260430779</v>
      </c>
      <c r="AF136" s="92">
        <f t="shared" si="52"/>
        <v>4.9189359518726821E-5</v>
      </c>
      <c r="AH136" s="123">
        <f t="shared" si="50"/>
        <v>1.8772482647989926E-3</v>
      </c>
      <c r="AI136" s="121">
        <f t="shared" si="51"/>
        <v>262755.34048075892</v>
      </c>
    </row>
    <row r="137" spans="1:35">
      <c r="A137" s="78">
        <v>2016</v>
      </c>
      <c r="B137" s="78">
        <v>3</v>
      </c>
      <c r="C137" s="79">
        <f t="shared" si="43"/>
        <v>62.20178223460303</v>
      </c>
      <c r="D137" s="101">
        <f t="shared" si="44"/>
        <v>2.9800930885493855E-2</v>
      </c>
      <c r="E137" s="100">
        <f>$D137*'MWh Impact Summary'!B$22</f>
        <v>61640.917643627603</v>
      </c>
      <c r="F137" s="81">
        <f>$D137*'MWh Impact Summary'!L$22</f>
        <v>853.10043754743469</v>
      </c>
      <c r="G137" s="81">
        <f>$D137*'MWh Impact Summary'!C$22</f>
        <v>49589.994242177025</v>
      </c>
      <c r="H137" s="81">
        <f>$D137*'MWh Impact Summary'!D$22</f>
        <v>171.19435873030238</v>
      </c>
      <c r="I137" s="81">
        <f>$D137*'MWh Impact Summary'!E$22</f>
        <v>19496.959954474711</v>
      </c>
      <c r="J137" s="82">
        <f t="shared" si="45"/>
        <v>131752.16663655709</v>
      </c>
      <c r="K137" s="83">
        <v>31</v>
      </c>
      <c r="L137" s="97">
        <f>K137/(SUM(K135:K146))</f>
        <v>8.4699453551912565E-2</v>
      </c>
      <c r="M137" s="85">
        <f>$L137*'MWh Impact Summary'!F$22</f>
        <v>91690.489145616724</v>
      </c>
      <c r="N137" s="85">
        <f>$L137*'MWh Impact Summary'!G$22</f>
        <v>1806.6680615811299</v>
      </c>
      <c r="O137" s="85">
        <f>$L137*'MWh Impact Summary'!H$22</f>
        <v>4959.6200007486323</v>
      </c>
      <c r="P137" s="85">
        <f>$L137*'MWh Impact Summary'!I$22</f>
        <v>1133.3379182173751</v>
      </c>
      <c r="Q137" s="85">
        <f>$L137*'MWh Impact Summary'!J$22</f>
        <v>26391.841511107759</v>
      </c>
      <c r="R137" s="85">
        <f>$L137*'MWh Impact Summary'!K$22</f>
        <v>6675.463536611971</v>
      </c>
      <c r="S137" s="85">
        <f>$L137*'MWh Impact Summary'!M$22</f>
        <v>7359.7778208164382</v>
      </c>
      <c r="T137" s="85">
        <f>$L137*'MWh Impact Summary'!O$22</f>
        <v>10642.366262984286</v>
      </c>
      <c r="U137" s="85">
        <f t="shared" si="46"/>
        <v>150659.56425768434</v>
      </c>
      <c r="V137" s="81">
        <f t="shared" si="48"/>
        <v>282411.73089424142</v>
      </c>
      <c r="W137" s="81"/>
      <c r="X137" s="262">
        <f>+'MWh by mo-WgtbyActulCDH&amp;Days'!AB139</f>
        <v>4833093.7745679663</v>
      </c>
      <c r="Y137" s="120">
        <f t="shared" si="37"/>
        <v>58.432909450321276</v>
      </c>
      <c r="Z137" s="87">
        <f t="shared" si="49"/>
        <v>1.8849325629135896E-3</v>
      </c>
      <c r="AA137" s="88">
        <f t="shared" si="34"/>
        <v>2.6007536829900915E-4</v>
      </c>
      <c r="AC137" s="89">
        <f t="shared" si="47"/>
        <v>7359.7778208164382</v>
      </c>
      <c r="AD137" s="93"/>
      <c r="AE137" s="96">
        <f t="shared" si="41"/>
        <v>1.5227881278745381</v>
      </c>
      <c r="AF137" s="92">
        <f t="shared" si="52"/>
        <v>4.91221976733722E-5</v>
      </c>
      <c r="AH137" s="123">
        <f t="shared" si="50"/>
        <v>1.8849325629135896E-3</v>
      </c>
      <c r="AI137" s="121">
        <f t="shared" si="51"/>
        <v>282411.73089424142</v>
      </c>
    </row>
    <row r="138" spans="1:35">
      <c r="A138" s="78">
        <v>2016</v>
      </c>
      <c r="B138" s="78">
        <v>4</v>
      </c>
      <c r="C138" s="79">
        <f t="shared" si="43"/>
        <v>137.13602413996043</v>
      </c>
      <c r="D138" s="101">
        <f t="shared" si="44"/>
        <v>6.5701994870379921E-2</v>
      </c>
      <c r="E138" s="100">
        <f>$D138*'MWh Impact Summary'!B$22</f>
        <v>135899.48818674352</v>
      </c>
      <c r="F138" s="81">
        <f>$D138*'MWh Impact Summary'!L$22</f>
        <v>1880.8271723801747</v>
      </c>
      <c r="G138" s="81">
        <f>$D138*'MWh Impact Summary'!C$22</f>
        <v>109330.86485924687</v>
      </c>
      <c r="H138" s="81">
        <f>$D138*'MWh Impact Summary'!D$22</f>
        <v>377.43152797322125</v>
      </c>
      <c r="I138" s="81">
        <f>$D138*'MWh Impact Summary'!E$22</f>
        <v>42984.870769269997</v>
      </c>
      <c r="J138" s="82">
        <f t="shared" si="45"/>
        <v>290473.48251561378</v>
      </c>
      <c r="K138" s="83">
        <v>30</v>
      </c>
      <c r="L138" s="97">
        <f>K138/(SUM(K135:K146))</f>
        <v>8.1967213114754092E-2</v>
      </c>
      <c r="M138" s="85">
        <f>$L138*'MWh Impact Summary'!F$22</f>
        <v>88732.731431241991</v>
      </c>
      <c r="N138" s="85">
        <f>$L138*'MWh Impact Summary'!G$22</f>
        <v>1748.388446691416</v>
      </c>
      <c r="O138" s="85">
        <f>$L138*'MWh Impact Summary'!H$22</f>
        <v>4799.6322587889981</v>
      </c>
      <c r="P138" s="85">
        <f>$L138*'MWh Impact Summary'!I$22</f>
        <v>1096.7786305329437</v>
      </c>
      <c r="Q138" s="85">
        <f>$L138*'MWh Impact Summary'!J$22</f>
        <v>25540.491784942991</v>
      </c>
      <c r="R138" s="85">
        <f>$L138*'MWh Impact Summary'!K$22</f>
        <v>6460.1260031728743</v>
      </c>
      <c r="S138" s="85">
        <f>$L138*'MWh Impact Summary'!M$22</f>
        <v>7122.3656330481654</v>
      </c>
      <c r="T138" s="85">
        <f>$L138*'MWh Impact Summary'!O$22</f>
        <v>10299.064125468663</v>
      </c>
      <c r="U138" s="85">
        <f t="shared" si="46"/>
        <v>145799.57831388805</v>
      </c>
      <c r="V138" s="81">
        <f t="shared" si="48"/>
        <v>436273.06082950183</v>
      </c>
      <c r="W138" s="81"/>
      <c r="X138" s="262">
        <f>+'MWh by mo-WgtbyActulCDH&amp;Days'!AB140</f>
        <v>4838808.8957821839</v>
      </c>
      <c r="Y138" s="120">
        <f t="shared" si="37"/>
        <v>90.161250470086841</v>
      </c>
      <c r="Z138" s="87">
        <f t="shared" si="49"/>
        <v>3.0053750156695614E-3</v>
      </c>
      <c r="AA138" s="88">
        <f t="shared" si="34"/>
        <v>3.71957653361035E-4</v>
      </c>
      <c r="AC138" s="89">
        <f t="shared" si="47"/>
        <v>7122.3656330481654</v>
      </c>
      <c r="AD138" s="93"/>
      <c r="AE138" s="96">
        <f t="shared" si="41"/>
        <v>1.4719253821444522</v>
      </c>
      <c r="AF138" s="92">
        <f t="shared" si="52"/>
        <v>4.9064179404815077E-5</v>
      </c>
      <c r="AH138" s="123">
        <f t="shared" si="50"/>
        <v>3.0053750156695614E-3</v>
      </c>
      <c r="AI138" s="121">
        <f t="shared" si="51"/>
        <v>436273.06082950183</v>
      </c>
    </row>
    <row r="139" spans="1:35">
      <c r="A139" s="78">
        <v>2016</v>
      </c>
      <c r="B139" s="78">
        <v>5</v>
      </c>
      <c r="C139" s="79">
        <f t="shared" si="43"/>
        <v>220.65709530534707</v>
      </c>
      <c r="D139" s="101">
        <f t="shared" si="44"/>
        <v>0.10571701662481223</v>
      </c>
      <c r="E139" s="100">
        <f>$D139*'MWh Impact Summary'!B$22</f>
        <v>218667.46177623875</v>
      </c>
      <c r="F139" s="81">
        <f>$D139*'MWh Impact Summary'!L$22</f>
        <v>3026.3226838574033</v>
      </c>
      <c r="G139" s="81">
        <f>$D139*'MWh Impact Summary'!C$22</f>
        <v>175917.53310888878</v>
      </c>
      <c r="H139" s="81">
        <f>$D139*'MWh Impact Summary'!D$22</f>
        <v>607.30172951661223</v>
      </c>
      <c r="I139" s="81">
        <f>$D139*'MWh Impact Summary'!E$22</f>
        <v>69164.297167770972</v>
      </c>
      <c r="J139" s="82">
        <f t="shared" si="45"/>
        <v>467382.91646627249</v>
      </c>
      <c r="K139" s="83">
        <v>31</v>
      </c>
      <c r="L139" s="97">
        <f>K139/(SUM(K135:K146))</f>
        <v>8.4699453551912565E-2</v>
      </c>
      <c r="M139" s="85">
        <f>$L139*'MWh Impact Summary'!F$22</f>
        <v>91690.489145616724</v>
      </c>
      <c r="N139" s="85">
        <f>$L139*'MWh Impact Summary'!G$22</f>
        <v>1806.6680615811299</v>
      </c>
      <c r="O139" s="85">
        <f>$L139*'MWh Impact Summary'!H$22</f>
        <v>4959.6200007486323</v>
      </c>
      <c r="P139" s="85">
        <f>$L139*'MWh Impact Summary'!I$22</f>
        <v>1133.3379182173751</v>
      </c>
      <c r="Q139" s="85">
        <f>$L139*'MWh Impact Summary'!J$22</f>
        <v>26391.841511107759</v>
      </c>
      <c r="R139" s="85">
        <f>$L139*'MWh Impact Summary'!K$22</f>
        <v>6675.463536611971</v>
      </c>
      <c r="S139" s="85">
        <f>$L139*'MWh Impact Summary'!M$22</f>
        <v>7359.7778208164382</v>
      </c>
      <c r="T139" s="85">
        <f>$L139*'MWh Impact Summary'!O$22</f>
        <v>10642.366262984286</v>
      </c>
      <c r="U139" s="85">
        <f t="shared" si="46"/>
        <v>150659.56425768434</v>
      </c>
      <c r="V139" s="81">
        <f t="shared" si="48"/>
        <v>618042.48072395683</v>
      </c>
      <c r="W139" s="81"/>
      <c r="X139" s="262">
        <f>+'MWh by mo-WgtbyActulCDH&amp;Days'!AB141</f>
        <v>4843834.8322112709</v>
      </c>
      <c r="Y139" s="120">
        <f t="shared" si="37"/>
        <v>127.59363234559605</v>
      </c>
      <c r="Z139" s="87">
        <f t="shared" si="49"/>
        <v>4.1159236240514855E-3</v>
      </c>
      <c r="AA139" s="88">
        <f t="shared" si="34"/>
        <v>4.8123967762642508E-4</v>
      </c>
      <c r="AC139" s="89">
        <f t="shared" si="47"/>
        <v>7359.7778208164382</v>
      </c>
      <c r="AD139" s="93"/>
      <c r="AE139" s="96">
        <f t="shared" si="41"/>
        <v>1.5194113911304874</v>
      </c>
      <c r="AF139" s="92">
        <f t="shared" si="52"/>
        <v>4.9013270681628628E-5</v>
      </c>
      <c r="AH139" s="123">
        <f t="shared" si="50"/>
        <v>4.1159236240514855E-3</v>
      </c>
      <c r="AI139" s="121">
        <f t="shared" si="51"/>
        <v>618042.48072395683</v>
      </c>
    </row>
    <row r="140" spans="1:35">
      <c r="A140" s="78">
        <v>2016</v>
      </c>
      <c r="B140" s="78">
        <v>6</v>
      </c>
      <c r="C140" s="79">
        <f t="shared" si="43"/>
        <v>247.5875604864128</v>
      </c>
      <c r="D140" s="101">
        <f t="shared" si="44"/>
        <v>0.11861942717871234</v>
      </c>
      <c r="E140" s="100">
        <f>$D140*'MWh Impact Summary'!B$22</f>
        <v>245355.09879714681</v>
      </c>
      <c r="F140" s="81">
        <f>$D140*'MWh Impact Summary'!L$22</f>
        <v>3395.6753101643453</v>
      </c>
      <c r="G140" s="81">
        <f>$D140*'MWh Impact Summary'!C$22</f>
        <v>197387.68340508506</v>
      </c>
      <c r="H140" s="81">
        <f>$D140*'MWh Impact Summary'!D$22</f>
        <v>681.42088738242239</v>
      </c>
      <c r="I140" s="81">
        <f>$D140*'MWh Impact Summary'!E$22</f>
        <v>77605.569786138498</v>
      </c>
      <c r="J140" s="82">
        <f t="shared" si="45"/>
        <v>524425.44818591711</v>
      </c>
      <c r="K140" s="83">
        <v>30</v>
      </c>
      <c r="L140" s="97">
        <f>K140/(SUM(K135:K146))</f>
        <v>8.1967213114754092E-2</v>
      </c>
      <c r="M140" s="85">
        <f>$L140*'MWh Impact Summary'!F$22</f>
        <v>88732.731431241991</v>
      </c>
      <c r="N140" s="85">
        <f>$L140*'MWh Impact Summary'!G$22</f>
        <v>1748.388446691416</v>
      </c>
      <c r="O140" s="85">
        <f>$L140*'MWh Impact Summary'!H$22</f>
        <v>4799.6322587889981</v>
      </c>
      <c r="P140" s="85">
        <f>$L140*'MWh Impact Summary'!I$22</f>
        <v>1096.7786305329437</v>
      </c>
      <c r="Q140" s="85">
        <f>$L140*'MWh Impact Summary'!J$22</f>
        <v>25540.491784942991</v>
      </c>
      <c r="R140" s="85">
        <f>$L140*'MWh Impact Summary'!K$22</f>
        <v>6460.1260031728743</v>
      </c>
      <c r="S140" s="85">
        <f>$L140*'MWh Impact Summary'!M$22</f>
        <v>7122.3656330481654</v>
      </c>
      <c r="T140" s="85">
        <f>$L140*'MWh Impact Summary'!O$22</f>
        <v>10299.064125468663</v>
      </c>
      <c r="U140" s="85">
        <f t="shared" si="46"/>
        <v>145799.57831388805</v>
      </c>
      <c r="V140" s="81">
        <f t="shared" si="48"/>
        <v>670225.02649980516</v>
      </c>
      <c r="W140" s="81"/>
      <c r="X140" s="262">
        <f>+'MWh by mo-WgtbyActulCDH&amp;Days'!AB142</f>
        <v>4848895.9460375952</v>
      </c>
      <c r="Y140" s="120">
        <f t="shared" si="37"/>
        <v>138.22219201208009</v>
      </c>
      <c r="Z140" s="87">
        <f t="shared" si="49"/>
        <v>4.607406400402669E-3</v>
      </c>
      <c r="AA140" s="88">
        <f t="shared" si="34"/>
        <v>5.2991677454589017E-4</v>
      </c>
      <c r="AC140" s="89">
        <f t="shared" si="47"/>
        <v>7122.3656330481654</v>
      </c>
      <c r="AD140" s="93"/>
      <c r="AE140" s="96">
        <f t="shared" si="41"/>
        <v>1.4688633685506072</v>
      </c>
      <c r="AF140" s="92">
        <f t="shared" si="52"/>
        <v>4.896211228502024E-5</v>
      </c>
      <c r="AH140" s="123">
        <f t="shared" si="50"/>
        <v>4.607406400402669E-3</v>
      </c>
      <c r="AI140" s="121">
        <f t="shared" si="51"/>
        <v>670225.02649980516</v>
      </c>
    </row>
    <row r="141" spans="1:35">
      <c r="A141" s="78">
        <v>2016</v>
      </c>
      <c r="B141" s="78">
        <v>7</v>
      </c>
      <c r="C141" s="79">
        <f t="shared" si="43"/>
        <v>311.6666769190017</v>
      </c>
      <c r="D141" s="101">
        <f t="shared" si="44"/>
        <v>0.1493197905993085</v>
      </c>
      <c r="E141" s="100">
        <f>$D141*'MWh Impact Summary'!B$22</f>
        <v>308856.4229842904</v>
      </c>
      <c r="F141" s="81">
        <f>$D141*'MWh Impact Summary'!L$22</f>
        <v>4274.5234766061712</v>
      </c>
      <c r="G141" s="81">
        <f>$D141*'MWh Impact Summary'!C$22</f>
        <v>248474.3709689684</v>
      </c>
      <c r="H141" s="81">
        <f>$D141*'MWh Impact Summary'!D$22</f>
        <v>857.78212417635473</v>
      </c>
      <c r="I141" s="81">
        <f>$D141*'MWh Impact Summary'!E$22</f>
        <v>97690.974450143316</v>
      </c>
      <c r="J141" s="82">
        <f t="shared" si="45"/>
        <v>660154.07400418469</v>
      </c>
      <c r="K141" s="83">
        <v>31</v>
      </c>
      <c r="L141" s="97">
        <f>K141/(SUM(K135:K146))</f>
        <v>8.4699453551912565E-2</v>
      </c>
      <c r="M141" s="85">
        <f>$L141*'MWh Impact Summary'!F$22</f>
        <v>91690.489145616724</v>
      </c>
      <c r="N141" s="85">
        <f>$L141*'MWh Impact Summary'!G$22</f>
        <v>1806.6680615811299</v>
      </c>
      <c r="O141" s="85">
        <f>$L141*'MWh Impact Summary'!H$22</f>
        <v>4959.6200007486323</v>
      </c>
      <c r="P141" s="85">
        <f>$L141*'MWh Impact Summary'!I$22</f>
        <v>1133.3379182173751</v>
      </c>
      <c r="Q141" s="85">
        <f>$L141*'MWh Impact Summary'!J$22</f>
        <v>26391.841511107759</v>
      </c>
      <c r="R141" s="85">
        <f>$L141*'MWh Impact Summary'!K$22</f>
        <v>6675.463536611971</v>
      </c>
      <c r="S141" s="85">
        <f>$L141*'MWh Impact Summary'!M$22</f>
        <v>7359.7778208164382</v>
      </c>
      <c r="T141" s="85">
        <f>$L141*'MWh Impact Summary'!O$22</f>
        <v>10642.366262984286</v>
      </c>
      <c r="U141" s="85">
        <f t="shared" si="46"/>
        <v>150659.56425768434</v>
      </c>
      <c r="V141" s="81">
        <f t="shared" si="48"/>
        <v>810813.63826186908</v>
      </c>
      <c r="W141" s="81"/>
      <c r="X141" s="262">
        <f>+'MWh by mo-WgtbyActulCDH&amp;Days'!AB143</f>
        <v>4855525.4877184592</v>
      </c>
      <c r="Y141" s="120">
        <f t="shared" si="37"/>
        <v>166.98782455426027</v>
      </c>
      <c r="Z141" s="87">
        <f t="shared" si="49"/>
        <v>5.3867040178793638E-3</v>
      </c>
      <c r="AA141" s="88">
        <f t="shared" si="34"/>
        <v>6.1343582804738745E-4</v>
      </c>
      <c r="AC141" s="89">
        <f t="shared" si="47"/>
        <v>7359.7778208164382</v>
      </c>
      <c r="AD141" s="93"/>
      <c r="AE141" s="96">
        <f t="shared" si="41"/>
        <v>1.5157531021991795</v>
      </c>
      <c r="AF141" s="92">
        <f t="shared" si="52"/>
        <v>4.8895261361263854E-5</v>
      </c>
      <c r="AH141" s="123">
        <f t="shared" si="50"/>
        <v>5.3867040178793638E-3</v>
      </c>
      <c r="AI141" s="121">
        <f t="shared" si="51"/>
        <v>810813.63826186908</v>
      </c>
    </row>
    <row r="142" spans="1:35">
      <c r="A142" s="78">
        <v>2016</v>
      </c>
      <c r="B142" s="78">
        <v>8</v>
      </c>
      <c r="C142" s="79">
        <f t="shared" si="43"/>
        <v>350.95807565684066</v>
      </c>
      <c r="D142" s="101">
        <f t="shared" si="44"/>
        <v>0.16814433575083526</v>
      </c>
      <c r="E142" s="100">
        <f>$D142*'MWh Impact Summary'!B$22</f>
        <v>347793.53678863932</v>
      </c>
      <c r="F142" s="81">
        <f>$D142*'MWh Impact Summary'!L$22</f>
        <v>4813.4069016610592</v>
      </c>
      <c r="G142" s="81">
        <f>$D142*'MWh Impact Summary'!C$22</f>
        <v>279799.20069535176</v>
      </c>
      <c r="H142" s="81">
        <f>$D142*'MWh Impact Summary'!D$22</f>
        <v>965.92156277268168</v>
      </c>
      <c r="I142" s="81">
        <f>$D142*'MWh Impact Summary'!E$22</f>
        <v>110006.7441954157</v>
      </c>
      <c r="J142" s="82">
        <f t="shared" si="45"/>
        <v>743378.8101438405</v>
      </c>
      <c r="K142" s="83">
        <v>31</v>
      </c>
      <c r="L142" s="97">
        <f>K142/(SUM(K135:K146))</f>
        <v>8.4699453551912565E-2</v>
      </c>
      <c r="M142" s="85">
        <f>$L142*'MWh Impact Summary'!F$22</f>
        <v>91690.489145616724</v>
      </c>
      <c r="N142" s="85">
        <f>$L142*'MWh Impact Summary'!G$22</f>
        <v>1806.6680615811299</v>
      </c>
      <c r="O142" s="85">
        <f>$L142*'MWh Impact Summary'!H$22</f>
        <v>4959.6200007486323</v>
      </c>
      <c r="P142" s="85">
        <f>$L142*'MWh Impact Summary'!I$22</f>
        <v>1133.3379182173751</v>
      </c>
      <c r="Q142" s="85">
        <f>$L142*'MWh Impact Summary'!J$22</f>
        <v>26391.841511107759</v>
      </c>
      <c r="R142" s="85">
        <f>$L142*'MWh Impact Summary'!K$22</f>
        <v>6675.463536611971</v>
      </c>
      <c r="S142" s="85">
        <f>$L142*'MWh Impact Summary'!M$22</f>
        <v>7359.7778208164382</v>
      </c>
      <c r="T142" s="85">
        <f>$L142*'MWh Impact Summary'!O$22</f>
        <v>10642.366262984286</v>
      </c>
      <c r="U142" s="85">
        <f t="shared" si="46"/>
        <v>150659.56425768434</v>
      </c>
      <c r="V142" s="81">
        <f t="shared" si="48"/>
        <v>894038.3744015249</v>
      </c>
      <c r="W142" s="81"/>
      <c r="X142" s="262">
        <f>+'MWh by mo-WgtbyActulCDH&amp;Days'!AB144</f>
        <v>4862964.3023347482</v>
      </c>
      <c r="Y142" s="120">
        <f t="shared" si="37"/>
        <v>183.84637822084977</v>
      </c>
      <c r="Z142" s="87">
        <f t="shared" si="49"/>
        <v>5.9305283297048312E-3</v>
      </c>
      <c r="AA142" s="88">
        <f t="shared" si="34"/>
        <v>6.6909863585133591E-4</v>
      </c>
      <c r="AC142" s="89">
        <f t="shared" si="47"/>
        <v>7359.7778208164382</v>
      </c>
      <c r="AD142" s="93"/>
      <c r="AE142" s="96">
        <f t="shared" si="41"/>
        <v>1.5134344739653858</v>
      </c>
      <c r="AF142" s="92">
        <f t="shared" si="52"/>
        <v>4.8820466902109223E-5</v>
      </c>
      <c r="AH142" s="123">
        <f t="shared" si="50"/>
        <v>5.9305283297048312E-3</v>
      </c>
      <c r="AI142" s="121">
        <f t="shared" si="51"/>
        <v>894038.3744015249</v>
      </c>
    </row>
    <row r="143" spans="1:35">
      <c r="A143" s="78">
        <v>2016</v>
      </c>
      <c r="B143" s="78">
        <v>9</v>
      </c>
      <c r="C143" s="79">
        <f t="shared" si="43"/>
        <v>270.04400483226198</v>
      </c>
      <c r="D143" s="101">
        <f t="shared" si="44"/>
        <v>0.12937833024937548</v>
      </c>
      <c r="E143" s="100">
        <f>$D143*'MWh Impact Summary'!B$22</f>
        <v>267609.0565900337</v>
      </c>
      <c r="F143" s="81">
        <f>$D143*'MWh Impact Summary'!L$22</f>
        <v>3703.6665253508795</v>
      </c>
      <c r="G143" s="81">
        <f>$D143*'MWh Impact Summary'!C$22</f>
        <v>215290.94768150515</v>
      </c>
      <c r="H143" s="81">
        <f>$D143*'MWh Impact Summary'!D$22</f>
        <v>743.22645711112568</v>
      </c>
      <c r="I143" s="81">
        <f>$D143*'MWh Impact Summary'!E$22</f>
        <v>84644.474145495333</v>
      </c>
      <c r="J143" s="82">
        <f t="shared" si="45"/>
        <v>571991.37139949622</v>
      </c>
      <c r="K143" s="83">
        <v>30</v>
      </c>
      <c r="L143" s="97">
        <f>K143/(SUM(K135:K146))</f>
        <v>8.1967213114754092E-2</v>
      </c>
      <c r="M143" s="85">
        <f>$L143*'MWh Impact Summary'!F$22</f>
        <v>88732.731431241991</v>
      </c>
      <c r="N143" s="85">
        <f>$L143*'MWh Impact Summary'!G$22</f>
        <v>1748.388446691416</v>
      </c>
      <c r="O143" s="85">
        <f>$L143*'MWh Impact Summary'!H$22</f>
        <v>4799.6322587889981</v>
      </c>
      <c r="P143" s="85">
        <f>$L143*'MWh Impact Summary'!I$22</f>
        <v>1096.7786305329437</v>
      </c>
      <c r="Q143" s="85">
        <f>$L143*'MWh Impact Summary'!J$22</f>
        <v>25540.491784942991</v>
      </c>
      <c r="R143" s="85">
        <f>$L143*'MWh Impact Summary'!K$22</f>
        <v>6460.1260031728743</v>
      </c>
      <c r="S143" s="85">
        <f>$L143*'MWh Impact Summary'!M$22</f>
        <v>7122.3656330481654</v>
      </c>
      <c r="T143" s="85">
        <f>$L143*'MWh Impact Summary'!O$22</f>
        <v>10299.064125468663</v>
      </c>
      <c r="U143" s="85">
        <f t="shared" si="46"/>
        <v>145799.57831388805</v>
      </c>
      <c r="V143" s="81">
        <f t="shared" si="48"/>
        <v>717790.94971338427</v>
      </c>
      <c r="W143" s="81"/>
      <c r="X143" s="262">
        <f>+'MWh by mo-WgtbyActulCDH&amp;Days'!AB145</f>
        <v>4867498.8173319157</v>
      </c>
      <c r="Y143" s="120">
        <f t="shared" si="37"/>
        <v>147.46607583293388</v>
      </c>
      <c r="Z143" s="87">
        <f t="shared" si="49"/>
        <v>4.9155358610977959E-3</v>
      </c>
      <c r="AA143" s="88">
        <f t="shared" ref="AA143:AA206" si="53">Z143-Z131</f>
        <v>5.660092857056355E-4</v>
      </c>
      <c r="AC143" s="89">
        <f t="shared" si="47"/>
        <v>7122.3656330481654</v>
      </c>
      <c r="AD143" s="93"/>
      <c r="AE143" s="96">
        <f t="shared" si="41"/>
        <v>1.4632495867666668</v>
      </c>
      <c r="AF143" s="92">
        <f t="shared" si="52"/>
        <v>4.8774986225555558E-5</v>
      </c>
      <c r="AH143" s="123">
        <f t="shared" si="50"/>
        <v>4.9155358610977959E-3</v>
      </c>
      <c r="AI143" s="121">
        <f t="shared" si="51"/>
        <v>717790.94971338427</v>
      </c>
    </row>
    <row r="144" spans="1:35">
      <c r="A144" s="78">
        <v>2016</v>
      </c>
      <c r="B144" s="78">
        <v>10</v>
      </c>
      <c r="C144" s="79">
        <f t="shared" si="43"/>
        <v>213.28592721551468</v>
      </c>
      <c r="D144" s="101">
        <f t="shared" si="44"/>
        <v>0.10218548323623593</v>
      </c>
      <c r="E144" s="100">
        <f>$D144*'MWh Impact Summary'!B$22</f>
        <v>211362.7584568228</v>
      </c>
      <c r="F144" s="81">
        <f>$D144*'MWh Impact Summary'!L$22</f>
        <v>2925.2267586803032</v>
      </c>
      <c r="G144" s="81">
        <f>$D144*'MWh Impact Summary'!C$22</f>
        <v>170040.91398318214</v>
      </c>
      <c r="H144" s="81">
        <f>$D144*'MWh Impact Summary'!D$22</f>
        <v>587.01449096977001</v>
      </c>
      <c r="I144" s="81">
        <f>$D144*'MWh Impact Summary'!E$22</f>
        <v>66853.826890197248</v>
      </c>
      <c r="J144" s="82">
        <f t="shared" si="45"/>
        <v>451769.74057985225</v>
      </c>
      <c r="K144" s="83">
        <v>31</v>
      </c>
      <c r="L144" s="97">
        <f>K144/(SUM(K135:K146))</f>
        <v>8.4699453551912565E-2</v>
      </c>
      <c r="M144" s="85">
        <f>$L144*'MWh Impact Summary'!F$22</f>
        <v>91690.489145616724</v>
      </c>
      <c r="N144" s="85">
        <f>$L144*'MWh Impact Summary'!G$22</f>
        <v>1806.6680615811299</v>
      </c>
      <c r="O144" s="85">
        <f>$L144*'MWh Impact Summary'!H$22</f>
        <v>4959.6200007486323</v>
      </c>
      <c r="P144" s="85">
        <f>$L144*'MWh Impact Summary'!I$22</f>
        <v>1133.3379182173751</v>
      </c>
      <c r="Q144" s="85">
        <f>$L144*'MWh Impact Summary'!J$22</f>
        <v>26391.841511107759</v>
      </c>
      <c r="R144" s="85">
        <f>$L144*'MWh Impact Summary'!K$22</f>
        <v>6675.463536611971</v>
      </c>
      <c r="S144" s="85">
        <f>$L144*'MWh Impact Summary'!M$22</f>
        <v>7359.7778208164382</v>
      </c>
      <c r="T144" s="85">
        <f>$L144*'MWh Impact Summary'!O$22</f>
        <v>10642.366262984286</v>
      </c>
      <c r="U144" s="85">
        <f t="shared" si="46"/>
        <v>150659.56425768434</v>
      </c>
      <c r="V144" s="81">
        <f t="shared" si="48"/>
        <v>602429.30483753653</v>
      </c>
      <c r="W144" s="81"/>
      <c r="X144" s="262">
        <f>+'MWh by mo-WgtbyActulCDH&amp;Days'!AB146</f>
        <v>4872985.9866431234</v>
      </c>
      <c r="Y144" s="120">
        <f t="shared" si="37"/>
        <v>123.62631587466042</v>
      </c>
      <c r="Z144" s="87">
        <f t="shared" si="49"/>
        <v>3.9879456733761427E-3</v>
      </c>
      <c r="AA144" s="88">
        <f t="shared" si="53"/>
        <v>4.7226963967438853E-4</v>
      </c>
      <c r="AC144" s="89">
        <f t="shared" si="47"/>
        <v>7359.7778208164382</v>
      </c>
      <c r="AD144" s="93"/>
      <c r="AE144" s="96">
        <f t="shared" si="41"/>
        <v>1.5103219752713475</v>
      </c>
      <c r="AF144" s="92">
        <f t="shared" si="52"/>
        <v>4.8720063718430564E-5</v>
      </c>
      <c r="AH144" s="123">
        <f t="shared" si="50"/>
        <v>3.9879456733761427E-3</v>
      </c>
      <c r="AI144" s="121">
        <f t="shared" si="51"/>
        <v>602429.30483753653</v>
      </c>
    </row>
    <row r="145" spans="1:35">
      <c r="A145" s="78">
        <v>2016</v>
      </c>
      <c r="B145" s="78">
        <v>11</v>
      </c>
      <c r="C145" s="79">
        <f t="shared" si="43"/>
        <v>110.23315885291359</v>
      </c>
      <c r="D145" s="101">
        <f t="shared" si="44"/>
        <v>5.2812807451003543E-2</v>
      </c>
      <c r="E145" s="100">
        <f>$D145*'MWh Impact Summary'!B$22</f>
        <v>109239.20219554992</v>
      </c>
      <c r="F145" s="81">
        <f>$D145*'MWh Impact Summary'!L$22</f>
        <v>1511.8530799482744</v>
      </c>
      <c r="G145" s="81">
        <f>$D145*'MWh Impact Summary'!C$22</f>
        <v>87882.718411434224</v>
      </c>
      <c r="H145" s="81">
        <f>$D145*'MWh Impact Summary'!D$22</f>
        <v>303.38833169545325</v>
      </c>
      <c r="I145" s="81">
        <f>$D145*'MWh Impact Summary'!E$22</f>
        <v>34552.249253959366</v>
      </c>
      <c r="J145" s="82">
        <f t="shared" si="45"/>
        <v>233489.41127258723</v>
      </c>
      <c r="K145" s="83">
        <v>30</v>
      </c>
      <c r="L145" s="97">
        <f>K145/(SUM(K135:K146))</f>
        <v>8.1967213114754092E-2</v>
      </c>
      <c r="M145" s="85">
        <f>$L145*'MWh Impact Summary'!F$22</f>
        <v>88732.731431241991</v>
      </c>
      <c r="N145" s="85">
        <f>$L145*'MWh Impact Summary'!G$22</f>
        <v>1748.388446691416</v>
      </c>
      <c r="O145" s="85">
        <f>$L145*'MWh Impact Summary'!H$22</f>
        <v>4799.6322587889981</v>
      </c>
      <c r="P145" s="85">
        <f>$L145*'MWh Impact Summary'!I$22</f>
        <v>1096.7786305329437</v>
      </c>
      <c r="Q145" s="85">
        <f>$L145*'MWh Impact Summary'!J$22</f>
        <v>25540.491784942991</v>
      </c>
      <c r="R145" s="85">
        <f>$L145*'MWh Impact Summary'!K$22</f>
        <v>6460.1260031728743</v>
      </c>
      <c r="S145" s="85">
        <f>$L145*'MWh Impact Summary'!M$22</f>
        <v>7122.3656330481654</v>
      </c>
      <c r="T145" s="85">
        <f>$L145*'MWh Impact Summary'!O$22</f>
        <v>10299.064125468663</v>
      </c>
      <c r="U145" s="85">
        <f t="shared" si="46"/>
        <v>145799.57831388805</v>
      </c>
      <c r="V145" s="81">
        <f t="shared" si="48"/>
        <v>379288.98958647531</v>
      </c>
      <c r="W145" s="81"/>
      <c r="X145" s="262">
        <f>+'MWh by mo-WgtbyActulCDH&amp;Days'!AB147</f>
        <v>4878687.6758089541</v>
      </c>
      <c r="Y145" s="120">
        <f t="shared" si="37"/>
        <v>77.744060450351327</v>
      </c>
      <c r="Z145" s="87">
        <f t="shared" si="49"/>
        <v>2.5914686816783778E-3</v>
      </c>
      <c r="AA145" s="88">
        <f t="shared" si="53"/>
        <v>3.313173128314229E-4</v>
      </c>
      <c r="AC145" s="89">
        <f t="shared" si="47"/>
        <v>7122.3656330481654</v>
      </c>
      <c r="AD145" s="93"/>
      <c r="AE145" s="96">
        <f t="shared" si="41"/>
        <v>1.4598937473215434</v>
      </c>
      <c r="AF145" s="92">
        <f t="shared" si="52"/>
        <v>4.8663124910718113E-5</v>
      </c>
      <c r="AH145" s="123">
        <f t="shared" si="50"/>
        <v>2.5914686816783778E-3</v>
      </c>
      <c r="AI145" s="121">
        <f t="shared" si="51"/>
        <v>379288.98958647531</v>
      </c>
    </row>
    <row r="146" spans="1:35">
      <c r="A146" s="78">
        <v>2016</v>
      </c>
      <c r="B146" s="78">
        <v>12</v>
      </c>
      <c r="C146" s="79">
        <f t="shared" si="43"/>
        <v>79.005079745838657</v>
      </c>
      <c r="D146" s="101">
        <f t="shared" si="44"/>
        <v>3.7851406125770058E-2</v>
      </c>
      <c r="E146" s="100">
        <f>$D146*'MWh Impact Summary'!B$22</f>
        <v>78292.702219910148</v>
      </c>
      <c r="F146" s="81">
        <f>$D146*'MWh Impact Summary'!L$22</f>
        <v>1083.5584717723816</v>
      </c>
      <c r="G146" s="81">
        <f>$D146*'MWh Impact Summary'!C$22</f>
        <v>62986.321435647842</v>
      </c>
      <c r="H146" s="81">
        <f>$D146*'MWh Impact Summary'!D$22</f>
        <v>217.44110020052014</v>
      </c>
      <c r="I146" s="81">
        <f>$D146*'MWh Impact Summary'!E$22</f>
        <v>24763.902587147917</v>
      </c>
      <c r="J146" s="82">
        <f t="shared" si="45"/>
        <v>167343.92581467881</v>
      </c>
      <c r="K146" s="83">
        <v>31</v>
      </c>
      <c r="L146" s="97">
        <f>K146/(SUM(K135:K146))</f>
        <v>8.4699453551912565E-2</v>
      </c>
      <c r="M146" s="85">
        <f>$L146*'MWh Impact Summary'!F$22</f>
        <v>91690.489145616724</v>
      </c>
      <c r="N146" s="85">
        <f>$L146*'MWh Impact Summary'!G$22</f>
        <v>1806.6680615811299</v>
      </c>
      <c r="O146" s="85">
        <f>$L146*'MWh Impact Summary'!H$22</f>
        <v>4959.6200007486323</v>
      </c>
      <c r="P146" s="85">
        <f>$L146*'MWh Impact Summary'!I$22</f>
        <v>1133.3379182173751</v>
      </c>
      <c r="Q146" s="85">
        <f>$L146*'MWh Impact Summary'!J$22</f>
        <v>26391.841511107759</v>
      </c>
      <c r="R146" s="85">
        <f>$L146*'MWh Impact Summary'!K$22</f>
        <v>6675.463536611971</v>
      </c>
      <c r="S146" s="85">
        <f>$L146*'MWh Impact Summary'!M$22</f>
        <v>7359.7778208164382</v>
      </c>
      <c r="T146" s="85">
        <f>$L146*'MWh Impact Summary'!O$22</f>
        <v>10642.366262984286</v>
      </c>
      <c r="U146" s="85">
        <f t="shared" si="46"/>
        <v>150659.56425768434</v>
      </c>
      <c r="V146" s="81">
        <f t="shared" si="48"/>
        <v>318003.49007236317</v>
      </c>
      <c r="W146" s="81">
        <f>SUM(V135:V146)</f>
        <v>6199830.3964183163</v>
      </c>
      <c r="X146" s="262">
        <f>+'MWh by mo-WgtbyActulCDH&amp;Days'!AB148</f>
        <v>4884563.5171767101</v>
      </c>
      <c r="Y146" s="120">
        <f t="shared" si="37"/>
        <v>65.103768014090647</v>
      </c>
      <c r="Z146" s="87">
        <f t="shared" si="49"/>
        <v>2.1001215488416335E-3</v>
      </c>
      <c r="AA146" s="88">
        <f t="shared" si="53"/>
        <v>2.817023542962076E-4</v>
      </c>
      <c r="AC146" s="89">
        <f t="shared" si="47"/>
        <v>7359.7778208164382</v>
      </c>
      <c r="AD146" s="90">
        <f>SUM(AC135:AC146)</f>
        <v>86892.860723187623</v>
      </c>
      <c r="AE146" s="96">
        <f t="shared" si="41"/>
        <v>1.5067421674292012</v>
      </c>
      <c r="AF146" s="92">
        <f t="shared" si="52"/>
        <v>4.8604586046103265E-5</v>
      </c>
      <c r="AH146" s="123">
        <f t="shared" si="50"/>
        <v>2.1001215488416335E-3</v>
      </c>
      <c r="AI146" s="121">
        <f t="shared" si="51"/>
        <v>318003.49007236317</v>
      </c>
    </row>
    <row r="147" spans="1:35">
      <c r="A147" s="78">
        <v>2017</v>
      </c>
      <c r="B147" s="78">
        <v>1</v>
      </c>
      <c r="C147" s="79">
        <f t="shared" si="43"/>
        <v>26.95686291874426</v>
      </c>
      <c r="D147" s="101">
        <f t="shared" si="44"/>
        <v>1.2915057734219224E-2</v>
      </c>
      <c r="E147" s="100">
        <f>$D147*'MWh Impact Summary'!B$23</f>
        <v>30105.169920031269</v>
      </c>
      <c r="F147" s="81">
        <f>$D147*'MWh Impact Summary'!L$23</f>
        <v>543.84625902823984</v>
      </c>
      <c r="G147" s="81">
        <f>$D147*'MWh Impact Summary'!C$23</f>
        <v>23625.765243753165</v>
      </c>
      <c r="H147" s="81">
        <f>$D147*'MWh Impact Summary'!D$23</f>
        <v>85.284803051888701</v>
      </c>
      <c r="I147" s="81">
        <f>$D147*'MWh Impact Summary'!E$23</f>
        <v>9208.9948200241906</v>
      </c>
      <c r="J147" s="82">
        <f t="shared" si="45"/>
        <v>63569.061045888753</v>
      </c>
      <c r="K147" s="83">
        <v>31</v>
      </c>
      <c r="L147" s="97">
        <f>K147/(SUM(K147:K158))</f>
        <v>8.4931506849315067E-2</v>
      </c>
      <c r="M147" s="85">
        <f>$L147*'MWh Impact Summary'!F$23</f>
        <v>103076.02811420627</v>
      </c>
      <c r="N147" s="85">
        <f>$L147*'MWh Impact Summary'!G$23</f>
        <v>3417.8947403267753</v>
      </c>
      <c r="O147" s="85">
        <f>$L147*'MWh Impact Summary'!H$23</f>
        <v>6150.5175305832354</v>
      </c>
      <c r="P147" s="85">
        <f>$L147*'MWh Impact Summary'!I$23</f>
        <v>1229.0408678070755</v>
      </c>
      <c r="Q147" s="85">
        <f>$L147*'MWh Impact Summary'!J$23</f>
        <v>30397.083715572728</v>
      </c>
      <c r="R147" s="85">
        <f>$L147*'MWh Impact Summary'!K$23</f>
        <v>10000.576722944348</v>
      </c>
      <c r="S147" s="85">
        <f>$L147*'MWh Impact Summary'!M$23</f>
        <v>11025.754594752025</v>
      </c>
      <c r="T147" s="85">
        <f>$L147*'MWh Impact Summary'!O$23</f>
        <v>24550.374586755879</v>
      </c>
      <c r="U147" s="85">
        <f t="shared" si="46"/>
        <v>189847.27087294834</v>
      </c>
      <c r="V147" s="81">
        <f t="shared" si="48"/>
        <v>253416.3319188371</v>
      </c>
      <c r="W147" s="81"/>
      <c r="X147" s="262">
        <f>+'MWh by mo-WgtbyActulCDH&amp;Days'!AB149</f>
        <v>4891015.7222528467</v>
      </c>
      <c r="Y147" s="120">
        <f t="shared" si="37"/>
        <v>51.812618545849041</v>
      </c>
      <c r="Z147" s="87">
        <f t="shared" si="49"/>
        <v>1.671374791801582E-3</v>
      </c>
      <c r="AA147" s="88">
        <f t="shared" si="53"/>
        <v>2.8111118376999565E-4</v>
      </c>
      <c r="AC147" s="89">
        <f t="shared" si="47"/>
        <v>11025.754594752025</v>
      </c>
      <c r="AD147" s="93"/>
      <c r="AE147" s="96">
        <f t="shared" si="41"/>
        <v>2.2542872934527107</v>
      </c>
      <c r="AF147" s="92">
        <f t="shared" si="52"/>
        <v>7.2718944950087448E-5</v>
      </c>
      <c r="AH147" s="123">
        <f t="shared" si="50"/>
        <v>1.671374791801582E-3</v>
      </c>
      <c r="AI147" s="121">
        <f t="shared" si="51"/>
        <v>253416.3319188371</v>
      </c>
    </row>
    <row r="148" spans="1:35">
      <c r="A148" s="78">
        <v>2017</v>
      </c>
      <c r="B148" s="78">
        <v>2</v>
      </c>
      <c r="C148" s="79">
        <f t="shared" si="43"/>
        <v>57.510679559652473</v>
      </c>
      <c r="D148" s="101">
        <f t="shared" si="44"/>
        <v>2.7553419293853541E-2</v>
      </c>
      <c r="E148" s="100">
        <f>$D148*'MWh Impact Summary'!B$23</f>
        <v>64227.383786409067</v>
      </c>
      <c r="F148" s="81">
        <f>$D148*'MWh Impact Summary'!L$23</f>
        <v>1160.2599318387545</v>
      </c>
      <c r="G148" s="81">
        <f>$D148*'MWh Impact Summary'!C$23</f>
        <v>50404.003551180183</v>
      </c>
      <c r="H148" s="81">
        <f>$D148*'MWh Impact Summary'!D$23</f>
        <v>181.94947217744445</v>
      </c>
      <c r="I148" s="81">
        <f>$D148*'MWh Impact Summary'!E$23</f>
        <v>19646.779811038265</v>
      </c>
      <c r="J148" s="82">
        <f t="shared" si="45"/>
        <v>135620.37655264372</v>
      </c>
      <c r="K148" s="83">
        <v>28</v>
      </c>
      <c r="L148" s="97">
        <f>K148/(SUM(K147:K158))</f>
        <v>7.6712328767123292E-2</v>
      </c>
      <c r="M148" s="85">
        <f>$L148*'MWh Impact Summary'!F$23</f>
        <v>93100.928619283091</v>
      </c>
      <c r="N148" s="85">
        <f>$L148*'MWh Impact Summary'!G$23</f>
        <v>3087.130733198378</v>
      </c>
      <c r="O148" s="85">
        <f>$L148*'MWh Impact Summary'!H$23</f>
        <v>5555.3061566558263</v>
      </c>
      <c r="P148" s="85">
        <f>$L148*'MWh Impact Summary'!I$23</f>
        <v>1110.1014289870359</v>
      </c>
      <c r="Q148" s="85">
        <f>$L148*'MWh Impact Summary'!J$23</f>
        <v>27455.43045277537</v>
      </c>
      <c r="R148" s="85">
        <f>$L148*'MWh Impact Summary'!K$23</f>
        <v>9032.7789755626382</v>
      </c>
      <c r="S148" s="85">
        <f>$L148*'MWh Impact Summary'!M$23</f>
        <v>9958.7460855824738</v>
      </c>
      <c r="T148" s="85">
        <f>$L148*'MWh Impact Summary'!O$23</f>
        <v>22174.531884811764</v>
      </c>
      <c r="U148" s="85">
        <f t="shared" si="46"/>
        <v>171474.95433685658</v>
      </c>
      <c r="V148" s="81">
        <f t="shared" si="48"/>
        <v>307095.33088950033</v>
      </c>
      <c r="W148" s="81"/>
      <c r="X148" s="262">
        <f>+'MWh by mo-WgtbyActulCDH&amp;Days'!AB150</f>
        <v>4896910.5000386564</v>
      </c>
      <c r="Y148" s="120">
        <f t="shared" si="37"/>
        <v>62.712057099486728</v>
      </c>
      <c r="Z148" s="87">
        <f t="shared" si="49"/>
        <v>2.2397163249816688E-3</v>
      </c>
      <c r="AA148" s="88">
        <f t="shared" si="53"/>
        <v>3.6246806018267624E-4</v>
      </c>
      <c r="AC148" s="89">
        <f t="shared" si="47"/>
        <v>9958.7460855824738</v>
      </c>
      <c r="AD148" s="93"/>
      <c r="AE148" s="96">
        <f t="shared" si="41"/>
        <v>2.033679415930485</v>
      </c>
      <c r="AF148" s="92">
        <f t="shared" si="52"/>
        <v>7.2631407711803029E-5</v>
      </c>
      <c r="AH148" s="123">
        <f t="shared" si="50"/>
        <v>2.2397163249816688E-3</v>
      </c>
      <c r="AI148" s="121">
        <f t="shared" si="51"/>
        <v>307095.33088950033</v>
      </c>
    </row>
    <row r="149" spans="1:35">
      <c r="A149" s="78">
        <v>2017</v>
      </c>
      <c r="B149" s="78">
        <v>3</v>
      </c>
      <c r="C149" s="79">
        <f t="shared" si="43"/>
        <v>62.20178223460303</v>
      </c>
      <c r="D149" s="101">
        <f t="shared" si="44"/>
        <v>2.9800930885493855E-2</v>
      </c>
      <c r="E149" s="100">
        <f>$D149*'MWh Impact Summary'!B$23</f>
        <v>69466.362949800474</v>
      </c>
      <c r="F149" s="81">
        <f>$D149*'MWh Impact Summary'!L$23</f>
        <v>1254.9014577529306</v>
      </c>
      <c r="G149" s="81">
        <f>$D149*'MWh Impact Summary'!C$23</f>
        <v>54515.420034129274</v>
      </c>
      <c r="H149" s="81">
        <f>$D149*'MWh Impact Summary'!D$23</f>
        <v>196.79095313668299</v>
      </c>
      <c r="I149" s="81">
        <f>$D149*'MWh Impact Summary'!E$23</f>
        <v>21249.352794550461</v>
      </c>
      <c r="J149" s="82">
        <f t="shared" si="45"/>
        <v>146682.82818936981</v>
      </c>
      <c r="K149" s="83">
        <v>31</v>
      </c>
      <c r="L149" s="97">
        <f>K149/(SUM(K147:K158))</f>
        <v>8.4931506849315067E-2</v>
      </c>
      <c r="M149" s="85">
        <f>$L149*'MWh Impact Summary'!F$23</f>
        <v>103076.02811420627</v>
      </c>
      <c r="N149" s="85">
        <f>$L149*'MWh Impact Summary'!G$23</f>
        <v>3417.8947403267753</v>
      </c>
      <c r="O149" s="85">
        <f>$L149*'MWh Impact Summary'!H$23</f>
        <v>6150.5175305832354</v>
      </c>
      <c r="P149" s="85">
        <f>$L149*'MWh Impact Summary'!I$23</f>
        <v>1229.0408678070755</v>
      </c>
      <c r="Q149" s="85">
        <f>$L149*'MWh Impact Summary'!J$23</f>
        <v>30397.083715572728</v>
      </c>
      <c r="R149" s="85">
        <f>$L149*'MWh Impact Summary'!K$23</f>
        <v>10000.576722944348</v>
      </c>
      <c r="S149" s="85">
        <f>$L149*'MWh Impact Summary'!M$23</f>
        <v>11025.754594752025</v>
      </c>
      <c r="T149" s="85">
        <f>$L149*'MWh Impact Summary'!O$23</f>
        <v>24550.374586755879</v>
      </c>
      <c r="U149" s="85">
        <f t="shared" si="46"/>
        <v>189847.27087294834</v>
      </c>
      <c r="V149" s="81">
        <f t="shared" si="48"/>
        <v>336530.09906231816</v>
      </c>
      <c r="W149" s="81"/>
      <c r="X149" s="262">
        <f>+'MWh by mo-WgtbyActulCDH&amp;Days'!AB151</f>
        <v>4903267.7157294145</v>
      </c>
      <c r="Y149" s="120">
        <f t="shared" si="37"/>
        <v>68.633841465100517</v>
      </c>
      <c r="Z149" s="87">
        <f t="shared" si="49"/>
        <v>2.2139948859709845E-3</v>
      </c>
      <c r="AA149" s="88">
        <f t="shared" si="53"/>
        <v>3.2906232305739483E-4</v>
      </c>
      <c r="AC149" s="89">
        <f t="shared" si="47"/>
        <v>11025.754594752025</v>
      </c>
      <c r="AD149" s="93"/>
      <c r="AE149" s="96">
        <f t="shared" si="41"/>
        <v>2.2486544145615399</v>
      </c>
      <c r="AF149" s="92">
        <f t="shared" si="52"/>
        <v>7.2537239179404513E-5</v>
      </c>
      <c r="AH149" s="123">
        <f t="shared" si="50"/>
        <v>2.2139948859709845E-3</v>
      </c>
      <c r="AI149" s="121">
        <f t="shared" si="51"/>
        <v>336530.09906231816</v>
      </c>
    </row>
    <row r="150" spans="1:35">
      <c r="A150" s="78">
        <v>2017</v>
      </c>
      <c r="B150" s="78">
        <v>4</v>
      </c>
      <c r="C150" s="79">
        <f t="shared" si="43"/>
        <v>137.13602413996043</v>
      </c>
      <c r="D150" s="101">
        <f t="shared" si="44"/>
        <v>6.5701994870379921E-2</v>
      </c>
      <c r="E150" s="100">
        <f>$D150*'MWh Impact Summary'!B$23</f>
        <v>153152.2166112398</v>
      </c>
      <c r="F150" s="81">
        <f>$D150*'MWh Impact Summary'!L$23</f>
        <v>2766.6762980296412</v>
      </c>
      <c r="G150" s="81">
        <f>$D150*'MWh Impact Summary'!C$23</f>
        <v>120189.93169043794</v>
      </c>
      <c r="H150" s="81">
        <f>$D150*'MWh Impact Summary'!D$23</f>
        <v>433.86423877843424</v>
      </c>
      <c r="I150" s="81">
        <f>$D150*'MWh Impact Summary'!E$23</f>
        <v>46848.364357169688</v>
      </c>
      <c r="J150" s="82">
        <f t="shared" si="45"/>
        <v>323391.05319565546</v>
      </c>
      <c r="K150" s="83">
        <v>30</v>
      </c>
      <c r="L150" s="97">
        <f>K150/(SUM(K147:K158))</f>
        <v>8.2191780821917804E-2</v>
      </c>
      <c r="M150" s="85">
        <f>$L150*'MWh Impact Summary'!F$23</f>
        <v>99750.99494923187</v>
      </c>
      <c r="N150" s="85">
        <f>$L150*'MWh Impact Summary'!G$23</f>
        <v>3307.6400712839759</v>
      </c>
      <c r="O150" s="85">
        <f>$L150*'MWh Impact Summary'!H$23</f>
        <v>5952.1137392740984</v>
      </c>
      <c r="P150" s="85">
        <f>$L150*'MWh Impact Summary'!I$23</f>
        <v>1189.3943882003955</v>
      </c>
      <c r="Q150" s="85">
        <f>$L150*'MWh Impact Summary'!J$23</f>
        <v>29416.532627973607</v>
      </c>
      <c r="R150" s="85">
        <f>$L150*'MWh Impact Summary'!K$23</f>
        <v>9677.9774738171109</v>
      </c>
      <c r="S150" s="85">
        <f>$L150*'MWh Impact Summary'!M$23</f>
        <v>10670.085091695506</v>
      </c>
      <c r="T150" s="85">
        <f>$L150*'MWh Impact Summary'!O$23</f>
        <v>23758.427019441173</v>
      </c>
      <c r="U150" s="85">
        <f t="shared" si="46"/>
        <v>183723.16536091774</v>
      </c>
      <c r="V150" s="81">
        <f t="shared" si="48"/>
        <v>507114.21855657321</v>
      </c>
      <c r="W150" s="81"/>
      <c r="X150" s="262">
        <f>+'MWh by mo-WgtbyActulCDH&amp;Days'!AB152</f>
        <v>4909023.0862381933</v>
      </c>
      <c r="Y150" s="120">
        <f t="shared" si="37"/>
        <v>103.30247172359036</v>
      </c>
      <c r="Z150" s="87">
        <f t="shared" si="49"/>
        <v>3.4434157241196787E-3</v>
      </c>
      <c r="AA150" s="88">
        <f t="shared" si="53"/>
        <v>4.3804070845011736E-4</v>
      </c>
      <c r="AC150" s="89">
        <f t="shared" si="47"/>
        <v>10670.085091695506</v>
      </c>
      <c r="AD150" s="93"/>
      <c r="AE150" s="96">
        <f t="shared" si="41"/>
        <v>2.1735658814902905</v>
      </c>
      <c r="AF150" s="92">
        <f t="shared" si="52"/>
        <v>7.2452196049676361E-5</v>
      </c>
      <c r="AH150" s="123">
        <f t="shared" si="50"/>
        <v>3.4434157241196787E-3</v>
      </c>
      <c r="AI150" s="121">
        <f t="shared" si="51"/>
        <v>507114.21855657321</v>
      </c>
    </row>
    <row r="151" spans="1:35">
      <c r="A151" s="78">
        <v>2017</v>
      </c>
      <c r="B151" s="78">
        <v>5</v>
      </c>
      <c r="C151" s="79">
        <f t="shared" si="43"/>
        <v>220.65709530534707</v>
      </c>
      <c r="D151" s="101">
        <f t="shared" ref="D151:D214" si="54">D139</f>
        <v>0.10571701662481223</v>
      </c>
      <c r="E151" s="100">
        <f>$D151*'MWh Impact Summary'!B$23</f>
        <v>246427.76009403163</v>
      </c>
      <c r="F151" s="81">
        <f>$D151*'MWh Impact Summary'!L$23</f>
        <v>4451.6877268536764</v>
      </c>
      <c r="G151" s="81">
        <f>$D151*'MWh Impact Summary'!C$23</f>
        <v>193390.1859710702</v>
      </c>
      <c r="H151" s="81">
        <f>$D151*'MWh Impact Summary'!D$23</f>
        <v>698.10411440839118</v>
      </c>
      <c r="I151" s="81">
        <f>$D151*'MWh Impact Summary'!E$23</f>
        <v>75380.805763402386</v>
      </c>
      <c r="J151" s="82">
        <f t="shared" si="45"/>
        <v>520348.54366976628</v>
      </c>
      <c r="K151" s="83">
        <v>31</v>
      </c>
      <c r="L151" s="97">
        <f>K151/(SUM(K147:K158))</f>
        <v>8.4931506849315067E-2</v>
      </c>
      <c r="M151" s="85">
        <f>$L151*'MWh Impact Summary'!F$23</f>
        <v>103076.02811420627</v>
      </c>
      <c r="N151" s="85">
        <f>$L151*'MWh Impact Summary'!G$23</f>
        <v>3417.8947403267753</v>
      </c>
      <c r="O151" s="85">
        <f>$L151*'MWh Impact Summary'!H$23</f>
        <v>6150.5175305832354</v>
      </c>
      <c r="P151" s="85">
        <f>$L151*'MWh Impact Summary'!I$23</f>
        <v>1229.0408678070755</v>
      </c>
      <c r="Q151" s="85">
        <f>$L151*'MWh Impact Summary'!J$23</f>
        <v>30397.083715572728</v>
      </c>
      <c r="R151" s="85">
        <f>$L151*'MWh Impact Summary'!K$23</f>
        <v>10000.576722944348</v>
      </c>
      <c r="S151" s="85">
        <f>$L151*'MWh Impact Summary'!M$23</f>
        <v>11025.754594752025</v>
      </c>
      <c r="T151" s="85">
        <f>$L151*'MWh Impact Summary'!O$23</f>
        <v>24550.374586755879</v>
      </c>
      <c r="U151" s="85">
        <f t="shared" si="46"/>
        <v>189847.27087294834</v>
      </c>
      <c r="V151" s="81">
        <f t="shared" si="48"/>
        <v>710195.81454271462</v>
      </c>
      <c r="W151" s="81"/>
      <c r="X151" s="262">
        <f>+'MWh by mo-WgtbyActulCDH&amp;Days'!AB153</f>
        <v>4914208.6423511496</v>
      </c>
      <c r="Y151" s="120">
        <f t="shared" si="37"/>
        <v>144.51885669285079</v>
      </c>
      <c r="Z151" s="87">
        <f t="shared" si="49"/>
        <v>4.661898602995187E-3</v>
      </c>
      <c r="AA151" s="88">
        <f t="shared" si="53"/>
        <v>5.4597497894370156E-4</v>
      </c>
      <c r="AC151" s="89">
        <f t="shared" si="47"/>
        <v>11025.754594752025</v>
      </c>
      <c r="AD151" s="93"/>
      <c r="AE151" s="96">
        <f t="shared" si="41"/>
        <v>2.2436480412595734</v>
      </c>
      <c r="AF151" s="92">
        <f t="shared" si="52"/>
        <v>7.2375743266437856E-5</v>
      </c>
      <c r="AH151" s="123">
        <f t="shared" si="50"/>
        <v>4.661898602995187E-3</v>
      </c>
      <c r="AI151" s="121">
        <f t="shared" si="51"/>
        <v>710195.81454271462</v>
      </c>
    </row>
    <row r="152" spans="1:35">
      <c r="A152" s="78">
        <v>2017</v>
      </c>
      <c r="B152" s="78">
        <v>6</v>
      </c>
      <c r="C152" s="79">
        <f t="shared" si="43"/>
        <v>247.5875604864128</v>
      </c>
      <c r="D152" s="101">
        <f t="shared" si="54"/>
        <v>0.11861942717871234</v>
      </c>
      <c r="E152" s="100">
        <f>$D152*'MWh Impact Summary'!B$23</f>
        <v>276503.4492699306</v>
      </c>
      <c r="F152" s="81">
        <f>$D152*'MWh Impact Summary'!L$23</f>
        <v>4995.0014197993369</v>
      </c>
      <c r="G152" s="81">
        <f>$D152*'MWh Impact Summary'!C$23</f>
        <v>216992.81548292315</v>
      </c>
      <c r="H152" s="81">
        <f>$D152*'MWh Impact Summary'!D$23</f>
        <v>783.30540159028726</v>
      </c>
      <c r="I152" s="81">
        <f>$D152*'MWh Impact Summary'!E$23</f>
        <v>84580.782596790857</v>
      </c>
      <c r="J152" s="82">
        <f t="shared" si="45"/>
        <v>583855.35417103418</v>
      </c>
      <c r="K152" s="83">
        <v>30</v>
      </c>
      <c r="L152" s="97">
        <f>K152/(SUM(K147:K158))</f>
        <v>8.2191780821917804E-2</v>
      </c>
      <c r="M152" s="85">
        <f>$L152*'MWh Impact Summary'!F$23</f>
        <v>99750.99494923187</v>
      </c>
      <c r="N152" s="85">
        <f>$L152*'MWh Impact Summary'!G$23</f>
        <v>3307.6400712839759</v>
      </c>
      <c r="O152" s="85">
        <f>$L152*'MWh Impact Summary'!H$23</f>
        <v>5952.1137392740984</v>
      </c>
      <c r="P152" s="85">
        <f>$L152*'MWh Impact Summary'!I$23</f>
        <v>1189.3943882003955</v>
      </c>
      <c r="Q152" s="85">
        <f>$L152*'MWh Impact Summary'!J$23</f>
        <v>29416.532627973607</v>
      </c>
      <c r="R152" s="85">
        <f>$L152*'MWh Impact Summary'!K$23</f>
        <v>9677.9774738171109</v>
      </c>
      <c r="S152" s="85">
        <f>$L152*'MWh Impact Summary'!M$23</f>
        <v>10670.085091695506</v>
      </c>
      <c r="T152" s="85">
        <f>$L152*'MWh Impact Summary'!O$23</f>
        <v>23758.427019441173</v>
      </c>
      <c r="U152" s="85">
        <f t="shared" si="46"/>
        <v>183723.16536091774</v>
      </c>
      <c r="V152" s="81">
        <f t="shared" si="48"/>
        <v>767578.51953195198</v>
      </c>
      <c r="W152" s="81"/>
      <c r="X152" s="262">
        <f>+'MWh by mo-WgtbyActulCDH&amp;Days'!AB154</f>
        <v>4919416.2556081917</v>
      </c>
      <c r="Y152" s="120">
        <f t="shared" si="37"/>
        <v>156.03040679001367</v>
      </c>
      <c r="Z152" s="87">
        <f t="shared" si="49"/>
        <v>5.2010135596671217E-3</v>
      </c>
      <c r="AA152" s="88">
        <f t="shared" si="53"/>
        <v>5.9360715926445266E-4</v>
      </c>
      <c r="AC152" s="89">
        <f t="shared" si="47"/>
        <v>10670.085091695506</v>
      </c>
      <c r="AD152" s="93"/>
      <c r="AE152" s="96">
        <f t="shared" si="41"/>
        <v>2.1689738247970958</v>
      </c>
      <c r="AF152" s="92">
        <f t="shared" si="52"/>
        <v>7.2299127493236529E-5</v>
      </c>
      <c r="AH152" s="123">
        <f t="shared" si="50"/>
        <v>5.2010135596671217E-3</v>
      </c>
      <c r="AI152" s="121">
        <f t="shared" si="51"/>
        <v>767578.51953195198</v>
      </c>
    </row>
    <row r="153" spans="1:35">
      <c r="A153" s="78">
        <v>2017</v>
      </c>
      <c r="B153" s="78">
        <v>7</v>
      </c>
      <c r="C153" s="79">
        <f t="shared" si="43"/>
        <v>311.6666769190017</v>
      </c>
      <c r="D153" s="101">
        <f t="shared" si="54"/>
        <v>0.1493197905993085</v>
      </c>
      <c r="E153" s="100">
        <f>$D153*'MWh Impact Summary'!B$23</f>
        <v>348066.40132200945</v>
      </c>
      <c r="F153" s="81">
        <f>$D153*'MWh Impact Summary'!L$23</f>
        <v>6287.7775064954767</v>
      </c>
      <c r="G153" s="81">
        <f>$D153*'MWh Impact Summary'!C$23</f>
        <v>273153.5848731469</v>
      </c>
      <c r="H153" s="81">
        <f>$D153*'MWh Impact Summary'!D$23</f>
        <v>986.03577274532097</v>
      </c>
      <c r="I153" s="81">
        <f>$D153*'MWh Impact Summary'!E$23</f>
        <v>106471.46969484756</v>
      </c>
      <c r="J153" s="82">
        <f t="shared" si="45"/>
        <v>734965.26916924468</v>
      </c>
      <c r="K153" s="83">
        <v>31</v>
      </c>
      <c r="L153" s="97">
        <f>K153/(SUM(K147:K158))</f>
        <v>8.4931506849315067E-2</v>
      </c>
      <c r="M153" s="85">
        <f>$L153*'MWh Impact Summary'!F$23</f>
        <v>103076.02811420627</v>
      </c>
      <c r="N153" s="85">
        <f>$L153*'MWh Impact Summary'!G$23</f>
        <v>3417.8947403267753</v>
      </c>
      <c r="O153" s="85">
        <f>$L153*'MWh Impact Summary'!H$23</f>
        <v>6150.5175305832354</v>
      </c>
      <c r="P153" s="85">
        <f>$L153*'MWh Impact Summary'!I$23</f>
        <v>1229.0408678070755</v>
      </c>
      <c r="Q153" s="85">
        <f>$L153*'MWh Impact Summary'!J$23</f>
        <v>30397.083715572728</v>
      </c>
      <c r="R153" s="85">
        <f>$L153*'MWh Impact Summary'!K$23</f>
        <v>10000.576722944348</v>
      </c>
      <c r="S153" s="85">
        <f>$L153*'MWh Impact Summary'!M$23</f>
        <v>11025.754594752025</v>
      </c>
      <c r="T153" s="85">
        <f>$L153*'MWh Impact Summary'!O$23</f>
        <v>24550.374586755879</v>
      </c>
      <c r="U153" s="85">
        <f t="shared" si="46"/>
        <v>189847.27087294834</v>
      </c>
      <c r="V153" s="81">
        <f t="shared" si="48"/>
        <v>924812.54004219302</v>
      </c>
      <c r="W153" s="81"/>
      <c r="X153" s="262">
        <f>+'MWh by mo-WgtbyActulCDH&amp;Days'!AB155</f>
        <v>4925689.6397420345</v>
      </c>
      <c r="Y153" s="120">
        <f t="shared" si="37"/>
        <v>187.75290521361936</v>
      </c>
      <c r="Z153" s="87">
        <f t="shared" si="49"/>
        <v>6.0565453294715924E-3</v>
      </c>
      <c r="AA153" s="88">
        <f t="shared" si="53"/>
        <v>6.6984131159222859E-4</v>
      </c>
      <c r="AC153" s="89">
        <f t="shared" si="47"/>
        <v>11025.754594752025</v>
      </c>
      <c r="AD153" s="93"/>
      <c r="AE153" s="96">
        <f t="shared" si="41"/>
        <v>2.2384184553149109</v>
      </c>
      <c r="AF153" s="92">
        <f t="shared" si="52"/>
        <v>7.2207046945642288E-5</v>
      </c>
      <c r="AH153" s="123">
        <f t="shared" si="50"/>
        <v>6.0565453294715924E-3</v>
      </c>
      <c r="AI153" s="121">
        <f t="shared" si="51"/>
        <v>924812.54004219302</v>
      </c>
    </row>
    <row r="154" spans="1:35">
      <c r="A154" s="78">
        <v>2017</v>
      </c>
      <c r="B154" s="78">
        <v>8</v>
      </c>
      <c r="C154" s="79">
        <f t="shared" si="43"/>
        <v>350.95807565684066</v>
      </c>
      <c r="D154" s="101">
        <f t="shared" si="54"/>
        <v>0.16814433575083526</v>
      </c>
      <c r="E154" s="100">
        <f>$D154*'MWh Impact Summary'!B$23</f>
        <v>391946.66435424238</v>
      </c>
      <c r="F154" s="81">
        <f>$D154*'MWh Impact Summary'!L$23</f>
        <v>7080.4691590802513</v>
      </c>
      <c r="G154" s="81">
        <f>$D154*'MWh Impact Summary'!C$23</f>
        <v>307589.68990053883</v>
      </c>
      <c r="H154" s="81">
        <f>$D154*'MWh Impact Summary'!D$23</f>
        <v>1110.3439763033753</v>
      </c>
      <c r="I154" s="81">
        <f>$D154*'MWh Impact Summary'!E$23</f>
        <v>119894.18466501811</v>
      </c>
      <c r="J154" s="82">
        <f t="shared" si="45"/>
        <v>827621.35205518291</v>
      </c>
      <c r="K154" s="83">
        <v>31</v>
      </c>
      <c r="L154" s="97">
        <f>K154/(SUM(K147:K158))</f>
        <v>8.4931506849315067E-2</v>
      </c>
      <c r="M154" s="85">
        <f>$L154*'MWh Impact Summary'!F$23</f>
        <v>103076.02811420627</v>
      </c>
      <c r="N154" s="85">
        <f>$L154*'MWh Impact Summary'!G$23</f>
        <v>3417.8947403267753</v>
      </c>
      <c r="O154" s="85">
        <f>$L154*'MWh Impact Summary'!H$23</f>
        <v>6150.5175305832354</v>
      </c>
      <c r="P154" s="85">
        <f>$L154*'MWh Impact Summary'!I$23</f>
        <v>1229.0408678070755</v>
      </c>
      <c r="Q154" s="85">
        <f>$L154*'MWh Impact Summary'!J$23</f>
        <v>30397.083715572728</v>
      </c>
      <c r="R154" s="85">
        <f>$L154*'MWh Impact Summary'!K$23</f>
        <v>10000.576722944348</v>
      </c>
      <c r="S154" s="85">
        <f>$L154*'MWh Impact Summary'!M$23</f>
        <v>11025.754594752025</v>
      </c>
      <c r="T154" s="85">
        <f>$L154*'MWh Impact Summary'!O$23</f>
        <v>24550.374586755879</v>
      </c>
      <c r="U154" s="85">
        <f t="shared" si="46"/>
        <v>189847.27087294834</v>
      </c>
      <c r="V154" s="81">
        <f t="shared" si="48"/>
        <v>1017468.6229281313</v>
      </c>
      <c r="W154" s="81"/>
      <c r="X154" s="262">
        <f>+'MWh by mo-WgtbyActulCDH&amp;Days'!AB156</f>
        <v>4932512.8426490845</v>
      </c>
      <c r="Y154" s="120">
        <f t="shared" si="37"/>
        <v>206.27794703960336</v>
      </c>
      <c r="Z154" s="87">
        <f t="shared" si="49"/>
        <v>6.6541273238581731E-3</v>
      </c>
      <c r="AA154" s="88">
        <f t="shared" si="53"/>
        <v>7.2359899415334189E-4</v>
      </c>
      <c r="AC154" s="89">
        <f t="shared" si="47"/>
        <v>11025.754594752025</v>
      </c>
      <c r="AD154" s="93"/>
      <c r="AE154" s="96">
        <f t="shared" si="41"/>
        <v>2.235322024793851</v>
      </c>
      <c r="AF154" s="92">
        <f t="shared" si="52"/>
        <v>7.2107162090124234E-5</v>
      </c>
      <c r="AH154" s="123">
        <f t="shared" si="50"/>
        <v>6.6541273238581731E-3</v>
      </c>
      <c r="AI154" s="121">
        <f t="shared" si="51"/>
        <v>1017468.6229281313</v>
      </c>
    </row>
    <row r="155" spans="1:35">
      <c r="A155" s="78">
        <v>2017</v>
      </c>
      <c r="B155" s="78">
        <v>9</v>
      </c>
      <c r="C155" s="79">
        <f t="shared" si="43"/>
        <v>270.04400483226198</v>
      </c>
      <c r="D155" s="101">
        <f t="shared" si="54"/>
        <v>0.12937833024937548</v>
      </c>
      <c r="E155" s="100">
        <f>$D155*'MWh Impact Summary'!B$23</f>
        <v>301582.59423087578</v>
      </c>
      <c r="F155" s="81">
        <f>$D155*'MWh Impact Summary'!L$23</f>
        <v>5448.0531448972824</v>
      </c>
      <c r="G155" s="81">
        <f>$D155*'MWh Impact Summary'!C$23</f>
        <v>236674.28524161404</v>
      </c>
      <c r="H155" s="81">
        <f>$D155*'MWh Impact Summary'!D$23</f>
        <v>854.35200070882684</v>
      </c>
      <c r="I155" s="81">
        <f>$D155*'MWh Impact Summary'!E$23</f>
        <v>92252.345874774837</v>
      </c>
      <c r="J155" s="82">
        <f t="shared" si="45"/>
        <v>636811.6304928707</v>
      </c>
      <c r="K155" s="83">
        <v>30</v>
      </c>
      <c r="L155" s="97">
        <f>K155/(SUM(K147:K158))</f>
        <v>8.2191780821917804E-2</v>
      </c>
      <c r="M155" s="85">
        <f>$L155*'MWh Impact Summary'!F$23</f>
        <v>99750.99494923187</v>
      </c>
      <c r="N155" s="85">
        <f>$L155*'MWh Impact Summary'!G$23</f>
        <v>3307.6400712839759</v>
      </c>
      <c r="O155" s="85">
        <f>$L155*'MWh Impact Summary'!H$23</f>
        <v>5952.1137392740984</v>
      </c>
      <c r="P155" s="85">
        <f>$L155*'MWh Impact Summary'!I$23</f>
        <v>1189.3943882003955</v>
      </c>
      <c r="Q155" s="85">
        <f>$L155*'MWh Impact Summary'!J$23</f>
        <v>29416.532627973607</v>
      </c>
      <c r="R155" s="85">
        <f>$L155*'MWh Impact Summary'!K$23</f>
        <v>9677.9774738171109</v>
      </c>
      <c r="S155" s="85">
        <f>$L155*'MWh Impact Summary'!M$23</f>
        <v>10670.085091695506</v>
      </c>
      <c r="T155" s="85">
        <f>$L155*'MWh Impact Summary'!O$23</f>
        <v>23758.427019441173</v>
      </c>
      <c r="U155" s="85">
        <f t="shared" si="46"/>
        <v>183723.16536091774</v>
      </c>
      <c r="V155" s="81">
        <f t="shared" si="48"/>
        <v>820534.7958537885</v>
      </c>
      <c r="W155" s="81"/>
      <c r="X155" s="262">
        <f>+'MWh by mo-WgtbyActulCDH&amp;Days'!AB157</f>
        <v>4937360.4766257806</v>
      </c>
      <c r="Y155" s="120">
        <f t="shared" si="37"/>
        <v>166.18895860213684</v>
      </c>
      <c r="Z155" s="87">
        <f t="shared" si="49"/>
        <v>5.5396319534045616E-3</v>
      </c>
      <c r="AA155" s="88">
        <f t="shared" si="53"/>
        <v>6.2409609230676573E-4</v>
      </c>
      <c r="AC155" s="89">
        <f t="shared" si="47"/>
        <v>10670.085091695506</v>
      </c>
      <c r="AD155" s="93"/>
      <c r="AE155" s="96">
        <f t="shared" si="41"/>
        <v>2.1610909598781212</v>
      </c>
      <c r="AF155" s="92">
        <f t="shared" si="52"/>
        <v>7.20363653292707E-5</v>
      </c>
      <c r="AH155" s="123">
        <f t="shared" si="50"/>
        <v>5.5396319534045616E-3</v>
      </c>
      <c r="AI155" s="121">
        <f t="shared" si="51"/>
        <v>820534.7958537885</v>
      </c>
    </row>
    <row r="156" spans="1:35">
      <c r="A156" s="78">
        <v>2017</v>
      </c>
      <c r="B156" s="78">
        <v>10</v>
      </c>
      <c r="C156" s="79">
        <f t="shared" si="43"/>
        <v>213.28592721551468</v>
      </c>
      <c r="D156" s="101">
        <f t="shared" si="54"/>
        <v>0.10218548323623593</v>
      </c>
      <c r="E156" s="100">
        <f>$D156*'MWh Impact Summary'!B$23</f>
        <v>238195.7091865348</v>
      </c>
      <c r="F156" s="81">
        <f>$D156*'MWh Impact Summary'!L$23</f>
        <v>4302.9767213332161</v>
      </c>
      <c r="G156" s="81">
        <f>$D156*'MWh Impact Summary'!C$23</f>
        <v>186929.88354687637</v>
      </c>
      <c r="H156" s="81">
        <f>$D156*'MWh Impact Summary'!D$23</f>
        <v>674.78357370977017</v>
      </c>
      <c r="I156" s="81">
        <f>$D156*'MWh Impact Summary'!E$23</f>
        <v>72862.669696850164</v>
      </c>
      <c r="J156" s="82">
        <f t="shared" si="45"/>
        <v>502966.02272530436</v>
      </c>
      <c r="K156" s="83">
        <v>31</v>
      </c>
      <c r="L156" s="97">
        <f>K156/(SUM(K147:K158))</f>
        <v>8.4931506849315067E-2</v>
      </c>
      <c r="M156" s="85">
        <f>$L156*'MWh Impact Summary'!F$23</f>
        <v>103076.02811420627</v>
      </c>
      <c r="N156" s="85">
        <f>$L156*'MWh Impact Summary'!G$23</f>
        <v>3417.8947403267753</v>
      </c>
      <c r="O156" s="85">
        <f>$L156*'MWh Impact Summary'!H$23</f>
        <v>6150.5175305832354</v>
      </c>
      <c r="P156" s="85">
        <f>$L156*'MWh Impact Summary'!I$23</f>
        <v>1229.0408678070755</v>
      </c>
      <c r="Q156" s="85">
        <f>$L156*'MWh Impact Summary'!J$23</f>
        <v>30397.083715572728</v>
      </c>
      <c r="R156" s="85">
        <f>$L156*'MWh Impact Summary'!K$23</f>
        <v>10000.576722944348</v>
      </c>
      <c r="S156" s="85">
        <f>$L156*'MWh Impact Summary'!M$23</f>
        <v>11025.754594752025</v>
      </c>
      <c r="T156" s="85">
        <f>$L156*'MWh Impact Summary'!O$23</f>
        <v>24550.374586755879</v>
      </c>
      <c r="U156" s="85">
        <f t="shared" si="46"/>
        <v>189847.27087294834</v>
      </c>
      <c r="V156" s="81">
        <f t="shared" si="48"/>
        <v>692813.2935982527</v>
      </c>
      <c r="W156" s="81"/>
      <c r="X156" s="262">
        <f>+'MWh by mo-WgtbyActulCDH&amp;Days'!AB158</f>
        <v>4942855.5525092389</v>
      </c>
      <c r="Y156" s="120">
        <f t="shared" ref="Y156:Y218" si="55">+V156*1000/X156</f>
        <v>140.164584264767</v>
      </c>
      <c r="Z156" s="87">
        <f t="shared" si="49"/>
        <v>4.5214382020892577E-3</v>
      </c>
      <c r="AA156" s="88">
        <f t="shared" si="53"/>
        <v>5.3349252871311495E-4</v>
      </c>
      <c r="AC156" s="89">
        <f t="shared" si="47"/>
        <v>11025.754594752025</v>
      </c>
      <c r="AD156" s="93"/>
      <c r="AE156" s="96">
        <f t="shared" si="41"/>
        <v>2.2306447108604668</v>
      </c>
      <c r="AF156" s="92">
        <f t="shared" si="52"/>
        <v>7.1956280995498937E-5</v>
      </c>
      <c r="AH156" s="123">
        <f t="shared" si="50"/>
        <v>4.5214382020892577E-3</v>
      </c>
      <c r="AI156" s="121">
        <f t="shared" si="51"/>
        <v>692813.2935982527</v>
      </c>
    </row>
    <row r="157" spans="1:35">
      <c r="A157" s="78">
        <v>2017</v>
      </c>
      <c r="B157" s="78">
        <v>11</v>
      </c>
      <c r="C157" s="79">
        <f t="shared" si="43"/>
        <v>110.23315885291359</v>
      </c>
      <c r="D157" s="101">
        <f t="shared" si="54"/>
        <v>5.2812807451003543E-2</v>
      </c>
      <c r="E157" s="100">
        <f>$D157*'MWh Impact Summary'!B$23</f>
        <v>123107.35073632053</v>
      </c>
      <c r="F157" s="81">
        <f>$D157*'MWh Impact Summary'!L$23</f>
        <v>2223.9194242938793</v>
      </c>
      <c r="G157" s="81">
        <f>$D157*'MWh Impact Summary'!C$23</f>
        <v>96611.491514666443</v>
      </c>
      <c r="H157" s="81">
        <f>$D157*'MWh Impact Summary'!D$23</f>
        <v>348.75027078990081</v>
      </c>
      <c r="I157" s="81">
        <f>$D157*'MWh Impact Summary'!E$23</f>
        <v>37657.816190678364</v>
      </c>
      <c r="J157" s="82">
        <f t="shared" si="45"/>
        <v>259949.32813674913</v>
      </c>
      <c r="K157" s="83">
        <v>30</v>
      </c>
      <c r="L157" s="97">
        <f>K157/(SUM(K147:K158))</f>
        <v>8.2191780821917804E-2</v>
      </c>
      <c r="M157" s="85">
        <f>$L157*'MWh Impact Summary'!F$23</f>
        <v>99750.99494923187</v>
      </c>
      <c r="N157" s="85">
        <f>$L157*'MWh Impact Summary'!G$23</f>
        <v>3307.6400712839759</v>
      </c>
      <c r="O157" s="85">
        <f>$L157*'MWh Impact Summary'!H$23</f>
        <v>5952.1137392740984</v>
      </c>
      <c r="P157" s="85">
        <f>$L157*'MWh Impact Summary'!I$23</f>
        <v>1189.3943882003955</v>
      </c>
      <c r="Q157" s="85">
        <f>$L157*'MWh Impact Summary'!J$23</f>
        <v>29416.532627973607</v>
      </c>
      <c r="R157" s="85">
        <f>$L157*'MWh Impact Summary'!K$23</f>
        <v>9677.9774738171109</v>
      </c>
      <c r="S157" s="85">
        <f>$L157*'MWh Impact Summary'!M$23</f>
        <v>10670.085091695506</v>
      </c>
      <c r="T157" s="85">
        <f>$L157*'MWh Impact Summary'!O$23</f>
        <v>23758.427019441173</v>
      </c>
      <c r="U157" s="85">
        <f t="shared" si="46"/>
        <v>183723.16536091774</v>
      </c>
      <c r="V157" s="81">
        <f t="shared" si="48"/>
        <v>443672.4934976669</v>
      </c>
      <c r="W157" s="81"/>
      <c r="X157" s="262">
        <f>+'MWh by mo-WgtbyActulCDH&amp;Days'!AB159</f>
        <v>4948496.4210517863</v>
      </c>
      <c r="Y157" s="120">
        <f t="shared" si="55"/>
        <v>89.658040694988685</v>
      </c>
      <c r="Z157" s="87">
        <f t="shared" si="49"/>
        <v>2.9886013564996228E-3</v>
      </c>
      <c r="AA157" s="88">
        <f t="shared" si="53"/>
        <v>3.9713267482124502E-4</v>
      </c>
      <c r="AC157" s="89">
        <f t="shared" si="47"/>
        <v>10670.085091695506</v>
      </c>
      <c r="AD157" s="93"/>
      <c r="AE157" s="96">
        <f t="shared" si="41"/>
        <v>2.1562277071279796</v>
      </c>
      <c r="AF157" s="92">
        <f t="shared" si="52"/>
        <v>7.1874256904265991E-5</v>
      </c>
      <c r="AH157" s="123">
        <f t="shared" si="50"/>
        <v>2.9886013564996228E-3</v>
      </c>
      <c r="AI157" s="121">
        <f t="shared" si="51"/>
        <v>443672.4934976669</v>
      </c>
    </row>
    <row r="158" spans="1:35">
      <c r="A158" s="78">
        <v>2017</v>
      </c>
      <c r="B158" s="78">
        <v>12</v>
      </c>
      <c r="C158" s="79">
        <f t="shared" si="43"/>
        <v>79.005079745838657</v>
      </c>
      <c r="D158" s="101">
        <f t="shared" si="54"/>
        <v>3.7851406125770058E-2</v>
      </c>
      <c r="E158" s="100">
        <f>$D158*'MWh Impact Summary'!B$23</f>
        <v>88232.126915637797</v>
      </c>
      <c r="F158" s="81">
        <f>$D158*'MWh Impact Summary'!L$23</f>
        <v>1593.9027175942492</v>
      </c>
      <c r="G158" s="81">
        <f>$D158*'MWh Impact Summary'!C$23</f>
        <v>69242.310307602093</v>
      </c>
      <c r="H158" s="81">
        <f>$D158*'MWh Impact Summary'!D$23</f>
        <v>249.95240308683836</v>
      </c>
      <c r="I158" s="81">
        <f>$D158*'MWh Impact Summary'!E$23</f>
        <v>26989.689873339252</v>
      </c>
      <c r="J158" s="82">
        <f t="shared" si="45"/>
        <v>186307.98221726026</v>
      </c>
      <c r="K158" s="83">
        <v>31</v>
      </c>
      <c r="L158" s="97">
        <f>K158/(SUM(K147:K158))</f>
        <v>8.4931506849315067E-2</v>
      </c>
      <c r="M158" s="85">
        <f>$L158*'MWh Impact Summary'!F$23</f>
        <v>103076.02811420627</v>
      </c>
      <c r="N158" s="85">
        <f>$L158*'MWh Impact Summary'!G$23</f>
        <v>3417.8947403267753</v>
      </c>
      <c r="O158" s="85">
        <f>$L158*'MWh Impact Summary'!H$23</f>
        <v>6150.5175305832354</v>
      </c>
      <c r="P158" s="85">
        <f>$L158*'MWh Impact Summary'!I$23</f>
        <v>1229.0408678070755</v>
      </c>
      <c r="Q158" s="85">
        <f>$L158*'MWh Impact Summary'!J$23</f>
        <v>30397.083715572728</v>
      </c>
      <c r="R158" s="85">
        <f>$L158*'MWh Impact Summary'!K$23</f>
        <v>10000.576722944348</v>
      </c>
      <c r="S158" s="85">
        <f>$L158*'MWh Impact Summary'!M$23</f>
        <v>11025.754594752025</v>
      </c>
      <c r="T158" s="85">
        <f>$L158*'MWh Impact Summary'!O$23</f>
        <v>24550.374586755879</v>
      </c>
      <c r="U158" s="85">
        <f t="shared" si="46"/>
        <v>189847.27087294834</v>
      </c>
      <c r="V158" s="81">
        <f t="shared" si="48"/>
        <v>376155.25309020863</v>
      </c>
      <c r="W158" s="81">
        <f>SUM(V147:V158)</f>
        <v>7157387.3135121353</v>
      </c>
      <c r="X158" s="262">
        <f>+'MWh by mo-WgtbyActulCDH&amp;Days'!AB160</f>
        <v>4954254.5070241485</v>
      </c>
      <c r="Y158" s="120">
        <f t="shared" si="55"/>
        <v>75.925702354793287</v>
      </c>
      <c r="Z158" s="87">
        <f t="shared" si="49"/>
        <v>2.4492162049933319E-3</v>
      </c>
      <c r="AA158" s="88">
        <f t="shared" si="53"/>
        <v>3.4909465615169839E-4</v>
      </c>
      <c r="AC158" s="89">
        <f t="shared" si="47"/>
        <v>11025.754594752025</v>
      </c>
      <c r="AD158" s="90">
        <f>SUM(AC147:AC158)</f>
        <v>129819.36861562869</v>
      </c>
      <c r="AE158" s="96">
        <f t="shared" si="41"/>
        <v>2.2255123508733141</v>
      </c>
      <c r="AF158" s="92">
        <f t="shared" si="52"/>
        <v>7.1790720995913352E-5</v>
      </c>
      <c r="AH158" s="123">
        <f t="shared" si="50"/>
        <v>2.4492162049933319E-3</v>
      </c>
      <c r="AI158" s="121">
        <f t="shared" si="51"/>
        <v>376155.25309020863</v>
      </c>
    </row>
    <row r="159" spans="1:35">
      <c r="A159" s="78">
        <v>2018</v>
      </c>
      <c r="B159" s="78">
        <v>1</v>
      </c>
      <c r="C159" s="79">
        <f t="shared" si="43"/>
        <v>26.95686291874426</v>
      </c>
      <c r="D159" s="101">
        <f t="shared" si="54"/>
        <v>1.2915057734219224E-2</v>
      </c>
      <c r="E159" s="100">
        <f>$D159*'MWh Impact Summary'!B$24</f>
        <v>33488.276006328117</v>
      </c>
      <c r="F159" s="81">
        <f>$D159*'MWh Impact Summary'!L$24</f>
        <v>738.09149706128801</v>
      </c>
      <c r="G159" s="81">
        <f>$D159*'MWh Impact Summary'!C$24</f>
        <v>25730.61332618057</v>
      </c>
      <c r="H159" s="81">
        <f>$D159*'MWh Impact Summary'!D$24</f>
        <v>96.227998135165819</v>
      </c>
      <c r="I159" s="81">
        <f>$D159*'MWh Impact Summary'!E$24</f>
        <v>9957.8682910486859</v>
      </c>
      <c r="J159" s="82">
        <f t="shared" si="45"/>
        <v>70011.077118753834</v>
      </c>
      <c r="K159" s="83">
        <v>31</v>
      </c>
      <c r="L159" s="97">
        <f>K159/(SUM(K159:K170))</f>
        <v>8.4931506849315067E-2</v>
      </c>
      <c r="M159" s="85">
        <f>$L159*'MWh Impact Summary'!F$24</f>
        <v>113983.79641755276</v>
      </c>
      <c r="N159" s="85">
        <f>$L159*'MWh Impact Summary'!G$24</f>
        <v>5624.0090521658503</v>
      </c>
      <c r="O159" s="85">
        <f>$L159*'MWh Impact Summary'!H$24</f>
        <v>7316.5057456947579</v>
      </c>
      <c r="P159" s="85">
        <f>$L159*'MWh Impact Summary'!I$24</f>
        <v>1321.6387820043992</v>
      </c>
      <c r="Q159" s="85">
        <f>$L159*'MWh Impact Summary'!J$24</f>
        <v>34717.908095217281</v>
      </c>
      <c r="R159" s="85">
        <f>$L159*'MWh Impact Summary'!K$24</f>
        <v>13300.229568617904</v>
      </c>
      <c r="S159" s="85">
        <f>$L159*'MWh Impact Summary'!M$24</f>
        <v>15461.815569925069</v>
      </c>
      <c r="T159" s="85">
        <f>$L159*'MWh Impact Summary'!O$24</f>
        <v>40900.839074155061</v>
      </c>
      <c r="U159" s="85">
        <f t="shared" si="46"/>
        <v>232626.74230533309</v>
      </c>
      <c r="V159" s="81">
        <f t="shared" si="48"/>
        <v>302637.81942408695</v>
      </c>
      <c r="W159" s="81"/>
      <c r="X159" s="262">
        <f>+'MWh by mo-WgtbyActulCDH&amp;Days'!AB161</f>
        <v>4960404.0012794416</v>
      </c>
      <c r="Y159" s="120">
        <f t="shared" si="55"/>
        <v>61.010719962734342</v>
      </c>
      <c r="Z159" s="87">
        <f t="shared" si="49"/>
        <v>1.968087740733366E-3</v>
      </c>
      <c r="AA159" s="88">
        <f t="shared" si="53"/>
        <v>2.9671294893178404E-4</v>
      </c>
      <c r="AC159" s="89">
        <f t="shared" si="47"/>
        <v>15461.815569925069</v>
      </c>
      <c r="AD159" s="93"/>
      <c r="AE159" s="96">
        <f t="shared" si="41"/>
        <v>3.1170476368330058</v>
      </c>
      <c r="AF159" s="92">
        <f t="shared" si="52"/>
        <v>1.0054992376880664E-4</v>
      </c>
      <c r="AH159" s="123">
        <f t="shared" si="50"/>
        <v>1.968087740733366E-3</v>
      </c>
      <c r="AI159" s="121">
        <f t="shared" si="51"/>
        <v>302637.81942408695</v>
      </c>
    </row>
    <row r="160" spans="1:35">
      <c r="A160" s="78">
        <v>2018</v>
      </c>
      <c r="B160" s="78">
        <v>2</v>
      </c>
      <c r="C160" s="79">
        <f t="shared" si="43"/>
        <v>57.510679559652473</v>
      </c>
      <c r="D160" s="101">
        <f t="shared" si="54"/>
        <v>2.7553419293853541E-2</v>
      </c>
      <c r="E160" s="100">
        <f>$D160*'MWh Impact Summary'!B$24</f>
        <v>71445.016291786349</v>
      </c>
      <c r="F160" s="81">
        <f>$D160*'MWh Impact Summary'!L$24</f>
        <v>1574.6692670117748</v>
      </c>
      <c r="G160" s="81">
        <f>$D160*'MWh Impact Summary'!C$24</f>
        <v>54894.557365068496</v>
      </c>
      <c r="H160" s="81">
        <f>$D160*'MWh Impact Summary'!D$24</f>
        <v>205.29605325737793</v>
      </c>
      <c r="I160" s="81">
        <f>$D160*'MWh Impact Summary'!E$24</f>
        <v>21244.451704560688</v>
      </c>
      <c r="J160" s="82">
        <f t="shared" si="45"/>
        <v>149363.99068168469</v>
      </c>
      <c r="K160" s="83">
        <v>28</v>
      </c>
      <c r="L160" s="97">
        <f>K160/(SUM(K159:K170))</f>
        <v>7.6712328767123292E-2</v>
      </c>
      <c r="M160" s="85">
        <f>$L160*'MWh Impact Summary'!F$24</f>
        <v>102953.10644166057</v>
      </c>
      <c r="N160" s="85">
        <f>$L160*'MWh Impact Summary'!G$24</f>
        <v>5079.7501116336716</v>
      </c>
      <c r="O160" s="85">
        <f>$L160*'MWh Impact Summary'!H$24</f>
        <v>6608.4568025630078</v>
      </c>
      <c r="P160" s="85">
        <f>$L160*'MWh Impact Summary'!I$24</f>
        <v>1193.738254713651</v>
      </c>
      <c r="Q160" s="85">
        <f>$L160*'MWh Impact Summary'!J$24</f>
        <v>31358.110537615612</v>
      </c>
      <c r="R160" s="85">
        <f>$L160*'MWh Impact Summary'!K$24</f>
        <v>12013.110578106494</v>
      </c>
      <c r="S160" s="85">
        <f>$L160*'MWh Impact Summary'!M$24</f>
        <v>13965.510837351676</v>
      </c>
      <c r="T160" s="85">
        <f>$L160*'MWh Impact Summary'!O$24</f>
        <v>36942.693357301352</v>
      </c>
      <c r="U160" s="85">
        <f t="shared" si="46"/>
        <v>210114.47692094601</v>
      </c>
      <c r="V160" s="81">
        <f t="shared" si="48"/>
        <v>359478.46760263073</v>
      </c>
      <c r="W160" s="81"/>
      <c r="X160" s="262">
        <f>+'MWh by mo-WgtbyActulCDH&amp;Days'!AB162</f>
        <v>4966174.0780797284</v>
      </c>
      <c r="Y160" s="120">
        <f t="shared" si="55"/>
        <v>72.385394058041229</v>
      </c>
      <c r="Z160" s="87">
        <f t="shared" si="49"/>
        <v>2.5851926449300439E-3</v>
      </c>
      <c r="AA160" s="88">
        <f t="shared" si="53"/>
        <v>3.4547631994837503E-4</v>
      </c>
      <c r="AC160" s="89">
        <f t="shared" si="47"/>
        <v>13965.510837351676</v>
      </c>
      <c r="AD160" s="93"/>
      <c r="AE160" s="96">
        <f t="shared" si="41"/>
        <v>2.8121267232645462</v>
      </c>
      <c r="AF160" s="92">
        <f t="shared" si="52"/>
        <v>1.0043309725944807E-4</v>
      </c>
      <c r="AH160" s="123">
        <f t="shared" si="50"/>
        <v>2.5851926449300439E-3</v>
      </c>
      <c r="AI160" s="121">
        <f t="shared" si="51"/>
        <v>359478.46760263073</v>
      </c>
    </row>
    <row r="161" spans="1:35">
      <c r="A161" s="78">
        <v>2018</v>
      </c>
      <c r="B161" s="78">
        <v>3</v>
      </c>
      <c r="C161" s="79">
        <f t="shared" si="43"/>
        <v>62.20178223460303</v>
      </c>
      <c r="D161" s="101">
        <f t="shared" si="54"/>
        <v>2.9800930885493855E-2</v>
      </c>
      <c r="E161" s="100">
        <f>$D161*'MWh Impact Summary'!B$24</f>
        <v>77272.732284789832</v>
      </c>
      <c r="F161" s="81">
        <f>$D161*'MWh Impact Summary'!L$24</f>
        <v>1703.113849256353</v>
      </c>
      <c r="G161" s="81">
        <f>$D161*'MWh Impact Summary'!C$24</f>
        <v>59372.264929424317</v>
      </c>
      <c r="H161" s="81">
        <f>$D161*'MWh Impact Summary'!D$24</f>
        <v>222.04189719395578</v>
      </c>
      <c r="I161" s="81">
        <f>$D161*'MWh Impact Summary'!E$24</f>
        <v>22977.345577180487</v>
      </c>
      <c r="J161" s="82">
        <f t="shared" si="45"/>
        <v>161547.49853784492</v>
      </c>
      <c r="K161" s="83">
        <v>31</v>
      </c>
      <c r="L161" s="97">
        <f>K161/(SUM(K159:K170))</f>
        <v>8.4931506849315067E-2</v>
      </c>
      <c r="M161" s="85">
        <f>$L161*'MWh Impact Summary'!F$24</f>
        <v>113983.79641755276</v>
      </c>
      <c r="N161" s="85">
        <f>$L161*'MWh Impact Summary'!G$24</f>
        <v>5624.0090521658503</v>
      </c>
      <c r="O161" s="85">
        <f>$L161*'MWh Impact Summary'!H$24</f>
        <v>7316.5057456947579</v>
      </c>
      <c r="P161" s="85">
        <f>$L161*'MWh Impact Summary'!I$24</f>
        <v>1321.6387820043992</v>
      </c>
      <c r="Q161" s="85">
        <f>$L161*'MWh Impact Summary'!J$24</f>
        <v>34717.908095217281</v>
      </c>
      <c r="R161" s="85">
        <f>$L161*'MWh Impact Summary'!K$24</f>
        <v>13300.229568617904</v>
      </c>
      <c r="S161" s="85">
        <f>$L161*'MWh Impact Summary'!M$24</f>
        <v>15461.815569925069</v>
      </c>
      <c r="T161" s="85">
        <f>$L161*'MWh Impact Summary'!O$24</f>
        <v>40900.839074155061</v>
      </c>
      <c r="U161" s="85">
        <f t="shared" si="46"/>
        <v>232626.74230533309</v>
      </c>
      <c r="V161" s="81">
        <f t="shared" si="48"/>
        <v>394174.24084317801</v>
      </c>
      <c r="W161" s="81"/>
      <c r="X161" s="262">
        <f>+'MWh by mo-WgtbyActulCDH&amp;Days'!AB163</f>
        <v>4972258.3870254578</v>
      </c>
      <c r="Y161" s="120">
        <f t="shared" si="55"/>
        <v>79.274689720817975</v>
      </c>
      <c r="Z161" s="87">
        <f t="shared" si="49"/>
        <v>2.5572480555102572E-3</v>
      </c>
      <c r="AA161" s="88">
        <f t="shared" si="53"/>
        <v>3.4325316953927277E-4</v>
      </c>
      <c r="AC161" s="89">
        <f t="shared" si="47"/>
        <v>15461.815569925069</v>
      </c>
      <c r="AD161" s="93"/>
      <c r="AE161" s="96">
        <f t="shared" si="41"/>
        <v>3.1096162681872923</v>
      </c>
      <c r="AF161" s="92">
        <f t="shared" si="52"/>
        <v>1.0031020219959007E-4</v>
      </c>
      <c r="AH161" s="123">
        <f t="shared" si="50"/>
        <v>2.5572480555102572E-3</v>
      </c>
      <c r="AI161" s="121">
        <f t="shared" si="51"/>
        <v>394174.24084317801</v>
      </c>
    </row>
    <row r="162" spans="1:35">
      <c r="A162" s="78">
        <v>2018</v>
      </c>
      <c r="B162" s="78">
        <v>4</v>
      </c>
      <c r="C162" s="79">
        <f t="shared" si="43"/>
        <v>137.13602413996043</v>
      </c>
      <c r="D162" s="101">
        <f t="shared" si="54"/>
        <v>6.5701994870379921E-2</v>
      </c>
      <c r="E162" s="100">
        <f>$D162*'MWh Impact Summary'!B$24</f>
        <v>170362.88831725088</v>
      </c>
      <c r="F162" s="81">
        <f>$D162*'MWh Impact Summary'!L$24</f>
        <v>3754.8483910609075</v>
      </c>
      <c r="G162" s="81">
        <f>$D162*'MWh Impact Summary'!C$24</f>
        <v>130897.79848906318</v>
      </c>
      <c r="H162" s="81">
        <f>$D162*'MWh Impact Summary'!D$24</f>
        <v>489.53489562126299</v>
      </c>
      <c r="I162" s="81">
        <f>$D162*'MWh Impact Summary'!E$24</f>
        <v>50658.063234585476</v>
      </c>
      <c r="J162" s="82">
        <f t="shared" si="45"/>
        <v>356163.13332758169</v>
      </c>
      <c r="K162" s="83">
        <v>30</v>
      </c>
      <c r="L162" s="97">
        <f>K162/(SUM(K159:K170))</f>
        <v>8.2191780821917804E-2</v>
      </c>
      <c r="M162" s="85">
        <f>$L162*'MWh Impact Summary'!F$24</f>
        <v>110306.89975892202</v>
      </c>
      <c r="N162" s="85">
        <f>$L162*'MWh Impact Summary'!G$24</f>
        <v>5442.5894053217908</v>
      </c>
      <c r="O162" s="85">
        <f>$L162*'MWh Impact Summary'!H$24</f>
        <v>7080.4894313175073</v>
      </c>
      <c r="P162" s="85">
        <f>$L162*'MWh Impact Summary'!I$24</f>
        <v>1279.005272907483</v>
      </c>
      <c r="Q162" s="85">
        <f>$L162*'MWh Impact Summary'!J$24</f>
        <v>33597.975576016725</v>
      </c>
      <c r="R162" s="85">
        <f>$L162*'MWh Impact Summary'!K$24</f>
        <v>12871.189905114099</v>
      </c>
      <c r="S162" s="85">
        <f>$L162*'MWh Impact Summary'!M$24</f>
        <v>14963.047325733936</v>
      </c>
      <c r="T162" s="85">
        <f>$L162*'MWh Impact Summary'!O$24</f>
        <v>39581.457168537156</v>
      </c>
      <c r="U162" s="85">
        <f t="shared" si="46"/>
        <v>225122.65384387071</v>
      </c>
      <c r="V162" s="81">
        <f t="shared" si="48"/>
        <v>581285.78717145242</v>
      </c>
      <c r="W162" s="81"/>
      <c r="X162" s="262">
        <f>+'MWh by mo-WgtbyActulCDH&amp;Days'!AB164</f>
        <v>4977933.1022701599</v>
      </c>
      <c r="Y162" s="120">
        <f t="shared" si="55"/>
        <v>116.7725188806495</v>
      </c>
      <c r="Z162" s="87">
        <f t="shared" si="49"/>
        <v>3.8924172960216499E-3</v>
      </c>
      <c r="AA162" s="88">
        <f t="shared" si="53"/>
        <v>4.4900157190197118E-4</v>
      </c>
      <c r="AC162" s="89">
        <f t="shared" si="47"/>
        <v>14963.047325733936</v>
      </c>
      <c r="AD162" s="93"/>
      <c r="AE162" s="96">
        <f t="shared" si="41"/>
        <v>3.0058755347495767</v>
      </c>
      <c r="AF162" s="92">
        <f t="shared" si="52"/>
        <v>1.0019585115831923E-4</v>
      </c>
      <c r="AH162" s="123">
        <f t="shared" si="50"/>
        <v>3.8924172960216499E-3</v>
      </c>
      <c r="AI162" s="121">
        <f t="shared" si="51"/>
        <v>581285.78717145242</v>
      </c>
    </row>
    <row r="163" spans="1:35">
      <c r="A163" s="78">
        <v>2018</v>
      </c>
      <c r="B163" s="78">
        <v>5</v>
      </c>
      <c r="C163" s="79">
        <f t="shared" si="43"/>
        <v>220.65709530534707</v>
      </c>
      <c r="D163" s="101">
        <f t="shared" si="54"/>
        <v>0.10571701662481223</v>
      </c>
      <c r="E163" s="100">
        <f>$D163*'MWh Impact Summary'!B$24</f>
        <v>274120.38754709577</v>
      </c>
      <c r="F163" s="81">
        <f>$D163*'MWh Impact Summary'!L$24</f>
        <v>6041.6943285292982</v>
      </c>
      <c r="G163" s="81">
        <f>$D163*'MWh Impact Summary'!C$24</f>
        <v>210619.55221177283</v>
      </c>
      <c r="H163" s="81">
        <f>$D163*'MWh Impact Summary'!D$24</f>
        <v>787.68032539830745</v>
      </c>
      <c r="I163" s="81">
        <f>$D163*'MWh Impact Summary'!E$24</f>
        <v>81510.756617312654</v>
      </c>
      <c r="J163" s="82">
        <f t="shared" si="45"/>
        <v>573080.07103010884</v>
      </c>
      <c r="K163" s="83">
        <v>31</v>
      </c>
      <c r="L163" s="97">
        <f>K163/(SUM(K159:K170))</f>
        <v>8.4931506849315067E-2</v>
      </c>
      <c r="M163" s="85">
        <f>$L163*'MWh Impact Summary'!F$24</f>
        <v>113983.79641755276</v>
      </c>
      <c r="N163" s="85">
        <f>$L163*'MWh Impact Summary'!G$24</f>
        <v>5624.0090521658503</v>
      </c>
      <c r="O163" s="85">
        <f>$L163*'MWh Impact Summary'!H$24</f>
        <v>7316.5057456947579</v>
      </c>
      <c r="P163" s="85">
        <f>$L163*'MWh Impact Summary'!I$24</f>
        <v>1321.6387820043992</v>
      </c>
      <c r="Q163" s="85">
        <f>$L163*'MWh Impact Summary'!J$24</f>
        <v>34717.908095217281</v>
      </c>
      <c r="R163" s="85">
        <f>$L163*'MWh Impact Summary'!K$24</f>
        <v>13300.229568617904</v>
      </c>
      <c r="S163" s="85">
        <f>$L163*'MWh Impact Summary'!M$24</f>
        <v>15461.815569925069</v>
      </c>
      <c r="T163" s="85">
        <f>$L163*'MWh Impact Summary'!O$24</f>
        <v>40900.839074155061</v>
      </c>
      <c r="U163" s="85">
        <f t="shared" si="46"/>
        <v>232626.74230533309</v>
      </c>
      <c r="V163" s="81">
        <f t="shared" si="48"/>
        <v>805706.81333544198</v>
      </c>
      <c r="W163" s="81"/>
      <c r="X163" s="262">
        <f>+'MWh by mo-WgtbyActulCDH&amp;Days'!AB165</f>
        <v>4983179.119985274</v>
      </c>
      <c r="Y163" s="120">
        <f t="shared" si="55"/>
        <v>161.68530047497529</v>
      </c>
      <c r="Z163" s="87">
        <f t="shared" si="49"/>
        <v>5.2156548540314611E-3</v>
      </c>
      <c r="AA163" s="88">
        <f t="shared" si="53"/>
        <v>5.537562510362741E-4</v>
      </c>
      <c r="AC163" s="89">
        <f t="shared" si="47"/>
        <v>15461.815569925069</v>
      </c>
      <c r="AD163" s="93"/>
      <c r="AE163" s="96">
        <f t="shared" si="41"/>
        <v>3.1028014842803326</v>
      </c>
      <c r="AF163" s="92">
        <f t="shared" si="52"/>
        <v>1.0009037046065588E-4</v>
      </c>
      <c r="AH163" s="123">
        <f t="shared" si="50"/>
        <v>5.2156548540314611E-3</v>
      </c>
      <c r="AI163" s="121">
        <f t="shared" si="51"/>
        <v>805706.81333544198</v>
      </c>
    </row>
    <row r="164" spans="1:35">
      <c r="A164" s="78">
        <v>2018</v>
      </c>
      <c r="B164" s="78">
        <v>6</v>
      </c>
      <c r="C164" s="79">
        <f t="shared" si="43"/>
        <v>247.5875604864128</v>
      </c>
      <c r="D164" s="101">
        <f t="shared" si="54"/>
        <v>0.11861942717871234</v>
      </c>
      <c r="E164" s="100">
        <f>$D164*'MWh Impact Summary'!B$24</f>
        <v>307575.86987383344</v>
      </c>
      <c r="F164" s="81">
        <f>$D164*'MWh Impact Summary'!L$24</f>
        <v>6779.0630432037442</v>
      </c>
      <c r="G164" s="81">
        <f>$D164*'MWh Impact Summary'!C$24</f>
        <v>236324.96861563571</v>
      </c>
      <c r="H164" s="81">
        <f>$D164*'MWh Impact Summary'!D$24</f>
        <v>883.81409144646227</v>
      </c>
      <c r="I164" s="81">
        <f>$D164*'MWh Impact Summary'!E$24</f>
        <v>91458.873580998916</v>
      </c>
      <c r="J164" s="82">
        <f t="shared" si="45"/>
        <v>643022.58920511813</v>
      </c>
      <c r="K164" s="83">
        <v>30</v>
      </c>
      <c r="L164" s="97">
        <f>K164/(SUM(K159:K170))</f>
        <v>8.2191780821917804E-2</v>
      </c>
      <c r="M164" s="85">
        <f>$L164*'MWh Impact Summary'!F$24</f>
        <v>110306.89975892202</v>
      </c>
      <c r="N164" s="85">
        <f>$L164*'MWh Impact Summary'!G$24</f>
        <v>5442.5894053217908</v>
      </c>
      <c r="O164" s="85">
        <f>$L164*'MWh Impact Summary'!H$24</f>
        <v>7080.4894313175073</v>
      </c>
      <c r="P164" s="85">
        <f>$L164*'MWh Impact Summary'!I$24</f>
        <v>1279.005272907483</v>
      </c>
      <c r="Q164" s="85">
        <f>$L164*'MWh Impact Summary'!J$24</f>
        <v>33597.975576016725</v>
      </c>
      <c r="R164" s="85">
        <f>$L164*'MWh Impact Summary'!K$24</f>
        <v>12871.189905114099</v>
      </c>
      <c r="S164" s="85">
        <f>$L164*'MWh Impact Summary'!M$24</f>
        <v>14963.047325733936</v>
      </c>
      <c r="T164" s="85">
        <f>$L164*'MWh Impact Summary'!O$24</f>
        <v>39581.457168537156</v>
      </c>
      <c r="U164" s="85">
        <f t="shared" si="46"/>
        <v>225122.65384387071</v>
      </c>
      <c r="V164" s="81">
        <f t="shared" si="48"/>
        <v>868145.24304898886</v>
      </c>
      <c r="W164" s="81"/>
      <c r="X164" s="262">
        <f>+'MWh by mo-WgtbyActulCDH&amp;Days'!AB166</f>
        <v>4988439.4249103442</v>
      </c>
      <c r="Y164" s="120">
        <f t="shared" si="55"/>
        <v>174.03142929105363</v>
      </c>
      <c r="Z164" s="87">
        <f t="shared" si="49"/>
        <v>5.801047643035121E-3</v>
      </c>
      <c r="AA164" s="88">
        <f t="shared" si="53"/>
        <v>6.0003408336799929E-4</v>
      </c>
      <c r="AC164" s="89">
        <f t="shared" si="47"/>
        <v>14963.047325733936</v>
      </c>
      <c r="AD164" s="93"/>
      <c r="AE164" s="96">
        <f t="shared" si="41"/>
        <v>2.9995447576278553</v>
      </c>
      <c r="AF164" s="92">
        <f t="shared" si="52"/>
        <v>9.9984825254261842E-5</v>
      </c>
      <c r="AH164" s="123">
        <f t="shared" si="50"/>
        <v>5.801047643035121E-3</v>
      </c>
      <c r="AI164" s="121">
        <f t="shared" si="51"/>
        <v>868145.24304898886</v>
      </c>
    </row>
    <row r="165" spans="1:35">
      <c r="A165" s="78">
        <v>2018</v>
      </c>
      <c r="B165" s="78">
        <v>7</v>
      </c>
      <c r="C165" s="79">
        <f t="shared" si="43"/>
        <v>311.6666769190017</v>
      </c>
      <c r="D165" s="101">
        <f t="shared" si="54"/>
        <v>0.1493197905993085</v>
      </c>
      <c r="E165" s="100">
        <f>$D165*'MWh Impact Summary'!B$24</f>
        <v>387180.79808096681</v>
      </c>
      <c r="F165" s="81">
        <f>$D165*'MWh Impact Summary'!L$24</f>
        <v>8533.5791796198628</v>
      </c>
      <c r="G165" s="81">
        <f>$D165*'MWh Impact Summary'!C$24</f>
        <v>297489.16907101474</v>
      </c>
      <c r="H165" s="81">
        <f>$D165*'MWh Impact Summary'!D$24</f>
        <v>1112.5575144168929</v>
      </c>
      <c r="I165" s="81">
        <f>$D165*'MWh Impact Summary'!E$24</f>
        <v>115129.70662881628</v>
      </c>
      <c r="J165" s="82">
        <f t="shared" si="45"/>
        <v>809445.81047483464</v>
      </c>
      <c r="K165" s="83">
        <v>31</v>
      </c>
      <c r="L165" s="97">
        <f>K165/(SUM(K159:K170))</f>
        <v>8.4931506849315067E-2</v>
      </c>
      <c r="M165" s="85">
        <f>$L165*'MWh Impact Summary'!F$24</f>
        <v>113983.79641755276</v>
      </c>
      <c r="N165" s="85">
        <f>$L165*'MWh Impact Summary'!G$24</f>
        <v>5624.0090521658503</v>
      </c>
      <c r="O165" s="85">
        <f>$L165*'MWh Impact Summary'!H$24</f>
        <v>7316.5057456947579</v>
      </c>
      <c r="P165" s="85">
        <f>$L165*'MWh Impact Summary'!I$24</f>
        <v>1321.6387820043992</v>
      </c>
      <c r="Q165" s="85">
        <f>$L165*'MWh Impact Summary'!J$24</f>
        <v>34717.908095217281</v>
      </c>
      <c r="R165" s="85">
        <f>$L165*'MWh Impact Summary'!K$24</f>
        <v>13300.229568617904</v>
      </c>
      <c r="S165" s="85">
        <f>$L165*'MWh Impact Summary'!M$24</f>
        <v>15461.815569925069</v>
      </c>
      <c r="T165" s="85">
        <f>$L165*'MWh Impact Summary'!O$24</f>
        <v>40900.839074155061</v>
      </c>
      <c r="U165" s="85">
        <f t="shared" si="46"/>
        <v>232626.74230533309</v>
      </c>
      <c r="V165" s="81">
        <f t="shared" si="48"/>
        <v>1042072.5527801677</v>
      </c>
      <c r="W165" s="81"/>
      <c r="X165" s="262">
        <f>+'MWh by mo-WgtbyActulCDH&amp;Days'!AB167</f>
        <v>4994424.4728166815</v>
      </c>
      <c r="Y165" s="120">
        <f t="shared" si="55"/>
        <v>208.64717415427748</v>
      </c>
      <c r="Z165" s="87">
        <f t="shared" si="49"/>
        <v>6.7305540049766924E-3</v>
      </c>
      <c r="AA165" s="88">
        <f t="shared" si="53"/>
        <v>6.7400867550510002E-4</v>
      </c>
      <c r="AC165" s="89">
        <f t="shared" si="47"/>
        <v>15461.815569925069</v>
      </c>
      <c r="AD165" s="93"/>
      <c r="AE165" s="96">
        <f t="shared" si="41"/>
        <v>3.0958152744284355</v>
      </c>
      <c r="AF165" s="92">
        <f t="shared" si="52"/>
        <v>9.986500885253018E-5</v>
      </c>
      <c r="AH165" s="123">
        <f t="shared" si="50"/>
        <v>6.7305540049766924E-3</v>
      </c>
      <c r="AI165" s="121">
        <f t="shared" si="51"/>
        <v>1042072.5527801677</v>
      </c>
    </row>
    <row r="166" spans="1:35">
      <c r="A166" s="78">
        <v>2018</v>
      </c>
      <c r="B166" s="78">
        <v>8</v>
      </c>
      <c r="C166" s="79">
        <f t="shared" si="43"/>
        <v>350.95807565684066</v>
      </c>
      <c r="D166" s="101">
        <f t="shared" si="54"/>
        <v>0.16814433575083526</v>
      </c>
      <c r="E166" s="100">
        <f>$D166*'MWh Impact Summary'!B$24</f>
        <v>435992.1605000156</v>
      </c>
      <c r="F166" s="81">
        <f>$D166*'MWh Impact Summary'!L$24</f>
        <v>9609.3960283184624</v>
      </c>
      <c r="G166" s="81">
        <f>$D166*'MWh Impact Summary'!C$24</f>
        <v>334993.22846455523</v>
      </c>
      <c r="H166" s="81">
        <f>$D166*'MWh Impact Summary'!D$24</f>
        <v>1252.8161437636995</v>
      </c>
      <c r="I166" s="81">
        <f>$D166*'MWh Impact Summary'!E$24</f>
        <v>129643.95388309965</v>
      </c>
      <c r="J166" s="82">
        <f t="shared" si="45"/>
        <v>911491.55501975259</v>
      </c>
      <c r="K166" s="83">
        <v>31</v>
      </c>
      <c r="L166" s="97">
        <f>K166/(SUM(K159:K170))</f>
        <v>8.4931506849315067E-2</v>
      </c>
      <c r="M166" s="85">
        <f>$L166*'MWh Impact Summary'!F$24</f>
        <v>113983.79641755276</v>
      </c>
      <c r="N166" s="85">
        <f>$L166*'MWh Impact Summary'!G$24</f>
        <v>5624.0090521658503</v>
      </c>
      <c r="O166" s="85">
        <f>$L166*'MWh Impact Summary'!H$24</f>
        <v>7316.5057456947579</v>
      </c>
      <c r="P166" s="85">
        <f>$L166*'MWh Impact Summary'!I$24</f>
        <v>1321.6387820043992</v>
      </c>
      <c r="Q166" s="85">
        <f>$L166*'MWh Impact Summary'!J$24</f>
        <v>34717.908095217281</v>
      </c>
      <c r="R166" s="85">
        <f>$L166*'MWh Impact Summary'!K$24</f>
        <v>13300.229568617904</v>
      </c>
      <c r="S166" s="85">
        <f>$L166*'MWh Impact Summary'!M$24</f>
        <v>15461.815569925069</v>
      </c>
      <c r="T166" s="85">
        <f>$L166*'MWh Impact Summary'!O$24</f>
        <v>40900.839074155061</v>
      </c>
      <c r="U166" s="85">
        <f t="shared" si="46"/>
        <v>232626.74230533309</v>
      </c>
      <c r="V166" s="81">
        <f t="shared" si="48"/>
        <v>1144118.2973250856</v>
      </c>
      <c r="W166" s="81"/>
      <c r="X166" s="262">
        <f>+'MWh by mo-WgtbyActulCDH&amp;Days'!AB168</f>
        <v>5000782.228093843</v>
      </c>
      <c r="Y166" s="120">
        <f t="shared" si="55"/>
        <v>228.78786660565925</v>
      </c>
      <c r="Z166" s="87">
        <f t="shared" si="49"/>
        <v>7.3802537614728794E-3</v>
      </c>
      <c r="AA166" s="88">
        <f t="shared" si="53"/>
        <v>7.2612643761470631E-4</v>
      </c>
      <c r="AC166" s="89">
        <f t="shared" si="47"/>
        <v>15461.815569925069</v>
      </c>
      <c r="AD166" s="93"/>
      <c r="AE166" s="96">
        <f t="shared" si="41"/>
        <v>3.091879402998654</v>
      </c>
      <c r="AF166" s="92">
        <f t="shared" si="52"/>
        <v>9.9738045258021099E-5</v>
      </c>
      <c r="AH166" s="123">
        <f t="shared" si="50"/>
        <v>7.3802537614728794E-3</v>
      </c>
      <c r="AI166" s="121">
        <f t="shared" si="51"/>
        <v>1144118.2973250856</v>
      </c>
    </row>
    <row r="167" spans="1:35">
      <c r="A167" s="78">
        <v>2018</v>
      </c>
      <c r="B167" s="78">
        <v>9</v>
      </c>
      <c r="C167" s="79">
        <f t="shared" si="43"/>
        <v>270.04400483226198</v>
      </c>
      <c r="D167" s="101">
        <f t="shared" si="54"/>
        <v>0.12937833024937548</v>
      </c>
      <c r="E167" s="100">
        <f>$D167*'MWh Impact Summary'!B$24</f>
        <v>335473.31508625933</v>
      </c>
      <c r="F167" s="81">
        <f>$D167*'MWh Impact Summary'!L$24</f>
        <v>7393.9309777947565</v>
      </c>
      <c r="G167" s="81">
        <f>$D167*'MWh Impact Summary'!C$24</f>
        <v>257759.88438775833</v>
      </c>
      <c r="H167" s="81">
        <f>$D167*'MWh Impact Summary'!D$24</f>
        <v>963.97693128240758</v>
      </c>
      <c r="I167" s="81">
        <f>$D167*'MWh Impact Summary'!E$24</f>
        <v>99754.286728859675</v>
      </c>
      <c r="J167" s="82">
        <f t="shared" si="45"/>
        <v>701345.39411195449</v>
      </c>
      <c r="K167" s="83">
        <v>30</v>
      </c>
      <c r="L167" s="97">
        <f>K167/(SUM(K159:K170))</f>
        <v>8.2191780821917804E-2</v>
      </c>
      <c r="M167" s="85">
        <f>$L167*'MWh Impact Summary'!F$24</f>
        <v>110306.89975892202</v>
      </c>
      <c r="N167" s="85">
        <f>$L167*'MWh Impact Summary'!G$24</f>
        <v>5442.5894053217908</v>
      </c>
      <c r="O167" s="85">
        <f>$L167*'MWh Impact Summary'!H$24</f>
        <v>7080.4894313175073</v>
      </c>
      <c r="P167" s="85">
        <f>$L167*'MWh Impact Summary'!I$24</f>
        <v>1279.005272907483</v>
      </c>
      <c r="Q167" s="85">
        <f>$L167*'MWh Impact Summary'!J$24</f>
        <v>33597.975576016725</v>
      </c>
      <c r="R167" s="85">
        <f>$L167*'MWh Impact Summary'!K$24</f>
        <v>12871.189905114099</v>
      </c>
      <c r="S167" s="85">
        <f>$L167*'MWh Impact Summary'!M$24</f>
        <v>14963.047325733936</v>
      </c>
      <c r="T167" s="85">
        <f>$L167*'MWh Impact Summary'!O$24</f>
        <v>39581.457168537156</v>
      </c>
      <c r="U167" s="85">
        <f t="shared" si="46"/>
        <v>225122.65384387071</v>
      </c>
      <c r="V167" s="81">
        <f t="shared" si="48"/>
        <v>926468.04795582523</v>
      </c>
      <c r="W167" s="81"/>
      <c r="X167" s="262">
        <f>+'MWh by mo-WgtbyActulCDH&amp;Days'!AB169</f>
        <v>5005798.6680340152</v>
      </c>
      <c r="Y167" s="120">
        <f t="shared" si="55"/>
        <v>185.07896729288308</v>
      </c>
      <c r="Z167" s="87">
        <f t="shared" si="49"/>
        <v>6.1692989097627696E-3</v>
      </c>
      <c r="AA167" s="88">
        <f t="shared" si="53"/>
        <v>6.2966695635820798E-4</v>
      </c>
      <c r="AC167" s="89">
        <f t="shared" si="47"/>
        <v>14963.047325733936</v>
      </c>
      <c r="AD167" s="93"/>
      <c r="AE167" s="96">
        <f t="shared" si="41"/>
        <v>2.9891428557214716</v>
      </c>
      <c r="AF167" s="92">
        <f t="shared" ref="AF167:AF198" si="56">+AE167/K167/1000</f>
        <v>9.9638095190715713E-5</v>
      </c>
      <c r="AH167" s="123">
        <f t="shared" si="50"/>
        <v>6.1692989097627696E-3</v>
      </c>
      <c r="AI167" s="121">
        <f t="shared" si="51"/>
        <v>926468.04795582523</v>
      </c>
    </row>
    <row r="168" spans="1:35">
      <c r="A168" s="78">
        <v>2018</v>
      </c>
      <c r="B168" s="78">
        <v>10</v>
      </c>
      <c r="C168" s="79">
        <f t="shared" si="43"/>
        <v>213.28592721551468</v>
      </c>
      <c r="D168" s="101">
        <f t="shared" si="54"/>
        <v>0.10218548323623593</v>
      </c>
      <c r="E168" s="100">
        <f>$D168*'MWh Impact Summary'!B$24</f>
        <v>264963.2496328876</v>
      </c>
      <c r="F168" s="81">
        <f>$D168*'MWh Impact Summary'!L$24</f>
        <v>5839.8683034864616</v>
      </c>
      <c r="G168" s="81">
        <f>$D168*'MWh Impact Summary'!C$24</f>
        <v>203583.69360858662</v>
      </c>
      <c r="H168" s="81">
        <f>$D168*'MWh Impact Summary'!D$24</f>
        <v>761.36744354182224</v>
      </c>
      <c r="I168" s="81">
        <f>$D168*'MWh Impact Summary'!E$24</f>
        <v>78787.846269362155</v>
      </c>
      <c r="J168" s="82">
        <f t="shared" si="45"/>
        <v>553936.02525786462</v>
      </c>
      <c r="K168" s="83">
        <v>31</v>
      </c>
      <c r="L168" s="97">
        <f>K168/(SUM(K159:K170))</f>
        <v>8.4931506849315067E-2</v>
      </c>
      <c r="M168" s="85">
        <f>$L168*'MWh Impact Summary'!F$24</f>
        <v>113983.79641755276</v>
      </c>
      <c r="N168" s="85">
        <f>$L168*'MWh Impact Summary'!G$24</f>
        <v>5624.0090521658503</v>
      </c>
      <c r="O168" s="85">
        <f>$L168*'MWh Impact Summary'!H$24</f>
        <v>7316.5057456947579</v>
      </c>
      <c r="P168" s="85">
        <f>$L168*'MWh Impact Summary'!I$24</f>
        <v>1321.6387820043992</v>
      </c>
      <c r="Q168" s="85">
        <f>$L168*'MWh Impact Summary'!J$24</f>
        <v>34717.908095217281</v>
      </c>
      <c r="R168" s="85">
        <f>$L168*'MWh Impact Summary'!K$24</f>
        <v>13300.229568617904</v>
      </c>
      <c r="S168" s="85">
        <f>$L168*'MWh Impact Summary'!M$24</f>
        <v>15461.815569925069</v>
      </c>
      <c r="T168" s="85">
        <f>$L168*'MWh Impact Summary'!O$24</f>
        <v>40900.839074155061</v>
      </c>
      <c r="U168" s="85">
        <f t="shared" si="46"/>
        <v>232626.74230533309</v>
      </c>
      <c r="V168" s="81">
        <f t="shared" si="48"/>
        <v>786562.76756319776</v>
      </c>
      <c r="W168" s="81"/>
      <c r="X168" s="262">
        <f>+'MWh by mo-WgtbyActulCDH&amp;Days'!AB170</f>
        <v>5011255.4649064513</v>
      </c>
      <c r="Y168" s="120">
        <f t="shared" si="55"/>
        <v>156.95922370580664</v>
      </c>
      <c r="Z168" s="87">
        <f t="shared" si="49"/>
        <v>5.0632007647034407E-3</v>
      </c>
      <c r="AA168" s="88">
        <f t="shared" si="53"/>
        <v>5.4176256261418299E-4</v>
      </c>
      <c r="AC168" s="89">
        <f t="shared" si="47"/>
        <v>15461.815569925069</v>
      </c>
      <c r="AD168" s="93"/>
      <c r="AE168" s="96">
        <f t="shared" ref="AE168:AE218" si="57">+AC168*1000/X168</f>
        <v>3.0854175521889315</v>
      </c>
      <c r="AF168" s="92">
        <f t="shared" si="56"/>
        <v>9.9529598457707465E-5</v>
      </c>
      <c r="AH168" s="123">
        <f t="shared" si="50"/>
        <v>5.0632007647034407E-3</v>
      </c>
      <c r="AI168" s="121">
        <f t="shared" si="51"/>
        <v>786562.76756319776</v>
      </c>
    </row>
    <row r="169" spans="1:35">
      <c r="A169" s="78">
        <v>2018</v>
      </c>
      <c r="B169" s="78">
        <v>11</v>
      </c>
      <c r="C169" s="79">
        <f t="shared" si="43"/>
        <v>110.23315885291359</v>
      </c>
      <c r="D169" s="101">
        <f t="shared" si="54"/>
        <v>5.2812807451003543E-2</v>
      </c>
      <c r="E169" s="100">
        <f>$D169*'MWh Impact Summary'!B$24</f>
        <v>136941.69309845442</v>
      </c>
      <c r="F169" s="81">
        <f>$D169*'MWh Impact Summary'!L$24</f>
        <v>3018.2353743753761</v>
      </c>
      <c r="G169" s="81">
        <f>$D169*'MWh Impact Summary'!C$24</f>
        <v>105218.72647857369</v>
      </c>
      <c r="H169" s="81">
        <f>$D169*'MWh Impact Summary'!D$24</f>
        <v>393.49965300137899</v>
      </c>
      <c r="I169" s="81">
        <f>$D169*'MWh Impact Summary'!E$24</f>
        <v>40720.141674953287</v>
      </c>
      <c r="J169" s="82">
        <f t="shared" si="45"/>
        <v>286292.29627935815</v>
      </c>
      <c r="K169" s="83">
        <v>30</v>
      </c>
      <c r="L169" s="97">
        <f>K169/(SUM(K159:K170))</f>
        <v>8.2191780821917804E-2</v>
      </c>
      <c r="M169" s="85">
        <f>$L169*'MWh Impact Summary'!F$24</f>
        <v>110306.89975892202</v>
      </c>
      <c r="N169" s="85">
        <f>$L169*'MWh Impact Summary'!G$24</f>
        <v>5442.5894053217908</v>
      </c>
      <c r="O169" s="85">
        <f>$L169*'MWh Impact Summary'!H$24</f>
        <v>7080.4894313175073</v>
      </c>
      <c r="P169" s="85">
        <f>$L169*'MWh Impact Summary'!I$24</f>
        <v>1279.005272907483</v>
      </c>
      <c r="Q169" s="85">
        <f>$L169*'MWh Impact Summary'!J$24</f>
        <v>33597.975576016725</v>
      </c>
      <c r="R169" s="85">
        <f>$L169*'MWh Impact Summary'!K$24</f>
        <v>12871.189905114099</v>
      </c>
      <c r="S169" s="85">
        <f>$L169*'MWh Impact Summary'!M$24</f>
        <v>14963.047325733936</v>
      </c>
      <c r="T169" s="85">
        <f>$L169*'MWh Impact Summary'!O$24</f>
        <v>39581.457168537156</v>
      </c>
      <c r="U169" s="85">
        <f t="shared" si="46"/>
        <v>225122.65384387071</v>
      </c>
      <c r="V169" s="81">
        <f t="shared" si="48"/>
        <v>511414.95012322883</v>
      </c>
      <c r="W169" s="81"/>
      <c r="X169" s="262">
        <f>+'MWh by mo-WgtbyActulCDH&amp;Days'!AB171</f>
        <v>5016812.6063650586</v>
      </c>
      <c r="Y169" s="120">
        <f t="shared" si="55"/>
        <v>101.94021388687578</v>
      </c>
      <c r="Z169" s="87">
        <f t="shared" si="49"/>
        <v>3.3980071295625263E-3</v>
      </c>
      <c r="AA169" s="88">
        <f t="shared" si="53"/>
        <v>4.0940577306290346E-4</v>
      </c>
      <c r="AC169" s="89">
        <f t="shared" si="47"/>
        <v>14963.047325733936</v>
      </c>
      <c r="AD169" s="93"/>
      <c r="AE169" s="96">
        <f t="shared" si="57"/>
        <v>2.9825804748516291</v>
      </c>
      <c r="AF169" s="92">
        <f t="shared" si="56"/>
        <v>9.9419349161720971E-5</v>
      </c>
      <c r="AH169" s="123">
        <f t="shared" si="50"/>
        <v>3.3980071295625263E-3</v>
      </c>
      <c r="AI169" s="121">
        <f t="shared" si="51"/>
        <v>511414.95012322883</v>
      </c>
    </row>
    <row r="170" spans="1:35">
      <c r="A170" s="78">
        <v>2018</v>
      </c>
      <c r="B170" s="78">
        <v>12</v>
      </c>
      <c r="C170" s="79">
        <f t="shared" si="43"/>
        <v>79.005079745838657</v>
      </c>
      <c r="D170" s="101">
        <f t="shared" si="54"/>
        <v>3.7851406125770058E-2</v>
      </c>
      <c r="E170" s="100">
        <f>$D170*'MWh Impact Summary'!B$24</f>
        <v>98147.322424187194</v>
      </c>
      <c r="F170" s="81">
        <f>$D170*'MWh Impact Summary'!L$24</f>
        <v>2163.1959831833769</v>
      </c>
      <c r="G170" s="81">
        <f>$D170*'MWh Impact Summary'!C$24</f>
        <v>75411.191720335817</v>
      </c>
      <c r="H170" s="81">
        <f>$D170*'MWh Impact Summary'!D$24</f>
        <v>282.02468103826897</v>
      </c>
      <c r="I170" s="81">
        <f>$D170*'MWh Impact Summary'!E$24</f>
        <v>29184.485628178125</v>
      </c>
      <c r="J170" s="82">
        <f t="shared" si="45"/>
        <v>205188.2204369228</v>
      </c>
      <c r="K170" s="83">
        <v>31</v>
      </c>
      <c r="L170" s="97">
        <f>K170/(SUM(K159:K170))</f>
        <v>8.4931506849315067E-2</v>
      </c>
      <c r="M170" s="85">
        <f>$L170*'MWh Impact Summary'!F$24</f>
        <v>113983.79641755276</v>
      </c>
      <c r="N170" s="85">
        <f>$L170*'MWh Impact Summary'!G$24</f>
        <v>5624.0090521658503</v>
      </c>
      <c r="O170" s="85">
        <f>$L170*'MWh Impact Summary'!H$24</f>
        <v>7316.5057456947579</v>
      </c>
      <c r="P170" s="85">
        <f>$L170*'MWh Impact Summary'!I$24</f>
        <v>1321.6387820043992</v>
      </c>
      <c r="Q170" s="85">
        <f>$L170*'MWh Impact Summary'!J$24</f>
        <v>34717.908095217281</v>
      </c>
      <c r="R170" s="85">
        <f>$L170*'MWh Impact Summary'!K$24</f>
        <v>13300.229568617904</v>
      </c>
      <c r="S170" s="85">
        <f>$L170*'MWh Impact Summary'!M$24</f>
        <v>15461.815569925069</v>
      </c>
      <c r="T170" s="85">
        <f>$L170*'MWh Impact Summary'!O$24</f>
        <v>40900.839074155061</v>
      </c>
      <c r="U170" s="85">
        <f t="shared" si="46"/>
        <v>232626.74230533309</v>
      </c>
      <c r="V170" s="81">
        <f t="shared" si="48"/>
        <v>437814.96274225588</v>
      </c>
      <c r="W170" s="81">
        <f>SUM(V159:V170)</f>
        <v>8159879.9499155395</v>
      </c>
      <c r="X170" s="262">
        <f>+'MWh by mo-WgtbyActulCDH&amp;Days'!AB172</f>
        <v>5022446.1507833218</v>
      </c>
      <c r="Y170" s="120">
        <f t="shared" si="55"/>
        <v>87.171658908472793</v>
      </c>
      <c r="Z170" s="87">
        <f t="shared" si="49"/>
        <v>2.8119889970475093E-3</v>
      </c>
      <c r="AA170" s="88">
        <f t="shared" si="53"/>
        <v>3.6277279205417737E-4</v>
      </c>
      <c r="AC170" s="89">
        <f t="shared" si="47"/>
        <v>15461.815569925069</v>
      </c>
      <c r="AD170" s="90">
        <f>SUM(AC159:AC170)</f>
        <v>182050.40912976288</v>
      </c>
      <c r="AE170" s="96">
        <f t="shared" si="57"/>
        <v>3.0785428266888597</v>
      </c>
      <c r="AF170" s="92">
        <f t="shared" si="56"/>
        <v>9.930783311899548E-5</v>
      </c>
      <c r="AH170" s="123">
        <f t="shared" si="50"/>
        <v>2.8119889970475093E-3</v>
      </c>
      <c r="AI170" s="121">
        <f t="shared" si="51"/>
        <v>437814.96274225588</v>
      </c>
    </row>
    <row r="171" spans="1:35">
      <c r="A171" s="78">
        <v>2019</v>
      </c>
      <c r="B171" s="78">
        <v>1</v>
      </c>
      <c r="C171" s="79">
        <f t="shared" si="43"/>
        <v>26.95686291874426</v>
      </c>
      <c r="D171" s="101">
        <f t="shared" si="54"/>
        <v>1.2915057734219224E-2</v>
      </c>
      <c r="E171" s="100">
        <f>$D171*'MWh Impact Summary'!B$25</f>
        <v>36858.008380993997</v>
      </c>
      <c r="F171" s="81">
        <f>$D171*'MWh Impact Summary'!L$25</f>
        <v>931.57064176970982</v>
      </c>
      <c r="G171" s="81">
        <f>$D171*'MWh Impact Summary'!C$25</f>
        <v>27824.929984486069</v>
      </c>
      <c r="H171" s="81">
        <f>$D171*'MWh Impact Summary'!D$25</f>
        <v>107.11858280423859</v>
      </c>
      <c r="I171" s="81">
        <f>$D171*'MWh Impact Summary'!E$25</f>
        <v>10702.994838861581</v>
      </c>
      <c r="J171" s="82">
        <f t="shared" si="45"/>
        <v>76424.62242891558</v>
      </c>
      <c r="K171" s="83">
        <v>31</v>
      </c>
      <c r="L171" s="97">
        <f>K171/(SUM(K171:K182))</f>
        <v>8.4931506849315067E-2</v>
      </c>
      <c r="M171" s="85">
        <f>$L171*'MWh Impact Summary'!F$25</f>
        <v>124811.28459773332</v>
      </c>
      <c r="N171" s="85">
        <f>$L171*'MWh Impact Summary'!G$25</f>
        <v>8441.7535575178408</v>
      </c>
      <c r="O171" s="85">
        <f>$L171*'MWh Impact Summary'!H$25</f>
        <v>8478.4823916279402</v>
      </c>
      <c r="P171" s="85">
        <f>$L171*'MWh Impact Summary'!I$25</f>
        <v>1414.2366962017231</v>
      </c>
      <c r="Q171" s="85">
        <f>$L171*'MWh Impact Summary'!J$25</f>
        <v>39021.332976499914</v>
      </c>
      <c r="R171" s="85">
        <f>$L171*'MWh Impact Summary'!K$25</f>
        <v>17312.223108981307</v>
      </c>
      <c r="S171" s="85">
        <f>$L171*'MWh Impact Summary'!M$25</f>
        <v>19857.320630166058</v>
      </c>
      <c r="T171" s="85">
        <f>$L171*'MWh Impact Summary'!O$25</f>
        <v>62415.334877385954</v>
      </c>
      <c r="U171" s="85">
        <f t="shared" si="46"/>
        <v>281751.96883611404</v>
      </c>
      <c r="V171" s="81">
        <f t="shared" si="48"/>
        <v>358176.59126502962</v>
      </c>
      <c r="W171" s="81"/>
      <c r="X171" s="262">
        <f>+'MWh by mo-WgtbyActulCDH&amp;Days'!AB173</f>
        <v>5028344.8487463314</v>
      </c>
      <c r="Y171" s="120">
        <f t="shared" si="55"/>
        <v>71.231508983384529</v>
      </c>
      <c r="Z171" s="87">
        <f t="shared" si="49"/>
        <v>2.2977906123672425E-3</v>
      </c>
      <c r="AA171" s="88">
        <f t="shared" si="53"/>
        <v>3.2970287163387648E-4</v>
      </c>
      <c r="AC171" s="89">
        <f t="shared" si="47"/>
        <v>19857.320630166058</v>
      </c>
      <c r="AD171" s="93"/>
      <c r="AE171" s="96">
        <f t="shared" si="57"/>
        <v>3.9490769283886507</v>
      </c>
      <c r="AF171" s="92">
        <f t="shared" si="56"/>
        <v>1.2738957833511777E-4</v>
      </c>
      <c r="AH171" s="123">
        <f t="shared" si="50"/>
        <v>2.2977906123672425E-3</v>
      </c>
      <c r="AI171" s="121">
        <f t="shared" si="51"/>
        <v>358176.59126502962</v>
      </c>
    </row>
    <row r="172" spans="1:35">
      <c r="A172" s="78">
        <v>2019</v>
      </c>
      <c r="B172" s="78">
        <v>2</v>
      </c>
      <c r="C172" s="79">
        <f t="shared" si="43"/>
        <v>57.510679559652473</v>
      </c>
      <c r="D172" s="101">
        <f t="shared" si="54"/>
        <v>2.7553419293853541E-2</v>
      </c>
      <c r="E172" s="100">
        <f>$D172*'MWh Impact Summary'!B$25</f>
        <v>78634.116870193859</v>
      </c>
      <c r="F172" s="81">
        <f>$D172*'MWh Impact Summary'!L$25</f>
        <v>1987.4441928754411</v>
      </c>
      <c r="G172" s="81">
        <f>$D172*'MWh Impact Summary'!C$25</f>
        <v>59362.64308391892</v>
      </c>
      <c r="H172" s="81">
        <f>$D172*'MWh Impact Summary'!D$25</f>
        <v>228.53039350714033</v>
      </c>
      <c r="I172" s="81">
        <f>$D172*'MWh Impact Summary'!E$25</f>
        <v>22834.129785865174</v>
      </c>
      <c r="J172" s="82">
        <f t="shared" si="45"/>
        <v>163046.86432636052</v>
      </c>
      <c r="K172" s="83">
        <v>28</v>
      </c>
      <c r="L172" s="97">
        <f>K172/(SUM(K171:K182))</f>
        <v>7.6712328767123292E-2</v>
      </c>
      <c r="M172" s="85">
        <f>$L172*'MWh Impact Summary'!F$25</f>
        <v>112732.77318504945</v>
      </c>
      <c r="N172" s="85">
        <f>$L172*'MWh Impact Summary'!G$25</f>
        <v>7624.8096648548253</v>
      </c>
      <c r="O172" s="85">
        <f>$L172*'MWh Impact Summary'!H$25</f>
        <v>7657.9840956639473</v>
      </c>
      <c r="P172" s="85">
        <f>$L172*'MWh Impact Summary'!I$25</f>
        <v>1277.3750804402662</v>
      </c>
      <c r="Q172" s="85">
        <f>$L172*'MWh Impact Summary'!J$25</f>
        <v>35245.074946516055</v>
      </c>
      <c r="R172" s="85">
        <f>$L172*'MWh Impact Summary'!K$25</f>
        <v>15636.84667907989</v>
      </c>
      <c r="S172" s="85">
        <f>$L172*'MWh Impact Summary'!M$25</f>
        <v>17935.64444014999</v>
      </c>
      <c r="T172" s="85">
        <f>$L172*'MWh Impact Summary'!O$25</f>
        <v>56375.141179574413</v>
      </c>
      <c r="U172" s="85">
        <f t="shared" si="46"/>
        <v>254485.64927132888</v>
      </c>
      <c r="V172" s="81">
        <f t="shared" si="48"/>
        <v>417532.51359768939</v>
      </c>
      <c r="W172" s="81"/>
      <c r="X172" s="262">
        <f>+'MWh by mo-WgtbyActulCDH&amp;Days'!AB174</f>
        <v>5033985.8735689241</v>
      </c>
      <c r="Y172" s="120">
        <f t="shared" si="55"/>
        <v>82.942726516169799</v>
      </c>
      <c r="Z172" s="87">
        <f t="shared" si="49"/>
        <v>2.96224023272035E-3</v>
      </c>
      <c r="AA172" s="88">
        <f t="shared" si="53"/>
        <v>3.7704758779030616E-4</v>
      </c>
      <c r="AC172" s="89">
        <f t="shared" si="47"/>
        <v>17935.64444014999</v>
      </c>
      <c r="AD172" s="93"/>
      <c r="AE172" s="96">
        <f t="shared" si="57"/>
        <v>3.5629111583966822</v>
      </c>
      <c r="AF172" s="92">
        <f t="shared" si="56"/>
        <v>1.2724682708559578E-4</v>
      </c>
      <c r="AH172" s="123">
        <f t="shared" si="50"/>
        <v>2.96224023272035E-3</v>
      </c>
      <c r="AI172" s="121">
        <f t="shared" si="51"/>
        <v>417532.51359768939</v>
      </c>
    </row>
    <row r="173" spans="1:35">
      <c r="A173" s="78">
        <v>2019</v>
      </c>
      <c r="B173" s="78">
        <v>3</v>
      </c>
      <c r="C173" s="79">
        <f t="shared" si="43"/>
        <v>62.20178223460303</v>
      </c>
      <c r="D173" s="101">
        <f t="shared" si="54"/>
        <v>2.9800930885493855E-2</v>
      </c>
      <c r="E173" s="100">
        <f>$D173*'MWh Impact Summary'!B$25</f>
        <v>85048.242365086029</v>
      </c>
      <c r="F173" s="81">
        <f>$D173*'MWh Impact Summary'!L$25</f>
        <v>2149.5585139180644</v>
      </c>
      <c r="G173" s="81">
        <f>$D173*'MWh Impact Summary'!C$25</f>
        <v>64204.809024146773</v>
      </c>
      <c r="H173" s="81">
        <f>$D173*'MWh Impact Summary'!D$25</f>
        <v>247.17144502135284</v>
      </c>
      <c r="I173" s="81">
        <f>$D173*'MWh Impact Summary'!E$25</f>
        <v>24696.692498370314</v>
      </c>
      <c r="J173" s="82">
        <f t="shared" si="45"/>
        <v>176346.47384654253</v>
      </c>
      <c r="K173" s="83">
        <v>31</v>
      </c>
      <c r="L173" s="97">
        <f>K173/(SUM(K171:K182))</f>
        <v>8.4931506849315067E-2</v>
      </c>
      <c r="M173" s="85">
        <f>$L173*'MWh Impact Summary'!F$25</f>
        <v>124811.28459773332</v>
      </c>
      <c r="N173" s="85">
        <f>$L173*'MWh Impact Summary'!G$25</f>
        <v>8441.7535575178408</v>
      </c>
      <c r="O173" s="85">
        <f>$L173*'MWh Impact Summary'!H$25</f>
        <v>8478.4823916279402</v>
      </c>
      <c r="P173" s="85">
        <f>$L173*'MWh Impact Summary'!I$25</f>
        <v>1414.2366962017231</v>
      </c>
      <c r="Q173" s="85">
        <f>$L173*'MWh Impact Summary'!J$25</f>
        <v>39021.332976499914</v>
      </c>
      <c r="R173" s="85">
        <f>$L173*'MWh Impact Summary'!K$25</f>
        <v>17312.223108981307</v>
      </c>
      <c r="S173" s="85">
        <f>$L173*'MWh Impact Summary'!M$25</f>
        <v>19857.320630166058</v>
      </c>
      <c r="T173" s="85">
        <f>$L173*'MWh Impact Summary'!O$25</f>
        <v>62415.334877385954</v>
      </c>
      <c r="U173" s="85">
        <f t="shared" si="46"/>
        <v>281751.96883611404</v>
      </c>
      <c r="V173" s="81">
        <f t="shared" si="48"/>
        <v>458098.44268265658</v>
      </c>
      <c r="W173" s="81"/>
      <c r="X173" s="262">
        <f>+'MWh by mo-WgtbyActulCDH&amp;Days'!AB175</f>
        <v>5039839.6897841692</v>
      </c>
      <c r="Y173" s="120">
        <f t="shared" si="55"/>
        <v>90.895439315506209</v>
      </c>
      <c r="Z173" s="87">
        <f t="shared" si="49"/>
        <v>2.9321109456614909E-3</v>
      </c>
      <c r="AA173" s="88">
        <f t="shared" si="53"/>
        <v>3.7486289015123365E-4</v>
      </c>
      <c r="AC173" s="89">
        <f t="shared" si="47"/>
        <v>19857.320630166058</v>
      </c>
      <c r="AD173" s="93"/>
      <c r="AE173" s="96">
        <f t="shared" si="57"/>
        <v>3.940069893575612</v>
      </c>
      <c r="AF173" s="92">
        <f t="shared" si="56"/>
        <v>1.2709902882501975E-4</v>
      </c>
      <c r="AH173" s="123">
        <f t="shared" si="50"/>
        <v>2.9321109456614909E-3</v>
      </c>
      <c r="AI173" s="121">
        <f t="shared" si="51"/>
        <v>458098.44268265658</v>
      </c>
    </row>
    <row r="174" spans="1:35">
      <c r="A174" s="78">
        <v>2019</v>
      </c>
      <c r="B174" s="78">
        <v>4</v>
      </c>
      <c r="C174" s="79">
        <f t="shared" si="43"/>
        <v>137.13602413996043</v>
      </c>
      <c r="D174" s="101">
        <f t="shared" si="54"/>
        <v>6.5701994870379921E-2</v>
      </c>
      <c r="E174" s="100">
        <f>$D174*'MWh Impact Summary'!B$25</f>
        <v>187505.52474606398</v>
      </c>
      <c r="F174" s="81">
        <f>$D174*'MWh Impact Summary'!L$25</f>
        <v>4739.1231836913039</v>
      </c>
      <c r="G174" s="81">
        <f>$D174*'MWh Impact Summary'!C$25</f>
        <v>141552.08940844156</v>
      </c>
      <c r="H174" s="81">
        <f>$D174*'MWh Impact Summary'!D$25</f>
        <v>544.93791067453753</v>
      </c>
      <c r="I174" s="81">
        <f>$D174*'MWh Impact Summary'!E$25</f>
        <v>54448.70061535955</v>
      </c>
      <c r="J174" s="82">
        <f t="shared" si="45"/>
        <v>388790.37586423091</v>
      </c>
      <c r="K174" s="83">
        <v>30</v>
      </c>
      <c r="L174" s="97">
        <f>K174/(SUM(K171:K182))</f>
        <v>8.2191780821917804E-2</v>
      </c>
      <c r="M174" s="85">
        <f>$L174*'MWh Impact Summary'!F$25</f>
        <v>120785.11412683869</v>
      </c>
      <c r="N174" s="85">
        <f>$L174*'MWh Impact Summary'!G$25</f>
        <v>8169.4389266301687</v>
      </c>
      <c r="O174" s="85">
        <f>$L174*'MWh Impact Summary'!H$25</f>
        <v>8204.9829596399431</v>
      </c>
      <c r="P174" s="85">
        <f>$L174*'MWh Impact Summary'!I$25</f>
        <v>1368.6161576145707</v>
      </c>
      <c r="Q174" s="85">
        <f>$L174*'MWh Impact Summary'!J$25</f>
        <v>37762.580299838621</v>
      </c>
      <c r="R174" s="85">
        <f>$L174*'MWh Impact Summary'!K$25</f>
        <v>16753.764299014165</v>
      </c>
      <c r="S174" s="85">
        <f>$L174*'MWh Impact Summary'!M$25</f>
        <v>19216.761900160702</v>
      </c>
      <c r="T174" s="85">
        <f>$L174*'MWh Impact Summary'!O$25</f>
        <v>60401.936978115438</v>
      </c>
      <c r="U174" s="85">
        <f t="shared" si="46"/>
        <v>272663.19564785226</v>
      </c>
      <c r="V174" s="81">
        <f t="shared" si="48"/>
        <v>661453.57151208317</v>
      </c>
      <c r="W174" s="81"/>
      <c r="X174" s="262">
        <f>+'MWh by mo-WgtbyActulCDH&amp;Days'!AB176</f>
        <v>5045414.9673927901</v>
      </c>
      <c r="Y174" s="120">
        <f t="shared" si="55"/>
        <v>131.09993445274299</v>
      </c>
      <c r="Z174" s="87">
        <f t="shared" si="49"/>
        <v>4.3699978150914332E-3</v>
      </c>
      <c r="AA174" s="88">
        <f t="shared" si="53"/>
        <v>4.7758051906978327E-4</v>
      </c>
      <c r="AC174" s="89">
        <f t="shared" si="47"/>
        <v>19216.761900160702</v>
      </c>
      <c r="AD174" s="93"/>
      <c r="AE174" s="96">
        <f t="shared" si="57"/>
        <v>3.808757460853796</v>
      </c>
      <c r="AF174" s="92">
        <f t="shared" si="56"/>
        <v>1.2695858202845987E-4</v>
      </c>
      <c r="AH174" s="123">
        <f t="shared" si="50"/>
        <v>4.3699978150914332E-3</v>
      </c>
      <c r="AI174" s="121">
        <f t="shared" si="51"/>
        <v>661453.57151208317</v>
      </c>
    </row>
    <row r="175" spans="1:35">
      <c r="A175" s="78">
        <v>2019</v>
      </c>
      <c r="B175" s="78">
        <v>5</v>
      </c>
      <c r="C175" s="79">
        <f t="shared" si="43"/>
        <v>220.65709530534707</v>
      </c>
      <c r="D175" s="101">
        <f t="shared" si="54"/>
        <v>0.10571701662481223</v>
      </c>
      <c r="E175" s="100">
        <f>$D175*'MWh Impact Summary'!B$25</f>
        <v>301703.54364324285</v>
      </c>
      <c r="F175" s="81">
        <f>$D175*'MWh Impact Summary'!L$25</f>
        <v>7625.4300251573095</v>
      </c>
      <c r="G175" s="81">
        <f>$D175*'MWh Impact Summary'!C$25</f>
        <v>227762.71281856424</v>
      </c>
      <c r="H175" s="81">
        <f>$D175*'MWh Impact Summary'!D$25</f>
        <v>876.82589053688196</v>
      </c>
      <c r="I175" s="81">
        <f>$D175*'MWh Impact Summary'!E$25</f>
        <v>87610.036795829554</v>
      </c>
      <c r="J175" s="82">
        <f t="shared" si="45"/>
        <v>625578.54917333077</v>
      </c>
      <c r="K175" s="83">
        <v>31</v>
      </c>
      <c r="L175" s="97">
        <f>K175/(SUM(K171:K182))</f>
        <v>8.4931506849315067E-2</v>
      </c>
      <c r="M175" s="85">
        <f>$L175*'MWh Impact Summary'!F$25</f>
        <v>124811.28459773332</v>
      </c>
      <c r="N175" s="85">
        <f>$L175*'MWh Impact Summary'!G$25</f>
        <v>8441.7535575178408</v>
      </c>
      <c r="O175" s="85">
        <f>$L175*'MWh Impact Summary'!H$25</f>
        <v>8478.4823916279402</v>
      </c>
      <c r="P175" s="85">
        <f>$L175*'MWh Impact Summary'!I$25</f>
        <v>1414.2366962017231</v>
      </c>
      <c r="Q175" s="85">
        <f>$L175*'MWh Impact Summary'!J$25</f>
        <v>39021.332976499914</v>
      </c>
      <c r="R175" s="85">
        <f>$L175*'MWh Impact Summary'!K$25</f>
        <v>17312.223108981307</v>
      </c>
      <c r="S175" s="85">
        <f>$L175*'MWh Impact Summary'!M$25</f>
        <v>19857.320630166058</v>
      </c>
      <c r="T175" s="85">
        <f>$L175*'MWh Impact Summary'!O$25</f>
        <v>62415.334877385954</v>
      </c>
      <c r="U175" s="85">
        <f t="shared" si="46"/>
        <v>281751.96883611404</v>
      </c>
      <c r="V175" s="81">
        <f t="shared" si="48"/>
        <v>907330.51800944482</v>
      </c>
      <c r="W175" s="81"/>
      <c r="X175" s="262">
        <f>+'MWh by mo-WgtbyActulCDH&amp;Days'!AB177</f>
        <v>5050667.5493750526</v>
      </c>
      <c r="Y175" s="120">
        <f t="shared" si="55"/>
        <v>179.64566250687275</v>
      </c>
      <c r="Z175" s="87">
        <f t="shared" si="49"/>
        <v>5.7950213711894438E-3</v>
      </c>
      <c r="AA175" s="88">
        <f t="shared" si="53"/>
        <v>5.7936651715798267E-4</v>
      </c>
      <c r="AC175" s="89">
        <f t="shared" si="47"/>
        <v>19857.320630166058</v>
      </c>
      <c r="AD175" s="93"/>
      <c r="AE175" s="96">
        <f t="shared" si="57"/>
        <v>3.9316229856829747</v>
      </c>
      <c r="AF175" s="92">
        <f t="shared" si="56"/>
        <v>1.2682654792525724E-4</v>
      </c>
      <c r="AH175" s="123">
        <f t="shared" si="50"/>
        <v>5.7950213711894438E-3</v>
      </c>
      <c r="AI175" s="121">
        <f t="shared" si="51"/>
        <v>907330.51800944482</v>
      </c>
    </row>
    <row r="176" spans="1:35">
      <c r="A176" s="78">
        <v>2019</v>
      </c>
      <c r="B176" s="78">
        <v>6</v>
      </c>
      <c r="C176" s="79">
        <f t="shared" ref="C176:C239" si="58">+C164</f>
        <v>247.5875604864128</v>
      </c>
      <c r="D176" s="101">
        <f t="shared" si="54"/>
        <v>0.11861942717871234</v>
      </c>
      <c r="E176" s="100">
        <f>$D176*'MWh Impact Summary'!B$25</f>
        <v>338525.45850550925</v>
      </c>
      <c r="F176" s="81">
        <f>$D176*'MWh Impact Summary'!L$25</f>
        <v>8556.0884184393308</v>
      </c>
      <c r="G176" s="81">
        <f>$D176*'MWh Impact Summary'!C$25</f>
        <v>255560.39500330194</v>
      </c>
      <c r="H176" s="81">
        <f>$D176*'MWh Impact Summary'!D$25</f>
        <v>983.8395765562874</v>
      </c>
      <c r="I176" s="81">
        <f>$D176*'MWh Impact Summary'!E$25</f>
        <v>98302.550635808497</v>
      </c>
      <c r="J176" s="82">
        <f t="shared" si="45"/>
        <v>701928.3321396152</v>
      </c>
      <c r="K176" s="83">
        <v>30</v>
      </c>
      <c r="L176" s="97">
        <f>K176/(SUM(K171:K182))</f>
        <v>8.2191780821917804E-2</v>
      </c>
      <c r="M176" s="85">
        <f>$L176*'MWh Impact Summary'!F$25</f>
        <v>120785.11412683869</v>
      </c>
      <c r="N176" s="85">
        <f>$L176*'MWh Impact Summary'!G$25</f>
        <v>8169.4389266301687</v>
      </c>
      <c r="O176" s="85">
        <f>$L176*'MWh Impact Summary'!H$25</f>
        <v>8204.9829596399431</v>
      </c>
      <c r="P176" s="85">
        <f>$L176*'MWh Impact Summary'!I$25</f>
        <v>1368.6161576145707</v>
      </c>
      <c r="Q176" s="85">
        <f>$L176*'MWh Impact Summary'!J$25</f>
        <v>37762.580299838621</v>
      </c>
      <c r="R176" s="85">
        <f>$L176*'MWh Impact Summary'!K$25</f>
        <v>16753.764299014165</v>
      </c>
      <c r="S176" s="85">
        <f>$L176*'MWh Impact Summary'!M$25</f>
        <v>19216.761900160702</v>
      </c>
      <c r="T176" s="85">
        <f>$L176*'MWh Impact Summary'!O$25</f>
        <v>60401.936978115438</v>
      </c>
      <c r="U176" s="85">
        <f t="shared" si="46"/>
        <v>272663.19564785226</v>
      </c>
      <c r="V176" s="81">
        <f t="shared" si="48"/>
        <v>974591.52778746746</v>
      </c>
      <c r="W176" s="81"/>
      <c r="X176" s="262">
        <f>+'MWh by mo-WgtbyActulCDH&amp;Days'!AB178</f>
        <v>5055929.9660004415</v>
      </c>
      <c r="Y176" s="120">
        <f t="shared" si="55"/>
        <v>192.76207034933094</v>
      </c>
      <c r="Z176" s="87">
        <f t="shared" si="49"/>
        <v>6.4254023449776976E-3</v>
      </c>
      <c r="AA176" s="88">
        <f t="shared" si="53"/>
        <v>6.2435470194257669E-4</v>
      </c>
      <c r="AC176" s="89">
        <f t="shared" si="47"/>
        <v>19216.761900160702</v>
      </c>
      <c r="AD176" s="93"/>
      <c r="AE176" s="96">
        <f t="shared" si="57"/>
        <v>3.8008362515674574</v>
      </c>
      <c r="AF176" s="92">
        <f t="shared" si="56"/>
        <v>1.2669454171891525E-4</v>
      </c>
      <c r="AH176" s="123">
        <f t="shared" si="50"/>
        <v>6.4254023449776976E-3</v>
      </c>
      <c r="AI176" s="121">
        <f t="shared" si="51"/>
        <v>974591.52778746746</v>
      </c>
    </row>
    <row r="177" spans="1:35">
      <c r="A177" s="78">
        <v>2019</v>
      </c>
      <c r="B177" s="78">
        <v>7</v>
      </c>
      <c r="C177" s="79">
        <f t="shared" si="58"/>
        <v>311.6666769190017</v>
      </c>
      <c r="D177" s="101">
        <f t="shared" si="54"/>
        <v>0.1493197905993085</v>
      </c>
      <c r="E177" s="100">
        <f>$D177*'MWh Impact Summary'!B$25</f>
        <v>426140.5722388202</v>
      </c>
      <c r="F177" s="81">
        <f>$D177*'MWh Impact Summary'!L$25</f>
        <v>10770.523525338764</v>
      </c>
      <c r="G177" s="81">
        <f>$D177*'MWh Impact Summary'!C$25</f>
        <v>321702.9922921253</v>
      </c>
      <c r="H177" s="81">
        <f>$D177*'MWh Impact Summary'!D$25</f>
        <v>1238.4709912092826</v>
      </c>
      <c r="I177" s="81">
        <f>$D177*'MWh Impact Summary'!E$25</f>
        <v>123744.62282811527</v>
      </c>
      <c r="J177" s="82">
        <f t="shared" si="45"/>
        <v>883597.18187560875</v>
      </c>
      <c r="K177" s="83">
        <v>31</v>
      </c>
      <c r="L177" s="97">
        <f>K177/(SUM(K171:K182))</f>
        <v>8.4931506849315067E-2</v>
      </c>
      <c r="M177" s="85">
        <f>$L177*'MWh Impact Summary'!F$25</f>
        <v>124811.28459773332</v>
      </c>
      <c r="N177" s="85">
        <f>$L177*'MWh Impact Summary'!G$25</f>
        <v>8441.7535575178408</v>
      </c>
      <c r="O177" s="85">
        <f>$L177*'MWh Impact Summary'!H$25</f>
        <v>8478.4823916279402</v>
      </c>
      <c r="P177" s="85">
        <f>$L177*'MWh Impact Summary'!I$25</f>
        <v>1414.2366962017231</v>
      </c>
      <c r="Q177" s="85">
        <f>$L177*'MWh Impact Summary'!J$25</f>
        <v>39021.332976499914</v>
      </c>
      <c r="R177" s="85">
        <f>$L177*'MWh Impact Summary'!K$25</f>
        <v>17312.223108981307</v>
      </c>
      <c r="S177" s="85">
        <f>$L177*'MWh Impact Summary'!M$25</f>
        <v>19857.320630166058</v>
      </c>
      <c r="T177" s="85">
        <f>$L177*'MWh Impact Summary'!O$25</f>
        <v>62415.334877385954</v>
      </c>
      <c r="U177" s="85">
        <f t="shared" si="46"/>
        <v>281751.96883611404</v>
      </c>
      <c r="V177" s="81">
        <f t="shared" si="48"/>
        <v>1165349.1507117227</v>
      </c>
      <c r="W177" s="81"/>
      <c r="X177" s="262">
        <f>+'MWh by mo-WgtbyActulCDH&amp;Days'!AB179</f>
        <v>5061685.0368930642</v>
      </c>
      <c r="Y177" s="120">
        <f t="shared" si="55"/>
        <v>230.22948725925286</v>
      </c>
      <c r="Z177" s="87">
        <f t="shared" si="49"/>
        <v>7.4267576535242859E-3</v>
      </c>
      <c r="AA177" s="88">
        <f t="shared" si="53"/>
        <v>6.9620364854759351E-4</v>
      </c>
      <c r="AC177" s="89">
        <f t="shared" si="47"/>
        <v>19857.320630166058</v>
      </c>
      <c r="AD177" s="93"/>
      <c r="AE177" s="96">
        <f t="shared" si="57"/>
        <v>3.9230652412056775</v>
      </c>
      <c r="AF177" s="92">
        <f t="shared" si="56"/>
        <v>1.2655049165179606E-4</v>
      </c>
      <c r="AH177" s="123">
        <f t="shared" si="50"/>
        <v>7.4267576535242859E-3</v>
      </c>
      <c r="AI177" s="121">
        <f t="shared" si="51"/>
        <v>1165349.1507117227</v>
      </c>
    </row>
    <row r="178" spans="1:35">
      <c r="A178" s="78">
        <v>2019</v>
      </c>
      <c r="B178" s="78">
        <v>8</v>
      </c>
      <c r="C178" s="79">
        <f t="shared" si="58"/>
        <v>350.95807565684066</v>
      </c>
      <c r="D178" s="101">
        <f t="shared" si="54"/>
        <v>0.16814433575083526</v>
      </c>
      <c r="E178" s="100">
        <f>$D178*'MWh Impact Summary'!B$25</f>
        <v>479863.54098134587</v>
      </c>
      <c r="F178" s="81">
        <f>$D178*'MWh Impact Summary'!L$25</f>
        <v>12128.348938799125</v>
      </c>
      <c r="G178" s="81">
        <f>$D178*'MWh Impact Summary'!C$25</f>
        <v>362259.65580925473</v>
      </c>
      <c r="H178" s="81">
        <f>$D178*'MWh Impact Summary'!D$25</f>
        <v>1394.6033632096971</v>
      </c>
      <c r="I178" s="81">
        <f>$D178*'MWh Impact Summary'!E$25</f>
        <v>139344.94097976218</v>
      </c>
      <c r="J178" s="82">
        <f t="shared" si="45"/>
        <v>994991.09007237153</v>
      </c>
      <c r="K178" s="83">
        <v>31</v>
      </c>
      <c r="L178" s="97">
        <f>K178/(SUM(K171:K182))</f>
        <v>8.4931506849315067E-2</v>
      </c>
      <c r="M178" s="85">
        <f>$L178*'MWh Impact Summary'!F$25</f>
        <v>124811.28459773332</v>
      </c>
      <c r="N178" s="85">
        <f>$L178*'MWh Impact Summary'!G$25</f>
        <v>8441.7535575178408</v>
      </c>
      <c r="O178" s="85">
        <f>$L178*'MWh Impact Summary'!H$25</f>
        <v>8478.4823916279402</v>
      </c>
      <c r="P178" s="85">
        <f>$L178*'MWh Impact Summary'!I$25</f>
        <v>1414.2366962017231</v>
      </c>
      <c r="Q178" s="85">
        <f>$L178*'MWh Impact Summary'!J$25</f>
        <v>39021.332976499914</v>
      </c>
      <c r="R178" s="85">
        <f>$L178*'MWh Impact Summary'!K$25</f>
        <v>17312.223108981307</v>
      </c>
      <c r="S178" s="85">
        <f>$L178*'MWh Impact Summary'!M$25</f>
        <v>19857.320630166058</v>
      </c>
      <c r="T178" s="85">
        <f>$L178*'MWh Impact Summary'!O$25</f>
        <v>62415.334877385954</v>
      </c>
      <c r="U178" s="85">
        <f t="shared" si="46"/>
        <v>281751.96883611404</v>
      </c>
      <c r="V178" s="81">
        <f t="shared" si="48"/>
        <v>1276743.0589084856</v>
      </c>
      <c r="W178" s="81"/>
      <c r="X178" s="262">
        <f>+'MWh by mo-WgtbyActulCDH&amp;Days'!AB180</f>
        <v>5067694.0549152512</v>
      </c>
      <c r="Y178" s="120">
        <f t="shared" si="55"/>
        <v>251.93767521741938</v>
      </c>
      <c r="Z178" s="87">
        <f t="shared" si="49"/>
        <v>8.1270217812070764E-3</v>
      </c>
      <c r="AA178" s="88">
        <f t="shared" si="53"/>
        <v>7.46768019734197E-4</v>
      </c>
      <c r="AC178" s="89">
        <f t="shared" si="47"/>
        <v>19857.320630166058</v>
      </c>
      <c r="AD178" s="93"/>
      <c r="AE178" s="96">
        <f t="shared" si="57"/>
        <v>3.9184134667533987</v>
      </c>
      <c r="AF178" s="92">
        <f t="shared" si="56"/>
        <v>1.2640043441139996E-4</v>
      </c>
      <c r="AH178" s="123">
        <f t="shared" si="50"/>
        <v>8.1270217812070764E-3</v>
      </c>
      <c r="AI178" s="121">
        <f t="shared" si="51"/>
        <v>1276743.0589084856</v>
      </c>
    </row>
    <row r="179" spans="1:35">
      <c r="A179" s="78">
        <v>2019</v>
      </c>
      <c r="B179" s="78">
        <v>9</v>
      </c>
      <c r="C179" s="79">
        <f t="shared" si="58"/>
        <v>270.04400483226198</v>
      </c>
      <c r="D179" s="101">
        <f t="shared" si="54"/>
        <v>0.12937833024937548</v>
      </c>
      <c r="E179" s="100">
        <f>$D179*'MWh Impact Summary'!B$25</f>
        <v>369230.06298421137</v>
      </c>
      <c r="F179" s="81">
        <f>$D179*'MWh Impact Summary'!L$25</f>
        <v>9332.1343676355209</v>
      </c>
      <c r="G179" s="81">
        <f>$D179*'MWh Impact Summary'!C$25</f>
        <v>278739.98357439187</v>
      </c>
      <c r="H179" s="81">
        <f>$D179*'MWh Impact Summary'!D$25</f>
        <v>1073.0748299461384</v>
      </c>
      <c r="I179" s="81">
        <f>$D179*'MWh Impact Summary'!E$25</f>
        <v>107218.69227503757</v>
      </c>
      <c r="J179" s="82">
        <f t="shared" si="45"/>
        <v>765593.94803122245</v>
      </c>
      <c r="K179" s="83">
        <v>30</v>
      </c>
      <c r="L179" s="97">
        <f>K179/(SUM(K171:K182))</f>
        <v>8.2191780821917804E-2</v>
      </c>
      <c r="M179" s="85">
        <f>$L179*'MWh Impact Summary'!F$25</f>
        <v>120785.11412683869</v>
      </c>
      <c r="N179" s="85">
        <f>$L179*'MWh Impact Summary'!G$25</f>
        <v>8169.4389266301687</v>
      </c>
      <c r="O179" s="85">
        <f>$L179*'MWh Impact Summary'!H$25</f>
        <v>8204.9829596399431</v>
      </c>
      <c r="P179" s="85">
        <f>$L179*'MWh Impact Summary'!I$25</f>
        <v>1368.6161576145707</v>
      </c>
      <c r="Q179" s="85">
        <f>$L179*'MWh Impact Summary'!J$25</f>
        <v>37762.580299838621</v>
      </c>
      <c r="R179" s="85">
        <f>$L179*'MWh Impact Summary'!K$25</f>
        <v>16753.764299014165</v>
      </c>
      <c r="S179" s="85">
        <f>$L179*'MWh Impact Summary'!M$25</f>
        <v>19216.761900160702</v>
      </c>
      <c r="T179" s="85">
        <f>$L179*'MWh Impact Summary'!O$25</f>
        <v>60401.936978115438</v>
      </c>
      <c r="U179" s="85">
        <f t="shared" si="46"/>
        <v>272663.19564785226</v>
      </c>
      <c r="V179" s="81">
        <f t="shared" si="48"/>
        <v>1038257.1436790747</v>
      </c>
      <c r="W179" s="81"/>
      <c r="X179" s="262">
        <f>+'MWh by mo-WgtbyActulCDH&amp;Days'!AB181</f>
        <v>5072789.4203578094</v>
      </c>
      <c r="Y179" s="120">
        <f t="shared" si="55"/>
        <v>204.67183981901644</v>
      </c>
      <c r="Z179" s="87">
        <f t="shared" si="49"/>
        <v>6.8223946606338808E-3</v>
      </c>
      <c r="AA179" s="88">
        <f t="shared" si="53"/>
        <v>6.5309575087111119E-4</v>
      </c>
      <c r="AC179" s="89">
        <f t="shared" si="47"/>
        <v>19216.761900160702</v>
      </c>
      <c r="AD179" s="93"/>
      <c r="AE179" s="96">
        <f t="shared" si="57"/>
        <v>3.7882041432749332</v>
      </c>
      <c r="AF179" s="92">
        <f t="shared" si="56"/>
        <v>1.2627347144249777E-4</v>
      </c>
      <c r="AH179" s="123">
        <f t="shared" si="50"/>
        <v>6.8223946606338808E-3</v>
      </c>
      <c r="AI179" s="121">
        <f t="shared" si="51"/>
        <v>1038257.1436790747</v>
      </c>
    </row>
    <row r="180" spans="1:35">
      <c r="A180" s="78">
        <v>2019</v>
      </c>
      <c r="B180" s="78">
        <v>10</v>
      </c>
      <c r="C180" s="79">
        <f t="shared" si="58"/>
        <v>213.28592721551468</v>
      </c>
      <c r="D180" s="101">
        <f t="shared" si="54"/>
        <v>0.10218548323623593</v>
      </c>
      <c r="E180" s="100">
        <f>$D180*'MWh Impact Summary'!B$25</f>
        <v>291624.97567145398</v>
      </c>
      <c r="F180" s="81">
        <f>$D180*'MWh Impact Summary'!L$25</f>
        <v>7370.6984635236004</v>
      </c>
      <c r="G180" s="81">
        <f>$D180*'MWh Impact Summary'!C$25</f>
        <v>220154.17778161645</v>
      </c>
      <c r="H180" s="81">
        <f>$D180*'MWh Impact Summary'!D$25</f>
        <v>847.53505347714247</v>
      </c>
      <c r="I180" s="81">
        <f>$D180*'MWh Impact Summary'!E$25</f>
        <v>84683.376736769074</v>
      </c>
      <c r="J180" s="82">
        <f t="shared" si="45"/>
        <v>604680.76370684023</v>
      </c>
      <c r="K180" s="83">
        <v>31</v>
      </c>
      <c r="L180" s="97">
        <f>K180/(SUM(K171:K182))</f>
        <v>8.4931506849315067E-2</v>
      </c>
      <c r="M180" s="85">
        <f>$L180*'MWh Impact Summary'!F$25</f>
        <v>124811.28459773332</v>
      </c>
      <c r="N180" s="85">
        <f>$L180*'MWh Impact Summary'!G$25</f>
        <v>8441.7535575178408</v>
      </c>
      <c r="O180" s="85">
        <f>$L180*'MWh Impact Summary'!H$25</f>
        <v>8478.4823916279402</v>
      </c>
      <c r="P180" s="85">
        <f>$L180*'MWh Impact Summary'!I$25</f>
        <v>1414.2366962017231</v>
      </c>
      <c r="Q180" s="85">
        <f>$L180*'MWh Impact Summary'!J$25</f>
        <v>39021.332976499914</v>
      </c>
      <c r="R180" s="85">
        <f>$L180*'MWh Impact Summary'!K$25</f>
        <v>17312.223108981307</v>
      </c>
      <c r="S180" s="85">
        <f>$L180*'MWh Impact Summary'!M$25</f>
        <v>19857.320630166058</v>
      </c>
      <c r="T180" s="85">
        <f>$L180*'MWh Impact Summary'!O$25</f>
        <v>62415.334877385954</v>
      </c>
      <c r="U180" s="85">
        <f t="shared" si="46"/>
        <v>281751.96883611404</v>
      </c>
      <c r="V180" s="81">
        <f t="shared" si="48"/>
        <v>886432.73254295427</v>
      </c>
      <c r="W180" s="81"/>
      <c r="X180" s="262">
        <f>+'MWh by mo-WgtbyActulCDH&amp;Days'!AB182</f>
        <v>5078184.2010707669</v>
      </c>
      <c r="Y180" s="120">
        <f t="shared" si="55"/>
        <v>174.55702618192629</v>
      </c>
      <c r="Z180" s="87">
        <f t="shared" si="49"/>
        <v>5.6308718123202033E-3</v>
      </c>
      <c r="AA180" s="88">
        <f t="shared" si="53"/>
        <v>5.6767104761676259E-4</v>
      </c>
      <c r="AC180" s="89">
        <f t="shared" si="47"/>
        <v>19857.320630166058</v>
      </c>
      <c r="AD180" s="93"/>
      <c r="AE180" s="96">
        <f t="shared" si="57"/>
        <v>3.9103190912174903</v>
      </c>
      <c r="AF180" s="92">
        <f t="shared" si="56"/>
        <v>1.2613932552314486E-4</v>
      </c>
      <c r="AH180" s="123">
        <f t="shared" si="50"/>
        <v>5.6308718123202033E-3</v>
      </c>
      <c r="AI180" s="121">
        <f t="shared" si="51"/>
        <v>886432.73254295427</v>
      </c>
    </row>
    <row r="181" spans="1:35">
      <c r="A181" s="78">
        <v>2019</v>
      </c>
      <c r="B181" s="78">
        <v>11</v>
      </c>
      <c r="C181" s="79">
        <f t="shared" si="58"/>
        <v>110.23315885291359</v>
      </c>
      <c r="D181" s="101">
        <f t="shared" si="54"/>
        <v>5.2812807451003543E-2</v>
      </c>
      <c r="E181" s="100">
        <f>$D181*'MWh Impact Summary'!B$25</f>
        <v>150721.34710597098</v>
      </c>
      <c r="F181" s="81">
        <f>$D181*'MWh Impact Summary'!L$25</f>
        <v>3809.4185828094392</v>
      </c>
      <c r="G181" s="81">
        <f>$D181*'MWh Impact Summary'!C$25</f>
        <v>113782.89589172765</v>
      </c>
      <c r="H181" s="81">
        <f>$D181*'MWh Impact Summary'!D$25</f>
        <v>438.03389845292378</v>
      </c>
      <c r="I181" s="81">
        <f>$D181*'MWh Impact Summary'!E$25</f>
        <v>43767.14508028901</v>
      </c>
      <c r="J181" s="82">
        <f t="shared" si="45"/>
        <v>312518.84055925003</v>
      </c>
      <c r="K181" s="83">
        <v>30</v>
      </c>
      <c r="L181" s="97">
        <f>K181/(SUM(K171:K182))</f>
        <v>8.2191780821917804E-2</v>
      </c>
      <c r="M181" s="85">
        <f>$L181*'MWh Impact Summary'!F$25</f>
        <v>120785.11412683869</v>
      </c>
      <c r="N181" s="85">
        <f>$L181*'MWh Impact Summary'!G$25</f>
        <v>8169.4389266301687</v>
      </c>
      <c r="O181" s="85">
        <f>$L181*'MWh Impact Summary'!H$25</f>
        <v>8204.9829596399431</v>
      </c>
      <c r="P181" s="85">
        <f>$L181*'MWh Impact Summary'!I$25</f>
        <v>1368.6161576145707</v>
      </c>
      <c r="Q181" s="85">
        <f>$L181*'MWh Impact Summary'!J$25</f>
        <v>37762.580299838621</v>
      </c>
      <c r="R181" s="85">
        <f>$L181*'MWh Impact Summary'!K$25</f>
        <v>16753.764299014165</v>
      </c>
      <c r="S181" s="85">
        <f>$L181*'MWh Impact Summary'!M$25</f>
        <v>19216.761900160702</v>
      </c>
      <c r="T181" s="85">
        <f>$L181*'MWh Impact Summary'!O$25</f>
        <v>60401.936978115438</v>
      </c>
      <c r="U181" s="85">
        <f t="shared" si="46"/>
        <v>272663.19564785226</v>
      </c>
      <c r="V181" s="81">
        <f t="shared" si="48"/>
        <v>585182.03620710224</v>
      </c>
      <c r="W181" s="81"/>
      <c r="X181" s="262">
        <f>+'MWh by mo-WgtbyActulCDH&amp;Days'!AB183</f>
        <v>5083645.8651113315</v>
      </c>
      <c r="Y181" s="120">
        <f t="shared" si="55"/>
        <v>115.11070041742313</v>
      </c>
      <c r="Z181" s="87">
        <f t="shared" si="49"/>
        <v>3.8370233472474376E-3</v>
      </c>
      <c r="AA181" s="88">
        <f t="shared" si="53"/>
        <v>4.390162176849113E-4</v>
      </c>
      <c r="AC181" s="89">
        <f t="shared" si="47"/>
        <v>19216.761900160702</v>
      </c>
      <c r="AD181" s="93"/>
      <c r="AE181" s="96">
        <f t="shared" si="57"/>
        <v>3.7801141956098578</v>
      </c>
      <c r="AF181" s="92">
        <f t="shared" si="56"/>
        <v>1.2600380652032857E-4</v>
      </c>
      <c r="AH181" s="123">
        <f t="shared" si="50"/>
        <v>3.8370233472474376E-3</v>
      </c>
      <c r="AI181" s="121">
        <f t="shared" si="51"/>
        <v>585182.03620710224</v>
      </c>
    </row>
    <row r="182" spans="1:35">
      <c r="A182" s="78">
        <v>2019</v>
      </c>
      <c r="B182" s="78">
        <v>12</v>
      </c>
      <c r="C182" s="79">
        <f t="shared" si="58"/>
        <v>79.005079745838657</v>
      </c>
      <c r="D182" s="101">
        <f t="shared" si="54"/>
        <v>3.7851406125770058E-2</v>
      </c>
      <c r="E182" s="100">
        <f>$D182*'MWh Impact Summary'!B$25</f>
        <v>108023.3223053712</v>
      </c>
      <c r="F182" s="81">
        <f>$D182*'MWh Impact Summary'!L$25</f>
        <v>2730.2439851308372</v>
      </c>
      <c r="G182" s="81">
        <f>$D182*'MWh Impact Summary'!C$25</f>
        <v>81549.207672014381</v>
      </c>
      <c r="H182" s="81">
        <f>$D182*'MWh Impact Summary'!D$25</f>
        <v>313.94276857139289</v>
      </c>
      <c r="I182" s="81">
        <f>$D182*'MWh Impact Summary'!E$25</f>
        <v>31368.299913547555</v>
      </c>
      <c r="J182" s="82">
        <f t="shared" si="45"/>
        <v>223985.01664463535</v>
      </c>
      <c r="K182" s="83">
        <v>31</v>
      </c>
      <c r="L182" s="97">
        <f>K182/(SUM(K171:K182))</f>
        <v>8.4931506849315067E-2</v>
      </c>
      <c r="M182" s="85">
        <f>$L182*'MWh Impact Summary'!F$25</f>
        <v>124811.28459773332</v>
      </c>
      <c r="N182" s="85">
        <f>$L182*'MWh Impact Summary'!G$25</f>
        <v>8441.7535575178408</v>
      </c>
      <c r="O182" s="85">
        <f>$L182*'MWh Impact Summary'!H$25</f>
        <v>8478.4823916279402</v>
      </c>
      <c r="P182" s="85">
        <f>$L182*'MWh Impact Summary'!I$25</f>
        <v>1414.2366962017231</v>
      </c>
      <c r="Q182" s="85">
        <f>$L182*'MWh Impact Summary'!J$25</f>
        <v>39021.332976499914</v>
      </c>
      <c r="R182" s="85">
        <f>$L182*'MWh Impact Summary'!K$25</f>
        <v>17312.223108981307</v>
      </c>
      <c r="S182" s="85">
        <f>$L182*'MWh Impact Summary'!M$25</f>
        <v>19857.320630166058</v>
      </c>
      <c r="T182" s="85">
        <f>$L182*'MWh Impact Summary'!O$25</f>
        <v>62415.334877385954</v>
      </c>
      <c r="U182" s="85">
        <f t="shared" si="46"/>
        <v>281751.96883611404</v>
      </c>
      <c r="V182" s="81">
        <f t="shared" si="48"/>
        <v>505736.9854807494</v>
      </c>
      <c r="W182" s="81">
        <f>SUM(V171:V182)</f>
        <v>9234884.272384461</v>
      </c>
      <c r="X182" s="262">
        <f>+'MWh by mo-WgtbyActulCDH&amp;Days'!AB184</f>
        <v>5089162.3387235999</v>
      </c>
      <c r="Y182" s="120">
        <f t="shared" si="55"/>
        <v>99.375290434848267</v>
      </c>
      <c r="Z182" s="87">
        <f t="shared" si="49"/>
        <v>3.2056545301563958E-3</v>
      </c>
      <c r="AA182" s="88">
        <f t="shared" si="53"/>
        <v>3.9366553310888654E-4</v>
      </c>
      <c r="AC182" s="89">
        <f t="shared" si="47"/>
        <v>19857.320630166058</v>
      </c>
      <c r="AD182" s="90">
        <f>SUM(AC171:AC182)</f>
        <v>233803.93645195523</v>
      </c>
      <c r="AE182" s="96">
        <f t="shared" si="57"/>
        <v>3.9018839071159248</v>
      </c>
      <c r="AF182" s="92">
        <f t="shared" si="56"/>
        <v>1.2586722281019111E-4</v>
      </c>
      <c r="AH182" s="123">
        <f t="shared" si="50"/>
        <v>3.2056545301563958E-3</v>
      </c>
      <c r="AI182" s="121">
        <f t="shared" si="51"/>
        <v>505736.9854807494</v>
      </c>
    </row>
    <row r="183" spans="1:35">
      <c r="A183" s="78">
        <v>2020</v>
      </c>
      <c r="B183" s="78">
        <v>1</v>
      </c>
      <c r="C183" s="79">
        <f t="shared" si="58"/>
        <v>26.95686291874426</v>
      </c>
      <c r="D183" s="101">
        <f t="shared" si="54"/>
        <v>1.2915057734219224E-2</v>
      </c>
      <c r="E183" s="100">
        <f>$D183*'MWh Impact Summary'!B$26</f>
        <v>40204.778550293435</v>
      </c>
      <c r="F183" s="81">
        <f>$D183*'MWh Impact Summary'!L$26</f>
        <v>1124.3850317351144</v>
      </c>
      <c r="G183" s="81">
        <f>$D183*'MWh Impact Summary'!C$26</f>
        <v>29214.142375731109</v>
      </c>
      <c r="H183" s="81">
        <f>$D183*'MWh Impact Summary'!D$26</f>
        <v>117.96303617415771</v>
      </c>
      <c r="I183" s="81">
        <f>$D183*'MWh Impact Summary'!E$26</f>
        <v>10845.43516772059</v>
      </c>
      <c r="J183" s="82">
        <f t="shared" si="45"/>
        <v>81506.704161654401</v>
      </c>
      <c r="K183" s="83">
        <v>31</v>
      </c>
      <c r="L183" s="97">
        <f>K183/(SUM(K183:K194))</f>
        <v>8.4699453551912565E-2</v>
      </c>
      <c r="M183" s="85">
        <f>$L183*'MWh Impact Summary'!F$26</f>
        <v>135198.70467387207</v>
      </c>
      <c r="N183" s="85">
        <f>$L183*'MWh Impact Summary'!G$26</f>
        <v>11832.778480380553</v>
      </c>
      <c r="O183" s="85">
        <f>$L183*'MWh Impact Summary'!H$26</f>
        <v>8983.346128978561</v>
      </c>
      <c r="P183" s="85">
        <f>$L183*'MWh Impact Summary'!I$26</f>
        <v>1502.7175759444042</v>
      </c>
      <c r="Q183" s="85">
        <f>$L183*'MWh Impact Summary'!J$26</f>
        <v>43191.327555275435</v>
      </c>
      <c r="R183" s="85">
        <f>$L183*'MWh Impact Summary'!K$26</f>
        <v>21220.974320283272</v>
      </c>
      <c r="S183" s="85">
        <f>$L183*'MWh Impact Summary'!M$26</f>
        <v>23506.805879038871</v>
      </c>
      <c r="T183" s="85">
        <f>$L183*'MWh Impact Summary'!O$26</f>
        <v>87644.233818556851</v>
      </c>
      <c r="U183" s="85">
        <f t="shared" si="46"/>
        <v>333080.88843232999</v>
      </c>
      <c r="V183" s="81">
        <f t="shared" si="48"/>
        <v>414587.59259398439</v>
      </c>
      <c r="W183" s="81"/>
      <c r="X183" s="262">
        <f>+'MWh by mo-WgtbyActulCDH&amp;Days'!AB185</f>
        <v>5094859.9289051732</v>
      </c>
      <c r="Y183" s="120">
        <f t="shared" si="55"/>
        <v>81.3736978796735</v>
      </c>
      <c r="Z183" s="87">
        <f t="shared" si="49"/>
        <v>2.6249579961185E-3</v>
      </c>
      <c r="AA183" s="88">
        <f t="shared" si="53"/>
        <v>3.271673837512575E-4</v>
      </c>
      <c r="AC183" s="89">
        <f t="shared" si="47"/>
        <v>23506.805879038871</v>
      </c>
      <c r="AD183" s="93"/>
      <c r="AE183" s="96">
        <f t="shared" si="57"/>
        <v>4.6138277022446452</v>
      </c>
      <c r="AF183" s="92">
        <f t="shared" si="56"/>
        <v>1.4883315168531114E-4</v>
      </c>
      <c r="AH183" s="123">
        <f t="shared" si="50"/>
        <v>2.6249579961185E-3</v>
      </c>
      <c r="AI183" s="121">
        <f t="shared" si="51"/>
        <v>414587.59259398439</v>
      </c>
    </row>
    <row r="184" spans="1:35">
      <c r="A184" s="78">
        <v>2020</v>
      </c>
      <c r="B184" s="78">
        <v>2</v>
      </c>
      <c r="C184" s="79">
        <f t="shared" si="58"/>
        <v>57.510679559652473</v>
      </c>
      <c r="D184" s="101">
        <f t="shared" si="54"/>
        <v>2.7553419293853541E-2</v>
      </c>
      <c r="E184" s="100">
        <f>$D184*'MWh Impact Summary'!B$26</f>
        <v>85774.229106048559</v>
      </c>
      <c r="F184" s="81">
        <f>$D184*'MWh Impact Summary'!L$26</f>
        <v>2398.8009085739754</v>
      </c>
      <c r="G184" s="81">
        <f>$D184*'MWh Impact Summary'!C$26</f>
        <v>62326.435603620383</v>
      </c>
      <c r="H184" s="81">
        <f>$D184*'MWh Impact Summary'!D$26</f>
        <v>251.66631568906996</v>
      </c>
      <c r="I184" s="81">
        <f>$D184*'MWh Impact Summary'!E$26</f>
        <v>23138.016782437237</v>
      </c>
      <c r="J184" s="82">
        <f t="shared" si="45"/>
        <v>173889.14871636924</v>
      </c>
      <c r="K184" s="83">
        <v>29</v>
      </c>
      <c r="L184" s="97">
        <f>K184/(SUM(K183:K194))</f>
        <v>7.9234972677595633E-2</v>
      </c>
      <c r="M184" s="85">
        <f>$L184*'MWh Impact Summary'!F$26</f>
        <v>126476.20759813841</v>
      </c>
      <c r="N184" s="85">
        <f>$L184*'MWh Impact Summary'!G$26</f>
        <v>11069.373417130197</v>
      </c>
      <c r="O184" s="85">
        <f>$L184*'MWh Impact Summary'!H$26</f>
        <v>8403.7754109799462</v>
      </c>
      <c r="P184" s="85">
        <f>$L184*'MWh Impact Summary'!I$26</f>
        <v>1405.768054915733</v>
      </c>
      <c r="Q184" s="85">
        <f>$L184*'MWh Impact Summary'!J$26</f>
        <v>40404.790293644764</v>
      </c>
      <c r="R184" s="85">
        <f>$L184*'MWh Impact Summary'!K$26</f>
        <v>19851.879202845645</v>
      </c>
      <c r="S184" s="85">
        <f>$L184*'MWh Impact Summary'!M$26</f>
        <v>21990.237757810559</v>
      </c>
      <c r="T184" s="85">
        <f>$L184*'MWh Impact Summary'!O$26</f>
        <v>81989.767120585442</v>
      </c>
      <c r="U184" s="85">
        <f t="shared" si="46"/>
        <v>311591.79885605071</v>
      </c>
      <c r="V184" s="81">
        <f t="shared" si="48"/>
        <v>485480.94757241994</v>
      </c>
      <c r="W184" s="81"/>
      <c r="X184" s="262">
        <f>+'MWh by mo-WgtbyActulCDH&amp;Days'!AB186</f>
        <v>5100381.4721688107</v>
      </c>
      <c r="Y184" s="120">
        <f t="shared" si="55"/>
        <v>95.185222952741455</v>
      </c>
      <c r="Z184" s="87">
        <f t="shared" si="49"/>
        <v>3.2822490673359121E-3</v>
      </c>
      <c r="AA184" s="88">
        <f t="shared" si="53"/>
        <v>3.2000883461556209E-4</v>
      </c>
      <c r="AC184" s="89">
        <f t="shared" si="47"/>
        <v>21990.237757810559</v>
      </c>
      <c r="AD184" s="93"/>
      <c r="AE184" s="96">
        <f t="shared" si="57"/>
        <v>4.3114888323166456</v>
      </c>
      <c r="AF184" s="92">
        <f t="shared" si="56"/>
        <v>1.4867202870057401E-4</v>
      </c>
      <c r="AH184" s="123">
        <f t="shared" si="50"/>
        <v>3.2822490673359121E-3</v>
      </c>
      <c r="AI184" s="121">
        <f t="shared" si="51"/>
        <v>485480.94757241994</v>
      </c>
    </row>
    <row r="185" spans="1:35">
      <c r="A185" s="78">
        <v>2020</v>
      </c>
      <c r="B185" s="78">
        <v>3</v>
      </c>
      <c r="C185" s="79">
        <f t="shared" si="58"/>
        <v>62.20178223460303</v>
      </c>
      <c r="D185" s="101">
        <f t="shared" si="54"/>
        <v>2.9800930885493855E-2</v>
      </c>
      <c r="E185" s="100">
        <f>$D185*'MWh Impact Summary'!B$26</f>
        <v>92770.768160744396</v>
      </c>
      <c r="F185" s="81">
        <f>$D185*'MWh Impact Summary'!L$26</f>
        <v>2594.4692860831146</v>
      </c>
      <c r="G185" s="81">
        <f>$D185*'MWh Impact Summary'!C$26</f>
        <v>67410.355860153068</v>
      </c>
      <c r="H185" s="81">
        <f>$D185*'MWh Impact Summary'!D$26</f>
        <v>272.19454689349152</v>
      </c>
      <c r="I185" s="81">
        <f>$D185*'MWh Impact Summary'!E$26</f>
        <v>25025.367327626969</v>
      </c>
      <c r="J185" s="82">
        <f t="shared" si="45"/>
        <v>188073.15518150103</v>
      </c>
      <c r="K185" s="83">
        <v>31</v>
      </c>
      <c r="L185" s="97">
        <f>K185/(SUM(K183:K194))</f>
        <v>8.4699453551912565E-2</v>
      </c>
      <c r="M185" s="85">
        <f>$L185*'MWh Impact Summary'!F$26</f>
        <v>135198.70467387207</v>
      </c>
      <c r="N185" s="85">
        <f>$L185*'MWh Impact Summary'!G$26</f>
        <v>11832.778480380553</v>
      </c>
      <c r="O185" s="85">
        <f>$L185*'MWh Impact Summary'!H$26</f>
        <v>8983.346128978561</v>
      </c>
      <c r="P185" s="85">
        <f>$L185*'MWh Impact Summary'!I$26</f>
        <v>1502.7175759444042</v>
      </c>
      <c r="Q185" s="85">
        <f>$L185*'MWh Impact Summary'!J$26</f>
        <v>43191.327555275435</v>
      </c>
      <c r="R185" s="85">
        <f>$L185*'MWh Impact Summary'!K$26</f>
        <v>21220.974320283272</v>
      </c>
      <c r="S185" s="85">
        <f>$L185*'MWh Impact Summary'!M$26</f>
        <v>23506.805879038871</v>
      </c>
      <c r="T185" s="85">
        <f>$L185*'MWh Impact Summary'!O$26</f>
        <v>87644.233818556851</v>
      </c>
      <c r="U185" s="85">
        <f t="shared" si="46"/>
        <v>333080.88843232999</v>
      </c>
      <c r="V185" s="81">
        <f t="shared" si="48"/>
        <v>521154.04361383105</v>
      </c>
      <c r="W185" s="81"/>
      <c r="X185" s="262">
        <f>+'MWh by mo-WgtbyActulCDH&amp;Days'!AB187</f>
        <v>5106049.1589007676</v>
      </c>
      <c r="Y185" s="120">
        <f t="shared" si="55"/>
        <v>102.06600590700644</v>
      </c>
      <c r="Z185" s="87">
        <f t="shared" si="49"/>
        <v>3.2924518034518208E-3</v>
      </c>
      <c r="AA185" s="88">
        <f t="shared" si="53"/>
        <v>3.6034085779032988E-4</v>
      </c>
      <c r="AC185" s="89">
        <f t="shared" si="47"/>
        <v>23506.805879038871</v>
      </c>
      <c r="AD185" s="93"/>
      <c r="AE185" s="96">
        <f t="shared" si="57"/>
        <v>4.6037171103341716</v>
      </c>
      <c r="AF185" s="92">
        <f t="shared" si="56"/>
        <v>1.4850700355916683E-4</v>
      </c>
      <c r="AH185" s="123">
        <f t="shared" si="50"/>
        <v>3.2924518034518208E-3</v>
      </c>
      <c r="AI185" s="121">
        <f t="shared" si="51"/>
        <v>521154.04361383105</v>
      </c>
    </row>
    <row r="186" spans="1:35">
      <c r="A186" s="78">
        <v>2020</v>
      </c>
      <c r="B186" s="78">
        <v>4</v>
      </c>
      <c r="C186" s="79">
        <f t="shared" si="58"/>
        <v>137.13602413996043</v>
      </c>
      <c r="D186" s="101">
        <f t="shared" si="54"/>
        <v>6.5701994870379921E-2</v>
      </c>
      <c r="E186" s="100">
        <f>$D186*'MWh Impact Summary'!B$26</f>
        <v>204531.34693136025</v>
      </c>
      <c r="F186" s="81">
        <f>$D186*'MWh Impact Summary'!L$26</f>
        <v>5720.0162095797632</v>
      </c>
      <c r="G186" s="81">
        <f>$D186*'MWh Impact Summary'!C$26</f>
        <v>148619.34588392859</v>
      </c>
      <c r="H186" s="81">
        <f>$D186*'MWh Impact Summary'!D$26</f>
        <v>600.10624474978385</v>
      </c>
      <c r="I186" s="81">
        <f>$D186*'MWh Impact Summary'!E$26</f>
        <v>55173.328716032578</v>
      </c>
      <c r="J186" s="82">
        <f t="shared" si="45"/>
        <v>414644.14398565097</v>
      </c>
      <c r="K186" s="83">
        <v>30</v>
      </c>
      <c r="L186" s="97">
        <f>K186/(SUM(K183:K194))</f>
        <v>8.1967213114754092E-2</v>
      </c>
      <c r="M186" s="85">
        <f>$L186*'MWh Impact Summary'!F$26</f>
        <v>130837.45613600523</v>
      </c>
      <c r="N186" s="85">
        <f>$L186*'MWh Impact Summary'!G$26</f>
        <v>11451.075948755373</v>
      </c>
      <c r="O186" s="85">
        <f>$L186*'MWh Impact Summary'!H$26</f>
        <v>8693.5607699792527</v>
      </c>
      <c r="P186" s="85">
        <f>$L186*'MWh Impact Summary'!I$26</f>
        <v>1454.2428154300685</v>
      </c>
      <c r="Q186" s="85">
        <f>$L186*'MWh Impact Summary'!J$26</f>
        <v>41798.058924460092</v>
      </c>
      <c r="R186" s="85">
        <f>$L186*'MWh Impact Summary'!K$26</f>
        <v>20536.426761564457</v>
      </c>
      <c r="S186" s="85">
        <f>$L186*'MWh Impact Summary'!M$26</f>
        <v>22748.521818424713</v>
      </c>
      <c r="T186" s="85">
        <f>$L186*'MWh Impact Summary'!O$26</f>
        <v>84817.00046957114</v>
      </c>
      <c r="U186" s="85">
        <f t="shared" si="46"/>
        <v>322336.34364419035</v>
      </c>
      <c r="V186" s="81">
        <f t="shared" si="48"/>
        <v>736980.48762984131</v>
      </c>
      <c r="W186" s="81"/>
      <c r="X186" s="262">
        <f>+'MWh by mo-WgtbyActulCDH&amp;Days'!AB188</f>
        <v>5111527.3694814648</v>
      </c>
      <c r="Y186" s="120">
        <f t="shared" si="55"/>
        <v>144.18009224209706</v>
      </c>
      <c r="Z186" s="87">
        <f t="shared" si="49"/>
        <v>4.8060030747365682E-3</v>
      </c>
      <c r="AA186" s="88">
        <f t="shared" si="53"/>
        <v>4.3600525964513498E-4</v>
      </c>
      <c r="AC186" s="89">
        <f t="shared" si="47"/>
        <v>22748.521818424713</v>
      </c>
      <c r="AD186" s="93"/>
      <c r="AE186" s="96">
        <f t="shared" si="57"/>
        <v>4.4504352953767752</v>
      </c>
      <c r="AF186" s="92">
        <f t="shared" si="56"/>
        <v>1.4834784317922583E-4</v>
      </c>
      <c r="AH186" s="123">
        <f t="shared" si="50"/>
        <v>4.8060030747365682E-3</v>
      </c>
      <c r="AI186" s="121">
        <f t="shared" si="51"/>
        <v>736980.48762984131</v>
      </c>
    </row>
    <row r="187" spans="1:35">
      <c r="A187" s="78">
        <v>2020</v>
      </c>
      <c r="B187" s="78">
        <v>5</v>
      </c>
      <c r="C187" s="79">
        <f t="shared" si="58"/>
        <v>220.65709530534707</v>
      </c>
      <c r="D187" s="101">
        <f t="shared" si="54"/>
        <v>0.10571701662481223</v>
      </c>
      <c r="E187" s="100">
        <f>$D187*'MWh Impact Summary'!B$26</f>
        <v>329098.74116449058</v>
      </c>
      <c r="F187" s="81">
        <f>$D187*'MWh Impact Summary'!L$26</f>
        <v>9203.7243300652699</v>
      </c>
      <c r="G187" s="81">
        <f>$D187*'MWh Impact Summary'!C$26</f>
        <v>239134.19814081126</v>
      </c>
      <c r="H187" s="81">
        <f>$D187*'MWh Impact Summary'!D$26</f>
        <v>965.59384502748935</v>
      </c>
      <c r="I187" s="81">
        <f>$D187*'MWh Impact Summary'!E$26</f>
        <v>88775.991058204512</v>
      </c>
      <c r="J187" s="82">
        <f t="shared" si="45"/>
        <v>667178.24853859912</v>
      </c>
      <c r="K187" s="83">
        <v>31</v>
      </c>
      <c r="L187" s="97">
        <f>K187/(SUM(K183:K194))</f>
        <v>8.4699453551912565E-2</v>
      </c>
      <c r="M187" s="85">
        <f>$L187*'MWh Impact Summary'!F$26</f>
        <v>135198.70467387207</v>
      </c>
      <c r="N187" s="85">
        <f>$L187*'MWh Impact Summary'!G$26</f>
        <v>11832.778480380553</v>
      </c>
      <c r="O187" s="85">
        <f>$L187*'MWh Impact Summary'!H$26</f>
        <v>8983.346128978561</v>
      </c>
      <c r="P187" s="85">
        <f>$L187*'MWh Impact Summary'!I$26</f>
        <v>1502.7175759444042</v>
      </c>
      <c r="Q187" s="85">
        <f>$L187*'MWh Impact Summary'!J$26</f>
        <v>43191.327555275435</v>
      </c>
      <c r="R187" s="85">
        <f>$L187*'MWh Impact Summary'!K$26</f>
        <v>21220.974320283272</v>
      </c>
      <c r="S187" s="85">
        <f>$L187*'MWh Impact Summary'!M$26</f>
        <v>23506.805879038871</v>
      </c>
      <c r="T187" s="85">
        <f>$L187*'MWh Impact Summary'!O$26</f>
        <v>87644.233818556851</v>
      </c>
      <c r="U187" s="85">
        <f t="shared" si="46"/>
        <v>333080.88843232999</v>
      </c>
      <c r="V187" s="81">
        <f t="shared" si="48"/>
        <v>1000259.1369709291</v>
      </c>
      <c r="W187" s="81"/>
      <c r="X187" s="262">
        <f>+'MWh by mo-WgtbyActulCDH&amp;Days'!AB189</f>
        <v>5116441.1678385669</v>
      </c>
      <c r="Y187" s="120">
        <f t="shared" si="55"/>
        <v>195.49900099671959</v>
      </c>
      <c r="Z187" s="87">
        <f t="shared" si="49"/>
        <v>6.3064193869909546E-3</v>
      </c>
      <c r="AA187" s="88">
        <f t="shared" si="53"/>
        <v>5.1139801580151086E-4</v>
      </c>
      <c r="AC187" s="89">
        <f t="shared" si="47"/>
        <v>23506.805879038871</v>
      </c>
      <c r="AD187" s="93"/>
      <c r="AE187" s="96">
        <f t="shared" si="57"/>
        <v>4.594366495758865</v>
      </c>
      <c r="AF187" s="92">
        <f t="shared" si="56"/>
        <v>1.4820537083093114E-4</v>
      </c>
      <c r="AH187" s="123">
        <f t="shared" si="50"/>
        <v>6.3064193869909546E-3</v>
      </c>
      <c r="AI187" s="121">
        <f t="shared" si="51"/>
        <v>1000259.1369709291</v>
      </c>
    </row>
    <row r="188" spans="1:35">
      <c r="A188" s="78">
        <v>2020</v>
      </c>
      <c r="B188" s="78">
        <v>6</v>
      </c>
      <c r="C188" s="79">
        <f t="shared" si="58"/>
        <v>247.5875604864128</v>
      </c>
      <c r="D188" s="101">
        <f t="shared" si="54"/>
        <v>0.11861942717871234</v>
      </c>
      <c r="E188" s="100">
        <f>$D188*'MWh Impact Summary'!B$26</f>
        <v>369264.14884285454</v>
      </c>
      <c r="F188" s="81">
        <f>$D188*'MWh Impact Summary'!L$26</f>
        <v>10327.008298178594</v>
      </c>
      <c r="G188" s="81">
        <f>$D188*'MWh Impact Summary'!C$26</f>
        <v>268319.73231872416</v>
      </c>
      <c r="H188" s="81">
        <f>$D188*'MWh Impact Summary'!D$26</f>
        <v>1083.4413648934596</v>
      </c>
      <c r="I188" s="81">
        <f>$D188*'MWh Impact Summary'!E$26</f>
        <v>99610.805741136865</v>
      </c>
      <c r="J188" s="82">
        <f t="shared" si="45"/>
        <v>748605.13656578772</v>
      </c>
      <c r="K188" s="83">
        <v>30</v>
      </c>
      <c r="L188" s="97">
        <f>K188/(SUM(K183:K194))</f>
        <v>8.1967213114754092E-2</v>
      </c>
      <c r="M188" s="85">
        <f>$L188*'MWh Impact Summary'!F$26</f>
        <v>130837.45613600523</v>
      </c>
      <c r="N188" s="85">
        <f>$L188*'MWh Impact Summary'!G$26</f>
        <v>11451.075948755373</v>
      </c>
      <c r="O188" s="85">
        <f>$L188*'MWh Impact Summary'!H$26</f>
        <v>8693.5607699792527</v>
      </c>
      <c r="P188" s="85">
        <f>$L188*'MWh Impact Summary'!I$26</f>
        <v>1454.2428154300685</v>
      </c>
      <c r="Q188" s="85">
        <f>$L188*'MWh Impact Summary'!J$26</f>
        <v>41798.058924460092</v>
      </c>
      <c r="R188" s="85">
        <f>$L188*'MWh Impact Summary'!K$26</f>
        <v>20536.426761564457</v>
      </c>
      <c r="S188" s="85">
        <f>$L188*'MWh Impact Summary'!M$26</f>
        <v>22748.521818424713</v>
      </c>
      <c r="T188" s="85">
        <f>$L188*'MWh Impact Summary'!O$26</f>
        <v>84817.00046957114</v>
      </c>
      <c r="U188" s="85">
        <f t="shared" si="46"/>
        <v>322336.34364419035</v>
      </c>
      <c r="V188" s="81">
        <f t="shared" si="48"/>
        <v>1070941.4802099781</v>
      </c>
      <c r="W188" s="81"/>
      <c r="X188" s="262">
        <f>+'MWh by mo-WgtbyActulCDH&amp;Days'!AB190</f>
        <v>5121360.7767743841</v>
      </c>
      <c r="Y188" s="120">
        <f t="shared" si="55"/>
        <v>209.11268057246599</v>
      </c>
      <c r="Z188" s="87">
        <f t="shared" si="49"/>
        <v>6.970422685748867E-3</v>
      </c>
      <c r="AA188" s="88">
        <f t="shared" si="53"/>
        <v>5.4502034077116932E-4</v>
      </c>
      <c r="AC188" s="89">
        <f t="shared" si="47"/>
        <v>22748.521818424713</v>
      </c>
      <c r="AD188" s="93"/>
      <c r="AE188" s="96">
        <f t="shared" si="57"/>
        <v>4.4418901167030347</v>
      </c>
      <c r="AF188" s="92">
        <f t="shared" si="56"/>
        <v>1.4806300389010117E-4</v>
      </c>
      <c r="AH188" s="123">
        <f t="shared" si="50"/>
        <v>6.970422685748867E-3</v>
      </c>
      <c r="AI188" s="121">
        <f t="shared" si="51"/>
        <v>1070941.4802099781</v>
      </c>
    </row>
    <row r="189" spans="1:35">
      <c r="A189" s="78">
        <v>2020</v>
      </c>
      <c r="B189" s="78">
        <v>7</v>
      </c>
      <c r="C189" s="79">
        <f t="shared" si="58"/>
        <v>311.6666769190017</v>
      </c>
      <c r="D189" s="101">
        <f t="shared" si="54"/>
        <v>0.1493197905993085</v>
      </c>
      <c r="E189" s="100">
        <f>$D189*'MWh Impact Summary'!B$26</f>
        <v>464834.86468009331</v>
      </c>
      <c r="F189" s="81">
        <f>$D189*'MWh Impact Summary'!L$26</f>
        <v>12999.78218810758</v>
      </c>
      <c r="G189" s="81">
        <f>$D189*'MWh Impact Summary'!C$26</f>
        <v>337764.62419711147</v>
      </c>
      <c r="H189" s="81">
        <f>$D189*'MWh Impact Summary'!D$26</f>
        <v>1363.8511125903801</v>
      </c>
      <c r="I189" s="81">
        <f>$D189*'MWh Impact Summary'!E$26</f>
        <v>125391.47261507131</v>
      </c>
      <c r="J189" s="82">
        <f t="shared" si="45"/>
        <v>942354.59479297407</v>
      </c>
      <c r="K189" s="83">
        <v>31</v>
      </c>
      <c r="L189" s="97">
        <f>K189/(SUM(K183:K194))</f>
        <v>8.4699453551912565E-2</v>
      </c>
      <c r="M189" s="85">
        <f>$L189*'MWh Impact Summary'!F$26</f>
        <v>135198.70467387207</v>
      </c>
      <c r="N189" s="85">
        <f>$L189*'MWh Impact Summary'!G$26</f>
        <v>11832.778480380553</v>
      </c>
      <c r="O189" s="85">
        <f>$L189*'MWh Impact Summary'!H$26</f>
        <v>8983.346128978561</v>
      </c>
      <c r="P189" s="85">
        <f>$L189*'MWh Impact Summary'!I$26</f>
        <v>1502.7175759444042</v>
      </c>
      <c r="Q189" s="85">
        <f>$L189*'MWh Impact Summary'!J$26</f>
        <v>43191.327555275435</v>
      </c>
      <c r="R189" s="85">
        <f>$L189*'MWh Impact Summary'!K$26</f>
        <v>21220.974320283272</v>
      </c>
      <c r="S189" s="85">
        <f>$L189*'MWh Impact Summary'!M$26</f>
        <v>23506.805879038871</v>
      </c>
      <c r="T189" s="85">
        <f>$L189*'MWh Impact Summary'!O$26</f>
        <v>87644.233818556851</v>
      </c>
      <c r="U189" s="85">
        <f t="shared" si="46"/>
        <v>333080.88843232999</v>
      </c>
      <c r="V189" s="81">
        <f t="shared" si="48"/>
        <v>1275435.4832253042</v>
      </c>
      <c r="W189" s="81"/>
      <c r="X189" s="262">
        <f>+'MWh by mo-WgtbyActulCDH&amp;Days'!AB191</f>
        <v>5126615.2635603016</v>
      </c>
      <c r="Y189" s="120">
        <f t="shared" si="55"/>
        <v>248.78704908695394</v>
      </c>
      <c r="Z189" s="87">
        <f t="shared" si="49"/>
        <v>8.0253886802243209E-3</v>
      </c>
      <c r="AA189" s="88">
        <f t="shared" si="53"/>
        <v>5.9863102670003505E-4</v>
      </c>
      <c r="AC189" s="89">
        <f t="shared" si="47"/>
        <v>23506.805879038871</v>
      </c>
      <c r="AD189" s="93"/>
      <c r="AE189" s="96">
        <f t="shared" si="57"/>
        <v>4.5852486817421134</v>
      </c>
      <c r="AF189" s="92">
        <f t="shared" si="56"/>
        <v>1.4791124779813268E-4</v>
      </c>
      <c r="AH189" s="123">
        <f t="shared" si="50"/>
        <v>8.0253886802243209E-3</v>
      </c>
      <c r="AI189" s="121">
        <f t="shared" si="51"/>
        <v>1275435.4832253042</v>
      </c>
    </row>
    <row r="190" spans="1:35">
      <c r="A190" s="78">
        <v>2020</v>
      </c>
      <c r="B190" s="78">
        <v>8</v>
      </c>
      <c r="C190" s="79">
        <f t="shared" si="58"/>
        <v>350.95807565684066</v>
      </c>
      <c r="D190" s="101">
        <f t="shared" si="54"/>
        <v>0.16814433575083526</v>
      </c>
      <c r="E190" s="100">
        <f>$D190*'MWh Impact Summary'!B$26</f>
        <v>523435.97082318459</v>
      </c>
      <c r="F190" s="81">
        <f>$D190*'MWh Impact Summary'!L$26</f>
        <v>14638.647242618163</v>
      </c>
      <c r="G190" s="81">
        <f>$D190*'MWh Impact Summary'!C$26</f>
        <v>380346.15604407911</v>
      </c>
      <c r="H190" s="81">
        <f>$D190*'MWh Impact Summary'!D$26</f>
        <v>1535.7899878451149</v>
      </c>
      <c r="I190" s="81">
        <f>$D190*'MWh Impact Summary'!E$26</f>
        <v>141199.40690419005</v>
      </c>
      <c r="J190" s="82">
        <f t="shared" si="45"/>
        <v>1061155.971001917</v>
      </c>
      <c r="K190" s="83">
        <v>31</v>
      </c>
      <c r="L190" s="97">
        <f>K190/(SUM(K183:K194))</f>
        <v>8.4699453551912565E-2</v>
      </c>
      <c r="M190" s="85">
        <f>$L190*'MWh Impact Summary'!F$26</f>
        <v>135198.70467387207</v>
      </c>
      <c r="N190" s="85">
        <f>$L190*'MWh Impact Summary'!G$26</f>
        <v>11832.778480380553</v>
      </c>
      <c r="O190" s="85">
        <f>$L190*'MWh Impact Summary'!H$26</f>
        <v>8983.346128978561</v>
      </c>
      <c r="P190" s="85">
        <f>$L190*'MWh Impact Summary'!I$26</f>
        <v>1502.7175759444042</v>
      </c>
      <c r="Q190" s="85">
        <f>$L190*'MWh Impact Summary'!J$26</f>
        <v>43191.327555275435</v>
      </c>
      <c r="R190" s="85">
        <f>$L190*'MWh Impact Summary'!K$26</f>
        <v>21220.974320283272</v>
      </c>
      <c r="S190" s="85">
        <f>$L190*'MWh Impact Summary'!M$26</f>
        <v>23506.805879038871</v>
      </c>
      <c r="T190" s="85">
        <f>$L190*'MWh Impact Summary'!O$26</f>
        <v>87644.233818556851</v>
      </c>
      <c r="U190" s="85">
        <f t="shared" si="46"/>
        <v>333080.88843232999</v>
      </c>
      <c r="V190" s="81">
        <f t="shared" si="48"/>
        <v>1394236.859434247</v>
      </c>
      <c r="W190" s="81"/>
      <c r="X190" s="262">
        <f>+'MWh by mo-WgtbyActulCDH&amp;Days'!AB192</f>
        <v>5132042.3812502129</v>
      </c>
      <c r="Y190" s="120">
        <f t="shared" si="55"/>
        <v>271.67290444210988</v>
      </c>
      <c r="Z190" s="87">
        <f t="shared" si="49"/>
        <v>8.7636420787777381E-3</v>
      </c>
      <c r="AA190" s="88">
        <f t="shared" si="53"/>
        <v>6.3662029757066176E-4</v>
      </c>
      <c r="AC190" s="89">
        <f t="shared" si="47"/>
        <v>23506.805879038871</v>
      </c>
      <c r="AD190" s="93"/>
      <c r="AE190" s="96">
        <f t="shared" si="57"/>
        <v>4.5803997965645005</v>
      </c>
      <c r="AF190" s="92">
        <f t="shared" si="56"/>
        <v>1.4775483214724195E-4</v>
      </c>
      <c r="AH190" s="123">
        <f t="shared" si="50"/>
        <v>8.7636420787777381E-3</v>
      </c>
      <c r="AI190" s="121">
        <f t="shared" si="51"/>
        <v>1394236.859434247</v>
      </c>
    </row>
    <row r="191" spans="1:35">
      <c r="A191" s="78">
        <v>2020</v>
      </c>
      <c r="B191" s="78">
        <v>9</v>
      </c>
      <c r="C191" s="79">
        <f t="shared" si="58"/>
        <v>270.04400483226198</v>
      </c>
      <c r="D191" s="101">
        <f t="shared" si="54"/>
        <v>0.12937833024937548</v>
      </c>
      <c r="E191" s="100">
        <f>$D191*'MWh Impact Summary'!B$26</f>
        <v>402756.78389736085</v>
      </c>
      <c r="F191" s="81">
        <f>$D191*'MWh Impact Summary'!L$26</f>
        <v>11263.678487309106</v>
      </c>
      <c r="G191" s="81">
        <f>$D191*'MWh Impact Summary'!C$26</f>
        <v>292656.605802476</v>
      </c>
      <c r="H191" s="81">
        <f>$D191*'MWh Impact Summary'!D$26</f>
        <v>1181.7106021076454</v>
      </c>
      <c r="I191" s="81">
        <f>$D191*'MWh Impact Summary'!E$26</f>
        <v>108645.60745321153</v>
      </c>
      <c r="J191" s="82">
        <f t="shared" si="45"/>
        <v>816504.38624246523</v>
      </c>
      <c r="K191" s="83">
        <v>30</v>
      </c>
      <c r="L191" s="97">
        <f>K191/(SUM(K183:K194))</f>
        <v>8.1967213114754092E-2</v>
      </c>
      <c r="M191" s="85">
        <f>$L191*'MWh Impact Summary'!F$26</f>
        <v>130837.45613600523</v>
      </c>
      <c r="N191" s="85">
        <f>$L191*'MWh Impact Summary'!G$26</f>
        <v>11451.075948755373</v>
      </c>
      <c r="O191" s="85">
        <f>$L191*'MWh Impact Summary'!H$26</f>
        <v>8693.5607699792527</v>
      </c>
      <c r="P191" s="85">
        <f>$L191*'MWh Impact Summary'!I$26</f>
        <v>1454.2428154300685</v>
      </c>
      <c r="Q191" s="85">
        <f>$L191*'MWh Impact Summary'!J$26</f>
        <v>41798.058924460092</v>
      </c>
      <c r="R191" s="85">
        <f>$L191*'MWh Impact Summary'!K$26</f>
        <v>20536.426761564457</v>
      </c>
      <c r="S191" s="85">
        <f>$L191*'MWh Impact Summary'!M$26</f>
        <v>22748.521818424713</v>
      </c>
      <c r="T191" s="85">
        <f>$L191*'MWh Impact Summary'!O$26</f>
        <v>84817.00046957114</v>
      </c>
      <c r="U191" s="85">
        <f t="shared" si="46"/>
        <v>322336.34364419035</v>
      </c>
      <c r="V191" s="81">
        <f t="shared" si="48"/>
        <v>1138840.7298866557</v>
      </c>
      <c r="W191" s="81"/>
      <c r="X191" s="262">
        <f>+'MWh by mo-WgtbyActulCDH&amp;Days'!AB193</f>
        <v>5136848.4535763171</v>
      </c>
      <c r="Y191" s="120">
        <f t="shared" si="55"/>
        <v>221.70027793866205</v>
      </c>
      <c r="Z191" s="87">
        <f t="shared" si="49"/>
        <v>7.3900092646220685E-3</v>
      </c>
      <c r="AA191" s="88">
        <f t="shared" si="53"/>
        <v>5.6761460398818773E-4</v>
      </c>
      <c r="AC191" s="89">
        <f t="shared" si="47"/>
        <v>22748.521818424713</v>
      </c>
      <c r="AD191" s="93"/>
      <c r="AE191" s="96">
        <f t="shared" si="57"/>
        <v>4.4284977499359552</v>
      </c>
      <c r="AF191" s="92">
        <f t="shared" si="56"/>
        <v>1.4761659166453184E-4</v>
      </c>
      <c r="AH191" s="123">
        <f t="shared" si="50"/>
        <v>7.3900092646220685E-3</v>
      </c>
      <c r="AI191" s="121">
        <f t="shared" si="51"/>
        <v>1138840.7298866557</v>
      </c>
    </row>
    <row r="192" spans="1:35">
      <c r="A192" s="78">
        <v>2020</v>
      </c>
      <c r="B192" s="78">
        <v>10</v>
      </c>
      <c r="C192" s="79">
        <f t="shared" si="58"/>
        <v>213.28592721551468</v>
      </c>
      <c r="D192" s="101">
        <f t="shared" si="54"/>
        <v>0.10218548323623593</v>
      </c>
      <c r="E192" s="100">
        <f>$D192*'MWh Impact Summary'!B$26</f>
        <v>318105.02199167723</v>
      </c>
      <c r="F192" s="81">
        <f>$D192*'MWh Impact Summary'!L$26</f>
        <v>8896.269004436559</v>
      </c>
      <c r="G192" s="81">
        <f>$D192*'MWh Impact Summary'!C$26</f>
        <v>231145.79256480219</v>
      </c>
      <c r="H192" s="81">
        <f>$D192*'MWh Impact Summary'!D$26</f>
        <v>933.33766704981838</v>
      </c>
      <c r="I192" s="81">
        <f>$D192*'MWh Impact Summary'!E$26</f>
        <v>85810.381674441247</v>
      </c>
      <c r="J192" s="82">
        <f t="shared" si="45"/>
        <v>644890.80290240713</v>
      </c>
      <c r="K192" s="83">
        <v>31</v>
      </c>
      <c r="L192" s="97">
        <f>K192/(SUM(K183:K194))</f>
        <v>8.4699453551912565E-2</v>
      </c>
      <c r="M192" s="85">
        <f>$L192*'MWh Impact Summary'!F$26</f>
        <v>135198.70467387207</v>
      </c>
      <c r="N192" s="85">
        <f>$L192*'MWh Impact Summary'!G$26</f>
        <v>11832.778480380553</v>
      </c>
      <c r="O192" s="85">
        <f>$L192*'MWh Impact Summary'!H$26</f>
        <v>8983.346128978561</v>
      </c>
      <c r="P192" s="85">
        <f>$L192*'MWh Impact Summary'!I$26</f>
        <v>1502.7175759444042</v>
      </c>
      <c r="Q192" s="85">
        <f>$L192*'MWh Impact Summary'!J$26</f>
        <v>43191.327555275435</v>
      </c>
      <c r="R192" s="85">
        <f>$L192*'MWh Impact Summary'!K$26</f>
        <v>21220.974320283272</v>
      </c>
      <c r="S192" s="85">
        <f>$L192*'MWh Impact Summary'!M$26</f>
        <v>23506.805879038871</v>
      </c>
      <c r="T192" s="85">
        <f>$L192*'MWh Impact Summary'!O$26</f>
        <v>87644.233818556851</v>
      </c>
      <c r="U192" s="85">
        <f t="shared" si="46"/>
        <v>333080.88843232999</v>
      </c>
      <c r="V192" s="81">
        <f t="shared" si="48"/>
        <v>977971.69133473712</v>
      </c>
      <c r="W192" s="81"/>
      <c r="X192" s="262">
        <f>+'MWh by mo-WgtbyActulCDH&amp;Days'!AB194</f>
        <v>5141857.9398052078</v>
      </c>
      <c r="Y192" s="120">
        <f t="shared" si="55"/>
        <v>190.19811569741387</v>
      </c>
      <c r="Z192" s="87">
        <f t="shared" si="49"/>
        <v>6.1354230870133506E-3</v>
      </c>
      <c r="AA192" s="88">
        <f t="shared" si="53"/>
        <v>5.0455127469314735E-4</v>
      </c>
      <c r="AC192" s="89">
        <f t="shared" si="47"/>
        <v>23506.805879038871</v>
      </c>
      <c r="AD192" s="93"/>
      <c r="AE192" s="96">
        <f t="shared" si="57"/>
        <v>4.5716560344974049</v>
      </c>
      <c r="AF192" s="92">
        <f t="shared" si="56"/>
        <v>1.4747277530636791E-4</v>
      </c>
      <c r="AH192" s="123">
        <f t="shared" si="50"/>
        <v>6.1354230870133506E-3</v>
      </c>
      <c r="AI192" s="121">
        <f t="shared" si="51"/>
        <v>977971.69133473712</v>
      </c>
    </row>
    <row r="193" spans="1:35">
      <c r="A193" s="78">
        <v>2020</v>
      </c>
      <c r="B193" s="78">
        <v>11</v>
      </c>
      <c r="C193" s="79">
        <f t="shared" si="58"/>
        <v>110.23315885291359</v>
      </c>
      <c r="D193" s="101">
        <f t="shared" si="54"/>
        <v>5.2812807451003543E-2</v>
      </c>
      <c r="E193" s="100">
        <f>$D193*'MWh Impact Summary'!B$26</f>
        <v>164407.10307945436</v>
      </c>
      <c r="F193" s="81">
        <f>$D193*'MWh Impact Summary'!L$26</f>
        <v>4597.8834476659831</v>
      </c>
      <c r="G193" s="81">
        <f>$D193*'MWh Impact Summary'!C$26</f>
        <v>119463.72272481093</v>
      </c>
      <c r="H193" s="81">
        <f>$D193*'MWh Impact Summary'!D$26</f>
        <v>482.37950181940761</v>
      </c>
      <c r="I193" s="81">
        <f>$D193*'MWh Impact Summary'!E$26</f>
        <v>44349.618176120137</v>
      </c>
      <c r="J193" s="82">
        <f t="shared" si="45"/>
        <v>333300.70692987088</v>
      </c>
      <c r="K193" s="83">
        <v>30</v>
      </c>
      <c r="L193" s="97">
        <f>K193/(SUM(K183:K194))</f>
        <v>8.1967213114754092E-2</v>
      </c>
      <c r="M193" s="85">
        <f>$L193*'MWh Impact Summary'!F$26</f>
        <v>130837.45613600523</v>
      </c>
      <c r="N193" s="85">
        <f>$L193*'MWh Impact Summary'!G$26</f>
        <v>11451.075948755373</v>
      </c>
      <c r="O193" s="85">
        <f>$L193*'MWh Impact Summary'!H$26</f>
        <v>8693.5607699792527</v>
      </c>
      <c r="P193" s="85">
        <f>$L193*'MWh Impact Summary'!I$26</f>
        <v>1454.2428154300685</v>
      </c>
      <c r="Q193" s="85">
        <f>$L193*'MWh Impact Summary'!J$26</f>
        <v>41798.058924460092</v>
      </c>
      <c r="R193" s="85">
        <f>$L193*'MWh Impact Summary'!K$26</f>
        <v>20536.426761564457</v>
      </c>
      <c r="S193" s="85">
        <f>$L193*'MWh Impact Summary'!M$26</f>
        <v>22748.521818424713</v>
      </c>
      <c r="T193" s="85">
        <f>$L193*'MWh Impact Summary'!O$26</f>
        <v>84817.00046957114</v>
      </c>
      <c r="U193" s="85">
        <f t="shared" si="46"/>
        <v>322336.34364419035</v>
      </c>
      <c r="V193" s="81">
        <f t="shared" si="48"/>
        <v>655637.05057406123</v>
      </c>
      <c r="W193" s="81"/>
      <c r="X193" s="262">
        <f>+'MWh by mo-WgtbyActulCDH&amp;Days'!AB195</f>
        <v>5146914.2029780019</v>
      </c>
      <c r="Y193" s="120">
        <f t="shared" si="55"/>
        <v>127.38449189510678</v>
      </c>
      <c r="Z193" s="87">
        <f t="shared" si="49"/>
        <v>4.2461497298368926E-3</v>
      </c>
      <c r="AA193" s="88">
        <f t="shared" si="53"/>
        <v>4.0912638258945502E-4</v>
      </c>
      <c r="AC193" s="89">
        <f t="shared" si="47"/>
        <v>22748.521818424713</v>
      </c>
      <c r="AD193" s="93"/>
      <c r="AE193" s="96">
        <f t="shared" si="57"/>
        <v>4.4198369977223306</v>
      </c>
      <c r="AF193" s="92">
        <f t="shared" si="56"/>
        <v>1.4732789992407769E-4</v>
      </c>
      <c r="AH193" s="123">
        <f t="shared" si="50"/>
        <v>4.2461497298368926E-3</v>
      </c>
      <c r="AI193" s="121">
        <f t="shared" si="51"/>
        <v>655637.05057406123</v>
      </c>
    </row>
    <row r="194" spans="1:35">
      <c r="A194" s="78">
        <v>2020</v>
      </c>
      <c r="B194" s="78">
        <v>12</v>
      </c>
      <c r="C194" s="79">
        <f t="shared" si="58"/>
        <v>79.005079745838657</v>
      </c>
      <c r="D194" s="101">
        <f t="shared" si="54"/>
        <v>3.7851406125770058E-2</v>
      </c>
      <c r="E194" s="100">
        <f>$D194*'MWh Impact Summary'!B$26</f>
        <v>117832.02463521979</v>
      </c>
      <c r="F194" s="81">
        <f>$D194*'MWh Impact Summary'!L$26</f>
        <v>3295.3437261978756</v>
      </c>
      <c r="G194" s="81">
        <f>$D194*'MWh Impact Summary'!C$26</f>
        <v>85620.706499049789</v>
      </c>
      <c r="H194" s="81">
        <f>$D194*'MWh Impact Summary'!D$26</f>
        <v>345.72565465398458</v>
      </c>
      <c r="I194" s="81">
        <f>$D194*'MWh Impact Summary'!E$26</f>
        <v>31785.763532161145</v>
      </c>
      <c r="J194" s="82">
        <f t="shared" si="45"/>
        <v>238879.56404728256</v>
      </c>
      <c r="K194" s="83">
        <v>31</v>
      </c>
      <c r="L194" s="97">
        <f>K194/(SUM(K183:K194))</f>
        <v>8.4699453551912565E-2</v>
      </c>
      <c r="M194" s="85">
        <f>$L194*'MWh Impact Summary'!F$26</f>
        <v>135198.70467387207</v>
      </c>
      <c r="N194" s="85">
        <f>$L194*'MWh Impact Summary'!G$26</f>
        <v>11832.778480380553</v>
      </c>
      <c r="O194" s="85">
        <f>$L194*'MWh Impact Summary'!H$26</f>
        <v>8983.346128978561</v>
      </c>
      <c r="P194" s="85">
        <f>$L194*'MWh Impact Summary'!I$26</f>
        <v>1502.7175759444042</v>
      </c>
      <c r="Q194" s="85">
        <f>$L194*'MWh Impact Summary'!J$26</f>
        <v>43191.327555275435</v>
      </c>
      <c r="R194" s="85">
        <f>$L194*'MWh Impact Summary'!K$26</f>
        <v>21220.974320283272</v>
      </c>
      <c r="S194" s="85">
        <f>$L194*'MWh Impact Summary'!M$26</f>
        <v>23506.805879038871</v>
      </c>
      <c r="T194" s="85">
        <f>$L194*'MWh Impact Summary'!O$26</f>
        <v>87644.233818556851</v>
      </c>
      <c r="U194" s="85">
        <f t="shared" si="46"/>
        <v>333080.88843232999</v>
      </c>
      <c r="V194" s="81">
        <f t="shared" si="48"/>
        <v>571960.45247961255</v>
      </c>
      <c r="W194" s="81">
        <f>SUM(V183:V194)</f>
        <v>10243485.955525599</v>
      </c>
      <c r="X194" s="262">
        <f>+'MWh by mo-WgtbyActulCDH&amp;Days'!AB196</f>
        <v>5152004.6812553955</v>
      </c>
      <c r="Y194" s="120">
        <f t="shared" si="55"/>
        <v>111.0170676980523</v>
      </c>
      <c r="Z194" s="87">
        <f t="shared" si="49"/>
        <v>3.5811957321952356E-3</v>
      </c>
      <c r="AA194" s="88">
        <f t="shared" si="53"/>
        <v>3.7554120203883972E-4</v>
      </c>
      <c r="AC194" s="89">
        <f t="shared" si="47"/>
        <v>23506.805879038871</v>
      </c>
      <c r="AD194" s="90">
        <f>SUM(AC183:AC194)</f>
        <v>277531.96618478152</v>
      </c>
      <c r="AE194" s="96">
        <f t="shared" si="57"/>
        <v>4.5626522748637983</v>
      </c>
      <c r="AF194" s="92">
        <f t="shared" si="56"/>
        <v>1.4718233144721929E-4</v>
      </c>
      <c r="AH194" s="123">
        <f t="shared" si="50"/>
        <v>3.5811957321952356E-3</v>
      </c>
      <c r="AI194" s="121">
        <f t="shared" si="51"/>
        <v>571960.45247961255</v>
      </c>
    </row>
    <row r="195" spans="1:35">
      <c r="A195" s="78">
        <v>2021</v>
      </c>
      <c r="B195" s="78">
        <v>1</v>
      </c>
      <c r="C195" s="79">
        <f t="shared" si="58"/>
        <v>26.95686291874426</v>
      </c>
      <c r="D195" s="101">
        <f t="shared" si="54"/>
        <v>1.2915057734219224E-2</v>
      </c>
      <c r="E195" s="100">
        <f>$D195*'MWh Impact Summary'!B$27</f>
        <v>42971.51511048025</v>
      </c>
      <c r="F195" s="81">
        <f>$D195*'MWh Impact Summary'!L$27</f>
        <v>1316.823821828882</v>
      </c>
      <c r="G195" s="81">
        <f>$D195*'MWh Impact Summary'!C$27</f>
        <v>29949.147421849193</v>
      </c>
      <c r="H195" s="81">
        <f>$D195*'MWh Impact Summary'!D$27</f>
        <v>128.78157308387665</v>
      </c>
      <c r="I195" s="81">
        <f>$D195*'MWh Impact Summary'!E$27</f>
        <v>10986.038456845527</v>
      </c>
      <c r="J195" s="82">
        <f t="shared" ref="J195:J258" si="59">SUM(E195:I195)</f>
        <v>85352.306384087715</v>
      </c>
      <c r="K195" s="83">
        <v>31</v>
      </c>
      <c r="L195" s="97">
        <f>K195/(SUM(K195:K206))</f>
        <v>8.4931506849315067E-2</v>
      </c>
      <c r="M195" s="85">
        <f>$L195*'MWh Impact Summary'!F$27</f>
        <v>146287.57986945406</v>
      </c>
      <c r="N195" s="85">
        <f>$L195*'MWh Impact Summary'!G$27</f>
        <v>15670.265720436975</v>
      </c>
      <c r="O195" s="85">
        <f>$L195*'MWh Impact Summary'!H$27</f>
        <v>9566.7797527246166</v>
      </c>
      <c r="P195" s="85">
        <f>$L195*'MWh Impact Summary'!I$27</f>
        <v>1599.4325245963701</v>
      </c>
      <c r="Q195" s="85">
        <f>$L195*'MWh Impact Summary'!J$27</f>
        <v>44687.952157098225</v>
      </c>
      <c r="R195" s="85">
        <f>$L195*'MWh Impact Summary'!K$27</f>
        <v>24615.749176464124</v>
      </c>
      <c r="S195" s="85">
        <f>$L195*'MWh Impact Summary'!M$27</f>
        <v>27059.567039112593</v>
      </c>
      <c r="T195" s="85">
        <f>$L195*'MWh Impact Summary'!O$27</f>
        <v>117522.05160105402</v>
      </c>
      <c r="U195" s="85">
        <f t="shared" ref="U195:U258" si="60">SUM(M195:T195)</f>
        <v>387009.37784094102</v>
      </c>
      <c r="V195" s="81">
        <f t="shared" si="48"/>
        <v>472361.68422502873</v>
      </c>
      <c r="W195" s="81"/>
      <c r="X195" s="262">
        <f>+'MWh by mo-WgtbyActulCDH&amp;Days'!AB197</f>
        <v>5157217.8149424428</v>
      </c>
      <c r="Y195" s="120">
        <f t="shared" si="55"/>
        <v>91.592347109407584</v>
      </c>
      <c r="Z195" s="87">
        <f t="shared" si="49"/>
        <v>2.9545918422389543E-3</v>
      </c>
      <c r="AA195" s="88">
        <f t="shared" si="53"/>
        <v>3.2963384612045427E-4</v>
      </c>
      <c r="AC195" s="89">
        <f t="shared" ref="AC195:AC258" si="61">+S195</f>
        <v>27059.567039112593</v>
      </c>
      <c r="AD195" s="93"/>
      <c r="AE195" s="96">
        <f t="shared" si="57"/>
        <v>5.246931196256754</v>
      </c>
      <c r="AF195" s="92">
        <f t="shared" si="56"/>
        <v>1.6925584504054044E-4</v>
      </c>
      <c r="AH195" s="123">
        <f t="shared" si="50"/>
        <v>2.9545918422389543E-3</v>
      </c>
      <c r="AI195" s="121">
        <f t="shared" si="51"/>
        <v>472361.68422502873</v>
      </c>
    </row>
    <row r="196" spans="1:35">
      <c r="A196" s="78">
        <v>2021</v>
      </c>
      <c r="B196" s="78">
        <v>2</v>
      </c>
      <c r="C196" s="79">
        <f t="shared" si="58"/>
        <v>57.510679559652473</v>
      </c>
      <c r="D196" s="101">
        <f t="shared" si="54"/>
        <v>2.7553419293853541E-2</v>
      </c>
      <c r="E196" s="100">
        <f>$D196*'MWh Impact Summary'!B$27</f>
        <v>91676.878098199581</v>
      </c>
      <c r="F196" s="81">
        <f>$D196*'MWh Impact Summary'!L$27</f>
        <v>2809.3563068519534</v>
      </c>
      <c r="G196" s="81">
        <f>$D196*'MWh Impact Summary'!C$27</f>
        <v>63894.520132203717</v>
      </c>
      <c r="H196" s="81">
        <f>$D196*'MWh Impact Summary'!D$27</f>
        <v>274.74694682165222</v>
      </c>
      <c r="I196" s="81">
        <f>$D196*'MWh Impact Summary'!E$27</f>
        <v>23437.98457654857</v>
      </c>
      <c r="J196" s="82">
        <f t="shared" si="59"/>
        <v>182093.4860606255</v>
      </c>
      <c r="K196" s="83">
        <v>28</v>
      </c>
      <c r="L196" s="97">
        <f>K196/(SUM(K195:K206))</f>
        <v>7.6712328767123292E-2</v>
      </c>
      <c r="M196" s="85">
        <f>$L196*'MWh Impact Summary'!F$27</f>
        <v>132130.71730144238</v>
      </c>
      <c r="N196" s="85">
        <f>$L196*'MWh Impact Summary'!G$27</f>
        <v>14153.788392652752</v>
      </c>
      <c r="O196" s="85">
        <f>$L196*'MWh Impact Summary'!H$27</f>
        <v>8640.9623572996552</v>
      </c>
      <c r="P196" s="85">
        <f>$L196*'MWh Impact Summary'!I$27</f>
        <v>1444.6487318934956</v>
      </c>
      <c r="Q196" s="85">
        <f>$L196*'MWh Impact Summary'!J$27</f>
        <v>40363.311625766146</v>
      </c>
      <c r="R196" s="85">
        <f>$L196*'MWh Impact Summary'!K$27</f>
        <v>22233.579901322435</v>
      </c>
      <c r="S196" s="85">
        <f>$L196*'MWh Impact Summary'!M$27</f>
        <v>24440.899261133956</v>
      </c>
      <c r="T196" s="85">
        <f>$L196*'MWh Impact Summary'!O$27</f>
        <v>106148.94983321009</v>
      </c>
      <c r="U196" s="85">
        <f t="shared" si="60"/>
        <v>349556.85740472085</v>
      </c>
      <c r="V196" s="81">
        <f t="shared" ref="V196:V259" si="62">U196+J196</f>
        <v>531650.34346534638</v>
      </c>
      <c r="W196" s="81"/>
      <c r="X196" s="262">
        <f>+'MWh by mo-WgtbyActulCDH&amp;Days'!AB198</f>
        <v>5162310.6728719575</v>
      </c>
      <c r="Y196" s="120">
        <f t="shared" si="55"/>
        <v>102.98689427181887</v>
      </c>
      <c r="Z196" s="87">
        <f t="shared" ref="Z196:Z218" si="63">+Y196/K196/1000</f>
        <v>3.6781033668506738E-3</v>
      </c>
      <c r="AA196" s="88">
        <f t="shared" si="53"/>
        <v>3.9585429951476169E-4</v>
      </c>
      <c r="AC196" s="89">
        <f t="shared" si="61"/>
        <v>24440.899261133956</v>
      </c>
      <c r="AD196" s="93"/>
      <c r="AE196" s="96">
        <f t="shared" si="57"/>
        <v>4.7344882572781515</v>
      </c>
      <c r="AF196" s="92">
        <f t="shared" si="56"/>
        <v>1.6908886633136254E-4</v>
      </c>
      <c r="AH196" s="123">
        <f t="shared" ref="AH196:AH218" si="64">Z196</f>
        <v>3.6781033668506738E-3</v>
      </c>
      <c r="AI196" s="121">
        <f t="shared" ref="AI196:AI218" si="65">+V196</f>
        <v>531650.34346534638</v>
      </c>
    </row>
    <row r="197" spans="1:35">
      <c r="A197" s="78">
        <v>2021</v>
      </c>
      <c r="B197" s="78">
        <v>3</v>
      </c>
      <c r="C197" s="79">
        <f t="shared" si="58"/>
        <v>62.20178223460303</v>
      </c>
      <c r="D197" s="101">
        <f t="shared" si="54"/>
        <v>2.9800930885493855E-2</v>
      </c>
      <c r="E197" s="100">
        <f>$D197*'MWh Impact Summary'!B$27</f>
        <v>99154.891770973132</v>
      </c>
      <c r="F197" s="81">
        <f>$D197*'MWh Impact Summary'!L$27</f>
        <v>3038.5133779711118</v>
      </c>
      <c r="G197" s="81">
        <f>$D197*'MWh Impact Summary'!C$27</f>
        <v>69106.347858842986</v>
      </c>
      <c r="H197" s="81">
        <f>$D197*'MWh Impact Summary'!D$27</f>
        <v>297.15784766716706</v>
      </c>
      <c r="I197" s="81">
        <f>$D197*'MWh Impact Summary'!E$27</f>
        <v>25349.803268039639</v>
      </c>
      <c r="J197" s="82">
        <f t="shared" si="59"/>
        <v>196946.71412349402</v>
      </c>
      <c r="K197" s="83">
        <v>31</v>
      </c>
      <c r="L197" s="97">
        <f>K197/(SUM(K195:K206))</f>
        <v>8.4931506849315067E-2</v>
      </c>
      <c r="M197" s="85">
        <f>$L197*'MWh Impact Summary'!F$27</f>
        <v>146287.57986945406</v>
      </c>
      <c r="N197" s="85">
        <f>$L197*'MWh Impact Summary'!G$27</f>
        <v>15670.265720436975</v>
      </c>
      <c r="O197" s="85">
        <f>$L197*'MWh Impact Summary'!H$27</f>
        <v>9566.7797527246166</v>
      </c>
      <c r="P197" s="85">
        <f>$L197*'MWh Impact Summary'!I$27</f>
        <v>1599.4325245963701</v>
      </c>
      <c r="Q197" s="85">
        <f>$L197*'MWh Impact Summary'!J$27</f>
        <v>44687.952157098225</v>
      </c>
      <c r="R197" s="85">
        <f>$L197*'MWh Impact Summary'!K$27</f>
        <v>24615.749176464124</v>
      </c>
      <c r="S197" s="85">
        <f>$L197*'MWh Impact Summary'!M$27</f>
        <v>27059.567039112593</v>
      </c>
      <c r="T197" s="85">
        <f>$L197*'MWh Impact Summary'!O$27</f>
        <v>117522.05160105402</v>
      </c>
      <c r="U197" s="85">
        <f t="shared" si="60"/>
        <v>387009.37784094102</v>
      </c>
      <c r="V197" s="81">
        <f t="shared" si="62"/>
        <v>583956.09196443507</v>
      </c>
      <c r="W197" s="81"/>
      <c r="X197" s="262">
        <f>+'MWh by mo-WgtbyActulCDH&amp;Days'!AB199</f>
        <v>5167504.396665371</v>
      </c>
      <c r="Y197" s="120">
        <f t="shared" si="55"/>
        <v>113.00543688772984</v>
      </c>
      <c r="Z197" s="87">
        <f t="shared" si="63"/>
        <v>3.6453366737977371E-3</v>
      </c>
      <c r="AA197" s="88">
        <f t="shared" si="53"/>
        <v>3.5288487034591635E-4</v>
      </c>
      <c r="AC197" s="89">
        <f t="shared" si="61"/>
        <v>27059.567039112593</v>
      </c>
      <c r="AD197" s="93"/>
      <c r="AE197" s="96">
        <f t="shared" si="57"/>
        <v>5.2364865052798661</v>
      </c>
      <c r="AF197" s="92">
        <f t="shared" si="56"/>
        <v>1.6891891952515697E-4</v>
      </c>
      <c r="AH197" s="123">
        <f t="shared" si="64"/>
        <v>3.6453366737977371E-3</v>
      </c>
      <c r="AI197" s="121">
        <f t="shared" si="65"/>
        <v>583956.09196443507</v>
      </c>
    </row>
    <row r="198" spans="1:35">
      <c r="A198" s="78">
        <v>2021</v>
      </c>
      <c r="B198" s="78">
        <v>4</v>
      </c>
      <c r="C198" s="79">
        <f t="shared" si="58"/>
        <v>137.13602413996043</v>
      </c>
      <c r="D198" s="101">
        <f t="shared" si="54"/>
        <v>6.5701994870379921E-2</v>
      </c>
      <c r="E198" s="100">
        <f>$D198*'MWh Impact Summary'!B$27</f>
        <v>218606.39909341521</v>
      </c>
      <c r="F198" s="81">
        <f>$D198*'MWh Impact Summary'!L$27</f>
        <v>6698.9984688772047</v>
      </c>
      <c r="G198" s="81">
        <f>$D198*'MWh Impact Summary'!C$27</f>
        <v>152358.49275911468</v>
      </c>
      <c r="H198" s="81">
        <f>$D198*'MWh Impact Summary'!D$27</f>
        <v>655.14273557893932</v>
      </c>
      <c r="I198" s="81">
        <f>$D198*'MWh Impact Summary'!E$27</f>
        <v>55888.611355177789</v>
      </c>
      <c r="J198" s="82">
        <f t="shared" si="59"/>
        <v>434207.64441216382</v>
      </c>
      <c r="K198" s="83">
        <v>30</v>
      </c>
      <c r="L198" s="97">
        <f>K198/(SUM(K195:K206))</f>
        <v>8.2191780821917804E-2</v>
      </c>
      <c r="M198" s="85">
        <f>$L198*'MWh Impact Summary'!F$27</f>
        <v>141568.62568011682</v>
      </c>
      <c r="N198" s="85">
        <f>$L198*'MWh Impact Summary'!G$27</f>
        <v>15164.773277842232</v>
      </c>
      <c r="O198" s="85">
        <f>$L198*'MWh Impact Summary'!H$27</f>
        <v>9258.1739542496289</v>
      </c>
      <c r="P198" s="85">
        <f>$L198*'MWh Impact Summary'!I$27</f>
        <v>1547.8379270287451</v>
      </c>
      <c r="Q198" s="85">
        <f>$L198*'MWh Impact Summary'!J$27</f>
        <v>43246.405313320865</v>
      </c>
      <c r="R198" s="85">
        <f>$L198*'MWh Impact Summary'!K$27</f>
        <v>23821.692751416893</v>
      </c>
      <c r="S198" s="85">
        <f>$L198*'MWh Impact Summary'!M$27</f>
        <v>26186.67777978638</v>
      </c>
      <c r="T198" s="85">
        <f>$L198*'MWh Impact Summary'!O$27</f>
        <v>113731.01767843937</v>
      </c>
      <c r="U198" s="85">
        <f t="shared" si="60"/>
        <v>374525.20436220092</v>
      </c>
      <c r="V198" s="81">
        <f t="shared" si="62"/>
        <v>808732.84877436468</v>
      </c>
      <c r="W198" s="81"/>
      <c r="X198" s="262">
        <f>+'MWh by mo-WgtbyActulCDH&amp;Days'!AB200</f>
        <v>5172569.6347586866</v>
      </c>
      <c r="Y198" s="120">
        <f t="shared" si="55"/>
        <v>156.35030669086277</v>
      </c>
      <c r="Z198" s="87">
        <f t="shared" si="63"/>
        <v>5.2116768896954251E-3</v>
      </c>
      <c r="AA198" s="88">
        <f t="shared" si="53"/>
        <v>4.0567381495885697E-4</v>
      </c>
      <c r="AC198" s="89">
        <f t="shared" si="61"/>
        <v>26186.67777978638</v>
      </c>
      <c r="AD198" s="93"/>
      <c r="AE198" s="96">
        <f t="shared" si="57"/>
        <v>5.0626051709032334</v>
      </c>
      <c r="AF198" s="92">
        <f t="shared" si="56"/>
        <v>1.6875350569677444E-4</v>
      </c>
      <c r="AH198" s="123">
        <f t="shared" si="64"/>
        <v>5.2116768896954251E-3</v>
      </c>
      <c r="AI198" s="121">
        <f t="shared" si="65"/>
        <v>808732.84877436468</v>
      </c>
    </row>
    <row r="199" spans="1:35">
      <c r="A199" s="78">
        <v>2021</v>
      </c>
      <c r="B199" s="78">
        <v>5</v>
      </c>
      <c r="C199" s="79">
        <f t="shared" si="58"/>
        <v>220.65709530534707</v>
      </c>
      <c r="D199" s="101">
        <f t="shared" si="54"/>
        <v>0.10571701662481223</v>
      </c>
      <c r="E199" s="100">
        <f>$D199*'MWh Impact Summary'!B$27</f>
        <v>351746.03713087039</v>
      </c>
      <c r="F199" s="81">
        <f>$D199*'MWh Impact Summary'!L$27</f>
        <v>10778.944138622437</v>
      </c>
      <c r="G199" s="81">
        <f>$D199*'MWh Impact Summary'!C$27</f>
        <v>245150.62813120216</v>
      </c>
      <c r="H199" s="81">
        <f>$D199*'MWh Impact Summary'!D$27</f>
        <v>1054.1496587046202</v>
      </c>
      <c r="I199" s="81">
        <f>$D199*'MWh Impact Summary'!E$27</f>
        <v>89926.908116402439</v>
      </c>
      <c r="J199" s="82">
        <f t="shared" si="59"/>
        <v>698656.66717580205</v>
      </c>
      <c r="K199" s="83">
        <v>31</v>
      </c>
      <c r="L199" s="97">
        <f>K199/(SUM(K195:K206))</f>
        <v>8.4931506849315067E-2</v>
      </c>
      <c r="M199" s="85">
        <f>$L199*'MWh Impact Summary'!F$27</f>
        <v>146287.57986945406</v>
      </c>
      <c r="N199" s="85">
        <f>$L199*'MWh Impact Summary'!G$27</f>
        <v>15670.265720436975</v>
      </c>
      <c r="O199" s="85">
        <f>$L199*'MWh Impact Summary'!H$27</f>
        <v>9566.7797527246166</v>
      </c>
      <c r="P199" s="85">
        <f>$L199*'MWh Impact Summary'!I$27</f>
        <v>1599.4325245963701</v>
      </c>
      <c r="Q199" s="85">
        <f>$L199*'MWh Impact Summary'!J$27</f>
        <v>44687.952157098225</v>
      </c>
      <c r="R199" s="85">
        <f>$L199*'MWh Impact Summary'!K$27</f>
        <v>24615.749176464124</v>
      </c>
      <c r="S199" s="85">
        <f>$L199*'MWh Impact Summary'!M$27</f>
        <v>27059.567039112593</v>
      </c>
      <c r="T199" s="85">
        <f>$L199*'MWh Impact Summary'!O$27</f>
        <v>117522.05160105402</v>
      </c>
      <c r="U199" s="85">
        <f t="shared" si="60"/>
        <v>387009.37784094102</v>
      </c>
      <c r="V199" s="81">
        <f t="shared" si="62"/>
        <v>1085666.045016743</v>
      </c>
      <c r="W199" s="81"/>
      <c r="X199" s="262">
        <f>+'MWh by mo-WgtbyActulCDH&amp;Days'!AB201</f>
        <v>5177582.9748099707</v>
      </c>
      <c r="Y199" s="120">
        <f t="shared" si="55"/>
        <v>209.68588051581915</v>
      </c>
      <c r="Z199" s="87">
        <f t="shared" si="63"/>
        <v>6.7640606618006175E-3</v>
      </c>
      <c r="AA199" s="88">
        <f t="shared" si="53"/>
        <v>4.5764127480966282E-4</v>
      </c>
      <c r="AC199" s="89">
        <f t="shared" si="61"/>
        <v>27059.567039112593</v>
      </c>
      <c r="AD199" s="93"/>
      <c r="AE199" s="96">
        <f t="shared" si="57"/>
        <v>5.2262932667159703</v>
      </c>
      <c r="AF199" s="92">
        <f t="shared" ref="AF199:AF218" si="66">+AE199/K199/1000</f>
        <v>1.6859010537793452E-4</v>
      </c>
      <c r="AH199" s="123">
        <f t="shared" si="64"/>
        <v>6.7640606618006175E-3</v>
      </c>
      <c r="AI199" s="121">
        <f t="shared" si="65"/>
        <v>1085666.045016743</v>
      </c>
    </row>
    <row r="200" spans="1:35">
      <c r="A200" s="78">
        <v>2021</v>
      </c>
      <c r="B200" s="78">
        <v>6</v>
      </c>
      <c r="C200" s="79">
        <f t="shared" si="58"/>
        <v>247.5875604864128</v>
      </c>
      <c r="D200" s="101">
        <f t="shared" si="54"/>
        <v>0.11861942717871234</v>
      </c>
      <c r="E200" s="100">
        <f>$D200*'MWh Impact Summary'!B$27</f>
        <v>394675.47201907274</v>
      </c>
      <c r="F200" s="81">
        <f>$D200*'MWh Impact Summary'!L$27</f>
        <v>12094.478449504802</v>
      </c>
      <c r="G200" s="81">
        <f>$D200*'MWh Impact Summary'!C$27</f>
        <v>275070.44759527966</v>
      </c>
      <c r="H200" s="81">
        <f>$D200*'MWh Impact Summary'!D$27</f>
        <v>1182.8051213358694</v>
      </c>
      <c r="I200" s="81">
        <f>$D200*'MWh Impact Summary'!E$27</f>
        <v>100902.18840149096</v>
      </c>
      <c r="J200" s="82">
        <f t="shared" si="59"/>
        <v>783925.39158668404</v>
      </c>
      <c r="K200" s="83">
        <v>30</v>
      </c>
      <c r="L200" s="97">
        <f>K200/(SUM(K195:K206))</f>
        <v>8.2191780821917804E-2</v>
      </c>
      <c r="M200" s="85">
        <f>$L200*'MWh Impact Summary'!F$27</f>
        <v>141568.62568011682</v>
      </c>
      <c r="N200" s="85">
        <f>$L200*'MWh Impact Summary'!G$27</f>
        <v>15164.773277842232</v>
      </c>
      <c r="O200" s="85">
        <f>$L200*'MWh Impact Summary'!H$27</f>
        <v>9258.1739542496289</v>
      </c>
      <c r="P200" s="85">
        <f>$L200*'MWh Impact Summary'!I$27</f>
        <v>1547.8379270287451</v>
      </c>
      <c r="Q200" s="85">
        <f>$L200*'MWh Impact Summary'!J$27</f>
        <v>43246.405313320865</v>
      </c>
      <c r="R200" s="85">
        <f>$L200*'MWh Impact Summary'!K$27</f>
        <v>23821.692751416893</v>
      </c>
      <c r="S200" s="85">
        <f>$L200*'MWh Impact Summary'!M$27</f>
        <v>26186.67777978638</v>
      </c>
      <c r="T200" s="85">
        <f>$L200*'MWh Impact Summary'!O$27</f>
        <v>113731.01767843937</v>
      </c>
      <c r="U200" s="85">
        <f t="shared" si="60"/>
        <v>374525.20436220092</v>
      </c>
      <c r="V200" s="81">
        <f t="shared" si="62"/>
        <v>1158450.595948885</v>
      </c>
      <c r="W200" s="81"/>
      <c r="X200" s="262">
        <f>+'MWh by mo-WgtbyActulCDH&amp;Days'!AB202</f>
        <v>5182599.1656009592</v>
      </c>
      <c r="Y200" s="120">
        <f t="shared" si="55"/>
        <v>223.52695219765357</v>
      </c>
      <c r="Z200" s="87">
        <f t="shared" si="63"/>
        <v>7.4508984065884522E-3</v>
      </c>
      <c r="AA200" s="88">
        <f t="shared" si="53"/>
        <v>4.8047572083958524E-4</v>
      </c>
      <c r="AC200" s="89">
        <f t="shared" si="61"/>
        <v>26186.67777978638</v>
      </c>
      <c r="AD200" s="93"/>
      <c r="AE200" s="96">
        <f t="shared" si="57"/>
        <v>5.052807856258327</v>
      </c>
      <c r="AF200" s="92">
        <f t="shared" si="66"/>
        <v>1.6842692854194424E-4</v>
      </c>
      <c r="AH200" s="123">
        <f t="shared" si="64"/>
        <v>7.4508984065884522E-3</v>
      </c>
      <c r="AI200" s="121">
        <f t="shared" si="65"/>
        <v>1158450.595948885</v>
      </c>
    </row>
    <row r="201" spans="1:35">
      <c r="A201" s="78">
        <v>2021</v>
      </c>
      <c r="B201" s="78">
        <v>7</v>
      </c>
      <c r="C201" s="79">
        <f t="shared" si="58"/>
        <v>311.6666769190017</v>
      </c>
      <c r="D201" s="101">
        <f t="shared" si="54"/>
        <v>0.1493197905993085</v>
      </c>
      <c r="E201" s="100">
        <f>$D201*'MWh Impact Summary'!B$27</f>
        <v>496822.99298059149</v>
      </c>
      <c r="F201" s="81">
        <f>$D201*'MWh Impact Summary'!L$27</f>
        <v>15224.698284599412</v>
      </c>
      <c r="G201" s="81">
        <f>$D201*'MWh Impact Summary'!C$27</f>
        <v>346262.51881240192</v>
      </c>
      <c r="H201" s="81">
        <f>$D201*'MWh Impact Summary'!D$27</f>
        <v>1488.9315960999479</v>
      </c>
      <c r="I201" s="81">
        <f>$D201*'MWh Impact Summary'!E$27</f>
        <v>127017.08313279143</v>
      </c>
      <c r="J201" s="82">
        <f t="shared" si="59"/>
        <v>986816.2248064843</v>
      </c>
      <c r="K201" s="83">
        <v>31</v>
      </c>
      <c r="L201" s="97">
        <f>K201/(SUM(K195:K206))</f>
        <v>8.4931506849315067E-2</v>
      </c>
      <c r="M201" s="85">
        <f>$L201*'MWh Impact Summary'!F$27</f>
        <v>146287.57986945406</v>
      </c>
      <c r="N201" s="85">
        <f>$L201*'MWh Impact Summary'!G$27</f>
        <v>15670.265720436975</v>
      </c>
      <c r="O201" s="85">
        <f>$L201*'MWh Impact Summary'!H$27</f>
        <v>9566.7797527246166</v>
      </c>
      <c r="P201" s="85">
        <f>$L201*'MWh Impact Summary'!I$27</f>
        <v>1599.4325245963701</v>
      </c>
      <c r="Q201" s="85">
        <f>$L201*'MWh Impact Summary'!J$27</f>
        <v>44687.952157098225</v>
      </c>
      <c r="R201" s="85">
        <f>$L201*'MWh Impact Summary'!K$27</f>
        <v>24615.749176464124</v>
      </c>
      <c r="S201" s="85">
        <f>$L201*'MWh Impact Summary'!M$27</f>
        <v>27059.567039112593</v>
      </c>
      <c r="T201" s="85">
        <f>$L201*'MWh Impact Summary'!O$27</f>
        <v>117522.05160105402</v>
      </c>
      <c r="U201" s="85">
        <f t="shared" si="60"/>
        <v>387009.37784094102</v>
      </c>
      <c r="V201" s="81">
        <f t="shared" si="62"/>
        <v>1373825.6026474254</v>
      </c>
      <c r="W201" s="81"/>
      <c r="X201" s="262">
        <f>+'MWh by mo-WgtbyActulCDH&amp;Days'!AB203</f>
        <v>5187842.8780874414</v>
      </c>
      <c r="Y201" s="120">
        <f t="shared" si="55"/>
        <v>264.81634755174048</v>
      </c>
      <c r="Z201" s="87">
        <f t="shared" si="63"/>
        <v>8.5424628242496935E-3</v>
      </c>
      <c r="AA201" s="88">
        <f t="shared" si="53"/>
        <v>5.1707414402537254E-4</v>
      </c>
      <c r="AC201" s="89">
        <f t="shared" si="61"/>
        <v>27059.567039112593</v>
      </c>
      <c r="AD201" s="93"/>
      <c r="AE201" s="96">
        <f t="shared" si="57"/>
        <v>5.2159573207985082</v>
      </c>
      <c r="AF201" s="92">
        <f t="shared" si="66"/>
        <v>1.6825668776769383E-4</v>
      </c>
      <c r="AH201" s="123">
        <f t="shared" si="64"/>
        <v>8.5424628242496935E-3</v>
      </c>
      <c r="AI201" s="121">
        <f t="shared" si="65"/>
        <v>1373825.6026474254</v>
      </c>
    </row>
    <row r="202" spans="1:35">
      <c r="A202" s="78">
        <v>2021</v>
      </c>
      <c r="B202" s="78">
        <v>8</v>
      </c>
      <c r="C202" s="79">
        <f t="shared" si="58"/>
        <v>350.95807565684066</v>
      </c>
      <c r="D202" s="101">
        <f t="shared" si="54"/>
        <v>0.16814433575083526</v>
      </c>
      <c r="E202" s="100">
        <f>$D202*'MWh Impact Summary'!B$27</f>
        <v>559456.79943144997</v>
      </c>
      <c r="F202" s="81">
        <f>$D202*'MWh Impact Summary'!L$27</f>
        <v>17144.055518670841</v>
      </c>
      <c r="G202" s="81">
        <f>$D202*'MWh Impact Summary'!C$27</f>
        <v>389915.36880304234</v>
      </c>
      <c r="H202" s="81">
        <f>$D202*'MWh Impact Summary'!D$27</f>
        <v>1676.6391996655805</v>
      </c>
      <c r="I202" s="81">
        <f>$D202*'MWh Impact Summary'!E$27</f>
        <v>143029.95595327832</v>
      </c>
      <c r="J202" s="82">
        <f t="shared" si="59"/>
        <v>1111222.818906107</v>
      </c>
      <c r="K202" s="83">
        <v>31</v>
      </c>
      <c r="L202" s="97">
        <f>K202/(SUM(K195:K206))</f>
        <v>8.4931506849315067E-2</v>
      </c>
      <c r="M202" s="85">
        <f>$L202*'MWh Impact Summary'!F$27</f>
        <v>146287.57986945406</v>
      </c>
      <c r="N202" s="85">
        <f>$L202*'MWh Impact Summary'!G$27</f>
        <v>15670.265720436975</v>
      </c>
      <c r="O202" s="85">
        <f>$L202*'MWh Impact Summary'!H$27</f>
        <v>9566.7797527246166</v>
      </c>
      <c r="P202" s="85">
        <f>$L202*'MWh Impact Summary'!I$27</f>
        <v>1599.4325245963701</v>
      </c>
      <c r="Q202" s="85">
        <f>$L202*'MWh Impact Summary'!J$27</f>
        <v>44687.952157098225</v>
      </c>
      <c r="R202" s="85">
        <f>$L202*'MWh Impact Summary'!K$27</f>
        <v>24615.749176464124</v>
      </c>
      <c r="S202" s="85">
        <f>$L202*'MWh Impact Summary'!M$27</f>
        <v>27059.567039112593</v>
      </c>
      <c r="T202" s="85">
        <f>$L202*'MWh Impact Summary'!O$27</f>
        <v>117522.05160105402</v>
      </c>
      <c r="U202" s="85">
        <f t="shared" si="60"/>
        <v>387009.37784094102</v>
      </c>
      <c r="V202" s="81">
        <f t="shared" si="62"/>
        <v>1498232.1967470481</v>
      </c>
      <c r="W202" s="81"/>
      <c r="X202" s="262">
        <f>+'MWh by mo-WgtbyActulCDH&amp;Days'!AB204</f>
        <v>5193203.3234929005</v>
      </c>
      <c r="Y202" s="120">
        <f t="shared" si="55"/>
        <v>288.49865938608218</v>
      </c>
      <c r="Z202" s="87">
        <f t="shared" si="63"/>
        <v>9.3064083672929742E-3</v>
      </c>
      <c r="AA202" s="88">
        <f t="shared" si="53"/>
        <v>5.4276628851523609E-4</v>
      </c>
      <c r="AC202" s="89">
        <f t="shared" si="61"/>
        <v>27059.567039112593</v>
      </c>
      <c r="AD202" s="93"/>
      <c r="AE202" s="96">
        <f t="shared" si="57"/>
        <v>5.2105733886253045</v>
      </c>
      <c r="AF202" s="92">
        <f t="shared" si="66"/>
        <v>1.6808301253630015E-4</v>
      </c>
      <c r="AH202" s="123">
        <f t="shared" si="64"/>
        <v>9.3064083672929742E-3</v>
      </c>
      <c r="AI202" s="121">
        <f t="shared" si="65"/>
        <v>1498232.1967470481</v>
      </c>
    </row>
    <row r="203" spans="1:35">
      <c r="A203" s="78">
        <v>2021</v>
      </c>
      <c r="B203" s="78">
        <v>9</v>
      </c>
      <c r="C203" s="79">
        <f t="shared" si="58"/>
        <v>270.04400483226198</v>
      </c>
      <c r="D203" s="101">
        <f t="shared" si="54"/>
        <v>0.12937833024937548</v>
      </c>
      <c r="E203" s="100">
        <f>$D203*'MWh Impact Summary'!B$27</f>
        <v>430472.94001243927</v>
      </c>
      <c r="F203" s="81">
        <f>$D203*'MWh Impact Summary'!L$27</f>
        <v>13191.459984682866</v>
      </c>
      <c r="G203" s="81">
        <f>$D203*'MWh Impact Summary'!C$27</f>
        <v>300019.61784226471</v>
      </c>
      <c r="H203" s="81">
        <f>$D203*'MWh Impact Summary'!D$27</f>
        <v>1290.0867526386746</v>
      </c>
      <c r="I203" s="81">
        <f>$D203*'MWh Impact Summary'!E$27</f>
        <v>110054.11983843736</v>
      </c>
      <c r="J203" s="82">
        <f t="shared" si="59"/>
        <v>855028.22443046281</v>
      </c>
      <c r="K203" s="83">
        <v>30</v>
      </c>
      <c r="L203" s="97">
        <f>K203/(SUM(K195:K206))</f>
        <v>8.2191780821917804E-2</v>
      </c>
      <c r="M203" s="85">
        <f>$L203*'MWh Impact Summary'!F$27</f>
        <v>141568.62568011682</v>
      </c>
      <c r="N203" s="85">
        <f>$L203*'MWh Impact Summary'!G$27</f>
        <v>15164.773277842232</v>
      </c>
      <c r="O203" s="85">
        <f>$L203*'MWh Impact Summary'!H$27</f>
        <v>9258.1739542496289</v>
      </c>
      <c r="P203" s="85">
        <f>$L203*'MWh Impact Summary'!I$27</f>
        <v>1547.8379270287451</v>
      </c>
      <c r="Q203" s="85">
        <f>$L203*'MWh Impact Summary'!J$27</f>
        <v>43246.405313320865</v>
      </c>
      <c r="R203" s="85">
        <f>$L203*'MWh Impact Summary'!K$27</f>
        <v>23821.692751416893</v>
      </c>
      <c r="S203" s="85">
        <f>$L203*'MWh Impact Summary'!M$27</f>
        <v>26186.67777978638</v>
      </c>
      <c r="T203" s="85">
        <f>$L203*'MWh Impact Summary'!O$27</f>
        <v>113731.01767843937</v>
      </c>
      <c r="U203" s="85">
        <f t="shared" si="60"/>
        <v>374525.20436220092</v>
      </c>
      <c r="V203" s="81">
        <f t="shared" si="62"/>
        <v>1229553.4287926638</v>
      </c>
      <c r="W203" s="81"/>
      <c r="X203" s="262">
        <f>+'MWh by mo-WgtbyActulCDH&amp;Days'!AB205</f>
        <v>5198143.0314946659</v>
      </c>
      <c r="Y203" s="120">
        <f t="shared" si="55"/>
        <v>236.53705204781946</v>
      </c>
      <c r="Z203" s="87">
        <f t="shared" si="63"/>
        <v>7.8845684015939818E-3</v>
      </c>
      <c r="AA203" s="88">
        <f t="shared" si="53"/>
        <v>4.945591369719133E-4</v>
      </c>
      <c r="AC203" s="89">
        <f t="shared" si="61"/>
        <v>26186.67777978638</v>
      </c>
      <c r="AD203" s="93"/>
      <c r="AE203" s="96">
        <f t="shared" si="57"/>
        <v>5.037698582190937</v>
      </c>
      <c r="AF203" s="92">
        <f t="shared" si="66"/>
        <v>1.6792328607303123E-4</v>
      </c>
      <c r="AH203" s="123">
        <f t="shared" si="64"/>
        <v>7.8845684015939818E-3</v>
      </c>
      <c r="AI203" s="121">
        <f t="shared" si="65"/>
        <v>1229553.4287926638</v>
      </c>
    </row>
    <row r="204" spans="1:35">
      <c r="A204" s="78">
        <v>2021</v>
      </c>
      <c r="B204" s="78">
        <v>10</v>
      </c>
      <c r="C204" s="79">
        <f t="shared" si="58"/>
        <v>213.28592721551468</v>
      </c>
      <c r="D204" s="101">
        <f t="shared" si="54"/>
        <v>0.10218548323623593</v>
      </c>
      <c r="E204" s="100">
        <f>$D204*'MWh Impact Summary'!B$27</f>
        <v>339995.77294364286</v>
      </c>
      <c r="F204" s="81">
        <f>$D204*'MWh Impact Summary'!L$27</f>
        <v>10418.867754190969</v>
      </c>
      <c r="G204" s="81">
        <f>$D204*'MWh Impact Summary'!C$27</f>
        <v>236961.2404988558</v>
      </c>
      <c r="H204" s="81">
        <f>$D204*'MWh Impact Summary'!D$27</f>
        <v>1018.9352264861656</v>
      </c>
      <c r="I204" s="81">
        <f>$D204*'MWh Impact Summary'!E$27</f>
        <v>86922.851733771124</v>
      </c>
      <c r="J204" s="82">
        <f t="shared" si="59"/>
        <v>675317.66815694701</v>
      </c>
      <c r="K204" s="83">
        <v>31</v>
      </c>
      <c r="L204" s="97">
        <f>K204/(SUM(K195:K206))</f>
        <v>8.4931506849315067E-2</v>
      </c>
      <c r="M204" s="85">
        <f>$L204*'MWh Impact Summary'!F$27</f>
        <v>146287.57986945406</v>
      </c>
      <c r="N204" s="85">
        <f>$L204*'MWh Impact Summary'!G$27</f>
        <v>15670.265720436975</v>
      </c>
      <c r="O204" s="85">
        <f>$L204*'MWh Impact Summary'!H$27</f>
        <v>9566.7797527246166</v>
      </c>
      <c r="P204" s="85">
        <f>$L204*'MWh Impact Summary'!I$27</f>
        <v>1599.4325245963701</v>
      </c>
      <c r="Q204" s="85">
        <f>$L204*'MWh Impact Summary'!J$27</f>
        <v>44687.952157098225</v>
      </c>
      <c r="R204" s="85">
        <f>$L204*'MWh Impact Summary'!K$27</f>
        <v>24615.749176464124</v>
      </c>
      <c r="S204" s="85">
        <f>$L204*'MWh Impact Summary'!M$27</f>
        <v>27059.567039112593</v>
      </c>
      <c r="T204" s="85">
        <f>$L204*'MWh Impact Summary'!O$27</f>
        <v>117522.05160105402</v>
      </c>
      <c r="U204" s="85">
        <f t="shared" si="60"/>
        <v>387009.37784094102</v>
      </c>
      <c r="V204" s="81">
        <f t="shared" si="62"/>
        <v>1062327.0459978881</v>
      </c>
      <c r="W204" s="81"/>
      <c r="X204" s="262">
        <f>+'MWh by mo-WgtbyActulCDH&amp;Days'!AB206</f>
        <v>5203221.4699283605</v>
      </c>
      <c r="Y204" s="120">
        <f t="shared" si="55"/>
        <v>204.16717837930403</v>
      </c>
      <c r="Z204" s="87">
        <f t="shared" si="63"/>
        <v>6.5860380122356134E-3</v>
      </c>
      <c r="AA204" s="88">
        <f t="shared" si="53"/>
        <v>4.5061492522226274E-4</v>
      </c>
      <c r="AC204" s="89">
        <f t="shared" si="61"/>
        <v>27059.567039112593</v>
      </c>
      <c r="AD204" s="93"/>
      <c r="AE204" s="96">
        <f t="shared" si="57"/>
        <v>5.2005410869980047</v>
      </c>
      <c r="AF204" s="92">
        <f t="shared" si="66"/>
        <v>1.6775938990316145E-4</v>
      </c>
      <c r="AH204" s="123">
        <f t="shared" si="64"/>
        <v>6.5860380122356134E-3</v>
      </c>
      <c r="AI204" s="121">
        <f t="shared" si="65"/>
        <v>1062327.0459978881</v>
      </c>
    </row>
    <row r="205" spans="1:35">
      <c r="A205" s="78">
        <v>2021</v>
      </c>
      <c r="B205" s="78">
        <v>11</v>
      </c>
      <c r="C205" s="79">
        <f t="shared" si="58"/>
        <v>110.23315885291359</v>
      </c>
      <c r="D205" s="101">
        <f t="shared" si="54"/>
        <v>5.2812807451003543E-2</v>
      </c>
      <c r="E205" s="100">
        <f>$D205*'MWh Impact Summary'!B$27</f>
        <v>175720.96076617975</v>
      </c>
      <c r="F205" s="81">
        <f>$D205*'MWh Impact Summary'!L$27</f>
        <v>5384.8123934343121</v>
      </c>
      <c r="G205" s="81">
        <f>$D205*'MWh Impact Summary'!C$27</f>
        <v>122469.33685174592</v>
      </c>
      <c r="H205" s="81">
        <f>$D205*'MWh Impact Summary'!D$27</f>
        <v>526.61912648641282</v>
      </c>
      <c r="I205" s="81">
        <f>$D205*'MWh Impact Summary'!E$27</f>
        <v>44924.579170360084</v>
      </c>
      <c r="J205" s="82">
        <f t="shared" si="59"/>
        <v>349026.3083082065</v>
      </c>
      <c r="K205" s="83">
        <v>30</v>
      </c>
      <c r="L205" s="97">
        <f>K205/(SUM(K195:K206))</f>
        <v>8.2191780821917804E-2</v>
      </c>
      <c r="M205" s="85">
        <f>$L205*'MWh Impact Summary'!F$27</f>
        <v>141568.62568011682</v>
      </c>
      <c r="N205" s="85">
        <f>$L205*'MWh Impact Summary'!G$27</f>
        <v>15164.773277842232</v>
      </c>
      <c r="O205" s="85">
        <f>$L205*'MWh Impact Summary'!H$27</f>
        <v>9258.1739542496289</v>
      </c>
      <c r="P205" s="85">
        <f>$L205*'MWh Impact Summary'!I$27</f>
        <v>1547.8379270287451</v>
      </c>
      <c r="Q205" s="85">
        <f>$L205*'MWh Impact Summary'!J$27</f>
        <v>43246.405313320865</v>
      </c>
      <c r="R205" s="85">
        <f>$L205*'MWh Impact Summary'!K$27</f>
        <v>23821.692751416893</v>
      </c>
      <c r="S205" s="85">
        <f>$L205*'MWh Impact Summary'!M$27</f>
        <v>26186.67777978638</v>
      </c>
      <c r="T205" s="85">
        <f>$L205*'MWh Impact Summary'!O$27</f>
        <v>113731.01767843937</v>
      </c>
      <c r="U205" s="85">
        <f t="shared" si="60"/>
        <v>374525.20436220092</v>
      </c>
      <c r="V205" s="81">
        <f t="shared" si="62"/>
        <v>723551.51267040742</v>
      </c>
      <c r="W205" s="81"/>
      <c r="X205" s="262">
        <f>+'MWh by mo-WgtbyActulCDH&amp;Days'!AB207</f>
        <v>5208331.8045660509</v>
      </c>
      <c r="Y205" s="120">
        <f t="shared" si="55"/>
        <v>138.92193120954445</v>
      </c>
      <c r="Z205" s="87">
        <f t="shared" si="63"/>
        <v>4.6307310403181489E-3</v>
      </c>
      <c r="AA205" s="88">
        <f t="shared" si="53"/>
        <v>3.8458131048125632E-4</v>
      </c>
      <c r="AC205" s="89">
        <f t="shared" si="61"/>
        <v>26186.67777978638</v>
      </c>
      <c r="AD205" s="93"/>
      <c r="AE205" s="96">
        <f t="shared" si="57"/>
        <v>5.0278436095083245</v>
      </c>
      <c r="AF205" s="92">
        <f t="shared" si="66"/>
        <v>1.6759478698361081E-4</v>
      </c>
      <c r="AH205" s="123">
        <f t="shared" si="64"/>
        <v>4.6307310403181489E-3</v>
      </c>
      <c r="AI205" s="121">
        <f t="shared" si="65"/>
        <v>723551.51267040742</v>
      </c>
    </row>
    <row r="206" spans="1:35">
      <c r="A206" s="78">
        <v>2021</v>
      </c>
      <c r="B206" s="78">
        <v>12</v>
      </c>
      <c r="C206" s="79">
        <f t="shared" si="58"/>
        <v>79.005079745838657</v>
      </c>
      <c r="D206" s="101">
        <f t="shared" si="54"/>
        <v>3.7851406125770058E-2</v>
      </c>
      <c r="E206" s="100">
        <f>$D206*'MWh Impact Summary'!B$27</f>
        <v>125940.76648816346</v>
      </c>
      <c r="F206" s="81">
        <f>$D206*'MWh Impact Summary'!L$27</f>
        <v>3859.3426604721999</v>
      </c>
      <c r="G206" s="81">
        <f>$D206*'MWh Impact Summary'!C$27</f>
        <v>87774.856722582481</v>
      </c>
      <c r="H206" s="81">
        <f>$D206*'MWh Impact Summary'!D$27</f>
        <v>377.43258486548638</v>
      </c>
      <c r="I206" s="81">
        <f>$D206*'MWh Impact Summary'!E$27</f>
        <v>32197.84316113454</v>
      </c>
      <c r="J206" s="82">
        <f t="shared" si="59"/>
        <v>250150.24161721815</v>
      </c>
      <c r="K206" s="83">
        <v>31</v>
      </c>
      <c r="L206" s="97">
        <f>K206/(SUM(K195:K206))</f>
        <v>8.4931506849315067E-2</v>
      </c>
      <c r="M206" s="85">
        <f>$L206*'MWh Impact Summary'!F$27</f>
        <v>146287.57986945406</v>
      </c>
      <c r="N206" s="85">
        <f>$L206*'MWh Impact Summary'!G$27</f>
        <v>15670.265720436975</v>
      </c>
      <c r="O206" s="85">
        <f>$L206*'MWh Impact Summary'!H$27</f>
        <v>9566.7797527246166</v>
      </c>
      <c r="P206" s="85">
        <f>$L206*'MWh Impact Summary'!I$27</f>
        <v>1599.4325245963701</v>
      </c>
      <c r="Q206" s="85">
        <f>$L206*'MWh Impact Summary'!J$27</f>
        <v>44687.952157098225</v>
      </c>
      <c r="R206" s="85">
        <f>$L206*'MWh Impact Summary'!K$27</f>
        <v>24615.749176464124</v>
      </c>
      <c r="S206" s="85">
        <f>$L206*'MWh Impact Summary'!M$27</f>
        <v>27059.567039112593</v>
      </c>
      <c r="T206" s="85">
        <f>$L206*'MWh Impact Summary'!O$27</f>
        <v>117522.05160105402</v>
      </c>
      <c r="U206" s="85">
        <f t="shared" si="60"/>
        <v>387009.37784094102</v>
      </c>
      <c r="V206" s="81">
        <f t="shared" si="62"/>
        <v>637159.6194581592</v>
      </c>
      <c r="W206" s="81">
        <f>SUM(V195:V206)</f>
        <v>11165467.015708394</v>
      </c>
      <c r="X206" s="262">
        <f>+'MWh by mo-WgtbyActulCDH&amp;Days'!AB208</f>
        <v>5213464.9586801976</v>
      </c>
      <c r="Y206" s="120">
        <f t="shared" si="55"/>
        <v>122.21423266637969</v>
      </c>
      <c r="Z206" s="87">
        <f t="shared" si="63"/>
        <v>3.9423946021412805E-3</v>
      </c>
      <c r="AA206" s="88">
        <f t="shared" si="53"/>
        <v>3.6119886994604496E-4</v>
      </c>
      <c r="AC206" s="89">
        <f t="shared" si="61"/>
        <v>27059.567039112593</v>
      </c>
      <c r="AD206" s="90">
        <f>SUM(AC195:AC206)</f>
        <v>318604.5796540677</v>
      </c>
      <c r="AE206" s="96">
        <f t="shared" si="57"/>
        <v>5.1903229912497189</v>
      </c>
      <c r="AF206" s="92">
        <f t="shared" si="66"/>
        <v>1.6742977391128125E-4</v>
      </c>
      <c r="AH206" s="123">
        <f t="shared" si="64"/>
        <v>3.9423946021412805E-3</v>
      </c>
      <c r="AI206" s="121">
        <f t="shared" si="65"/>
        <v>637159.6194581592</v>
      </c>
    </row>
    <row r="207" spans="1:35">
      <c r="A207" s="78">
        <v>2022</v>
      </c>
      <c r="B207" s="78">
        <v>1</v>
      </c>
      <c r="C207" s="79">
        <f t="shared" si="58"/>
        <v>26.95686291874426</v>
      </c>
      <c r="D207" s="101">
        <f t="shared" si="54"/>
        <v>1.2915057734219224E-2</v>
      </c>
      <c r="E207" s="100">
        <f>$D207*'MWh Impact Summary'!B$28</f>
        <v>45620.72594500587</v>
      </c>
      <c r="F207" s="81">
        <f>$D207*'MWh Impact Summary'!L$28</f>
        <v>1509.5340253312193</v>
      </c>
      <c r="G207" s="81">
        <f>$D207*'MWh Impact Summary'!C$28</f>
        <v>30687.883566550325</v>
      </c>
      <c r="H207" s="81">
        <f>$D207*'MWh Impact Summary'!D$28</f>
        <v>139.61902900954215</v>
      </c>
      <c r="I207" s="81">
        <f>$D207*'MWh Impact Summary'!E$28</f>
        <v>11127.969215050045</v>
      </c>
      <c r="J207" s="82">
        <f t="shared" si="59"/>
        <v>89085.731780946997</v>
      </c>
      <c r="K207" s="83">
        <v>31</v>
      </c>
      <c r="L207" s="97">
        <f>K207/(SUM(K207:K218))</f>
        <v>8.4931506849315067E-2</v>
      </c>
      <c r="M207" s="85">
        <f>$L207*'MWh Impact Summary'!F$28</f>
        <v>157034.48949249662</v>
      </c>
      <c r="N207" s="85">
        <f>$L207*'MWh Impact Summary'!G$28</f>
        <v>19880.627707039388</v>
      </c>
      <c r="O207" s="85">
        <f>$L207*'MWh Impact Summary'!H$28</f>
        <v>10124.650232578459</v>
      </c>
      <c r="P207" s="85">
        <f>$L207*'MWh Impact Summary'!I$28</f>
        <v>1692.030438793694</v>
      </c>
      <c r="Q207" s="85">
        <f>$L207*'MWh Impact Summary'!J$28</f>
        <v>46094.558607231847</v>
      </c>
      <c r="R207" s="85">
        <f>$L207*'MWh Impact Summary'!K$28</f>
        <v>27781.869342715021</v>
      </c>
      <c r="S207" s="85">
        <f>$L207*'MWh Impact Summary'!M$28</f>
        <v>30833.507467980115</v>
      </c>
      <c r="T207" s="85">
        <f>$L207*'MWh Impact Summary'!O$28</f>
        <v>167365.23590657231</v>
      </c>
      <c r="U207" s="85">
        <f t="shared" si="60"/>
        <v>460806.96919540747</v>
      </c>
      <c r="V207" s="81">
        <f t="shared" si="62"/>
        <v>549892.70097635442</v>
      </c>
      <c r="W207" s="81"/>
      <c r="X207" s="262">
        <f>+'MWh by mo-WgtbyActulCDH&amp;Days'!AB209</f>
        <v>5218681.4177877083</v>
      </c>
      <c r="Y207" s="120">
        <f t="shared" si="55"/>
        <v>105.37004598557458</v>
      </c>
      <c r="Z207" s="87">
        <f t="shared" si="63"/>
        <v>3.3990337414701475E-3</v>
      </c>
      <c r="AA207" s="88">
        <f t="shared" ref="AA207:AA218" si="67">Z207-Z195</f>
        <v>4.4444189923119326E-4</v>
      </c>
      <c r="AC207" s="89">
        <f t="shared" si="61"/>
        <v>30833.507467980115</v>
      </c>
      <c r="AD207" s="93"/>
      <c r="AE207" s="96">
        <f t="shared" si="57"/>
        <v>5.908294643716915</v>
      </c>
      <c r="AF207" s="92">
        <f t="shared" si="66"/>
        <v>1.9059014979731984E-4</v>
      </c>
      <c r="AH207" s="123">
        <f t="shared" si="64"/>
        <v>3.3990337414701475E-3</v>
      </c>
      <c r="AI207" s="121">
        <f t="shared" si="65"/>
        <v>549892.70097635442</v>
      </c>
    </row>
    <row r="208" spans="1:35">
      <c r="A208" s="78">
        <v>2022</v>
      </c>
      <c r="B208" s="78">
        <v>2</v>
      </c>
      <c r="C208" s="79">
        <f t="shared" si="58"/>
        <v>57.510679559652473</v>
      </c>
      <c r="D208" s="101">
        <f t="shared" si="54"/>
        <v>2.7553419293853541E-2</v>
      </c>
      <c r="E208" s="100">
        <f>$D208*'MWh Impact Summary'!B$28</f>
        <v>97328.793747643402</v>
      </c>
      <c r="F208" s="81">
        <f>$D208*'MWh Impact Summary'!L$28</f>
        <v>3220.4907476400144</v>
      </c>
      <c r="G208" s="81">
        <f>$D208*'MWh Impact Summary'!C$28</f>
        <v>65470.564712209285</v>
      </c>
      <c r="H208" s="81">
        <f>$D208*'MWh Impact Summary'!D$28</f>
        <v>297.86794042025889</v>
      </c>
      <c r="I208" s="81">
        <f>$D208*'MWh Impact Summary'!E$28</f>
        <v>23740.784437918301</v>
      </c>
      <c r="J208" s="82">
        <f t="shared" si="59"/>
        <v>190058.50158583125</v>
      </c>
      <c r="K208" s="83">
        <v>28</v>
      </c>
      <c r="L208" s="97">
        <f>K208/(SUM(K207:K218))</f>
        <v>7.6712328767123292E-2</v>
      </c>
      <c r="M208" s="85">
        <f>$L208*'MWh Impact Summary'!F$28</f>
        <v>141837.60341257759</v>
      </c>
      <c r="N208" s="85">
        <f>$L208*'MWh Impact Summary'!G$28</f>
        <v>17956.69599345493</v>
      </c>
      <c r="O208" s="85">
        <f>$L208*'MWh Impact Summary'!H$28</f>
        <v>9144.8453713611889</v>
      </c>
      <c r="P208" s="85">
        <f>$L208*'MWh Impact Summary'!I$28</f>
        <v>1528.2855576201107</v>
      </c>
      <c r="Q208" s="85">
        <f>$L208*'MWh Impact Summary'!J$28</f>
        <v>41633.794871048121</v>
      </c>
      <c r="R208" s="85">
        <f>$L208*'MWh Impact Summary'!K$28</f>
        <v>25093.301341807117</v>
      </c>
      <c r="S208" s="85">
        <f>$L208*'MWh Impact Summary'!M$28</f>
        <v>27849.61964849817</v>
      </c>
      <c r="T208" s="85">
        <f>$L208*'MWh Impact Summary'!O$28</f>
        <v>151168.60017367822</v>
      </c>
      <c r="U208" s="85">
        <f t="shared" si="60"/>
        <v>416212.74637004547</v>
      </c>
      <c r="V208" s="81">
        <f t="shared" si="62"/>
        <v>606271.24795587675</v>
      </c>
      <c r="W208" s="81"/>
      <c r="X208" s="262">
        <f>+'MWh by mo-WgtbyActulCDH&amp;Days'!AB210</f>
        <v>5223815.6567590404</v>
      </c>
      <c r="Y208" s="120">
        <f t="shared" si="55"/>
        <v>116.05908167364763</v>
      </c>
      <c r="Z208" s="87">
        <f t="shared" si="63"/>
        <v>4.1449672026302722E-3</v>
      </c>
      <c r="AA208" s="88">
        <f t="shared" si="67"/>
        <v>4.6686383577959839E-4</v>
      </c>
      <c r="AC208" s="89">
        <f t="shared" si="61"/>
        <v>27849.61964849817</v>
      </c>
      <c r="AD208" s="93"/>
      <c r="AE208" s="96">
        <f t="shared" si="57"/>
        <v>5.3312791795138939</v>
      </c>
      <c r="AF208" s="92">
        <f t="shared" si="66"/>
        <v>1.9040282783978194E-4</v>
      </c>
      <c r="AH208" s="123">
        <f t="shared" si="64"/>
        <v>4.1449672026302722E-3</v>
      </c>
      <c r="AI208" s="121">
        <f t="shared" si="65"/>
        <v>606271.24795587675</v>
      </c>
    </row>
    <row r="209" spans="1:35">
      <c r="A209" s="78">
        <v>2022</v>
      </c>
      <c r="B209" s="78">
        <v>3</v>
      </c>
      <c r="C209" s="79">
        <f t="shared" si="58"/>
        <v>62.20178223460303</v>
      </c>
      <c r="D209" s="101">
        <f t="shared" si="54"/>
        <v>2.9800930885493855E-2</v>
      </c>
      <c r="E209" s="100">
        <f>$D209*'MWh Impact Summary'!B$28</f>
        <v>105267.82990919141</v>
      </c>
      <c r="F209" s="81">
        <f>$D209*'MWh Impact Summary'!L$28</f>
        <v>3483.1837444291987</v>
      </c>
      <c r="G209" s="81">
        <f>$D209*'MWh Impact Summary'!C$28</f>
        <v>70810.949204334815</v>
      </c>
      <c r="H209" s="81">
        <f>$D209*'MWh Impact Summary'!D$28</f>
        <v>322.16480324272163</v>
      </c>
      <c r="I209" s="81">
        <f>$D209*'MWh Impact Summary'!E$28</f>
        <v>25677.302285296977</v>
      </c>
      <c r="J209" s="82">
        <f t="shared" si="59"/>
        <v>205561.42994649513</v>
      </c>
      <c r="K209" s="83">
        <v>31</v>
      </c>
      <c r="L209" s="97">
        <f>K209/(SUM(K207:K218))</f>
        <v>8.4931506849315067E-2</v>
      </c>
      <c r="M209" s="85">
        <f>$L209*'MWh Impact Summary'!F$28</f>
        <v>157034.48949249662</v>
      </c>
      <c r="N209" s="85">
        <f>$L209*'MWh Impact Summary'!G$28</f>
        <v>19880.627707039388</v>
      </c>
      <c r="O209" s="85">
        <f>$L209*'MWh Impact Summary'!H$28</f>
        <v>10124.650232578459</v>
      </c>
      <c r="P209" s="85">
        <f>$L209*'MWh Impact Summary'!I$28</f>
        <v>1692.030438793694</v>
      </c>
      <c r="Q209" s="85">
        <f>$L209*'MWh Impact Summary'!J$28</f>
        <v>46094.558607231847</v>
      </c>
      <c r="R209" s="85">
        <f>$L209*'MWh Impact Summary'!K$28</f>
        <v>27781.869342715021</v>
      </c>
      <c r="S209" s="85">
        <f>$L209*'MWh Impact Summary'!M$28</f>
        <v>30833.507467980115</v>
      </c>
      <c r="T209" s="85">
        <f>$L209*'MWh Impact Summary'!O$28</f>
        <v>167365.23590657231</v>
      </c>
      <c r="U209" s="85">
        <f t="shared" si="60"/>
        <v>460806.96919540747</v>
      </c>
      <c r="V209" s="81">
        <f t="shared" si="62"/>
        <v>666368.39914190257</v>
      </c>
      <c r="W209" s="81"/>
      <c r="X209" s="262">
        <f>+'MWh by mo-WgtbyActulCDH&amp;Days'!AB211</f>
        <v>5229019.600151482</v>
      </c>
      <c r="Y209" s="120">
        <f t="shared" si="55"/>
        <v>127.43658469411707</v>
      </c>
      <c r="Z209" s="87">
        <f t="shared" si="63"/>
        <v>4.1108575707779699E-3</v>
      </c>
      <c r="AA209" s="88">
        <f t="shared" si="67"/>
        <v>4.6552089698023279E-4</v>
      </c>
      <c r="AC209" s="89">
        <f t="shared" si="61"/>
        <v>30833.507467980115</v>
      </c>
      <c r="AD209" s="93"/>
      <c r="AE209" s="96">
        <f t="shared" si="57"/>
        <v>5.8966134812512241</v>
      </c>
      <c r="AF209" s="92">
        <f t="shared" si="66"/>
        <v>1.9021333810487819E-4</v>
      </c>
      <c r="AH209" s="123">
        <f t="shared" si="64"/>
        <v>4.1108575707779699E-3</v>
      </c>
      <c r="AI209" s="121">
        <f t="shared" si="65"/>
        <v>666368.39914190257</v>
      </c>
    </row>
    <row r="210" spans="1:35">
      <c r="A210" s="78">
        <v>2022</v>
      </c>
      <c r="B210" s="78">
        <v>4</v>
      </c>
      <c r="C210" s="79">
        <f t="shared" si="58"/>
        <v>137.13602413996043</v>
      </c>
      <c r="D210" s="101">
        <f t="shared" si="54"/>
        <v>6.5701994870379921E-2</v>
      </c>
      <c r="E210" s="100">
        <f>$D210*'MWh Impact Summary'!B$28</f>
        <v>232083.56971413794</v>
      </c>
      <c r="F210" s="81">
        <f>$D210*'MWh Impact Summary'!L$28</f>
        <v>7679.3614732510205</v>
      </c>
      <c r="G210" s="81">
        <f>$D210*'MWh Impact Summary'!C$28</f>
        <v>156116.62062726333</v>
      </c>
      <c r="H210" s="81">
        <f>$D210*'MWh Impact Summary'!D$28</f>
        <v>710.27547197774322</v>
      </c>
      <c r="I210" s="81">
        <f>$D210*'MWh Impact Summary'!E$28</f>
        <v>56610.647147770098</v>
      </c>
      <c r="J210" s="82">
        <f t="shared" si="59"/>
        <v>453200.47443440009</v>
      </c>
      <c r="K210" s="83">
        <v>30</v>
      </c>
      <c r="L210" s="97">
        <f>K210/(SUM(K207:K218))</f>
        <v>8.2191780821917804E-2</v>
      </c>
      <c r="M210" s="85">
        <f>$L210*'MWh Impact Summary'!F$28</f>
        <v>151968.86079919027</v>
      </c>
      <c r="N210" s="85">
        <f>$L210*'MWh Impact Summary'!G$28</f>
        <v>19239.317135844569</v>
      </c>
      <c r="O210" s="85">
        <f>$L210*'MWh Impact Summary'!H$28</f>
        <v>9798.0486121727008</v>
      </c>
      <c r="P210" s="85">
        <f>$L210*'MWh Impact Summary'!I$28</f>
        <v>1637.4488117358328</v>
      </c>
      <c r="Q210" s="85">
        <f>$L210*'MWh Impact Summary'!J$28</f>
        <v>44607.637361837267</v>
      </c>
      <c r="R210" s="85">
        <f>$L210*'MWh Impact Summary'!K$28</f>
        <v>26885.680009079049</v>
      </c>
      <c r="S210" s="85">
        <f>$L210*'MWh Impact Summary'!M$28</f>
        <v>29838.878194819466</v>
      </c>
      <c r="T210" s="85">
        <f>$L210*'MWh Impact Summary'!O$28</f>
        <v>161966.35732894094</v>
      </c>
      <c r="U210" s="85">
        <f t="shared" si="60"/>
        <v>445942.22825362015</v>
      </c>
      <c r="V210" s="81">
        <f t="shared" si="62"/>
        <v>899142.70268802019</v>
      </c>
      <c r="W210" s="81"/>
      <c r="X210" s="262">
        <f>+'MWh by mo-WgtbyActulCDH&amp;Days'!AB212</f>
        <v>5234136.2560332026</v>
      </c>
      <c r="Y210" s="120">
        <f t="shared" si="55"/>
        <v>171.78435155401436</v>
      </c>
      <c r="Z210" s="87">
        <f t="shared" si="63"/>
        <v>5.7261450518004782E-3</v>
      </c>
      <c r="AA210" s="88">
        <f t="shared" si="67"/>
        <v>5.1446816210505304E-4</v>
      </c>
      <c r="AC210" s="89">
        <f t="shared" si="61"/>
        <v>29838.878194819466</v>
      </c>
      <c r="AD210" s="93"/>
      <c r="AE210" s="96">
        <f t="shared" si="57"/>
        <v>5.700821823357245</v>
      </c>
      <c r="AF210" s="92">
        <f t="shared" si="66"/>
        <v>1.9002739411190818E-4</v>
      </c>
      <c r="AH210" s="123">
        <f t="shared" si="64"/>
        <v>5.7261450518004782E-3</v>
      </c>
      <c r="AI210" s="121">
        <f t="shared" si="65"/>
        <v>899142.70268802019</v>
      </c>
    </row>
    <row r="211" spans="1:35">
      <c r="A211" s="78">
        <v>2022</v>
      </c>
      <c r="B211" s="78">
        <v>5</v>
      </c>
      <c r="C211" s="79">
        <f t="shared" si="58"/>
        <v>220.65709530534707</v>
      </c>
      <c r="D211" s="101">
        <f t="shared" si="54"/>
        <v>0.10571701662481223</v>
      </c>
      <c r="E211" s="100">
        <f>$D211*'MWh Impact Summary'!B$28</f>
        <v>373431.31888490578</v>
      </c>
      <c r="F211" s="81">
        <f>$D211*'MWh Impact Summary'!L$28</f>
        <v>12356.385618690214</v>
      </c>
      <c r="G211" s="81">
        <f>$D211*'MWh Impact Summary'!C$28</f>
        <v>251197.59926349504</v>
      </c>
      <c r="H211" s="81">
        <f>$D211*'MWh Impact Summary'!D$28</f>
        <v>1142.8603351755921</v>
      </c>
      <c r="I211" s="81">
        <f>$D211*'MWh Impact Summary'!E$28</f>
        <v>91088.691256165272</v>
      </c>
      <c r="J211" s="82">
        <f t="shared" si="59"/>
        <v>729216.85535843193</v>
      </c>
      <c r="K211" s="83">
        <v>31</v>
      </c>
      <c r="L211" s="97">
        <f>K211/(SUM(K207:K218))</f>
        <v>8.4931506849315067E-2</v>
      </c>
      <c r="M211" s="85">
        <f>$L211*'MWh Impact Summary'!F$28</f>
        <v>157034.48949249662</v>
      </c>
      <c r="N211" s="85">
        <f>$L211*'MWh Impact Summary'!G$28</f>
        <v>19880.627707039388</v>
      </c>
      <c r="O211" s="85">
        <f>$L211*'MWh Impact Summary'!H$28</f>
        <v>10124.650232578459</v>
      </c>
      <c r="P211" s="85">
        <f>$L211*'MWh Impact Summary'!I$28</f>
        <v>1692.030438793694</v>
      </c>
      <c r="Q211" s="85">
        <f>$L211*'MWh Impact Summary'!J$28</f>
        <v>46094.558607231847</v>
      </c>
      <c r="R211" s="85">
        <f>$L211*'MWh Impact Summary'!K$28</f>
        <v>27781.869342715021</v>
      </c>
      <c r="S211" s="85">
        <f>$L211*'MWh Impact Summary'!M$28</f>
        <v>30833.507467980115</v>
      </c>
      <c r="T211" s="85">
        <f>$L211*'MWh Impact Summary'!O$28</f>
        <v>167365.23590657231</v>
      </c>
      <c r="U211" s="85">
        <f t="shared" si="60"/>
        <v>460806.96919540747</v>
      </c>
      <c r="V211" s="81">
        <f t="shared" si="62"/>
        <v>1190023.8245538394</v>
      </c>
      <c r="W211" s="81"/>
      <c r="X211" s="262">
        <f>+'MWh by mo-WgtbyActulCDH&amp;Days'!AB213</f>
        <v>5239238.1846235972</v>
      </c>
      <c r="Y211" s="120">
        <f t="shared" si="55"/>
        <v>227.13680550855398</v>
      </c>
      <c r="Z211" s="87">
        <f t="shared" si="63"/>
        <v>7.3269937260823865E-3</v>
      </c>
      <c r="AA211" s="88">
        <f t="shared" si="67"/>
        <v>5.6293306428176898E-4</v>
      </c>
      <c r="AC211" s="89">
        <f t="shared" si="61"/>
        <v>30833.507467980115</v>
      </c>
      <c r="AD211" s="93"/>
      <c r="AE211" s="96">
        <f t="shared" si="57"/>
        <v>5.8851127552230738</v>
      </c>
      <c r="AF211" s="92">
        <f t="shared" si="66"/>
        <v>1.8984234694267979E-4</v>
      </c>
      <c r="AH211" s="123">
        <f t="shared" si="64"/>
        <v>7.3269937260823865E-3</v>
      </c>
      <c r="AI211" s="121">
        <f t="shared" si="65"/>
        <v>1190023.8245538394</v>
      </c>
    </row>
    <row r="212" spans="1:35">
      <c r="A212" s="78">
        <v>2022</v>
      </c>
      <c r="B212" s="78">
        <v>6</v>
      </c>
      <c r="C212" s="79">
        <f t="shared" si="58"/>
        <v>247.5875604864128</v>
      </c>
      <c r="D212" s="101">
        <f t="shared" si="54"/>
        <v>0.11861942717871234</v>
      </c>
      <c r="E212" s="100">
        <f>$D212*'MWh Impact Summary'!B$28</f>
        <v>419007.3703453535</v>
      </c>
      <c r="F212" s="81">
        <f>$D212*'MWh Impact Summary'!L$28</f>
        <v>13864.441419966297</v>
      </c>
      <c r="G212" s="81">
        <f>$D212*'MWh Impact Summary'!C$28</f>
        <v>281855.43145861017</v>
      </c>
      <c r="H212" s="81">
        <f>$D212*'MWh Impact Summary'!D$28</f>
        <v>1282.3426410614595</v>
      </c>
      <c r="I212" s="81">
        <f>$D212*'MWh Impact Summary'!E$28</f>
        <v>102205.76331255412</v>
      </c>
      <c r="J212" s="82">
        <f t="shared" si="59"/>
        <v>818215.34917754552</v>
      </c>
      <c r="K212" s="83">
        <v>30</v>
      </c>
      <c r="L212" s="97">
        <f>K212/(SUM(K207:K218))</f>
        <v>8.2191780821917804E-2</v>
      </c>
      <c r="M212" s="85">
        <f>$L212*'MWh Impact Summary'!F$28</f>
        <v>151968.86079919027</v>
      </c>
      <c r="N212" s="85">
        <f>$L212*'MWh Impact Summary'!G$28</f>
        <v>19239.317135844569</v>
      </c>
      <c r="O212" s="85">
        <f>$L212*'MWh Impact Summary'!H$28</f>
        <v>9798.0486121727008</v>
      </c>
      <c r="P212" s="85">
        <f>$L212*'MWh Impact Summary'!I$28</f>
        <v>1637.4488117358328</v>
      </c>
      <c r="Q212" s="85">
        <f>$L212*'MWh Impact Summary'!J$28</f>
        <v>44607.637361837267</v>
      </c>
      <c r="R212" s="85">
        <f>$L212*'MWh Impact Summary'!K$28</f>
        <v>26885.680009079049</v>
      </c>
      <c r="S212" s="85">
        <f>$L212*'MWh Impact Summary'!M$28</f>
        <v>29838.878194819466</v>
      </c>
      <c r="T212" s="85">
        <f>$L212*'MWh Impact Summary'!O$28</f>
        <v>161966.35732894094</v>
      </c>
      <c r="U212" s="85">
        <f t="shared" si="60"/>
        <v>445942.22825362015</v>
      </c>
      <c r="V212" s="81">
        <f t="shared" si="62"/>
        <v>1264157.5774311656</v>
      </c>
      <c r="W212" s="81"/>
      <c r="X212" s="262">
        <f>+'MWh by mo-WgtbyActulCDH&amp;Days'!AB214</f>
        <v>5244340.260228348</v>
      </c>
      <c r="Y212" s="120">
        <f t="shared" si="55"/>
        <v>241.05178434324588</v>
      </c>
      <c r="Z212" s="87">
        <f t="shared" si="63"/>
        <v>8.0350594781081978E-3</v>
      </c>
      <c r="AA212" s="88">
        <f t="shared" si="67"/>
        <v>5.8416107151974556E-4</v>
      </c>
      <c r="AC212" s="89">
        <f t="shared" si="61"/>
        <v>29838.878194819466</v>
      </c>
      <c r="AD212" s="93"/>
      <c r="AE212" s="96">
        <f t="shared" si="57"/>
        <v>5.6897296350332969</v>
      </c>
      <c r="AF212" s="92">
        <f t="shared" si="66"/>
        <v>1.8965765450110989E-4</v>
      </c>
      <c r="AH212" s="123">
        <f t="shared" si="64"/>
        <v>8.0350594781081978E-3</v>
      </c>
      <c r="AI212" s="121">
        <f t="shared" si="65"/>
        <v>1264157.5774311656</v>
      </c>
    </row>
    <row r="213" spans="1:35">
      <c r="A213" s="78">
        <v>2022</v>
      </c>
      <c r="B213" s="78">
        <v>7</v>
      </c>
      <c r="C213" s="79">
        <f t="shared" si="58"/>
        <v>311.6666769190017</v>
      </c>
      <c r="D213" s="101">
        <f t="shared" si="54"/>
        <v>0.1493197905993085</v>
      </c>
      <c r="E213" s="100">
        <f>$D213*'MWh Impact Summary'!B$28</f>
        <v>527452.32621358766</v>
      </c>
      <c r="F213" s="81">
        <f>$D213*'MWh Impact Summary'!L$28</f>
        <v>17452.752376613018</v>
      </c>
      <c r="G213" s="81">
        <f>$D213*'MWh Impact Summary'!C$28</f>
        <v>354803.55120303901</v>
      </c>
      <c r="H213" s="81">
        <f>$D213*'MWh Impact Summary'!D$28</f>
        <v>1614.2308152557371</v>
      </c>
      <c r="I213" s="81">
        <f>$D213*'MWh Impact Summary'!E$28</f>
        <v>128658.04142588118</v>
      </c>
      <c r="J213" s="82">
        <f t="shared" si="59"/>
        <v>1029980.9020343766</v>
      </c>
      <c r="K213" s="83">
        <v>31</v>
      </c>
      <c r="L213" s="97">
        <f>K213/(SUM(K207:K218))</f>
        <v>8.4931506849315067E-2</v>
      </c>
      <c r="M213" s="85">
        <f>$L213*'MWh Impact Summary'!F$28</f>
        <v>157034.48949249662</v>
      </c>
      <c r="N213" s="85">
        <f>$L213*'MWh Impact Summary'!G$28</f>
        <v>19880.627707039388</v>
      </c>
      <c r="O213" s="85">
        <f>$L213*'MWh Impact Summary'!H$28</f>
        <v>10124.650232578459</v>
      </c>
      <c r="P213" s="85">
        <f>$L213*'MWh Impact Summary'!I$28</f>
        <v>1692.030438793694</v>
      </c>
      <c r="Q213" s="85">
        <f>$L213*'MWh Impact Summary'!J$28</f>
        <v>46094.558607231847</v>
      </c>
      <c r="R213" s="85">
        <f>$L213*'MWh Impact Summary'!K$28</f>
        <v>27781.869342715021</v>
      </c>
      <c r="S213" s="85">
        <f>$L213*'MWh Impact Summary'!M$28</f>
        <v>30833.507467980115</v>
      </c>
      <c r="T213" s="85">
        <f>$L213*'MWh Impact Summary'!O$28</f>
        <v>167365.23590657231</v>
      </c>
      <c r="U213" s="85">
        <f t="shared" si="60"/>
        <v>460806.96919540747</v>
      </c>
      <c r="V213" s="81">
        <f t="shared" si="62"/>
        <v>1490787.8712297841</v>
      </c>
      <c r="W213" s="81"/>
      <c r="X213" s="262">
        <f>+'MWh by mo-WgtbyActulCDH&amp;Days'!AB215</f>
        <v>5249596.8518007202</v>
      </c>
      <c r="Y213" s="120">
        <f t="shared" si="55"/>
        <v>283.98140148960448</v>
      </c>
      <c r="Z213" s="87">
        <f t="shared" si="63"/>
        <v>9.1606903706324024E-3</v>
      </c>
      <c r="AA213" s="88">
        <f t="shared" si="67"/>
        <v>6.1822754638270888E-4</v>
      </c>
      <c r="AC213" s="89">
        <f t="shared" si="61"/>
        <v>30833.507467980115</v>
      </c>
      <c r="AD213" s="93"/>
      <c r="AE213" s="96">
        <f t="shared" si="57"/>
        <v>5.8735000683725991</v>
      </c>
      <c r="AF213" s="92">
        <f t="shared" si="66"/>
        <v>1.8946774414105159E-4</v>
      </c>
      <c r="AH213" s="123">
        <f t="shared" si="64"/>
        <v>9.1606903706324024E-3</v>
      </c>
      <c r="AI213" s="121">
        <f t="shared" si="65"/>
        <v>1490787.8712297841</v>
      </c>
    </row>
    <row r="214" spans="1:35">
      <c r="A214" s="78">
        <v>2022</v>
      </c>
      <c r="B214" s="78">
        <v>8</v>
      </c>
      <c r="C214" s="79">
        <f t="shared" si="58"/>
        <v>350.95807565684066</v>
      </c>
      <c r="D214" s="101">
        <f t="shared" si="54"/>
        <v>0.16814433575083526</v>
      </c>
      <c r="E214" s="100">
        <f>$D214*'MWh Impact Summary'!B$28</f>
        <v>593947.53150576202</v>
      </c>
      <c r="F214" s="81">
        <f>$D214*'MWh Impact Summary'!L$28</f>
        <v>19652.997393119822</v>
      </c>
      <c r="G214" s="81">
        <f>$D214*'MWh Impact Summary'!C$28</f>
        <v>399533.15765866562</v>
      </c>
      <c r="H214" s="81">
        <f>$D214*'MWh Impact Summary'!D$28</f>
        <v>1817.7347228409665</v>
      </c>
      <c r="I214" s="81">
        <f>$D214*'MWh Impact Summary'!E$28</f>
        <v>144877.78765113282</v>
      </c>
      <c r="J214" s="82">
        <f t="shared" si="59"/>
        <v>1159829.2089315213</v>
      </c>
      <c r="K214" s="83">
        <v>31</v>
      </c>
      <c r="L214" s="97">
        <f>K214/(SUM(K207:K218))</f>
        <v>8.4931506849315067E-2</v>
      </c>
      <c r="M214" s="85">
        <f>$L214*'MWh Impact Summary'!F$28</f>
        <v>157034.48949249662</v>
      </c>
      <c r="N214" s="85">
        <f>$L214*'MWh Impact Summary'!G$28</f>
        <v>19880.627707039388</v>
      </c>
      <c r="O214" s="85">
        <f>$L214*'MWh Impact Summary'!H$28</f>
        <v>10124.650232578459</v>
      </c>
      <c r="P214" s="85">
        <f>$L214*'MWh Impact Summary'!I$28</f>
        <v>1692.030438793694</v>
      </c>
      <c r="Q214" s="85">
        <f>$L214*'MWh Impact Summary'!J$28</f>
        <v>46094.558607231847</v>
      </c>
      <c r="R214" s="85">
        <f>$L214*'MWh Impact Summary'!K$28</f>
        <v>27781.869342715021</v>
      </c>
      <c r="S214" s="85">
        <f>$L214*'MWh Impact Summary'!M$28</f>
        <v>30833.507467980115</v>
      </c>
      <c r="T214" s="85">
        <f>$L214*'MWh Impact Summary'!O$28</f>
        <v>167365.23590657231</v>
      </c>
      <c r="U214" s="85">
        <f t="shared" si="60"/>
        <v>460806.96919540747</v>
      </c>
      <c r="V214" s="81">
        <f t="shared" si="62"/>
        <v>1620636.1781269289</v>
      </c>
      <c r="W214" s="81"/>
      <c r="X214" s="262">
        <f>+'MWh by mo-WgtbyActulCDH&amp;Days'!AB216</f>
        <v>5254931.9503803095</v>
      </c>
      <c r="Y214" s="120">
        <f t="shared" si="55"/>
        <v>308.40288578991783</v>
      </c>
      <c r="Z214" s="87">
        <f t="shared" si="63"/>
        <v>9.9484801867715418E-3</v>
      </c>
      <c r="AA214" s="88">
        <f t="shared" si="67"/>
        <v>6.420718194785676E-4</v>
      </c>
      <c r="AC214" s="89">
        <f t="shared" si="61"/>
        <v>30833.507467980115</v>
      </c>
      <c r="AD214" s="93"/>
      <c r="AE214" s="96">
        <f t="shared" si="57"/>
        <v>5.8675369651073472</v>
      </c>
      <c r="AF214" s="92">
        <f t="shared" si="66"/>
        <v>1.8927538597120474E-4</v>
      </c>
      <c r="AH214" s="123">
        <f t="shared" si="64"/>
        <v>9.9484801867715418E-3</v>
      </c>
      <c r="AI214" s="121">
        <f t="shared" si="65"/>
        <v>1620636.1781269289</v>
      </c>
    </row>
    <row r="215" spans="1:35">
      <c r="A215" s="78">
        <v>2022</v>
      </c>
      <c r="B215" s="78">
        <v>9</v>
      </c>
      <c r="C215" s="79">
        <f t="shared" si="58"/>
        <v>270.04400483226198</v>
      </c>
      <c r="D215" s="101">
        <f>D203</f>
        <v>0.12937833024937548</v>
      </c>
      <c r="E215" s="100">
        <f>$D215*'MWh Impact Summary'!B$28</f>
        <v>457011.76634237054</v>
      </c>
      <c r="F215" s="81">
        <f>$D215*'MWh Impact Summary'!L$28</f>
        <v>15121.960402430866</v>
      </c>
      <c r="G215" s="81">
        <f>$D215*'MWh Impact Summary'!C$28</f>
        <v>307420.00666461262</v>
      </c>
      <c r="H215" s="81">
        <f>$D215*'MWh Impact Summary'!D$28</f>
        <v>1398.6524269599568</v>
      </c>
      <c r="I215" s="81">
        <f>$D215*'MWh Impact Summary'!E$28</f>
        <v>111475.93032395112</v>
      </c>
      <c r="J215" s="82">
        <f t="shared" si="59"/>
        <v>892428.31616032519</v>
      </c>
      <c r="K215" s="83">
        <v>30</v>
      </c>
      <c r="L215" s="97">
        <f>K215/(SUM(K207:K218))</f>
        <v>8.2191780821917804E-2</v>
      </c>
      <c r="M215" s="85">
        <f>$L215*'MWh Impact Summary'!F$28</f>
        <v>151968.86079919027</v>
      </c>
      <c r="N215" s="85">
        <f>$L215*'MWh Impact Summary'!G$28</f>
        <v>19239.317135844569</v>
      </c>
      <c r="O215" s="85">
        <f>$L215*'MWh Impact Summary'!H$28</f>
        <v>9798.0486121727008</v>
      </c>
      <c r="P215" s="85">
        <f>$L215*'MWh Impact Summary'!I$28</f>
        <v>1637.4488117358328</v>
      </c>
      <c r="Q215" s="85">
        <f>$L215*'MWh Impact Summary'!J$28</f>
        <v>44607.637361837267</v>
      </c>
      <c r="R215" s="85">
        <f>$L215*'MWh Impact Summary'!K$28</f>
        <v>26885.680009079049</v>
      </c>
      <c r="S215" s="85">
        <f>$L215*'MWh Impact Summary'!M$28</f>
        <v>29838.878194819466</v>
      </c>
      <c r="T215" s="85">
        <f>$L215*'MWh Impact Summary'!O$28</f>
        <v>161966.35732894094</v>
      </c>
      <c r="U215" s="85">
        <f t="shared" si="60"/>
        <v>445942.22825362015</v>
      </c>
      <c r="V215" s="81">
        <f t="shared" si="62"/>
        <v>1338370.5444139454</v>
      </c>
      <c r="W215" s="81"/>
      <c r="X215" s="262">
        <f>+'MWh by mo-WgtbyActulCDH&amp;Days'!AB217</f>
        <v>5259983.1400663005</v>
      </c>
      <c r="Y215" s="120">
        <f t="shared" si="55"/>
        <v>254.44388485189626</v>
      </c>
      <c r="Z215" s="87">
        <f t="shared" si="63"/>
        <v>8.481462828396541E-3</v>
      </c>
      <c r="AA215" s="88">
        <f t="shared" si="67"/>
        <v>5.9689442680255916E-4</v>
      </c>
      <c r="AC215" s="89">
        <f t="shared" si="61"/>
        <v>29838.878194819466</v>
      </c>
      <c r="AD215" s="93"/>
      <c r="AE215" s="96">
        <f t="shared" si="57"/>
        <v>5.6728087144483421</v>
      </c>
      <c r="AF215" s="92">
        <f t="shared" si="66"/>
        <v>1.8909362381494473E-4</v>
      </c>
      <c r="AH215" s="123">
        <f t="shared" si="64"/>
        <v>8.481462828396541E-3</v>
      </c>
      <c r="AI215" s="121">
        <f t="shared" si="65"/>
        <v>1338370.5444139454</v>
      </c>
    </row>
    <row r="216" spans="1:35">
      <c r="A216" s="78">
        <v>2022</v>
      </c>
      <c r="B216" s="78">
        <v>10</v>
      </c>
      <c r="C216" s="79">
        <f t="shared" si="58"/>
        <v>213.28592721551468</v>
      </c>
      <c r="D216" s="101">
        <f>D204</f>
        <v>0.10218548323623593</v>
      </c>
      <c r="E216" s="100">
        <f>$D216*'MWh Impact Summary'!B$28</f>
        <v>360956.64628170064</v>
      </c>
      <c r="F216" s="81">
        <f>$D216*'MWh Impact Summary'!L$28</f>
        <v>11943.613959332899</v>
      </c>
      <c r="G216" s="81">
        <f>$D216*'MWh Impact Summary'!C$28</f>
        <v>242806.20933165852</v>
      </c>
      <c r="H216" s="81">
        <f>$D216*'MWh Impact Summary'!D$28</f>
        <v>1104.6824754420361</v>
      </c>
      <c r="I216" s="81">
        <f>$D216*'MWh Impact Summary'!E$28</f>
        <v>88045.82488740921</v>
      </c>
      <c r="J216" s="82">
        <f t="shared" si="59"/>
        <v>704856.97693554335</v>
      </c>
      <c r="K216" s="83">
        <v>31</v>
      </c>
      <c r="L216" s="97">
        <f>K216/(SUM(K207:K218))</f>
        <v>8.4931506849315067E-2</v>
      </c>
      <c r="M216" s="85">
        <f>$L216*'MWh Impact Summary'!F$28</f>
        <v>157034.48949249662</v>
      </c>
      <c r="N216" s="85">
        <f>$L216*'MWh Impact Summary'!G$28</f>
        <v>19880.627707039388</v>
      </c>
      <c r="O216" s="85">
        <f>$L216*'MWh Impact Summary'!H$28</f>
        <v>10124.650232578459</v>
      </c>
      <c r="P216" s="85">
        <f>$L216*'MWh Impact Summary'!I$28</f>
        <v>1692.030438793694</v>
      </c>
      <c r="Q216" s="85">
        <f>$L216*'MWh Impact Summary'!J$28</f>
        <v>46094.558607231847</v>
      </c>
      <c r="R216" s="85">
        <f>$L216*'MWh Impact Summary'!K$28</f>
        <v>27781.869342715021</v>
      </c>
      <c r="S216" s="85">
        <f>$L216*'MWh Impact Summary'!M$28</f>
        <v>30833.507467980115</v>
      </c>
      <c r="T216" s="85">
        <f>$L216*'MWh Impact Summary'!O$28</f>
        <v>167365.23590657231</v>
      </c>
      <c r="U216" s="85">
        <f t="shared" si="60"/>
        <v>460806.96919540747</v>
      </c>
      <c r="V216" s="81">
        <f t="shared" si="62"/>
        <v>1165663.9461309509</v>
      </c>
      <c r="W216" s="81"/>
      <c r="X216" s="262">
        <f>+'MWh by mo-WgtbyActulCDH&amp;Days'!AB218</f>
        <v>5265129.0517696831</v>
      </c>
      <c r="Y216" s="120">
        <f t="shared" si="55"/>
        <v>221.39323360728548</v>
      </c>
      <c r="Z216" s="87">
        <f t="shared" si="63"/>
        <v>7.1417172131382411E-3</v>
      </c>
      <c r="AA216" s="88">
        <f t="shared" si="67"/>
        <v>5.5567920090262776E-4</v>
      </c>
      <c r="AC216" s="89">
        <f t="shared" si="61"/>
        <v>30833.507467980115</v>
      </c>
      <c r="AD216" s="93"/>
      <c r="AE216" s="96">
        <f t="shared" si="57"/>
        <v>5.8561731659011365</v>
      </c>
      <c r="AF216" s="92">
        <f t="shared" si="66"/>
        <v>1.8890881180326247E-4</v>
      </c>
      <c r="AH216" s="123">
        <f t="shared" si="64"/>
        <v>7.1417172131382411E-3</v>
      </c>
      <c r="AI216" s="121">
        <f t="shared" si="65"/>
        <v>1165663.9461309509</v>
      </c>
    </row>
    <row r="217" spans="1:35">
      <c r="A217" s="78">
        <v>2022</v>
      </c>
      <c r="B217" s="78">
        <v>11</v>
      </c>
      <c r="C217" s="79">
        <f t="shared" si="58"/>
        <v>110.23315885291359</v>
      </c>
      <c r="D217" s="101">
        <f>D205</f>
        <v>5.2812807451003543E-2</v>
      </c>
      <c r="E217" s="100">
        <f>$D217*'MWh Impact Summary'!B$28</f>
        <v>186554.22721997253</v>
      </c>
      <c r="F217" s="81">
        <f>$D217*'MWh Impact Summary'!L$28</f>
        <v>6172.8512145420618</v>
      </c>
      <c r="G217" s="81">
        <f>$D217*'MWh Impact Summary'!C$28</f>
        <v>125490.208346871</v>
      </c>
      <c r="H217" s="81">
        <f>$D217*'MWh Impact Summary'!D$28</f>
        <v>570.93611560403917</v>
      </c>
      <c r="I217" s="81">
        <f>$D217*'MWh Impact Summary'!E$28</f>
        <v>45504.968508037586</v>
      </c>
      <c r="J217" s="82">
        <f t="shared" si="59"/>
        <v>364293.19140502717</v>
      </c>
      <c r="K217" s="83">
        <v>30</v>
      </c>
      <c r="L217" s="97">
        <f>K217/(SUM(K207:K218))</f>
        <v>8.2191780821917804E-2</v>
      </c>
      <c r="M217" s="85">
        <f>$L217*'MWh Impact Summary'!F$28</f>
        <v>151968.86079919027</v>
      </c>
      <c r="N217" s="85">
        <f>$L217*'MWh Impact Summary'!G$28</f>
        <v>19239.317135844569</v>
      </c>
      <c r="O217" s="85">
        <f>$L217*'MWh Impact Summary'!H$28</f>
        <v>9798.0486121727008</v>
      </c>
      <c r="P217" s="85">
        <f>$L217*'MWh Impact Summary'!I$28</f>
        <v>1637.4488117358328</v>
      </c>
      <c r="Q217" s="85">
        <f>$L217*'MWh Impact Summary'!J$28</f>
        <v>44607.637361837267</v>
      </c>
      <c r="R217" s="85">
        <f>$L217*'MWh Impact Summary'!K$28</f>
        <v>26885.680009079049</v>
      </c>
      <c r="S217" s="85">
        <f>$L217*'MWh Impact Summary'!M$28</f>
        <v>29838.878194819466</v>
      </c>
      <c r="T217" s="85">
        <f>$L217*'MWh Impact Summary'!O$28</f>
        <v>161966.35732894094</v>
      </c>
      <c r="U217" s="85">
        <f t="shared" si="60"/>
        <v>445942.22825362015</v>
      </c>
      <c r="V217" s="81">
        <f t="shared" si="62"/>
        <v>810235.41965864738</v>
      </c>
      <c r="W217" s="81"/>
      <c r="X217" s="262">
        <f>+'MWh by mo-WgtbyActulCDH&amp;Days'!AB219</f>
        <v>5270297.39460182</v>
      </c>
      <c r="Y217" s="120">
        <f t="shared" si="55"/>
        <v>153.73618583432179</v>
      </c>
      <c r="Z217" s="87">
        <f t="shared" si="63"/>
        <v>5.1245395278107266E-3</v>
      </c>
      <c r="AA217" s="88">
        <f t="shared" si="67"/>
        <v>4.9380848749257765E-4</v>
      </c>
      <c r="AC217" s="89">
        <f t="shared" si="61"/>
        <v>29838.878194819466</v>
      </c>
      <c r="AD217" s="93"/>
      <c r="AE217" s="96">
        <f t="shared" si="57"/>
        <v>5.6617067236817373</v>
      </c>
      <c r="AF217" s="92">
        <f t="shared" si="66"/>
        <v>1.8872355745605789E-4</v>
      </c>
      <c r="AH217" s="123">
        <f t="shared" si="64"/>
        <v>5.1245395278107266E-3</v>
      </c>
      <c r="AI217" s="121">
        <f t="shared" si="65"/>
        <v>810235.41965864738</v>
      </c>
    </row>
    <row r="218" spans="1:35">
      <c r="A218" s="78">
        <v>2022</v>
      </c>
      <c r="B218" s="78">
        <v>12</v>
      </c>
      <c r="C218" s="79">
        <f t="shared" si="58"/>
        <v>79.005079745838657</v>
      </c>
      <c r="D218" s="101">
        <f>D206</f>
        <v>3.7851406125770058E-2</v>
      </c>
      <c r="E218" s="100">
        <f>$D218*'MWh Impact Summary'!B$28</f>
        <v>133705.06435457803</v>
      </c>
      <c r="F218" s="81">
        <f>$D218*'MWh Impact Summary'!L$28</f>
        <v>4424.1370522169573</v>
      </c>
      <c r="G218" s="81">
        <f>$D218*'MWh Impact Summary'!C$28</f>
        <v>89939.94203681848</v>
      </c>
      <c r="H218" s="81">
        <f>$D218*'MWh Impact Summary'!D$28</f>
        <v>409.19496286288495</v>
      </c>
      <c r="I218" s="81">
        <f>$D218*'MWh Impact Summary'!E$28</f>
        <v>32613.813331852671</v>
      </c>
      <c r="J218" s="82">
        <f t="shared" si="59"/>
        <v>261092.151738329</v>
      </c>
      <c r="K218" s="83">
        <v>31</v>
      </c>
      <c r="L218" s="97">
        <f>K218/(SUM(K207:K218))</f>
        <v>8.4931506849315067E-2</v>
      </c>
      <c r="M218" s="85">
        <f>$L218*'MWh Impact Summary'!F$28</f>
        <v>157034.48949249662</v>
      </c>
      <c r="N218" s="85">
        <f>$L218*'MWh Impact Summary'!G$28</f>
        <v>19880.627707039388</v>
      </c>
      <c r="O218" s="85">
        <f>$L218*'MWh Impact Summary'!H$28</f>
        <v>10124.650232578459</v>
      </c>
      <c r="P218" s="85">
        <f>$L218*'MWh Impact Summary'!I$28</f>
        <v>1692.030438793694</v>
      </c>
      <c r="Q218" s="85">
        <f>$L218*'MWh Impact Summary'!J$28</f>
        <v>46094.558607231847</v>
      </c>
      <c r="R218" s="85">
        <f>$L218*'MWh Impact Summary'!K$28</f>
        <v>27781.869342715021</v>
      </c>
      <c r="S218" s="85">
        <f>$L218*'MWh Impact Summary'!L$28</f>
        <v>9926.9397048067713</v>
      </c>
      <c r="T218" s="85">
        <f>$L218*'MWh Impact Summary'!M$28</f>
        <v>30833.507467980115</v>
      </c>
      <c r="U218" s="85">
        <f t="shared" si="60"/>
        <v>303368.67299364193</v>
      </c>
      <c r="V218" s="81">
        <f t="shared" si="62"/>
        <v>564460.8247319709</v>
      </c>
      <c r="W218" s="81">
        <f>SUM(V207:V218)</f>
        <v>12166011.237039387</v>
      </c>
      <c r="X218" s="262">
        <f>+'MWh by mo-WgtbyActulCDH&amp;Days'!AB220</f>
        <v>5275479.2526890254</v>
      </c>
      <c r="Y218" s="120">
        <f t="shared" si="55"/>
        <v>106.99707035038628</v>
      </c>
      <c r="Z218" s="87">
        <f t="shared" si="63"/>
        <v>3.4515183983995575E-3</v>
      </c>
      <c r="AA218" s="88">
        <f t="shared" si="67"/>
        <v>-4.9087620374172304E-4</v>
      </c>
      <c r="AC218" s="89">
        <f t="shared" si="61"/>
        <v>9926.9397048067713</v>
      </c>
      <c r="AD218" s="90">
        <f>SUM(AC207:AC218)</f>
        <v>342133.11694046354</v>
      </c>
      <c r="AE218" s="96">
        <f t="shared" si="57"/>
        <v>1.8817133438155018</v>
      </c>
      <c r="AF218" s="92">
        <f t="shared" si="66"/>
        <v>6.0700430445661345E-5</v>
      </c>
      <c r="AH218" s="123">
        <f t="shared" si="64"/>
        <v>3.4515183983995575E-3</v>
      </c>
      <c r="AI218" s="121">
        <f t="shared" si="65"/>
        <v>564460.8247319709</v>
      </c>
    </row>
    <row r="219" spans="1:35">
      <c r="A219" s="78">
        <f>+A207+1</f>
        <v>2023</v>
      </c>
      <c r="B219" s="78">
        <f>+B207</f>
        <v>1</v>
      </c>
      <c r="C219" s="79">
        <f t="shared" si="58"/>
        <v>26.95686291874426</v>
      </c>
      <c r="D219" s="101">
        <f t="shared" ref="D219:D266" si="68">D207</f>
        <v>1.2915057734219224E-2</v>
      </c>
      <c r="E219" s="100">
        <f>$D219*'MWh Impact Summary'!B$29</f>
        <v>45427.476544330908</v>
      </c>
      <c r="F219" s="100">
        <f>$D219*'MWh Impact Summary'!C$29</f>
        <v>31421.474094646543</v>
      </c>
      <c r="G219" s="100">
        <f>$D219*'MWh Impact Summary'!D$29</f>
        <v>150.43030931040425</v>
      </c>
      <c r="H219" s="100">
        <f>$D219*'MWh Impact Summary'!E$29</f>
        <v>11268.069239816028</v>
      </c>
      <c r="I219" s="100">
        <f>$D219*'MWh Impact Summary'!F$29</f>
        <v>25507.611355302517</v>
      </c>
      <c r="J219" s="82">
        <f t="shared" si="59"/>
        <v>113775.06154340641</v>
      </c>
      <c r="K219" s="83">
        <v>31</v>
      </c>
      <c r="L219" s="97">
        <f>K219/(SUM(K219:K230))</f>
        <v>8.4931506849315067E-2</v>
      </c>
      <c r="M219" s="85">
        <f>$L219*'MWh Impact Summary'!F$28</f>
        <v>157034.48949249662</v>
      </c>
      <c r="N219" s="85">
        <f>$L219*'MWh Impact Summary'!G$28</f>
        <v>19880.627707039388</v>
      </c>
      <c r="O219" s="85">
        <f>$L219*'MWh Impact Summary'!H$28</f>
        <v>10124.650232578459</v>
      </c>
      <c r="P219" s="85">
        <f>$L219*'MWh Impact Summary'!I$28</f>
        <v>1692.030438793694</v>
      </c>
      <c r="Q219" s="85">
        <f>$L219*'MWh Impact Summary'!J$28</f>
        <v>46094.558607231847</v>
      </c>
      <c r="R219" s="85">
        <f>$L219*'MWh Impact Summary'!K$28</f>
        <v>27781.869342715021</v>
      </c>
      <c r="S219" s="85">
        <f>$L219*'MWh Impact Summary'!L$28</f>
        <v>9926.9397048067713</v>
      </c>
      <c r="T219" s="85">
        <f>$L219*'MWh Impact Summary'!M$28</f>
        <v>30833.507467980115</v>
      </c>
      <c r="U219" s="85">
        <f t="shared" si="60"/>
        <v>303368.67299364193</v>
      </c>
      <c r="V219" s="81">
        <f t="shared" si="62"/>
        <v>417143.73453704832</v>
      </c>
      <c r="W219" s="81"/>
      <c r="X219" s="262">
        <f>+'MWh by mo-WgtbyActulCDH&amp;Days'!AB221</f>
        <v>5280717.4207708379</v>
      </c>
      <c r="Y219" s="120">
        <f>+V219*1000/X219</f>
        <v>78.99376188854221</v>
      </c>
      <c r="Z219" s="87">
        <f t="shared" ref="Z219:Z266" si="69">+Y219/K219/1000</f>
        <v>2.548185867372329E-3</v>
      </c>
      <c r="AA219" s="88">
        <f t="shared" ref="AA219:AA266" si="70">Z219-Z207</f>
        <v>-8.5084787409781849E-4</v>
      </c>
      <c r="AC219" s="89">
        <f t="shared" si="61"/>
        <v>9926.9397048067713</v>
      </c>
      <c r="AD219" s="90"/>
      <c r="AE219" s="96">
        <f t="shared" ref="AE219:AE266" si="71">+AC219*1000/X219</f>
        <v>1.8798467923621094</v>
      </c>
      <c r="AF219" s="92">
        <f t="shared" ref="AF219:AF266" si="72">+AE219/K219/1000</f>
        <v>6.0640219108455143E-5</v>
      </c>
      <c r="AH219" s="123">
        <f t="shared" ref="AH219:AH266" si="73">Z219</f>
        <v>2.548185867372329E-3</v>
      </c>
      <c r="AI219" s="121">
        <f t="shared" ref="AI219:AI266" si="74">+V219</f>
        <v>417143.73453704832</v>
      </c>
    </row>
    <row r="220" spans="1:35">
      <c r="A220" s="78">
        <f t="shared" ref="A220:A265" si="75">+A208+1</f>
        <v>2023</v>
      </c>
      <c r="B220" s="78">
        <f t="shared" ref="B220:C265" si="76">+B208</f>
        <v>2</v>
      </c>
      <c r="C220" s="79">
        <f t="shared" si="58"/>
        <v>57.510679559652473</v>
      </c>
      <c r="D220" s="101">
        <f t="shared" si="68"/>
        <v>2.7553419293853541E-2</v>
      </c>
      <c r="E220" s="100">
        <f>$D220*'MWh Impact Summary'!B$29</f>
        <v>96916.508965441069</v>
      </c>
      <c r="F220" s="100">
        <f>$D220*'MWh Impact Summary'!C$29</f>
        <v>67035.631460387973</v>
      </c>
      <c r="G220" s="100">
        <f>$D220*'MWh Impact Summary'!D$29</f>
        <v>320.93309005902211</v>
      </c>
      <c r="H220" s="100">
        <f>$D220*'MWh Impact Summary'!E$29</f>
        <v>24039.678550890669</v>
      </c>
      <c r="I220" s="100">
        <f>$D220*'MWh Impact Summary'!F$29</f>
        <v>54418.797447195378</v>
      </c>
      <c r="J220" s="82">
        <f t="shared" si="59"/>
        <v>242731.54951397411</v>
      </c>
      <c r="K220" s="83">
        <v>28</v>
      </c>
      <c r="L220" s="97">
        <f>K220/(SUM(K219:K230))</f>
        <v>7.6712328767123292E-2</v>
      </c>
      <c r="M220" s="85">
        <f>$L220*'MWh Impact Summary'!F$28</f>
        <v>141837.60341257759</v>
      </c>
      <c r="N220" s="85">
        <f>$L220*'MWh Impact Summary'!G$28</f>
        <v>17956.69599345493</v>
      </c>
      <c r="O220" s="85">
        <f>$L220*'MWh Impact Summary'!H$28</f>
        <v>9144.8453713611889</v>
      </c>
      <c r="P220" s="85">
        <f>$L220*'MWh Impact Summary'!I$28</f>
        <v>1528.2855576201107</v>
      </c>
      <c r="Q220" s="85">
        <f>$L220*'MWh Impact Summary'!J$28</f>
        <v>41633.794871048121</v>
      </c>
      <c r="R220" s="85">
        <f>$L220*'MWh Impact Summary'!K$28</f>
        <v>25093.301341807117</v>
      </c>
      <c r="S220" s="85">
        <f>$L220*'MWh Impact Summary'!L$28</f>
        <v>8966.2681204706332</v>
      </c>
      <c r="T220" s="85">
        <f>$L220*'MWh Impact Summary'!M$28</f>
        <v>27849.61964849817</v>
      </c>
      <c r="U220" s="85">
        <f t="shared" si="60"/>
        <v>274010.41431683785</v>
      </c>
      <c r="V220" s="81">
        <f t="shared" si="62"/>
        <v>516741.96383081196</v>
      </c>
      <c r="W220" s="81"/>
      <c r="X220" s="262">
        <f>+'MWh by mo-WgtbyActulCDH&amp;Days'!AB222</f>
        <v>5285898.8015586017</v>
      </c>
      <c r="Y220" s="120">
        <f t="shared" ref="Y220:Y266" si="77">+V220*1000/X220</f>
        <v>97.758580561255783</v>
      </c>
      <c r="Z220" s="87">
        <f t="shared" si="69"/>
        <v>3.4913778771877065E-3</v>
      </c>
      <c r="AA220" s="88">
        <f t="shared" si="70"/>
        <v>-6.5358932544256568E-4</v>
      </c>
      <c r="AC220" s="89">
        <f t="shared" si="61"/>
        <v>8966.2681204706332</v>
      </c>
      <c r="AD220" s="90"/>
      <c r="AE220" s="96">
        <f t="shared" si="71"/>
        <v>1.696261781974872</v>
      </c>
      <c r="AF220" s="92">
        <f t="shared" si="72"/>
        <v>6.0580777927674006E-5</v>
      </c>
      <c r="AH220" s="123">
        <f t="shared" si="73"/>
        <v>3.4913778771877065E-3</v>
      </c>
      <c r="AI220" s="121">
        <f t="shared" si="74"/>
        <v>516741.96383081196</v>
      </c>
    </row>
    <row r="221" spans="1:35">
      <c r="A221" s="78">
        <f t="shared" si="75"/>
        <v>2023</v>
      </c>
      <c r="B221" s="78">
        <f t="shared" si="76"/>
        <v>3</v>
      </c>
      <c r="C221" s="79">
        <f t="shared" si="58"/>
        <v>62.20178223460303</v>
      </c>
      <c r="D221" s="101">
        <f t="shared" si="68"/>
        <v>2.9800930885493855E-2</v>
      </c>
      <c r="E221" s="100">
        <f>$D221*'MWh Impact Summary'!B$29</f>
        <v>104821.91536883911</v>
      </c>
      <c r="F221" s="100">
        <f>$D221*'MWh Impact Summary'!C$29</f>
        <v>72503.677264552811</v>
      </c>
      <c r="G221" s="100">
        <f>$D221*'MWh Impact Summary'!D$29</f>
        <v>347.11135970882566</v>
      </c>
      <c r="H221" s="100">
        <f>$D221*'MWh Impact Summary'!E$29</f>
        <v>26000.57696521148</v>
      </c>
      <c r="I221" s="100">
        <f>$D221*'MWh Impact Summary'!F$29</f>
        <v>58857.697634548218</v>
      </c>
      <c r="J221" s="82">
        <f t="shared" si="59"/>
        <v>262530.97859286045</v>
      </c>
      <c r="K221" s="83">
        <v>31</v>
      </c>
      <c r="L221" s="97">
        <f>K221/(SUM(K219:K230))</f>
        <v>8.4931506849315067E-2</v>
      </c>
      <c r="M221" s="85">
        <f>$L221*'MWh Impact Summary'!F$28</f>
        <v>157034.48949249662</v>
      </c>
      <c r="N221" s="85">
        <f>$L221*'MWh Impact Summary'!G$28</f>
        <v>19880.627707039388</v>
      </c>
      <c r="O221" s="85">
        <f>$L221*'MWh Impact Summary'!H$28</f>
        <v>10124.650232578459</v>
      </c>
      <c r="P221" s="85">
        <f>$L221*'MWh Impact Summary'!I$28</f>
        <v>1692.030438793694</v>
      </c>
      <c r="Q221" s="85">
        <f>$L221*'MWh Impact Summary'!J$28</f>
        <v>46094.558607231847</v>
      </c>
      <c r="R221" s="85">
        <f>$L221*'MWh Impact Summary'!K$28</f>
        <v>27781.869342715021</v>
      </c>
      <c r="S221" s="85">
        <f>$L221*'MWh Impact Summary'!L$28</f>
        <v>9926.9397048067713</v>
      </c>
      <c r="T221" s="85">
        <f>$L221*'MWh Impact Summary'!M$28</f>
        <v>30833.507467980115</v>
      </c>
      <c r="U221" s="85">
        <f t="shared" si="60"/>
        <v>303368.67299364193</v>
      </c>
      <c r="V221" s="81">
        <f t="shared" si="62"/>
        <v>565899.65158650232</v>
      </c>
      <c r="W221" s="81"/>
      <c r="X221" s="262">
        <f>+'MWh by mo-WgtbyActulCDH&amp;Days'!AB223</f>
        <v>5291129.8776962366</v>
      </c>
      <c r="Y221" s="120">
        <f t="shared" si="77"/>
        <v>106.95251575130406</v>
      </c>
      <c r="Z221" s="87">
        <f t="shared" si="69"/>
        <v>3.450081153267873E-3</v>
      </c>
      <c r="AA221" s="88">
        <f t="shared" si="70"/>
        <v>-6.6077641751009688E-4</v>
      </c>
      <c r="AC221" s="89">
        <f t="shared" si="61"/>
        <v>9926.9397048067713</v>
      </c>
      <c r="AD221" s="90"/>
      <c r="AE221" s="96">
        <f t="shared" si="71"/>
        <v>1.8761474267815499</v>
      </c>
      <c r="AF221" s="92">
        <f t="shared" si="72"/>
        <v>6.0520884734888707E-5</v>
      </c>
      <c r="AH221" s="123">
        <f t="shared" si="73"/>
        <v>3.450081153267873E-3</v>
      </c>
      <c r="AI221" s="121">
        <f t="shared" si="74"/>
        <v>565899.65158650232</v>
      </c>
    </row>
    <row r="222" spans="1:35">
      <c r="A222" s="78">
        <f t="shared" si="75"/>
        <v>2023</v>
      </c>
      <c r="B222" s="78">
        <f t="shared" si="76"/>
        <v>4</v>
      </c>
      <c r="C222" s="79">
        <f t="shared" si="58"/>
        <v>137.13602413996043</v>
      </c>
      <c r="D222" s="101">
        <f t="shared" si="68"/>
        <v>6.5701994870379921E-2</v>
      </c>
      <c r="E222" s="100">
        <f>$D222*'MWh Impact Summary'!B$29</f>
        <v>231100.46368448317</v>
      </c>
      <c r="F222" s="100">
        <f>$D222*'MWh Impact Summary'!C$29</f>
        <v>159848.57151016436</v>
      </c>
      <c r="G222" s="100">
        <f>$D222*'MWh Impact Summary'!D$29</f>
        <v>765.2750466979893</v>
      </c>
      <c r="H222" s="100">
        <f>$D222*'MWh Impact Summary'!E$29</f>
        <v>57323.369560471816</v>
      </c>
      <c r="I222" s="100">
        <f>$D222*'MWh Impact Summary'!F$29</f>
        <v>129763.33400208733</v>
      </c>
      <c r="J222" s="82">
        <f t="shared" si="59"/>
        <v>578801.01380390464</v>
      </c>
      <c r="K222" s="83">
        <v>30</v>
      </c>
      <c r="L222" s="97">
        <f>K222/(SUM(K219:K230))</f>
        <v>8.2191780821917804E-2</v>
      </c>
      <c r="M222" s="85">
        <f>$L222*'MWh Impact Summary'!F$28</f>
        <v>151968.86079919027</v>
      </c>
      <c r="N222" s="85">
        <f>$L222*'MWh Impact Summary'!G$28</f>
        <v>19239.317135844569</v>
      </c>
      <c r="O222" s="85">
        <f>$L222*'MWh Impact Summary'!H$28</f>
        <v>9798.0486121727008</v>
      </c>
      <c r="P222" s="85">
        <f>$L222*'MWh Impact Summary'!I$28</f>
        <v>1637.4488117358328</v>
      </c>
      <c r="Q222" s="85">
        <f>$L222*'MWh Impact Summary'!J$28</f>
        <v>44607.637361837267</v>
      </c>
      <c r="R222" s="85">
        <f>$L222*'MWh Impact Summary'!K$28</f>
        <v>26885.680009079049</v>
      </c>
      <c r="S222" s="85">
        <f>$L222*'MWh Impact Summary'!L$28</f>
        <v>9606.7158433613913</v>
      </c>
      <c r="T222" s="85">
        <f>$L222*'MWh Impact Summary'!M$28</f>
        <v>29838.878194819466</v>
      </c>
      <c r="U222" s="85">
        <f t="shared" si="60"/>
        <v>293582.58676804055</v>
      </c>
      <c r="V222" s="81">
        <f t="shared" si="62"/>
        <v>872383.60057194519</v>
      </c>
      <c r="W222" s="81"/>
      <c r="X222" s="262">
        <f>+'MWh by mo-WgtbyActulCDH&amp;Days'!AB224</f>
        <v>5296301.965313198</v>
      </c>
      <c r="Y222" s="120">
        <f t="shared" si="77"/>
        <v>164.71560841609917</v>
      </c>
      <c r="Z222" s="87">
        <f t="shared" si="69"/>
        <v>5.4905202805366395E-3</v>
      </c>
      <c r="AA222" s="88">
        <f t="shared" si="70"/>
        <v>-2.3562477126383864E-4</v>
      </c>
      <c r="AC222" s="89">
        <f t="shared" si="61"/>
        <v>9606.7158433613913</v>
      </c>
      <c r="AD222" s="90"/>
      <c r="AE222" s="96">
        <f t="shared" si="71"/>
        <v>1.8138534974550484</v>
      </c>
      <c r="AF222" s="92">
        <f t="shared" si="72"/>
        <v>6.0461783248501616E-5</v>
      </c>
      <c r="AH222" s="123">
        <f t="shared" si="73"/>
        <v>5.4905202805366395E-3</v>
      </c>
      <c r="AI222" s="121">
        <f t="shared" si="74"/>
        <v>872383.60057194519</v>
      </c>
    </row>
    <row r="223" spans="1:35">
      <c r="A223" s="78">
        <f t="shared" si="75"/>
        <v>2023</v>
      </c>
      <c r="B223" s="78">
        <f t="shared" si="76"/>
        <v>5</v>
      </c>
      <c r="C223" s="79">
        <f t="shared" si="58"/>
        <v>220.65709530534707</v>
      </c>
      <c r="D223" s="101">
        <f t="shared" si="68"/>
        <v>0.10571701662481223</v>
      </c>
      <c r="E223" s="100">
        <f>$D223*'MWh Impact Summary'!B$29</f>
        <v>371849.46377250005</v>
      </c>
      <c r="F223" s="100">
        <f>$D223*'MWh Impact Summary'!C$29</f>
        <v>257202.4506277341</v>
      </c>
      <c r="G223" s="100">
        <f>$D223*'MWh Impact Summary'!D$29</f>
        <v>1231.3567494249428</v>
      </c>
      <c r="H223" s="100">
        <f>$D223*'MWh Impact Summary'!E$29</f>
        <v>92235.488812329451</v>
      </c>
      <c r="I223" s="100">
        <f>$D223*'MWh Impact Summary'!F$29</f>
        <v>208794.15556641232</v>
      </c>
      <c r="J223" s="82">
        <f t="shared" si="59"/>
        <v>931312.9155284008</v>
      </c>
      <c r="K223" s="83">
        <v>31</v>
      </c>
      <c r="L223" s="97">
        <f>K223/(SUM(K219:K230))</f>
        <v>8.4931506849315067E-2</v>
      </c>
      <c r="M223" s="85">
        <f>$L223*'MWh Impact Summary'!F$28</f>
        <v>157034.48949249662</v>
      </c>
      <c r="N223" s="85">
        <f>$L223*'MWh Impact Summary'!G$28</f>
        <v>19880.627707039388</v>
      </c>
      <c r="O223" s="85">
        <f>$L223*'MWh Impact Summary'!H$28</f>
        <v>10124.650232578459</v>
      </c>
      <c r="P223" s="85">
        <f>$L223*'MWh Impact Summary'!I$28</f>
        <v>1692.030438793694</v>
      </c>
      <c r="Q223" s="85">
        <f>$L223*'MWh Impact Summary'!J$28</f>
        <v>46094.558607231847</v>
      </c>
      <c r="R223" s="85">
        <f>$L223*'MWh Impact Summary'!K$28</f>
        <v>27781.869342715021</v>
      </c>
      <c r="S223" s="85">
        <f>$L223*'MWh Impact Summary'!L$28</f>
        <v>9926.9397048067713</v>
      </c>
      <c r="T223" s="85">
        <f>$L223*'MWh Impact Summary'!M$28</f>
        <v>30833.507467980115</v>
      </c>
      <c r="U223" s="85">
        <f t="shared" si="60"/>
        <v>303368.67299364193</v>
      </c>
      <c r="V223" s="81">
        <f t="shared" si="62"/>
        <v>1234681.5885220426</v>
      </c>
      <c r="W223" s="81"/>
      <c r="X223" s="262">
        <f>+'MWh by mo-WgtbyActulCDH&amp;Days'!AB225</f>
        <v>5301485.111214349</v>
      </c>
      <c r="Y223" s="120">
        <f t="shared" si="77"/>
        <v>232.89353126924627</v>
      </c>
      <c r="Z223" s="87">
        <f t="shared" si="69"/>
        <v>7.5126945570724597E-3</v>
      </c>
      <c r="AA223" s="88">
        <f t="shared" si="70"/>
        <v>1.8570083099007321E-4</v>
      </c>
      <c r="AC223" s="89">
        <f t="shared" si="61"/>
        <v>9926.9397048067713</v>
      </c>
      <c r="AD223" s="90"/>
      <c r="AE223" s="96">
        <f t="shared" si="71"/>
        <v>1.8724828036974197</v>
      </c>
      <c r="AF223" s="92">
        <f t="shared" si="72"/>
        <v>6.0402671087013537E-5</v>
      </c>
      <c r="AH223" s="123">
        <f t="shared" si="73"/>
        <v>7.5126945570724597E-3</v>
      </c>
      <c r="AI223" s="121">
        <f t="shared" si="74"/>
        <v>1234681.5885220426</v>
      </c>
    </row>
    <row r="224" spans="1:35">
      <c r="A224" s="78">
        <f t="shared" si="75"/>
        <v>2023</v>
      </c>
      <c r="B224" s="78">
        <f t="shared" si="76"/>
        <v>6</v>
      </c>
      <c r="C224" s="79">
        <f t="shared" si="58"/>
        <v>247.5875604864128</v>
      </c>
      <c r="D224" s="101">
        <f t="shared" si="68"/>
        <v>0.11861942717871234</v>
      </c>
      <c r="E224" s="100">
        <f>$D224*'MWh Impact Summary'!B$29</f>
        <v>417232.45507339481</v>
      </c>
      <c r="F224" s="100">
        <f>$D224*'MWh Impact Summary'!C$29</f>
        <v>288593.1549761708</v>
      </c>
      <c r="G224" s="100">
        <f>$D224*'MWh Impact Summary'!D$29</f>
        <v>1381.6397485733285</v>
      </c>
      <c r="H224" s="100">
        <f>$D224*'MWh Impact Summary'!E$29</f>
        <v>103492.52369934141</v>
      </c>
      <c r="I224" s="100">
        <f>$D224*'MWh Impact Summary'!F$29</f>
        <v>234276.78837597702</v>
      </c>
      <c r="J224" s="82">
        <f t="shared" si="59"/>
        <v>1044976.5618734574</v>
      </c>
      <c r="K224" s="83">
        <v>30</v>
      </c>
      <c r="L224" s="97">
        <f>K224/(SUM(K219:K230))</f>
        <v>8.2191780821917804E-2</v>
      </c>
      <c r="M224" s="85">
        <f>$L224*'MWh Impact Summary'!F$28</f>
        <v>151968.86079919027</v>
      </c>
      <c r="N224" s="85">
        <f>$L224*'MWh Impact Summary'!G$28</f>
        <v>19239.317135844569</v>
      </c>
      <c r="O224" s="85">
        <f>$L224*'MWh Impact Summary'!H$28</f>
        <v>9798.0486121727008</v>
      </c>
      <c r="P224" s="85">
        <f>$L224*'MWh Impact Summary'!I$28</f>
        <v>1637.4488117358328</v>
      </c>
      <c r="Q224" s="85">
        <f>$L224*'MWh Impact Summary'!J$28</f>
        <v>44607.637361837267</v>
      </c>
      <c r="R224" s="85">
        <f>$L224*'MWh Impact Summary'!K$28</f>
        <v>26885.680009079049</v>
      </c>
      <c r="S224" s="85">
        <f>$L224*'MWh Impact Summary'!L$28</f>
        <v>9606.7158433613913</v>
      </c>
      <c r="T224" s="85">
        <f>$L224*'MWh Impact Summary'!M$28</f>
        <v>29838.878194819466</v>
      </c>
      <c r="U224" s="85">
        <f t="shared" si="60"/>
        <v>293582.58676804055</v>
      </c>
      <c r="V224" s="81">
        <f t="shared" si="62"/>
        <v>1338559.1486414978</v>
      </c>
      <c r="W224" s="81"/>
      <c r="X224" s="262">
        <f>+'MWh by mo-WgtbyActulCDH&amp;Days'!AB226</f>
        <v>5306665.8266493091</v>
      </c>
      <c r="Y224" s="120">
        <f t="shared" si="77"/>
        <v>252.24108552670629</v>
      </c>
      <c r="Z224" s="87">
        <f t="shared" si="69"/>
        <v>8.4080361842235416E-3</v>
      </c>
      <c r="AA224" s="88">
        <f t="shared" si="70"/>
        <v>3.7297670611534384E-4</v>
      </c>
      <c r="AC224" s="89">
        <f t="shared" si="61"/>
        <v>9606.7158433613913</v>
      </c>
      <c r="AD224" s="90"/>
      <c r="AE224" s="96">
        <f t="shared" si="71"/>
        <v>1.810311061065472</v>
      </c>
      <c r="AF224" s="92">
        <f t="shared" si="72"/>
        <v>6.0343702035515734E-5</v>
      </c>
      <c r="AH224" s="123">
        <f t="shared" si="73"/>
        <v>8.4080361842235416E-3</v>
      </c>
      <c r="AI224" s="121">
        <f t="shared" si="74"/>
        <v>1338559.1486414978</v>
      </c>
    </row>
    <row r="225" spans="1:35">
      <c r="A225" s="78">
        <f t="shared" si="75"/>
        <v>2023</v>
      </c>
      <c r="B225" s="78">
        <f t="shared" si="76"/>
        <v>7</v>
      </c>
      <c r="C225" s="79">
        <f t="shared" si="58"/>
        <v>311.6666769190017</v>
      </c>
      <c r="D225" s="101">
        <f t="shared" si="68"/>
        <v>0.1493197905993085</v>
      </c>
      <c r="E225" s="100">
        <f>$D225*'MWh Impact Summary'!B$29</f>
        <v>525218.03809532616</v>
      </c>
      <c r="F225" s="100">
        <f>$D225*'MWh Impact Summary'!C$29</f>
        <v>363285.09161077032</v>
      </c>
      <c r="G225" s="100">
        <f>$D225*'MWh Impact Summary'!D$29</f>
        <v>1739.2274001612675</v>
      </c>
      <c r="H225" s="100">
        <f>$D225*'MWh Impact Summary'!E$29</f>
        <v>130277.83336111864</v>
      </c>
      <c r="I225" s="100">
        <f>$D225*'MWh Impact Summary'!F$29</f>
        <v>294910.89119723358</v>
      </c>
      <c r="J225" s="82">
        <f t="shared" si="59"/>
        <v>1315431.08166461</v>
      </c>
      <c r="K225" s="83">
        <v>31</v>
      </c>
      <c r="L225" s="97">
        <f>K225/(SUM(K219:K230))</f>
        <v>8.4931506849315067E-2</v>
      </c>
      <c r="M225" s="85">
        <f>$L225*'MWh Impact Summary'!F$28</f>
        <v>157034.48949249662</v>
      </c>
      <c r="N225" s="85">
        <f>$L225*'MWh Impact Summary'!G$28</f>
        <v>19880.627707039388</v>
      </c>
      <c r="O225" s="85">
        <f>$L225*'MWh Impact Summary'!H$28</f>
        <v>10124.650232578459</v>
      </c>
      <c r="P225" s="85">
        <f>$L225*'MWh Impact Summary'!I$28</f>
        <v>1692.030438793694</v>
      </c>
      <c r="Q225" s="85">
        <f>$L225*'MWh Impact Summary'!J$28</f>
        <v>46094.558607231847</v>
      </c>
      <c r="R225" s="85">
        <f>$L225*'MWh Impact Summary'!K$28</f>
        <v>27781.869342715021</v>
      </c>
      <c r="S225" s="85">
        <f>$L225*'MWh Impact Summary'!L$28</f>
        <v>9926.9397048067713</v>
      </c>
      <c r="T225" s="85">
        <f>$L225*'MWh Impact Summary'!M$28</f>
        <v>30833.507467980115</v>
      </c>
      <c r="U225" s="85">
        <f t="shared" si="60"/>
        <v>303368.67299364193</v>
      </c>
      <c r="V225" s="81">
        <f t="shared" si="62"/>
        <v>1618799.754658252</v>
      </c>
      <c r="W225" s="81"/>
      <c r="X225" s="262">
        <f>+'MWh by mo-WgtbyActulCDH&amp;Days'!AB227</f>
        <v>5311951.1835386856</v>
      </c>
      <c r="Y225" s="120">
        <f t="shared" si="77"/>
        <v>304.74673029277523</v>
      </c>
      <c r="Z225" s="87">
        <f t="shared" si="69"/>
        <v>9.8305396868637179E-3</v>
      </c>
      <c r="AA225" s="88">
        <f t="shared" si="70"/>
        <v>6.6984931623131558E-4</v>
      </c>
      <c r="AC225" s="89">
        <f t="shared" si="61"/>
        <v>9926.9397048067713</v>
      </c>
      <c r="AD225" s="90"/>
      <c r="AE225" s="96">
        <f t="shared" si="71"/>
        <v>1.8687934737746779</v>
      </c>
      <c r="AF225" s="92">
        <f t="shared" si="72"/>
        <v>6.0283660444344449E-5</v>
      </c>
      <c r="AH225" s="123">
        <f t="shared" si="73"/>
        <v>9.8305396868637179E-3</v>
      </c>
      <c r="AI225" s="121">
        <f t="shared" si="74"/>
        <v>1618799.754658252</v>
      </c>
    </row>
    <row r="226" spans="1:35">
      <c r="A226" s="78">
        <f t="shared" si="75"/>
        <v>2023</v>
      </c>
      <c r="B226" s="78">
        <f t="shared" si="76"/>
        <v>8</v>
      </c>
      <c r="C226" s="79">
        <f t="shared" si="58"/>
        <v>350.95807565684066</v>
      </c>
      <c r="D226" s="101">
        <f t="shared" si="68"/>
        <v>0.16814433575083526</v>
      </c>
      <c r="E226" s="100">
        <f>$D226*'MWh Impact Summary'!B$29</f>
        <v>591431.56968976138</v>
      </c>
      <c r="F226" s="100">
        <f>$D226*'MWh Impact Summary'!C$29</f>
        <v>409083.95445712062</v>
      </c>
      <c r="G226" s="100">
        <f>$D226*'MWh Impact Summary'!D$29</f>
        <v>1958.4894590732351</v>
      </c>
      <c r="H226" s="100">
        <f>$D226*'MWh Impact Summary'!E$29</f>
        <v>146701.78457687137</v>
      </c>
      <c r="I226" s="100">
        <f>$D226*'MWh Impact Summary'!F$29</f>
        <v>332089.91056725552</v>
      </c>
      <c r="J226" s="82">
        <f t="shared" si="59"/>
        <v>1481265.7087500822</v>
      </c>
      <c r="K226" s="83">
        <v>31</v>
      </c>
      <c r="L226" s="97">
        <f>K226/(SUM(K219:K230))</f>
        <v>8.4931506849315067E-2</v>
      </c>
      <c r="M226" s="85">
        <f>$L226*'MWh Impact Summary'!F$28</f>
        <v>157034.48949249662</v>
      </c>
      <c r="N226" s="85">
        <f>$L226*'MWh Impact Summary'!G$28</f>
        <v>19880.627707039388</v>
      </c>
      <c r="O226" s="85">
        <f>$L226*'MWh Impact Summary'!H$28</f>
        <v>10124.650232578459</v>
      </c>
      <c r="P226" s="85">
        <f>$L226*'MWh Impact Summary'!I$28</f>
        <v>1692.030438793694</v>
      </c>
      <c r="Q226" s="85">
        <f>$L226*'MWh Impact Summary'!J$28</f>
        <v>46094.558607231847</v>
      </c>
      <c r="R226" s="85">
        <f>$L226*'MWh Impact Summary'!K$28</f>
        <v>27781.869342715021</v>
      </c>
      <c r="S226" s="85">
        <f>$L226*'MWh Impact Summary'!L$28</f>
        <v>9926.9397048067713</v>
      </c>
      <c r="T226" s="85">
        <f>$L226*'MWh Impact Summary'!M$28</f>
        <v>30833.507467980115</v>
      </c>
      <c r="U226" s="85">
        <f t="shared" si="60"/>
        <v>303368.67299364193</v>
      </c>
      <c r="V226" s="81">
        <f t="shared" si="62"/>
        <v>1784634.381743724</v>
      </c>
      <c r="W226" s="81"/>
      <c r="X226" s="262">
        <f>+'MWh by mo-WgtbyActulCDH&amp;Days'!AB228</f>
        <v>5317288.920798488</v>
      </c>
      <c r="Y226" s="120">
        <f t="shared" si="77"/>
        <v>335.62862735616193</v>
      </c>
      <c r="Z226" s="87">
        <f t="shared" si="69"/>
        <v>1.0826729914714901E-2</v>
      </c>
      <c r="AA226" s="88">
        <f t="shared" si="70"/>
        <v>8.7824972794335945E-4</v>
      </c>
      <c r="AC226" s="89">
        <f t="shared" si="61"/>
        <v>9926.9397048067713</v>
      </c>
      <c r="AD226" s="90"/>
      <c r="AE226" s="96">
        <f t="shared" si="71"/>
        <v>1.8669174936080133</v>
      </c>
      <c r="AF226" s="92">
        <f t="shared" si="72"/>
        <v>6.0223144955097204E-5</v>
      </c>
      <c r="AH226" s="123">
        <f t="shared" si="73"/>
        <v>1.0826729914714901E-2</v>
      </c>
      <c r="AI226" s="121">
        <f t="shared" si="74"/>
        <v>1784634.381743724</v>
      </c>
    </row>
    <row r="227" spans="1:35">
      <c r="A227" s="78">
        <f t="shared" si="75"/>
        <v>2023</v>
      </c>
      <c r="B227" s="78">
        <f t="shared" si="76"/>
        <v>9</v>
      </c>
      <c r="C227" s="79">
        <f t="shared" si="58"/>
        <v>270.04400483226198</v>
      </c>
      <c r="D227" s="101">
        <f t="shared" si="68"/>
        <v>0.12937833024937548</v>
      </c>
      <c r="E227" s="100">
        <f>$D227*'MWh Impact Summary'!B$29</f>
        <v>455075.86444432684</v>
      </c>
      <c r="F227" s="100">
        <f>$D227*'MWh Impact Summary'!C$29</f>
        <v>314768.84857961041</v>
      </c>
      <c r="G227" s="100">
        <f>$D227*'MWh Impact Summary'!D$29</f>
        <v>1506.9558834344443</v>
      </c>
      <c r="H227" s="100">
        <f>$D227*'MWh Impact Summary'!E$29</f>
        <v>112879.40119068162</v>
      </c>
      <c r="I227" s="100">
        <f>$D227*'MWh Impact Summary'!F$29</f>
        <v>255525.93211063623</v>
      </c>
      <c r="J227" s="82">
        <f t="shared" si="59"/>
        <v>1139757.0022086895</v>
      </c>
      <c r="K227" s="83">
        <v>30</v>
      </c>
      <c r="L227" s="97">
        <f>K227/(SUM(K219:K230))</f>
        <v>8.2191780821917804E-2</v>
      </c>
      <c r="M227" s="85">
        <f>$L227*'MWh Impact Summary'!F$28</f>
        <v>151968.86079919027</v>
      </c>
      <c r="N227" s="85">
        <f>$L227*'MWh Impact Summary'!G$28</f>
        <v>19239.317135844569</v>
      </c>
      <c r="O227" s="85">
        <f>$L227*'MWh Impact Summary'!H$28</f>
        <v>9798.0486121727008</v>
      </c>
      <c r="P227" s="85">
        <f>$L227*'MWh Impact Summary'!I$28</f>
        <v>1637.4488117358328</v>
      </c>
      <c r="Q227" s="85">
        <f>$L227*'MWh Impact Summary'!J$28</f>
        <v>44607.637361837267</v>
      </c>
      <c r="R227" s="85">
        <f>$L227*'MWh Impact Summary'!K$28</f>
        <v>26885.680009079049</v>
      </c>
      <c r="S227" s="85">
        <f>$L227*'MWh Impact Summary'!L$28</f>
        <v>9606.7158433613913</v>
      </c>
      <c r="T227" s="85">
        <f>$L227*'MWh Impact Summary'!M$28</f>
        <v>29838.878194819466</v>
      </c>
      <c r="U227" s="85">
        <f t="shared" si="60"/>
        <v>293582.58676804055</v>
      </c>
      <c r="V227" s="81">
        <f t="shared" si="62"/>
        <v>1433339.5889767301</v>
      </c>
      <c r="W227" s="81"/>
      <c r="X227" s="262">
        <f>+'MWh by mo-WgtbyActulCDH&amp;Days'!AB229</f>
        <v>5322436.1862808531</v>
      </c>
      <c r="Y227" s="120">
        <f t="shared" si="77"/>
        <v>269.30141364048961</v>
      </c>
      <c r="Z227" s="87">
        <f t="shared" si="69"/>
        <v>8.9767137880163213E-3</v>
      </c>
      <c r="AA227" s="88">
        <f t="shared" si="70"/>
        <v>4.9525095961978037E-4</v>
      </c>
      <c r="AC227" s="89">
        <f t="shared" si="61"/>
        <v>9606.7158433613913</v>
      </c>
      <c r="AD227" s="90"/>
      <c r="AE227" s="96">
        <f t="shared" si="71"/>
        <v>1.8049471157820032</v>
      </c>
      <c r="AF227" s="92">
        <f t="shared" si="72"/>
        <v>6.0164903859400108E-5</v>
      </c>
      <c r="AH227" s="123">
        <f t="shared" si="73"/>
        <v>8.9767137880163213E-3</v>
      </c>
      <c r="AI227" s="121">
        <f t="shared" si="74"/>
        <v>1433339.5889767301</v>
      </c>
    </row>
    <row r="228" spans="1:35">
      <c r="A228" s="78">
        <f t="shared" si="75"/>
        <v>2023</v>
      </c>
      <c r="B228" s="78">
        <f t="shared" si="76"/>
        <v>10</v>
      </c>
      <c r="C228" s="79">
        <f t="shared" si="58"/>
        <v>213.28592721551468</v>
      </c>
      <c r="D228" s="101">
        <f t="shared" si="68"/>
        <v>0.10218548323623593</v>
      </c>
      <c r="E228" s="100">
        <f>$D228*'MWh Impact Summary'!B$29</f>
        <v>359427.63388396567</v>
      </c>
      <c r="F228" s="100">
        <f>$D228*'MWh Impact Summary'!C$29</f>
        <v>248610.4654297494</v>
      </c>
      <c r="G228" s="100">
        <f>$D228*'MWh Impact Summary'!D$29</f>
        <v>1190.2226197202049</v>
      </c>
      <c r="H228" s="100">
        <f>$D228*'MWh Impact Summary'!E$29</f>
        <v>89154.313058870423</v>
      </c>
      <c r="I228" s="100">
        <f>$D228*'MWh Impact Summary'!F$29</f>
        <v>201819.27531284565</v>
      </c>
      <c r="J228" s="82">
        <f t="shared" si="59"/>
        <v>900201.91030515125</v>
      </c>
      <c r="K228" s="83">
        <v>31</v>
      </c>
      <c r="L228" s="97">
        <f>K228/(SUM(K219:K230))</f>
        <v>8.4931506849315067E-2</v>
      </c>
      <c r="M228" s="85">
        <f>$L228*'MWh Impact Summary'!F$28</f>
        <v>157034.48949249662</v>
      </c>
      <c r="N228" s="85">
        <f>$L228*'MWh Impact Summary'!G$28</f>
        <v>19880.627707039388</v>
      </c>
      <c r="O228" s="85">
        <f>$L228*'MWh Impact Summary'!H$28</f>
        <v>10124.650232578459</v>
      </c>
      <c r="P228" s="85">
        <f>$L228*'MWh Impact Summary'!I$28</f>
        <v>1692.030438793694</v>
      </c>
      <c r="Q228" s="85">
        <f>$L228*'MWh Impact Summary'!J$28</f>
        <v>46094.558607231847</v>
      </c>
      <c r="R228" s="85">
        <f>$L228*'MWh Impact Summary'!K$28</f>
        <v>27781.869342715021</v>
      </c>
      <c r="S228" s="85">
        <f>$L228*'MWh Impact Summary'!L$28</f>
        <v>9926.9397048067713</v>
      </c>
      <c r="T228" s="85">
        <f>$L228*'MWh Impact Summary'!M$28</f>
        <v>30833.507467980115</v>
      </c>
      <c r="U228" s="85">
        <f t="shared" si="60"/>
        <v>303368.67299364193</v>
      </c>
      <c r="V228" s="81">
        <f t="shared" si="62"/>
        <v>1203570.5832987931</v>
      </c>
      <c r="W228" s="81"/>
      <c r="X228" s="262">
        <f>+'MWh by mo-WgtbyActulCDH&amp;Days'!AB230</f>
        <v>5327648.4322968516</v>
      </c>
      <c r="Y228" s="120">
        <f t="shared" si="77"/>
        <v>225.91028642254284</v>
      </c>
      <c r="Z228" s="87">
        <f t="shared" si="69"/>
        <v>7.2874285942755752E-3</v>
      </c>
      <c r="AA228" s="88">
        <f t="shared" si="70"/>
        <v>1.4571138113733412E-4</v>
      </c>
      <c r="AC228" s="89">
        <f t="shared" si="61"/>
        <v>9926.9397048067713</v>
      </c>
      <c r="AD228" s="90"/>
      <c r="AE228" s="96">
        <f t="shared" si="71"/>
        <v>1.8632873078915</v>
      </c>
      <c r="AF228" s="92">
        <f t="shared" si="72"/>
        <v>6.0106042190048388E-5</v>
      </c>
      <c r="AH228" s="123">
        <f t="shared" si="73"/>
        <v>7.2874285942755752E-3</v>
      </c>
      <c r="AI228" s="121">
        <f t="shared" si="74"/>
        <v>1203570.5832987931</v>
      </c>
    </row>
    <row r="229" spans="1:35">
      <c r="A229" s="78">
        <f t="shared" si="75"/>
        <v>2023</v>
      </c>
      <c r="B229" s="78">
        <f t="shared" si="76"/>
        <v>11</v>
      </c>
      <c r="C229" s="79">
        <f t="shared" si="58"/>
        <v>110.23315885291359</v>
      </c>
      <c r="D229" s="101">
        <f t="shared" si="68"/>
        <v>5.2812807451003543E-2</v>
      </c>
      <c r="E229" s="100">
        <f>$D229*'MWh Impact Summary'!B$29</f>
        <v>185763.98349068378</v>
      </c>
      <c r="F229" s="100">
        <f>$D229*'MWh Impact Summary'!C$29</f>
        <v>128490.03816610393</v>
      </c>
      <c r="G229" s="100">
        <f>$D229*'MWh Impact Summary'!D$29</f>
        <v>615.14606623518716</v>
      </c>
      <c r="H229" s="100">
        <f>$D229*'MWh Impact Summary'!E$29</f>
        <v>46077.871532097815</v>
      </c>
      <c r="I229" s="100">
        <f>$D229*'MWh Impact Summary'!F$29</f>
        <v>104306.8172644188</v>
      </c>
      <c r="J229" s="82">
        <f t="shared" si="59"/>
        <v>465253.85651953955</v>
      </c>
      <c r="K229" s="83">
        <v>30</v>
      </c>
      <c r="L229" s="97">
        <f>K229/(SUM(K219:K230))</f>
        <v>8.2191780821917804E-2</v>
      </c>
      <c r="M229" s="85">
        <f>$L229*'MWh Impact Summary'!F$28</f>
        <v>151968.86079919027</v>
      </c>
      <c r="N229" s="85">
        <f>$L229*'MWh Impact Summary'!G$28</f>
        <v>19239.317135844569</v>
      </c>
      <c r="O229" s="85">
        <f>$L229*'MWh Impact Summary'!H$28</f>
        <v>9798.0486121727008</v>
      </c>
      <c r="P229" s="85">
        <f>$L229*'MWh Impact Summary'!I$28</f>
        <v>1637.4488117358328</v>
      </c>
      <c r="Q229" s="85">
        <f>$L229*'MWh Impact Summary'!J$28</f>
        <v>44607.637361837267</v>
      </c>
      <c r="R229" s="85">
        <f>$L229*'MWh Impact Summary'!K$28</f>
        <v>26885.680009079049</v>
      </c>
      <c r="S229" s="85">
        <f>$L229*'MWh Impact Summary'!L$28</f>
        <v>9606.7158433613913</v>
      </c>
      <c r="T229" s="85">
        <f>$L229*'MWh Impact Summary'!M$28</f>
        <v>29838.878194819466</v>
      </c>
      <c r="U229" s="85">
        <f t="shared" si="60"/>
        <v>293582.58676804055</v>
      </c>
      <c r="V229" s="81">
        <f t="shared" si="62"/>
        <v>758836.44328758004</v>
      </c>
      <c r="W229" s="81"/>
      <c r="X229" s="262">
        <f>+'MWh by mo-WgtbyActulCDH&amp;Days'!AB231</f>
        <v>5332876.5569538418</v>
      </c>
      <c r="Y229" s="120">
        <f t="shared" si="77"/>
        <v>142.2940199690334</v>
      </c>
      <c r="Z229" s="87">
        <f t="shared" si="69"/>
        <v>4.7431339989677801E-3</v>
      </c>
      <c r="AA229" s="88">
        <f t="shared" si="70"/>
        <v>-3.8140552884294646E-4</v>
      </c>
      <c r="AC229" s="89">
        <f t="shared" si="61"/>
        <v>9606.7158433613913</v>
      </c>
      <c r="AD229" s="90"/>
      <c r="AE229" s="96">
        <f t="shared" si="71"/>
        <v>1.8014135037186725</v>
      </c>
      <c r="AF229" s="92">
        <f t="shared" si="72"/>
        <v>6.0047116790622417E-5</v>
      </c>
      <c r="AH229" s="123">
        <f t="shared" si="73"/>
        <v>4.7431339989677801E-3</v>
      </c>
      <c r="AI229" s="121">
        <f t="shared" si="74"/>
        <v>758836.44328758004</v>
      </c>
    </row>
    <row r="230" spans="1:35">
      <c r="A230" s="78">
        <f t="shared" si="75"/>
        <v>2023</v>
      </c>
      <c r="B230" s="78">
        <f t="shared" si="76"/>
        <v>12</v>
      </c>
      <c r="C230" s="79">
        <f t="shared" si="58"/>
        <v>79.005079745838657</v>
      </c>
      <c r="D230" s="101">
        <f t="shared" si="68"/>
        <v>3.7851406125770058E-2</v>
      </c>
      <c r="E230" s="100">
        <f>$D230*'MWh Impact Summary'!B$29</f>
        <v>133138.68968564188</v>
      </c>
      <c r="F230" s="100">
        <f>$D230*'MWh Impact Summary'!C$29</f>
        <v>92089.946595870249</v>
      </c>
      <c r="G230" s="100">
        <f>$D230*'MWh Impact Summary'!D$29</f>
        <v>440.88062543047926</v>
      </c>
      <c r="H230" s="100">
        <f>$D230*'MWh Impact Summary'!E$29</f>
        <v>33024.417995399555</v>
      </c>
      <c r="I230" s="100">
        <f>$D230*'MWh Impact Summary'!F$29</f>
        <v>74757.618322503651</v>
      </c>
      <c r="J230" s="82">
        <f t="shared" si="59"/>
        <v>333451.55322484579</v>
      </c>
      <c r="K230" s="83">
        <v>31</v>
      </c>
      <c r="L230" s="97">
        <f>K230/(SUM(K219:K230))</f>
        <v>8.4931506849315067E-2</v>
      </c>
      <c r="M230" s="85">
        <f>$L230*'MWh Impact Summary'!F$28</f>
        <v>157034.48949249662</v>
      </c>
      <c r="N230" s="85">
        <f>$L230*'MWh Impact Summary'!G$28</f>
        <v>19880.627707039388</v>
      </c>
      <c r="O230" s="85">
        <f>$L230*'MWh Impact Summary'!H$28</f>
        <v>10124.650232578459</v>
      </c>
      <c r="P230" s="85">
        <f>$L230*'MWh Impact Summary'!I$28</f>
        <v>1692.030438793694</v>
      </c>
      <c r="Q230" s="85">
        <f>$L230*'MWh Impact Summary'!J$28</f>
        <v>46094.558607231847</v>
      </c>
      <c r="R230" s="85">
        <f>$L230*'MWh Impact Summary'!K$28</f>
        <v>27781.869342715021</v>
      </c>
      <c r="S230" s="85">
        <f>$L230*'MWh Impact Summary'!L$28</f>
        <v>9926.9397048067713</v>
      </c>
      <c r="T230" s="85">
        <f>$L230*'MWh Impact Summary'!M$28</f>
        <v>30833.507467980115</v>
      </c>
      <c r="U230" s="85">
        <f t="shared" si="60"/>
        <v>303368.67299364193</v>
      </c>
      <c r="V230" s="81">
        <f t="shared" si="62"/>
        <v>636820.22621848772</v>
      </c>
      <c r="W230" s="81">
        <f>SUM(V219:V230)</f>
        <v>12381410.665873414</v>
      </c>
      <c r="X230" s="262">
        <f>+'MWh by mo-WgtbyActulCDH&amp;Days'!AB232</f>
        <v>5338112.0890329443</v>
      </c>
      <c r="Y230" s="120">
        <f t="shared" si="77"/>
        <v>119.2969004017026</v>
      </c>
      <c r="Z230" s="87">
        <f t="shared" si="69"/>
        <v>3.8482871097323419E-3</v>
      </c>
      <c r="AA230" s="88">
        <f t="shared" si="70"/>
        <v>3.9676871133278438E-4</v>
      </c>
      <c r="AC230" s="89">
        <f t="shared" si="61"/>
        <v>9926.9397048067713</v>
      </c>
      <c r="AD230" s="90">
        <f>SUM(AC219:AC230)</f>
        <v>116881.70942756362</v>
      </c>
      <c r="AE230" s="96">
        <f t="shared" si="71"/>
        <v>1.8596349307092093</v>
      </c>
      <c r="AF230" s="92">
        <f t="shared" si="72"/>
        <v>5.9988223571264816E-5</v>
      </c>
      <c r="AH230" s="123">
        <f t="shared" si="73"/>
        <v>3.8482871097323419E-3</v>
      </c>
      <c r="AI230" s="121">
        <f t="shared" si="74"/>
        <v>636820.22621848772</v>
      </c>
    </row>
    <row r="231" spans="1:35">
      <c r="A231" s="78">
        <f t="shared" si="75"/>
        <v>2024</v>
      </c>
      <c r="B231" s="78">
        <f t="shared" si="76"/>
        <v>1</v>
      </c>
      <c r="C231" s="79">
        <f t="shared" si="58"/>
        <v>26.95686291874426</v>
      </c>
      <c r="D231" s="101">
        <f t="shared" si="68"/>
        <v>1.2915057734219224E-2</v>
      </c>
      <c r="E231" s="100">
        <f>$D231*'MWh Impact Summary'!B$30</f>
        <v>44420.320761514718</v>
      </c>
      <c r="F231" s="100">
        <f>$D231*'MWh Impact Summary'!C$29</f>
        <v>31421.474094646543</v>
      </c>
      <c r="G231" s="100">
        <f>$D231*'MWh Impact Summary'!D$29</f>
        <v>150.43030931040425</v>
      </c>
      <c r="H231" s="100">
        <f>$D231*'MWh Impact Summary'!E$29</f>
        <v>11268.069239816028</v>
      </c>
      <c r="I231" s="100">
        <f>$D231*'MWh Impact Summary'!F$29</f>
        <v>25507.611355302517</v>
      </c>
      <c r="J231" s="82">
        <f t="shared" si="59"/>
        <v>112767.90576059022</v>
      </c>
      <c r="K231" s="83">
        <v>31</v>
      </c>
      <c r="L231" s="97">
        <f>K231/(SUM(K231:K242))</f>
        <v>8.4699453551912565E-2</v>
      </c>
      <c r="M231" s="85">
        <f>$L231*'MWh Impact Summary'!F$28</f>
        <v>156605.43351027669</v>
      </c>
      <c r="N231" s="85">
        <f>$L231*'MWh Impact Summary'!G$28</f>
        <v>19826.309052102122</v>
      </c>
      <c r="O231" s="85">
        <f>$L231*'MWh Impact Summary'!H$28</f>
        <v>10096.98725380092</v>
      </c>
      <c r="P231" s="85">
        <f>$L231*'MWh Impact Summary'!I$28</f>
        <v>1687.4074048079187</v>
      </c>
      <c r="Q231" s="85">
        <f>$L231*'MWh Impact Summary'!J$28</f>
        <v>45968.617190272198</v>
      </c>
      <c r="R231" s="85">
        <f>$L231*'MWh Impact Summary'!K$28</f>
        <v>27705.962595877001</v>
      </c>
      <c r="S231" s="85">
        <f>$L231*'MWh Impact Summary'!L$28</f>
        <v>9899.8169187280637</v>
      </c>
      <c r="T231" s="85">
        <f>$L231*'MWh Impact Summary'!M$28</f>
        <v>30749.262912056671</v>
      </c>
      <c r="U231" s="85">
        <f t="shared" si="60"/>
        <v>302539.7968379216</v>
      </c>
      <c r="V231" s="81">
        <f t="shared" si="62"/>
        <v>415307.70259851182</v>
      </c>
      <c r="W231" s="81"/>
      <c r="X231" s="262">
        <f>+'MWh by mo-WgtbyActulCDH&amp;Days'!AB233</f>
        <v>5343385.5298156925</v>
      </c>
      <c r="Y231" s="120">
        <f t="shared" si="77"/>
        <v>77.723701627203539</v>
      </c>
      <c r="Z231" s="87">
        <f t="shared" si="69"/>
        <v>2.5072161815226949E-3</v>
      </c>
      <c r="AA231" s="88">
        <f t="shared" si="70"/>
        <v>-4.0969685849634105E-5</v>
      </c>
      <c r="AC231" s="89">
        <f t="shared" si="61"/>
        <v>9899.8169187280637</v>
      </c>
      <c r="AD231" s="93"/>
      <c r="AE231" s="96">
        <f t="shared" si="71"/>
        <v>1.8527236830447331</v>
      </c>
      <c r="AF231" s="92">
        <f t="shared" si="72"/>
        <v>5.9765280098217198E-5</v>
      </c>
      <c r="AH231" s="123">
        <f t="shared" si="73"/>
        <v>2.5072161815226949E-3</v>
      </c>
      <c r="AI231" s="121">
        <f t="shared" si="74"/>
        <v>415307.70259851182</v>
      </c>
    </row>
    <row r="232" spans="1:35">
      <c r="A232" s="78">
        <f t="shared" si="75"/>
        <v>2024</v>
      </c>
      <c r="B232" s="78">
        <f t="shared" si="76"/>
        <v>2</v>
      </c>
      <c r="C232" s="79">
        <f t="shared" si="58"/>
        <v>57.510679559652473</v>
      </c>
      <c r="D232" s="101">
        <f t="shared" si="68"/>
        <v>2.7553419293853541E-2</v>
      </c>
      <c r="E232" s="100">
        <f>$D232*'MWh Impact Summary'!B$30</f>
        <v>94767.808886103681</v>
      </c>
      <c r="F232" s="100">
        <f>$D232*'MWh Impact Summary'!C$29</f>
        <v>67035.631460387973</v>
      </c>
      <c r="G232" s="100">
        <f>$D232*'MWh Impact Summary'!D$29</f>
        <v>320.93309005902211</v>
      </c>
      <c r="H232" s="100">
        <f>$D232*'MWh Impact Summary'!E$29</f>
        <v>24039.678550890669</v>
      </c>
      <c r="I232" s="100">
        <f>$D232*'MWh Impact Summary'!F$29</f>
        <v>54418.797447195378</v>
      </c>
      <c r="J232" s="82">
        <f t="shared" si="59"/>
        <v>240582.84943463671</v>
      </c>
      <c r="K232" s="83">
        <v>29</v>
      </c>
      <c r="L232" s="97">
        <f>K232/(SUM(K231:K242))</f>
        <v>7.9234972677595633E-2</v>
      </c>
      <c r="M232" s="85">
        <f>$L232*'MWh Impact Summary'!F$28</f>
        <v>146501.85715477497</v>
      </c>
      <c r="N232" s="85">
        <f>$L232*'MWh Impact Summary'!G$28</f>
        <v>18547.192339063276</v>
      </c>
      <c r="O232" s="85">
        <f>$L232*'MWh Impact Summary'!H$28</f>
        <v>9445.5687212976372</v>
      </c>
      <c r="P232" s="85">
        <f>$L232*'MWh Impact Summary'!I$28</f>
        <v>1578.5424109493435</v>
      </c>
      <c r="Q232" s="85">
        <f>$L232*'MWh Impact Summary'!J$28</f>
        <v>43002.899952190121</v>
      </c>
      <c r="R232" s="85">
        <f>$L232*'MWh Impact Summary'!K$28</f>
        <v>25918.481138078489</v>
      </c>
      <c r="S232" s="85">
        <f>$L232*'MWh Impact Summary'!L$28</f>
        <v>9261.1190530036747</v>
      </c>
      <c r="T232" s="85">
        <f>$L232*'MWh Impact Summary'!M$28</f>
        <v>28765.439498375599</v>
      </c>
      <c r="U232" s="85">
        <f t="shared" si="60"/>
        <v>283021.1002677331</v>
      </c>
      <c r="V232" s="81">
        <f t="shared" si="62"/>
        <v>523603.94970236981</v>
      </c>
      <c r="W232" s="81"/>
      <c r="X232" s="262">
        <f>+'MWh by mo-WgtbyActulCDH&amp;Days'!AB234</f>
        <v>5348619.574030689</v>
      </c>
      <c r="Y232" s="120">
        <f t="shared" si="77"/>
        <v>97.895156395986646</v>
      </c>
      <c r="Z232" s="87">
        <f t="shared" si="69"/>
        <v>3.3756950481374703E-3</v>
      </c>
      <c r="AA232" s="88">
        <f t="shared" si="70"/>
        <v>-1.1568282905023621E-4</v>
      </c>
      <c r="AC232" s="89">
        <f t="shared" si="61"/>
        <v>9261.1190530036747</v>
      </c>
      <c r="AD232" s="93"/>
      <c r="AE232" s="96">
        <f t="shared" si="71"/>
        <v>1.7314970572910924</v>
      </c>
      <c r="AF232" s="92">
        <f t="shared" si="72"/>
        <v>5.9706795079003185E-5</v>
      </c>
      <c r="AH232" s="123">
        <f t="shared" si="73"/>
        <v>3.3756950481374703E-3</v>
      </c>
      <c r="AI232" s="121">
        <f t="shared" si="74"/>
        <v>523603.94970236981</v>
      </c>
    </row>
    <row r="233" spans="1:35">
      <c r="A233" s="78">
        <f t="shared" si="75"/>
        <v>2024</v>
      </c>
      <c r="B233" s="78">
        <f t="shared" si="76"/>
        <v>3</v>
      </c>
      <c r="C233" s="79">
        <f t="shared" si="58"/>
        <v>62.20178223460303</v>
      </c>
      <c r="D233" s="101">
        <f t="shared" si="68"/>
        <v>2.9800930885493855E-2</v>
      </c>
      <c r="E233" s="100">
        <f>$D233*'MWh Impact Summary'!B$30</f>
        <v>102497.94744765</v>
      </c>
      <c r="F233" s="100">
        <f>$D233*'MWh Impact Summary'!C$29</f>
        <v>72503.677264552811</v>
      </c>
      <c r="G233" s="100">
        <f>$D233*'MWh Impact Summary'!D$29</f>
        <v>347.11135970882566</v>
      </c>
      <c r="H233" s="100">
        <f>$D233*'MWh Impact Summary'!E$29</f>
        <v>26000.57696521148</v>
      </c>
      <c r="I233" s="100">
        <f>$D233*'MWh Impact Summary'!F$29</f>
        <v>58857.697634548218</v>
      </c>
      <c r="J233" s="82">
        <f t="shared" si="59"/>
        <v>260207.01067167133</v>
      </c>
      <c r="K233" s="83">
        <v>31</v>
      </c>
      <c r="L233" s="97">
        <f>K233/(SUM(K231:K242))</f>
        <v>8.4699453551912565E-2</v>
      </c>
      <c r="M233" s="85">
        <f>$L233*'MWh Impact Summary'!F$28</f>
        <v>156605.43351027669</v>
      </c>
      <c r="N233" s="85">
        <f>$L233*'MWh Impact Summary'!G$28</f>
        <v>19826.309052102122</v>
      </c>
      <c r="O233" s="85">
        <f>$L233*'MWh Impact Summary'!H$28</f>
        <v>10096.98725380092</v>
      </c>
      <c r="P233" s="85">
        <f>$L233*'MWh Impact Summary'!I$28</f>
        <v>1687.4074048079187</v>
      </c>
      <c r="Q233" s="85">
        <f>$L233*'MWh Impact Summary'!J$28</f>
        <v>45968.617190272198</v>
      </c>
      <c r="R233" s="85">
        <f>$L233*'MWh Impact Summary'!K$28</f>
        <v>27705.962595877001</v>
      </c>
      <c r="S233" s="85">
        <f>$L233*'MWh Impact Summary'!L$28</f>
        <v>9899.8169187280637</v>
      </c>
      <c r="T233" s="85">
        <f>$L233*'MWh Impact Summary'!M$28</f>
        <v>30749.262912056671</v>
      </c>
      <c r="U233" s="85">
        <f t="shared" si="60"/>
        <v>302539.7968379216</v>
      </c>
      <c r="V233" s="81">
        <f t="shared" si="62"/>
        <v>562746.80750959297</v>
      </c>
      <c r="W233" s="81"/>
      <c r="X233" s="262">
        <f>+'MWh by mo-WgtbyActulCDH&amp;Days'!AB235</f>
        <v>5353889.4374803631</v>
      </c>
      <c r="Y233" s="120">
        <f t="shared" si="77"/>
        <v>105.10990450606538</v>
      </c>
      <c r="Z233" s="87">
        <f t="shared" si="69"/>
        <v>3.3906420808408185E-3</v>
      </c>
      <c r="AA233" s="88">
        <f t="shared" si="70"/>
        <v>-5.9439072427054478E-5</v>
      </c>
      <c r="AC233" s="89">
        <f t="shared" si="61"/>
        <v>9899.8169187280637</v>
      </c>
      <c r="AD233" s="93"/>
      <c r="AE233" s="96">
        <f t="shared" si="71"/>
        <v>1.8490887857010165</v>
      </c>
      <c r="AF233" s="92">
        <f t="shared" si="72"/>
        <v>5.9648025345194085E-5</v>
      </c>
      <c r="AH233" s="123">
        <f t="shared" si="73"/>
        <v>3.3906420808408185E-3</v>
      </c>
      <c r="AI233" s="121">
        <f t="shared" si="74"/>
        <v>562746.80750959297</v>
      </c>
    </row>
    <row r="234" spans="1:35">
      <c r="A234" s="78">
        <f t="shared" si="75"/>
        <v>2024</v>
      </c>
      <c r="B234" s="78">
        <f t="shared" si="76"/>
        <v>4</v>
      </c>
      <c r="C234" s="79">
        <f t="shared" si="58"/>
        <v>137.13602413996043</v>
      </c>
      <c r="D234" s="101">
        <f t="shared" si="68"/>
        <v>6.5701994870379921E-2</v>
      </c>
      <c r="E234" s="100">
        <f>$D234*'MWh Impact Summary'!B$30</f>
        <v>225976.82076797218</v>
      </c>
      <c r="F234" s="100">
        <f>$D234*'MWh Impact Summary'!C$29</f>
        <v>159848.57151016436</v>
      </c>
      <c r="G234" s="100">
        <f>$D234*'MWh Impact Summary'!D$29</f>
        <v>765.2750466979893</v>
      </c>
      <c r="H234" s="100">
        <f>$D234*'MWh Impact Summary'!E$29</f>
        <v>57323.369560471816</v>
      </c>
      <c r="I234" s="100">
        <f>$D234*'MWh Impact Summary'!F$29</f>
        <v>129763.33400208733</v>
      </c>
      <c r="J234" s="82">
        <f t="shared" si="59"/>
        <v>573677.37088739371</v>
      </c>
      <c r="K234" s="83">
        <v>30</v>
      </c>
      <c r="L234" s="97">
        <f>K234/(SUM(K231:K242))</f>
        <v>8.1967213114754092E-2</v>
      </c>
      <c r="M234" s="85">
        <f>$L234*'MWh Impact Summary'!F$28</f>
        <v>151553.6453325258</v>
      </c>
      <c r="N234" s="85">
        <f>$L234*'MWh Impact Summary'!G$28</f>
        <v>19186.750695582698</v>
      </c>
      <c r="O234" s="85">
        <f>$L234*'MWh Impact Summary'!H$28</f>
        <v>9771.2779875492779</v>
      </c>
      <c r="P234" s="85">
        <f>$L234*'MWh Impact Summary'!I$28</f>
        <v>1632.974907878631</v>
      </c>
      <c r="Q234" s="85">
        <f>$L234*'MWh Impact Summary'!J$28</f>
        <v>44485.758571231156</v>
      </c>
      <c r="R234" s="85">
        <f>$L234*'MWh Impact Summary'!K$28</f>
        <v>26812.221866977743</v>
      </c>
      <c r="S234" s="85">
        <f>$L234*'MWh Impact Summary'!L$28</f>
        <v>9580.4679858658692</v>
      </c>
      <c r="T234" s="85">
        <f>$L234*'MWh Impact Summary'!M$28</f>
        <v>29757.351205216135</v>
      </c>
      <c r="U234" s="85">
        <f t="shared" si="60"/>
        <v>292780.44855282735</v>
      </c>
      <c r="V234" s="81">
        <f t="shared" si="62"/>
        <v>866457.81944022106</v>
      </c>
      <c r="W234" s="81"/>
      <c r="X234" s="262">
        <f>+'MWh by mo-WgtbyActulCDH&amp;Days'!AB236</f>
        <v>5359119.6367630055</v>
      </c>
      <c r="Y234" s="120">
        <f t="shared" si="77"/>
        <v>161.6791335458179</v>
      </c>
      <c r="Z234" s="87">
        <f t="shared" si="69"/>
        <v>5.3893044515272636E-3</v>
      </c>
      <c r="AA234" s="88">
        <f t="shared" si="70"/>
        <v>-1.0121582900937589E-4</v>
      </c>
      <c r="AC234" s="89">
        <f t="shared" si="61"/>
        <v>9580.4679858658692</v>
      </c>
      <c r="AD234" s="93"/>
      <c r="AE234" s="96">
        <f t="shared" si="71"/>
        <v>1.7876943668405629</v>
      </c>
      <c r="AF234" s="92">
        <f t="shared" si="72"/>
        <v>5.9589812228018765E-5</v>
      </c>
      <c r="AH234" s="123">
        <f t="shared" si="73"/>
        <v>5.3893044515272636E-3</v>
      </c>
      <c r="AI234" s="121">
        <f t="shared" si="74"/>
        <v>866457.81944022106</v>
      </c>
    </row>
    <row r="235" spans="1:35">
      <c r="A235" s="78">
        <f t="shared" si="75"/>
        <v>2024</v>
      </c>
      <c r="B235" s="78">
        <f t="shared" si="76"/>
        <v>5</v>
      </c>
      <c r="C235" s="79">
        <f t="shared" si="58"/>
        <v>220.65709530534707</v>
      </c>
      <c r="D235" s="101">
        <f t="shared" si="68"/>
        <v>0.10571701662481223</v>
      </c>
      <c r="E235" s="100">
        <f>$D235*'MWh Impact Summary'!B$30</f>
        <v>363605.32682577567</v>
      </c>
      <c r="F235" s="100">
        <f>$D235*'MWh Impact Summary'!C$29</f>
        <v>257202.4506277341</v>
      </c>
      <c r="G235" s="100">
        <f>$D235*'MWh Impact Summary'!D$29</f>
        <v>1231.3567494249428</v>
      </c>
      <c r="H235" s="100">
        <f>$D235*'MWh Impact Summary'!E$29</f>
        <v>92235.488812329451</v>
      </c>
      <c r="I235" s="100">
        <f>$D235*'MWh Impact Summary'!F$29</f>
        <v>208794.15556641232</v>
      </c>
      <c r="J235" s="82">
        <f t="shared" si="59"/>
        <v>923068.77858167654</v>
      </c>
      <c r="K235" s="83">
        <v>31</v>
      </c>
      <c r="L235" s="97">
        <f>K235/(SUM(K231:K242))</f>
        <v>8.4699453551912565E-2</v>
      </c>
      <c r="M235" s="85">
        <f>$L235*'MWh Impact Summary'!F$28</f>
        <v>156605.43351027669</v>
      </c>
      <c r="N235" s="85">
        <f>$L235*'MWh Impact Summary'!G$28</f>
        <v>19826.309052102122</v>
      </c>
      <c r="O235" s="85">
        <f>$L235*'MWh Impact Summary'!H$28</f>
        <v>10096.98725380092</v>
      </c>
      <c r="P235" s="85">
        <f>$L235*'MWh Impact Summary'!I$28</f>
        <v>1687.4074048079187</v>
      </c>
      <c r="Q235" s="85">
        <f>$L235*'MWh Impact Summary'!J$28</f>
        <v>45968.617190272198</v>
      </c>
      <c r="R235" s="85">
        <f>$L235*'MWh Impact Summary'!K$28</f>
        <v>27705.962595877001</v>
      </c>
      <c r="S235" s="85">
        <f>$L235*'MWh Impact Summary'!L$28</f>
        <v>9899.8169187280637</v>
      </c>
      <c r="T235" s="85">
        <f>$L235*'MWh Impact Summary'!M$28</f>
        <v>30749.262912056671</v>
      </c>
      <c r="U235" s="85">
        <f t="shared" si="60"/>
        <v>302539.7968379216</v>
      </c>
      <c r="V235" s="81">
        <f t="shared" si="62"/>
        <v>1225608.5754195983</v>
      </c>
      <c r="W235" s="81"/>
      <c r="X235" s="262">
        <f>+'MWh by mo-WgtbyActulCDH&amp;Days'!AB237</f>
        <v>5364378.1867245836</v>
      </c>
      <c r="Y235" s="120">
        <f t="shared" si="77"/>
        <v>228.47169471620313</v>
      </c>
      <c r="Z235" s="87">
        <f t="shared" si="69"/>
        <v>7.3700546682646173E-3</v>
      </c>
      <c r="AA235" s="88">
        <f t="shared" si="70"/>
        <v>-1.4263988880784239E-4</v>
      </c>
      <c r="AC235" s="89">
        <f t="shared" si="61"/>
        <v>9899.8169187280637</v>
      </c>
      <c r="AD235" s="93"/>
      <c r="AE235" s="96">
        <f t="shared" si="71"/>
        <v>1.8454733380333792</v>
      </c>
      <c r="AF235" s="92">
        <f t="shared" si="72"/>
        <v>5.9531398001076747E-5</v>
      </c>
      <c r="AH235" s="123">
        <f t="shared" si="73"/>
        <v>7.3700546682646173E-3</v>
      </c>
      <c r="AI235" s="121">
        <f t="shared" si="74"/>
        <v>1225608.5754195983</v>
      </c>
    </row>
    <row r="236" spans="1:35">
      <c r="A236" s="78">
        <f t="shared" si="75"/>
        <v>2024</v>
      </c>
      <c r="B236" s="78">
        <f t="shared" si="76"/>
        <v>6</v>
      </c>
      <c r="C236" s="79">
        <f t="shared" si="58"/>
        <v>247.5875604864128</v>
      </c>
      <c r="D236" s="101">
        <f t="shared" si="68"/>
        <v>0.11861942717871234</v>
      </c>
      <c r="E236" s="100">
        <f>$D236*'MWh Impact Summary'!B$30</f>
        <v>407982.1486097353</v>
      </c>
      <c r="F236" s="100">
        <f>$D236*'MWh Impact Summary'!C$29</f>
        <v>288593.1549761708</v>
      </c>
      <c r="G236" s="100">
        <f>$D236*'MWh Impact Summary'!D$29</f>
        <v>1381.6397485733285</v>
      </c>
      <c r="H236" s="100">
        <f>$D236*'MWh Impact Summary'!E$29</f>
        <v>103492.52369934141</v>
      </c>
      <c r="I236" s="100">
        <f>$D236*'MWh Impact Summary'!F$29</f>
        <v>234276.78837597702</v>
      </c>
      <c r="J236" s="82">
        <f t="shared" si="59"/>
        <v>1035726.2554097979</v>
      </c>
      <c r="K236" s="83">
        <v>30</v>
      </c>
      <c r="L236" s="97">
        <f>K236/(SUM(K231:K242))</f>
        <v>8.1967213114754092E-2</v>
      </c>
      <c r="M236" s="85">
        <f>$L236*'MWh Impact Summary'!F$28</f>
        <v>151553.6453325258</v>
      </c>
      <c r="N236" s="85">
        <f>$L236*'MWh Impact Summary'!G$28</f>
        <v>19186.750695582698</v>
      </c>
      <c r="O236" s="85">
        <f>$L236*'MWh Impact Summary'!H$28</f>
        <v>9771.2779875492779</v>
      </c>
      <c r="P236" s="85">
        <f>$L236*'MWh Impact Summary'!I$28</f>
        <v>1632.974907878631</v>
      </c>
      <c r="Q236" s="85">
        <f>$L236*'MWh Impact Summary'!J$28</f>
        <v>44485.758571231156</v>
      </c>
      <c r="R236" s="85">
        <f>$L236*'MWh Impact Summary'!K$28</f>
        <v>26812.221866977743</v>
      </c>
      <c r="S236" s="85">
        <f>$L236*'MWh Impact Summary'!L$28</f>
        <v>9580.4679858658692</v>
      </c>
      <c r="T236" s="85">
        <f>$L236*'MWh Impact Summary'!M$28</f>
        <v>29757.351205216135</v>
      </c>
      <c r="U236" s="85">
        <f t="shared" si="60"/>
        <v>292780.44855282735</v>
      </c>
      <c r="V236" s="81">
        <f t="shared" si="62"/>
        <v>1328506.7039626252</v>
      </c>
      <c r="W236" s="81"/>
      <c r="X236" s="262">
        <f>+'MWh by mo-WgtbyActulCDH&amp;Days'!AB238</f>
        <v>5369633.722238888</v>
      </c>
      <c r="Y236" s="120">
        <f t="shared" si="77"/>
        <v>247.41104750971724</v>
      </c>
      <c r="Z236" s="87">
        <f t="shared" si="69"/>
        <v>8.2470349169905758E-3</v>
      </c>
      <c r="AA236" s="88">
        <f t="shared" si="70"/>
        <v>-1.6100126723296582E-4</v>
      </c>
      <c r="AC236" s="89">
        <f t="shared" si="61"/>
        <v>9580.4679858658692</v>
      </c>
      <c r="AD236" s="93"/>
      <c r="AE236" s="96">
        <f t="shared" si="71"/>
        <v>1.7841939471937125</v>
      </c>
      <c r="AF236" s="92">
        <f t="shared" si="72"/>
        <v>5.9473131573123745E-5</v>
      </c>
      <c r="AH236" s="123">
        <f t="shared" si="73"/>
        <v>8.2470349169905758E-3</v>
      </c>
      <c r="AI236" s="121">
        <f t="shared" si="74"/>
        <v>1328506.7039626252</v>
      </c>
    </row>
    <row r="237" spans="1:35">
      <c r="A237" s="78">
        <f t="shared" si="75"/>
        <v>2024</v>
      </c>
      <c r="B237" s="78">
        <f t="shared" si="76"/>
        <v>7</v>
      </c>
      <c r="C237" s="79">
        <f t="shared" si="58"/>
        <v>311.6666769190017</v>
      </c>
      <c r="D237" s="101">
        <f t="shared" si="68"/>
        <v>0.1493197905993085</v>
      </c>
      <c r="E237" s="100">
        <f>$D237*'MWh Impact Summary'!B$30</f>
        <v>513573.62320490461</v>
      </c>
      <c r="F237" s="100">
        <f>$D237*'MWh Impact Summary'!C$29</f>
        <v>363285.09161077032</v>
      </c>
      <c r="G237" s="100">
        <f>$D237*'MWh Impact Summary'!D$29</f>
        <v>1739.2274001612675</v>
      </c>
      <c r="H237" s="100">
        <f>$D237*'MWh Impact Summary'!E$29</f>
        <v>130277.83336111864</v>
      </c>
      <c r="I237" s="100">
        <f>$D237*'MWh Impact Summary'!F$29</f>
        <v>294910.89119723358</v>
      </c>
      <c r="J237" s="82">
        <f t="shared" si="59"/>
        <v>1303786.6667741884</v>
      </c>
      <c r="K237" s="83">
        <v>31</v>
      </c>
      <c r="L237" s="97">
        <f>K237/(SUM(K231:K242))</f>
        <v>8.4699453551912565E-2</v>
      </c>
      <c r="M237" s="85">
        <f>$L237*'MWh Impact Summary'!F$28</f>
        <v>156605.43351027669</v>
      </c>
      <c r="N237" s="85">
        <f>$L237*'MWh Impact Summary'!G$28</f>
        <v>19826.309052102122</v>
      </c>
      <c r="O237" s="85">
        <f>$L237*'MWh Impact Summary'!H$28</f>
        <v>10096.98725380092</v>
      </c>
      <c r="P237" s="85">
        <f>$L237*'MWh Impact Summary'!I$28</f>
        <v>1687.4074048079187</v>
      </c>
      <c r="Q237" s="85">
        <f>$L237*'MWh Impact Summary'!J$28</f>
        <v>45968.617190272198</v>
      </c>
      <c r="R237" s="85">
        <f>$L237*'MWh Impact Summary'!K$28</f>
        <v>27705.962595877001</v>
      </c>
      <c r="S237" s="85">
        <f>$L237*'MWh Impact Summary'!L$28</f>
        <v>9899.8169187280637</v>
      </c>
      <c r="T237" s="85">
        <f>$L237*'MWh Impact Summary'!M$28</f>
        <v>30749.262912056671</v>
      </c>
      <c r="U237" s="85">
        <f t="shared" si="60"/>
        <v>302539.7968379216</v>
      </c>
      <c r="V237" s="81">
        <f t="shared" si="62"/>
        <v>1606326.4636121099</v>
      </c>
      <c r="W237" s="81"/>
      <c r="X237" s="262">
        <f>+'MWh by mo-WgtbyActulCDH&amp;Days'!AB239</f>
        <v>5374960.0944571337</v>
      </c>
      <c r="Y237" s="120">
        <f t="shared" si="77"/>
        <v>298.85365386593583</v>
      </c>
      <c r="Z237" s="87">
        <f t="shared" si="69"/>
        <v>9.6404404472882517E-3</v>
      </c>
      <c r="AA237" s="88">
        <f t="shared" si="70"/>
        <v>-1.9009923957546623E-4</v>
      </c>
      <c r="AC237" s="89">
        <f t="shared" si="61"/>
        <v>9899.8169187280637</v>
      </c>
      <c r="AD237" s="93"/>
      <c r="AE237" s="96">
        <f t="shared" si="71"/>
        <v>1.8418400778337194</v>
      </c>
      <c r="AF237" s="92">
        <f t="shared" si="72"/>
        <v>5.9414196059152241E-5</v>
      </c>
      <c r="AH237" s="123">
        <f t="shared" si="73"/>
        <v>9.6404404472882517E-3</v>
      </c>
      <c r="AI237" s="121">
        <f t="shared" si="74"/>
        <v>1606326.4636121099</v>
      </c>
    </row>
    <row r="238" spans="1:35">
      <c r="A238" s="78">
        <f t="shared" si="75"/>
        <v>2024</v>
      </c>
      <c r="B238" s="78">
        <f t="shared" si="76"/>
        <v>8</v>
      </c>
      <c r="C238" s="79">
        <f t="shared" si="58"/>
        <v>350.95807565684066</v>
      </c>
      <c r="D238" s="101">
        <f t="shared" si="68"/>
        <v>0.16814433575083526</v>
      </c>
      <c r="E238" s="100">
        <f>$D238*'MWh Impact Summary'!B$30</f>
        <v>578319.15907695063</v>
      </c>
      <c r="F238" s="100">
        <f>$D238*'MWh Impact Summary'!C$29</f>
        <v>409083.95445712062</v>
      </c>
      <c r="G238" s="100">
        <f>$D238*'MWh Impact Summary'!D$29</f>
        <v>1958.4894590732351</v>
      </c>
      <c r="H238" s="100">
        <f>$D238*'MWh Impact Summary'!E$29</f>
        <v>146701.78457687137</v>
      </c>
      <c r="I238" s="100">
        <f>$D238*'MWh Impact Summary'!F$29</f>
        <v>332089.91056725552</v>
      </c>
      <c r="J238" s="82">
        <f t="shared" si="59"/>
        <v>1468153.2981372713</v>
      </c>
      <c r="K238" s="83">
        <v>31</v>
      </c>
      <c r="L238" s="97">
        <f>K238/(SUM(K231:K242))</f>
        <v>8.4699453551912565E-2</v>
      </c>
      <c r="M238" s="85">
        <f>$L238*'MWh Impact Summary'!F$28</f>
        <v>156605.43351027669</v>
      </c>
      <c r="N238" s="85">
        <f>$L238*'MWh Impact Summary'!G$28</f>
        <v>19826.309052102122</v>
      </c>
      <c r="O238" s="85">
        <f>$L238*'MWh Impact Summary'!H$28</f>
        <v>10096.98725380092</v>
      </c>
      <c r="P238" s="85">
        <f>$L238*'MWh Impact Summary'!I$28</f>
        <v>1687.4074048079187</v>
      </c>
      <c r="Q238" s="85">
        <f>$L238*'MWh Impact Summary'!J$28</f>
        <v>45968.617190272198</v>
      </c>
      <c r="R238" s="85">
        <f>$L238*'MWh Impact Summary'!K$28</f>
        <v>27705.962595877001</v>
      </c>
      <c r="S238" s="85">
        <f>$L238*'MWh Impact Summary'!L$28</f>
        <v>9899.8169187280637</v>
      </c>
      <c r="T238" s="85">
        <f>$L238*'MWh Impact Summary'!M$28</f>
        <v>30749.262912056671</v>
      </c>
      <c r="U238" s="85">
        <f t="shared" si="60"/>
        <v>302539.7968379216</v>
      </c>
      <c r="V238" s="81">
        <f t="shared" si="62"/>
        <v>1770693.094975193</v>
      </c>
      <c r="W238" s="81"/>
      <c r="X238" s="262">
        <f>+'MWh by mo-WgtbyActulCDH&amp;Days'!AB240</f>
        <v>5380321.6496443385</v>
      </c>
      <c r="Y238" s="120">
        <f t="shared" si="77"/>
        <v>329.10543463367901</v>
      </c>
      <c r="Z238" s="87">
        <f t="shared" si="69"/>
        <v>1.0616304343021904E-2</v>
      </c>
      <c r="AA238" s="88">
        <f t="shared" si="70"/>
        <v>-2.1042557169299696E-4</v>
      </c>
      <c r="AC238" s="89">
        <f t="shared" si="61"/>
        <v>9899.8169187280637</v>
      </c>
      <c r="AD238" s="93"/>
      <c r="AE238" s="96">
        <f t="shared" si="71"/>
        <v>1.8400046620600241</v>
      </c>
      <c r="AF238" s="92">
        <f t="shared" si="72"/>
        <v>5.9354989098710455E-5</v>
      </c>
      <c r="AH238" s="123">
        <f t="shared" si="73"/>
        <v>1.0616304343021904E-2</v>
      </c>
      <c r="AI238" s="121">
        <f t="shared" si="74"/>
        <v>1770693.094975193</v>
      </c>
    </row>
    <row r="239" spans="1:35">
      <c r="A239" s="78">
        <f t="shared" si="75"/>
        <v>2024</v>
      </c>
      <c r="B239" s="78">
        <f t="shared" si="76"/>
        <v>9</v>
      </c>
      <c r="C239" s="79">
        <f t="shared" si="58"/>
        <v>270.04400483226198</v>
      </c>
      <c r="D239" s="101">
        <f t="shared" si="68"/>
        <v>0.12937833024937548</v>
      </c>
      <c r="E239" s="100">
        <f>$D239*'MWh Impact Summary'!B$30</f>
        <v>444986.54574646975</v>
      </c>
      <c r="F239" s="100">
        <f>$D239*'MWh Impact Summary'!C$29</f>
        <v>314768.84857961041</v>
      </c>
      <c r="G239" s="100">
        <f>$D239*'MWh Impact Summary'!D$29</f>
        <v>1506.9558834344443</v>
      </c>
      <c r="H239" s="100">
        <f>$D239*'MWh Impact Summary'!E$29</f>
        <v>112879.40119068162</v>
      </c>
      <c r="I239" s="100">
        <f>$D239*'MWh Impact Summary'!F$29</f>
        <v>255525.93211063623</v>
      </c>
      <c r="J239" s="82">
        <f t="shared" si="59"/>
        <v>1129667.6835108323</v>
      </c>
      <c r="K239" s="83">
        <v>30</v>
      </c>
      <c r="L239" s="97">
        <f>K239/(SUM(K231:K242))</f>
        <v>8.1967213114754092E-2</v>
      </c>
      <c r="M239" s="85">
        <f>$L239*'MWh Impact Summary'!F$28</f>
        <v>151553.6453325258</v>
      </c>
      <c r="N239" s="85">
        <f>$L239*'MWh Impact Summary'!G$28</f>
        <v>19186.750695582698</v>
      </c>
      <c r="O239" s="85">
        <f>$L239*'MWh Impact Summary'!H$28</f>
        <v>9771.2779875492779</v>
      </c>
      <c r="P239" s="85">
        <f>$L239*'MWh Impact Summary'!I$28</f>
        <v>1632.974907878631</v>
      </c>
      <c r="Q239" s="85">
        <f>$L239*'MWh Impact Summary'!J$28</f>
        <v>44485.758571231156</v>
      </c>
      <c r="R239" s="85">
        <f>$L239*'MWh Impact Summary'!K$28</f>
        <v>26812.221866977743</v>
      </c>
      <c r="S239" s="85">
        <f>$L239*'MWh Impact Summary'!L$28</f>
        <v>9580.4679858658692</v>
      </c>
      <c r="T239" s="85">
        <f>$L239*'MWh Impact Summary'!M$28</f>
        <v>29757.351205216135</v>
      </c>
      <c r="U239" s="85">
        <f t="shared" si="60"/>
        <v>292780.44855282735</v>
      </c>
      <c r="V239" s="81">
        <f t="shared" si="62"/>
        <v>1422448.1320636596</v>
      </c>
      <c r="W239" s="81"/>
      <c r="X239" s="262">
        <f>+'MWh by mo-WgtbyActulCDH&amp;Days'!AB241</f>
        <v>5385554.9074087441</v>
      </c>
      <c r="Y239" s="120">
        <f t="shared" si="77"/>
        <v>264.12285391554377</v>
      </c>
      <c r="Z239" s="87">
        <f t="shared" si="69"/>
        <v>8.8040951305181255E-3</v>
      </c>
      <c r="AA239" s="88">
        <f t="shared" si="70"/>
        <v>-1.726186574981959E-4</v>
      </c>
      <c r="AC239" s="89">
        <f t="shared" si="61"/>
        <v>9580.4679858658692</v>
      </c>
      <c r="AD239" s="93"/>
      <c r="AE239" s="96">
        <f t="shared" si="71"/>
        <v>1.7789193779616488</v>
      </c>
      <c r="AF239" s="92">
        <f t="shared" si="72"/>
        <v>5.9297312598721625E-5</v>
      </c>
      <c r="AH239" s="123">
        <f t="shared" si="73"/>
        <v>8.8040951305181255E-3</v>
      </c>
      <c r="AI239" s="121">
        <f t="shared" si="74"/>
        <v>1422448.1320636596</v>
      </c>
    </row>
    <row r="240" spans="1:35">
      <c r="A240" s="78">
        <f t="shared" si="75"/>
        <v>2024</v>
      </c>
      <c r="B240" s="78">
        <f t="shared" si="76"/>
        <v>10</v>
      </c>
      <c r="C240" s="79">
        <f t="shared" si="76"/>
        <v>213.28592721551468</v>
      </c>
      <c r="D240" s="101">
        <f t="shared" si="68"/>
        <v>0.10218548323623593</v>
      </c>
      <c r="E240" s="100">
        <f>$D240*'MWh Impact Summary'!B$30</f>
        <v>351458.89673395216</v>
      </c>
      <c r="F240" s="100">
        <f>$D240*'MWh Impact Summary'!C$29</f>
        <v>248610.4654297494</v>
      </c>
      <c r="G240" s="100">
        <f>$D240*'MWh Impact Summary'!D$29</f>
        <v>1190.2226197202049</v>
      </c>
      <c r="H240" s="100">
        <f>$D240*'MWh Impact Summary'!E$29</f>
        <v>89154.313058870423</v>
      </c>
      <c r="I240" s="100">
        <f>$D240*'MWh Impact Summary'!F$29</f>
        <v>201819.27531284565</v>
      </c>
      <c r="J240" s="82">
        <f t="shared" si="59"/>
        <v>892233.1731551378</v>
      </c>
      <c r="K240" s="83">
        <v>31</v>
      </c>
      <c r="L240" s="97">
        <f>K240/(SUM(K231:K242))</f>
        <v>8.4699453551912565E-2</v>
      </c>
      <c r="M240" s="85">
        <f>$L240*'MWh Impact Summary'!F$28</f>
        <v>156605.43351027669</v>
      </c>
      <c r="N240" s="85">
        <f>$L240*'MWh Impact Summary'!G$28</f>
        <v>19826.309052102122</v>
      </c>
      <c r="O240" s="85">
        <f>$L240*'MWh Impact Summary'!H$28</f>
        <v>10096.98725380092</v>
      </c>
      <c r="P240" s="85">
        <f>$L240*'MWh Impact Summary'!I$28</f>
        <v>1687.4074048079187</v>
      </c>
      <c r="Q240" s="85">
        <f>$L240*'MWh Impact Summary'!J$28</f>
        <v>45968.617190272198</v>
      </c>
      <c r="R240" s="85">
        <f>$L240*'MWh Impact Summary'!K$28</f>
        <v>27705.962595877001</v>
      </c>
      <c r="S240" s="85">
        <f>$L240*'MWh Impact Summary'!L$28</f>
        <v>9899.8169187280637</v>
      </c>
      <c r="T240" s="85">
        <f>$L240*'MWh Impact Summary'!M$28</f>
        <v>30749.262912056671</v>
      </c>
      <c r="U240" s="85">
        <f t="shared" si="60"/>
        <v>302539.7968379216</v>
      </c>
      <c r="V240" s="81">
        <f t="shared" si="62"/>
        <v>1194772.9699930595</v>
      </c>
      <c r="W240" s="81"/>
      <c r="X240" s="262">
        <f>+'MWh by mo-WgtbyActulCDH&amp;Days'!AB242</f>
        <v>5390832.5836841511</v>
      </c>
      <c r="Y240" s="120">
        <f t="shared" si="77"/>
        <v>221.63050909967961</v>
      </c>
      <c r="Z240" s="87">
        <f t="shared" si="69"/>
        <v>7.1493712612799871E-3</v>
      </c>
      <c r="AA240" s="88">
        <f t="shared" si="70"/>
        <v>-1.3805733299558816E-4</v>
      </c>
      <c r="AC240" s="89">
        <f t="shared" si="61"/>
        <v>9899.8169187280637</v>
      </c>
      <c r="AD240" s="93"/>
      <c r="AE240" s="96">
        <f t="shared" si="71"/>
        <v>1.8364170589698456</v>
      </c>
      <c r="AF240" s="92">
        <f t="shared" si="72"/>
        <v>5.9239259966769215E-5</v>
      </c>
      <c r="AH240" s="123">
        <f t="shared" si="73"/>
        <v>7.1493712612799871E-3</v>
      </c>
      <c r="AI240" s="121">
        <f t="shared" si="74"/>
        <v>1194772.9699930595</v>
      </c>
    </row>
    <row r="241" spans="1:35">
      <c r="A241" s="78">
        <f t="shared" si="75"/>
        <v>2024</v>
      </c>
      <c r="B241" s="78">
        <f t="shared" si="76"/>
        <v>11</v>
      </c>
      <c r="C241" s="79">
        <f t="shared" si="76"/>
        <v>110.23315885291359</v>
      </c>
      <c r="D241" s="101">
        <f t="shared" si="68"/>
        <v>5.2812807451003543E-2</v>
      </c>
      <c r="E241" s="100">
        <f>$D241*'MWh Impact Summary'!B$30</f>
        <v>181645.47891055295</v>
      </c>
      <c r="F241" s="100">
        <f>$D241*'MWh Impact Summary'!C$29</f>
        <v>128490.03816610393</v>
      </c>
      <c r="G241" s="100">
        <f>$D241*'MWh Impact Summary'!D$29</f>
        <v>615.14606623518716</v>
      </c>
      <c r="H241" s="100">
        <f>$D241*'MWh Impact Summary'!E$29</f>
        <v>46077.871532097815</v>
      </c>
      <c r="I241" s="100">
        <f>$D241*'MWh Impact Summary'!F$29</f>
        <v>104306.8172644188</v>
      </c>
      <c r="J241" s="82">
        <f t="shared" si="59"/>
        <v>461135.35193940869</v>
      </c>
      <c r="K241" s="83">
        <v>30</v>
      </c>
      <c r="L241" s="97">
        <f>K241/(SUM(K231:K242))</f>
        <v>8.1967213114754092E-2</v>
      </c>
      <c r="M241" s="85">
        <f>$L241*'MWh Impact Summary'!F$28</f>
        <v>151553.6453325258</v>
      </c>
      <c r="N241" s="85">
        <f>$L241*'MWh Impact Summary'!G$28</f>
        <v>19186.750695582698</v>
      </c>
      <c r="O241" s="85">
        <f>$L241*'MWh Impact Summary'!H$28</f>
        <v>9771.2779875492779</v>
      </c>
      <c r="P241" s="85">
        <f>$L241*'MWh Impact Summary'!I$28</f>
        <v>1632.974907878631</v>
      </c>
      <c r="Q241" s="85">
        <f>$L241*'MWh Impact Summary'!J$28</f>
        <v>44485.758571231156</v>
      </c>
      <c r="R241" s="85">
        <f>$L241*'MWh Impact Summary'!K$28</f>
        <v>26812.221866977743</v>
      </c>
      <c r="S241" s="85">
        <f>$L241*'MWh Impact Summary'!L$28</f>
        <v>9580.4679858658692</v>
      </c>
      <c r="T241" s="85">
        <f>$L241*'MWh Impact Summary'!M$28</f>
        <v>29757.351205216135</v>
      </c>
      <c r="U241" s="85">
        <f t="shared" si="60"/>
        <v>292780.44855282735</v>
      </c>
      <c r="V241" s="81">
        <f t="shared" si="62"/>
        <v>753915.80049223604</v>
      </c>
      <c r="W241" s="81"/>
      <c r="X241" s="262">
        <f>+'MWh by mo-WgtbyActulCDH&amp;Days'!AB243</f>
        <v>5396121.651252266</v>
      </c>
      <c r="Y241" s="120">
        <f t="shared" si="77"/>
        <v>139.71438177589573</v>
      </c>
      <c r="Z241" s="87">
        <f t="shared" si="69"/>
        <v>4.6571460591965244E-3</v>
      </c>
      <c r="AA241" s="88">
        <f t="shared" si="70"/>
        <v>-8.5987939771255649E-5</v>
      </c>
      <c r="AC241" s="89">
        <f t="shared" si="61"/>
        <v>9580.4679858658692</v>
      </c>
      <c r="AD241" s="93"/>
      <c r="AE241" s="96">
        <f t="shared" si="71"/>
        <v>1.7754358787746289</v>
      </c>
      <c r="AF241" s="92">
        <f t="shared" si="72"/>
        <v>5.9181195959154293E-5</v>
      </c>
      <c r="AH241" s="123">
        <f t="shared" si="73"/>
        <v>4.6571460591965244E-3</v>
      </c>
      <c r="AI241" s="121">
        <f t="shared" si="74"/>
        <v>753915.80049223604</v>
      </c>
    </row>
    <row r="242" spans="1:35">
      <c r="A242" s="78">
        <f t="shared" si="75"/>
        <v>2024</v>
      </c>
      <c r="B242" s="78">
        <f t="shared" si="76"/>
        <v>12</v>
      </c>
      <c r="C242" s="79">
        <f t="shared" si="76"/>
        <v>79.005079745838657</v>
      </c>
      <c r="D242" s="101">
        <f t="shared" si="68"/>
        <v>3.7851406125770058E-2</v>
      </c>
      <c r="E242" s="100">
        <f>$D242*'MWh Impact Summary'!B$30</f>
        <v>130186.92103297173</v>
      </c>
      <c r="F242" s="100">
        <f>$D242*'MWh Impact Summary'!C$29</f>
        <v>92089.946595870249</v>
      </c>
      <c r="G242" s="100">
        <f>$D242*'MWh Impact Summary'!D$29</f>
        <v>440.88062543047926</v>
      </c>
      <c r="H242" s="100">
        <f>$D242*'MWh Impact Summary'!E$29</f>
        <v>33024.417995399555</v>
      </c>
      <c r="I242" s="100">
        <f>$D242*'MWh Impact Summary'!F$29</f>
        <v>74757.618322503651</v>
      </c>
      <c r="J242" s="82">
        <f t="shared" si="59"/>
        <v>330499.78457217565</v>
      </c>
      <c r="K242" s="83">
        <v>31</v>
      </c>
      <c r="L242" s="97">
        <f>K242/(SUM(K231:K242))</f>
        <v>8.4699453551912565E-2</v>
      </c>
      <c r="M242" s="85">
        <f>$L242*'MWh Impact Summary'!F$28</f>
        <v>156605.43351027669</v>
      </c>
      <c r="N242" s="85">
        <f>$L242*'MWh Impact Summary'!G$28</f>
        <v>19826.309052102122</v>
      </c>
      <c r="O242" s="85">
        <f>$L242*'MWh Impact Summary'!H$28</f>
        <v>10096.98725380092</v>
      </c>
      <c r="P242" s="85">
        <f>$L242*'MWh Impact Summary'!I$28</f>
        <v>1687.4074048079187</v>
      </c>
      <c r="Q242" s="85">
        <f>$L242*'MWh Impact Summary'!J$28</f>
        <v>45968.617190272198</v>
      </c>
      <c r="R242" s="85">
        <f>$L242*'MWh Impact Summary'!K$28</f>
        <v>27705.962595877001</v>
      </c>
      <c r="S242" s="85">
        <f>$L242*'MWh Impact Summary'!L$28</f>
        <v>9899.8169187280637</v>
      </c>
      <c r="T242" s="85">
        <f>$L242*'MWh Impact Summary'!M$28</f>
        <v>30749.262912056671</v>
      </c>
      <c r="U242" s="85">
        <f t="shared" si="60"/>
        <v>302539.7968379216</v>
      </c>
      <c r="V242" s="81">
        <f t="shared" si="62"/>
        <v>633039.58141009719</v>
      </c>
      <c r="W242" s="81">
        <f>SUM(V231:V242)</f>
        <v>12303427.601179276</v>
      </c>
      <c r="X242" s="262">
        <f>+'MWh by mo-WgtbyActulCDH&amp;Days'!AB244</f>
        <v>5401414.1942394003</v>
      </c>
      <c r="Y242" s="120">
        <f t="shared" si="77"/>
        <v>117.19885915900191</v>
      </c>
      <c r="Z242" s="87">
        <f t="shared" si="69"/>
        <v>3.7806083599678034E-3</v>
      </c>
      <c r="AA242" s="88">
        <f t="shared" si="70"/>
        <v>-6.7678749764538484E-5</v>
      </c>
      <c r="AC242" s="89">
        <f t="shared" si="61"/>
        <v>9899.8169187280637</v>
      </c>
      <c r="AD242" s="90">
        <f>SUM(AC231:AC242)</f>
        <v>116881.70942756358</v>
      </c>
      <c r="AE242" s="96">
        <f t="shared" si="71"/>
        <v>1.8328194363035892</v>
      </c>
      <c r="AF242" s="92">
        <f t="shared" si="72"/>
        <v>5.912320762269643E-5</v>
      </c>
      <c r="AH242" s="123">
        <f t="shared" si="73"/>
        <v>3.7806083599678034E-3</v>
      </c>
      <c r="AI242" s="121">
        <f t="shared" si="74"/>
        <v>633039.58141009719</v>
      </c>
    </row>
    <row r="243" spans="1:35">
      <c r="A243" s="78">
        <f t="shared" si="75"/>
        <v>2025</v>
      </c>
      <c r="B243" s="78">
        <f t="shared" si="76"/>
        <v>1</v>
      </c>
      <c r="C243" s="79">
        <f t="shared" si="76"/>
        <v>26.95686291874426</v>
      </c>
      <c r="D243" s="101">
        <f t="shared" si="68"/>
        <v>1.2915057734219224E-2</v>
      </c>
      <c r="E243" s="100">
        <f>$D243*'MWh Impact Summary'!B$31</f>
        <v>44617.09119428433</v>
      </c>
      <c r="F243" s="100">
        <f>$D243*'MWh Impact Summary'!C$29</f>
        <v>31421.474094646543</v>
      </c>
      <c r="G243" s="100">
        <f>$D243*'MWh Impact Summary'!D$29</f>
        <v>150.43030931040425</v>
      </c>
      <c r="H243" s="100">
        <f>$D243*'MWh Impact Summary'!E$29</f>
        <v>11268.069239816028</v>
      </c>
      <c r="I243" s="100">
        <f>$D243*'MWh Impact Summary'!F$29</f>
        <v>25507.611355302517</v>
      </c>
      <c r="J243" s="82">
        <f t="shared" si="59"/>
        <v>112964.67619335983</v>
      </c>
      <c r="K243" s="83">
        <v>31</v>
      </c>
      <c r="L243" s="97">
        <f>K243/(SUM(K243:K254))</f>
        <v>8.4931506849315067E-2</v>
      </c>
      <c r="M243" s="85">
        <f>$L243*'MWh Impact Summary'!F$28</f>
        <v>157034.48949249662</v>
      </c>
      <c r="N243" s="85">
        <f>$L243*'MWh Impact Summary'!G$28</f>
        <v>19880.627707039388</v>
      </c>
      <c r="O243" s="85">
        <f>$L243*'MWh Impact Summary'!H$28</f>
        <v>10124.650232578459</v>
      </c>
      <c r="P243" s="85">
        <f>$L243*'MWh Impact Summary'!I$28</f>
        <v>1692.030438793694</v>
      </c>
      <c r="Q243" s="85">
        <f>$L243*'MWh Impact Summary'!J$28</f>
        <v>46094.558607231847</v>
      </c>
      <c r="R243" s="85">
        <f>$L243*'MWh Impact Summary'!K$28</f>
        <v>27781.869342715021</v>
      </c>
      <c r="S243" s="85">
        <f>$L243*'MWh Impact Summary'!L$28</f>
        <v>9926.9397048067713</v>
      </c>
      <c r="T243" s="85">
        <f>$L243*'MWh Impact Summary'!M$28</f>
        <v>30833.507467980115</v>
      </c>
      <c r="U243" s="85">
        <f t="shared" si="60"/>
        <v>303368.67299364193</v>
      </c>
      <c r="V243" s="81">
        <f t="shared" si="62"/>
        <v>416333.34918700176</v>
      </c>
      <c r="W243" s="81"/>
      <c r="X243" s="262">
        <f>+'MWh by mo-WgtbyActulCDH&amp;Days'!AB245</f>
        <v>5406732.2632630393</v>
      </c>
      <c r="Y243" s="120">
        <f t="shared" si="77"/>
        <v>77.002767829997694</v>
      </c>
      <c r="Z243" s="87">
        <f t="shared" si="69"/>
        <v>2.4839602525805709E-3</v>
      </c>
      <c r="AA243" s="88">
        <f t="shared" si="70"/>
        <v>-2.3255928942123982E-5</v>
      </c>
      <c r="AC243" s="89">
        <f t="shared" si="61"/>
        <v>9926.9397048067713</v>
      </c>
      <c r="AD243" s="90"/>
      <c r="AE243" s="96">
        <f t="shared" si="71"/>
        <v>1.836033156710394</v>
      </c>
      <c r="AF243" s="92">
        <f t="shared" si="72"/>
        <v>5.9226876022915936E-5</v>
      </c>
      <c r="AH243" s="123">
        <f t="shared" si="73"/>
        <v>2.4839602525805709E-3</v>
      </c>
      <c r="AI243" s="121">
        <f t="shared" si="74"/>
        <v>416333.34918700176</v>
      </c>
    </row>
    <row r="244" spans="1:35">
      <c r="A244" s="78">
        <f t="shared" si="75"/>
        <v>2025</v>
      </c>
      <c r="B244" s="78">
        <f t="shared" si="76"/>
        <v>2</v>
      </c>
      <c r="C244" s="79">
        <f t="shared" si="76"/>
        <v>57.510679559652473</v>
      </c>
      <c r="D244" s="101">
        <f t="shared" si="68"/>
        <v>2.7553419293853541E-2</v>
      </c>
      <c r="E244" s="100">
        <f>$D244*'MWh Impact Summary'!B$31</f>
        <v>95187.605556804512</v>
      </c>
      <c r="F244" s="100">
        <f>$D244*'MWh Impact Summary'!C$29</f>
        <v>67035.631460387973</v>
      </c>
      <c r="G244" s="100">
        <f>$D244*'MWh Impact Summary'!D$29</f>
        <v>320.93309005902211</v>
      </c>
      <c r="H244" s="100">
        <f>$D244*'MWh Impact Summary'!E$29</f>
        <v>24039.678550890669</v>
      </c>
      <c r="I244" s="100">
        <f>$D244*'MWh Impact Summary'!F$29</f>
        <v>54418.797447195378</v>
      </c>
      <c r="J244" s="82">
        <f t="shared" si="59"/>
        <v>241002.64610533754</v>
      </c>
      <c r="K244" s="83">
        <v>28</v>
      </c>
      <c r="L244" s="97">
        <f>K244/(SUM(K243:K254))</f>
        <v>7.6712328767123292E-2</v>
      </c>
      <c r="M244" s="85">
        <f>$L244*'MWh Impact Summary'!F$28</f>
        <v>141837.60341257759</v>
      </c>
      <c r="N244" s="85">
        <f>$L244*'MWh Impact Summary'!G$28</f>
        <v>17956.69599345493</v>
      </c>
      <c r="O244" s="85">
        <f>$L244*'MWh Impact Summary'!H$28</f>
        <v>9144.8453713611889</v>
      </c>
      <c r="P244" s="85">
        <f>$L244*'MWh Impact Summary'!I$28</f>
        <v>1528.2855576201107</v>
      </c>
      <c r="Q244" s="85">
        <f>$L244*'MWh Impact Summary'!J$28</f>
        <v>41633.794871048121</v>
      </c>
      <c r="R244" s="85">
        <f>$L244*'MWh Impact Summary'!K$28</f>
        <v>25093.301341807117</v>
      </c>
      <c r="S244" s="85">
        <f>$L244*'MWh Impact Summary'!L$28</f>
        <v>8966.2681204706332</v>
      </c>
      <c r="T244" s="85">
        <f>$L244*'MWh Impact Summary'!M$28</f>
        <v>27849.61964849817</v>
      </c>
      <c r="U244" s="85">
        <f t="shared" si="60"/>
        <v>274010.41431683785</v>
      </c>
      <c r="V244" s="81">
        <f t="shared" si="62"/>
        <v>515013.06042217539</v>
      </c>
      <c r="W244" s="81"/>
      <c r="X244" s="262">
        <f>+'MWh by mo-WgtbyActulCDH&amp;Days'!AB246</f>
        <v>5412022.880566325</v>
      </c>
      <c r="Y244" s="120">
        <f t="shared" si="77"/>
        <v>95.160917052199054</v>
      </c>
      <c r="Z244" s="87">
        <f t="shared" si="69"/>
        <v>3.3986041804356802E-3</v>
      </c>
      <c r="AA244" s="88">
        <f t="shared" si="70"/>
        <v>2.2909132298209924E-5</v>
      </c>
      <c r="AC244" s="89">
        <f t="shared" si="61"/>
        <v>8966.2681204706332</v>
      </c>
      <c r="AD244" s="90"/>
      <c r="AE244" s="96">
        <f t="shared" si="71"/>
        <v>1.6567313772207084</v>
      </c>
      <c r="AF244" s="92">
        <f t="shared" si="72"/>
        <v>5.9168977757882444E-5</v>
      </c>
      <c r="AH244" s="123">
        <f t="shared" si="73"/>
        <v>3.3986041804356802E-3</v>
      </c>
      <c r="AI244" s="121">
        <f t="shared" si="74"/>
        <v>515013.06042217539</v>
      </c>
    </row>
    <row r="245" spans="1:35">
      <c r="A245" s="78">
        <f t="shared" si="75"/>
        <v>2025</v>
      </c>
      <c r="B245" s="78">
        <f t="shared" si="76"/>
        <v>3</v>
      </c>
      <c r="C245" s="79">
        <f t="shared" si="76"/>
        <v>62.20178223460303</v>
      </c>
      <c r="D245" s="101">
        <f t="shared" si="68"/>
        <v>2.9800930885493855E-2</v>
      </c>
      <c r="E245" s="100">
        <f>$D245*'MWh Impact Summary'!B$31</f>
        <v>102951.98661556942</v>
      </c>
      <c r="F245" s="100">
        <f>$D245*'MWh Impact Summary'!C$29</f>
        <v>72503.677264552811</v>
      </c>
      <c r="G245" s="100">
        <f>$D245*'MWh Impact Summary'!D$29</f>
        <v>347.11135970882566</v>
      </c>
      <c r="H245" s="100">
        <f>$D245*'MWh Impact Summary'!E$29</f>
        <v>26000.57696521148</v>
      </c>
      <c r="I245" s="100">
        <f>$D245*'MWh Impact Summary'!F$29</f>
        <v>58857.697634548218</v>
      </c>
      <c r="J245" s="82">
        <f t="shared" si="59"/>
        <v>260661.04983959076</v>
      </c>
      <c r="K245" s="83">
        <v>31</v>
      </c>
      <c r="L245" s="97">
        <f>K245/(SUM(K243:K254))</f>
        <v>8.4931506849315067E-2</v>
      </c>
      <c r="M245" s="85">
        <f>$L245*'MWh Impact Summary'!F$28</f>
        <v>157034.48949249662</v>
      </c>
      <c r="N245" s="85">
        <f>$L245*'MWh Impact Summary'!G$28</f>
        <v>19880.627707039388</v>
      </c>
      <c r="O245" s="85">
        <f>$L245*'MWh Impact Summary'!H$28</f>
        <v>10124.650232578459</v>
      </c>
      <c r="P245" s="85">
        <f>$L245*'MWh Impact Summary'!I$28</f>
        <v>1692.030438793694</v>
      </c>
      <c r="Q245" s="85">
        <f>$L245*'MWh Impact Summary'!J$28</f>
        <v>46094.558607231847</v>
      </c>
      <c r="R245" s="85">
        <f>$L245*'MWh Impact Summary'!K$28</f>
        <v>27781.869342715021</v>
      </c>
      <c r="S245" s="85">
        <f>$L245*'MWh Impact Summary'!L$28</f>
        <v>9926.9397048067713</v>
      </c>
      <c r="T245" s="85">
        <f>$L245*'MWh Impact Summary'!M$28</f>
        <v>30833.507467980115</v>
      </c>
      <c r="U245" s="85">
        <f t="shared" si="60"/>
        <v>303368.67299364193</v>
      </c>
      <c r="V245" s="81">
        <f t="shared" si="62"/>
        <v>564029.72283323272</v>
      </c>
      <c r="W245" s="81"/>
      <c r="X245" s="262">
        <f>+'MWh by mo-WgtbyActulCDH&amp;Days'!AB247</f>
        <v>5417339.5801715693</v>
      </c>
      <c r="Y245" s="120">
        <f t="shared" si="77"/>
        <v>104.11562991134657</v>
      </c>
      <c r="Z245" s="87">
        <f t="shared" si="69"/>
        <v>3.3585687068176315E-3</v>
      </c>
      <c r="AA245" s="88">
        <f t="shared" si="70"/>
        <v>-3.2073374023187072E-5</v>
      </c>
      <c r="AC245" s="89">
        <f t="shared" si="61"/>
        <v>9926.9397048067713</v>
      </c>
      <c r="AD245" s="90"/>
      <c r="AE245" s="96">
        <f t="shared" si="71"/>
        <v>1.8324381475256128</v>
      </c>
      <c r="AF245" s="92">
        <f t="shared" si="72"/>
        <v>5.911090798469719E-5</v>
      </c>
      <c r="AH245" s="123">
        <f t="shared" si="73"/>
        <v>3.3585687068176315E-3</v>
      </c>
      <c r="AI245" s="121">
        <f t="shared" si="74"/>
        <v>564029.72283323272</v>
      </c>
    </row>
    <row r="246" spans="1:35">
      <c r="A246" s="78">
        <f t="shared" si="75"/>
        <v>2025</v>
      </c>
      <c r="B246" s="78">
        <f t="shared" si="76"/>
        <v>4</v>
      </c>
      <c r="C246" s="79">
        <f t="shared" si="76"/>
        <v>137.13602413996043</v>
      </c>
      <c r="D246" s="101">
        <f t="shared" si="68"/>
        <v>6.5701994870379921E-2</v>
      </c>
      <c r="E246" s="100">
        <f>$D246*'MWh Impact Summary'!B$31</f>
        <v>226977.83913200302</v>
      </c>
      <c r="F246" s="100">
        <f>$D246*'MWh Impact Summary'!C$29</f>
        <v>159848.57151016436</v>
      </c>
      <c r="G246" s="100">
        <f>$D246*'MWh Impact Summary'!D$29</f>
        <v>765.2750466979893</v>
      </c>
      <c r="H246" s="100">
        <f>$D246*'MWh Impact Summary'!E$29</f>
        <v>57323.369560471816</v>
      </c>
      <c r="I246" s="100">
        <f>$D246*'MWh Impact Summary'!F$29</f>
        <v>129763.33400208733</v>
      </c>
      <c r="J246" s="82">
        <f t="shared" si="59"/>
        <v>574678.38925142447</v>
      </c>
      <c r="K246" s="83">
        <v>30</v>
      </c>
      <c r="L246" s="97">
        <f>K246/(SUM(K243:K254))</f>
        <v>8.2191780821917804E-2</v>
      </c>
      <c r="M246" s="85">
        <f>$L246*'MWh Impact Summary'!F$28</f>
        <v>151968.86079919027</v>
      </c>
      <c r="N246" s="85">
        <f>$L246*'MWh Impact Summary'!G$28</f>
        <v>19239.317135844569</v>
      </c>
      <c r="O246" s="85">
        <f>$L246*'MWh Impact Summary'!H$28</f>
        <v>9798.0486121727008</v>
      </c>
      <c r="P246" s="85">
        <f>$L246*'MWh Impact Summary'!I$28</f>
        <v>1637.4488117358328</v>
      </c>
      <c r="Q246" s="85">
        <f>$L246*'MWh Impact Summary'!J$28</f>
        <v>44607.637361837267</v>
      </c>
      <c r="R246" s="85">
        <f>$L246*'MWh Impact Summary'!K$28</f>
        <v>26885.680009079049</v>
      </c>
      <c r="S246" s="85">
        <f>$L246*'MWh Impact Summary'!L$28</f>
        <v>9606.7158433613913</v>
      </c>
      <c r="T246" s="85">
        <f>$L246*'MWh Impact Summary'!M$28</f>
        <v>29838.878194819466</v>
      </c>
      <c r="U246" s="85">
        <f t="shared" si="60"/>
        <v>293582.58676804055</v>
      </c>
      <c r="V246" s="81">
        <f t="shared" si="62"/>
        <v>868260.97601946502</v>
      </c>
      <c r="W246" s="81"/>
      <c r="X246" s="262">
        <f>+'MWh by mo-WgtbyActulCDH&amp;Days'!AB248</f>
        <v>5422629.6092505148</v>
      </c>
      <c r="Y246" s="120">
        <f t="shared" si="77"/>
        <v>160.11806790902526</v>
      </c>
      <c r="Z246" s="87">
        <f t="shared" si="69"/>
        <v>5.3372689303008416E-3</v>
      </c>
      <c r="AA246" s="88">
        <f t="shared" si="70"/>
        <v>-5.2035521226422021E-5</v>
      </c>
      <c r="AC246" s="89">
        <f t="shared" si="61"/>
        <v>9606.7158433613913</v>
      </c>
      <c r="AD246" s="90"/>
      <c r="AE246" s="96">
        <f t="shared" si="71"/>
        <v>1.7715972757890754</v>
      </c>
      <c r="AF246" s="92">
        <f t="shared" si="72"/>
        <v>5.9053242526302513E-5</v>
      </c>
      <c r="AH246" s="123">
        <f t="shared" si="73"/>
        <v>5.3372689303008416E-3</v>
      </c>
      <c r="AI246" s="121">
        <f t="shared" si="74"/>
        <v>868260.97601946502</v>
      </c>
    </row>
    <row r="247" spans="1:35">
      <c r="A247" s="78">
        <f t="shared" si="75"/>
        <v>2025</v>
      </c>
      <c r="B247" s="78">
        <f t="shared" si="76"/>
        <v>5</v>
      </c>
      <c r="C247" s="79">
        <f t="shared" si="76"/>
        <v>220.65709530534707</v>
      </c>
      <c r="D247" s="101">
        <f t="shared" si="68"/>
        <v>0.10571701662481223</v>
      </c>
      <c r="E247" s="100">
        <f>$D247*'MWh Impact Summary'!B$31</f>
        <v>365216.00356764271</v>
      </c>
      <c r="F247" s="100">
        <f>$D247*'MWh Impact Summary'!C$29</f>
        <v>257202.4506277341</v>
      </c>
      <c r="G247" s="100">
        <f>$D247*'MWh Impact Summary'!D$29</f>
        <v>1231.3567494249428</v>
      </c>
      <c r="H247" s="100">
        <f>$D247*'MWh Impact Summary'!E$29</f>
        <v>92235.488812329451</v>
      </c>
      <c r="I247" s="100">
        <f>$D247*'MWh Impact Summary'!F$29</f>
        <v>208794.15556641232</v>
      </c>
      <c r="J247" s="82">
        <f t="shared" si="59"/>
        <v>924679.45532354363</v>
      </c>
      <c r="K247" s="83">
        <v>31</v>
      </c>
      <c r="L247" s="97">
        <f>K247/(SUM(K243:K254))</f>
        <v>8.4931506849315067E-2</v>
      </c>
      <c r="M247" s="85">
        <f>$L247*'MWh Impact Summary'!F$28</f>
        <v>157034.48949249662</v>
      </c>
      <c r="N247" s="85">
        <f>$L247*'MWh Impact Summary'!G$28</f>
        <v>19880.627707039388</v>
      </c>
      <c r="O247" s="85">
        <f>$L247*'MWh Impact Summary'!H$28</f>
        <v>10124.650232578459</v>
      </c>
      <c r="P247" s="85">
        <f>$L247*'MWh Impact Summary'!I$28</f>
        <v>1692.030438793694</v>
      </c>
      <c r="Q247" s="85">
        <f>$L247*'MWh Impact Summary'!J$28</f>
        <v>46094.558607231847</v>
      </c>
      <c r="R247" s="85">
        <f>$L247*'MWh Impact Summary'!K$28</f>
        <v>27781.869342715021</v>
      </c>
      <c r="S247" s="85">
        <f>$L247*'MWh Impact Summary'!L$28</f>
        <v>9926.9397048067713</v>
      </c>
      <c r="T247" s="85">
        <f>$L247*'MWh Impact Summary'!M$28</f>
        <v>30833.507467980115</v>
      </c>
      <c r="U247" s="85">
        <f t="shared" si="60"/>
        <v>303368.67299364193</v>
      </c>
      <c r="V247" s="81">
        <f t="shared" si="62"/>
        <v>1228048.1283171857</v>
      </c>
      <c r="W247" s="81"/>
      <c r="X247" s="262">
        <f>+'MWh by mo-WgtbyActulCDH&amp;Days'!AB249</f>
        <v>5427176.8441906935</v>
      </c>
      <c r="Y247" s="120">
        <f t="shared" si="77"/>
        <v>226.277522102804</v>
      </c>
      <c r="Z247" s="87">
        <f t="shared" si="69"/>
        <v>7.2992749065420642E-3</v>
      </c>
      <c r="AA247" s="88">
        <f t="shared" si="70"/>
        <v>-7.077976172255307E-5</v>
      </c>
      <c r="AC247" s="89">
        <f t="shared" si="61"/>
        <v>9926.9397048067713</v>
      </c>
      <c r="AD247" s="90"/>
      <c r="AE247" s="96">
        <f t="shared" si="71"/>
        <v>1.829116682540513</v>
      </c>
      <c r="AF247" s="92">
        <f t="shared" si="72"/>
        <v>5.9003763952919775E-5</v>
      </c>
      <c r="AH247" s="123">
        <f t="shared" si="73"/>
        <v>7.2992749065420642E-3</v>
      </c>
      <c r="AI247" s="121">
        <f t="shared" si="74"/>
        <v>1228048.1283171857</v>
      </c>
    </row>
    <row r="248" spans="1:35">
      <c r="A248" s="78">
        <f t="shared" si="75"/>
        <v>2025</v>
      </c>
      <c r="B248" s="78">
        <f t="shared" si="76"/>
        <v>6</v>
      </c>
      <c r="C248" s="79">
        <f t="shared" si="76"/>
        <v>247.5875604864128</v>
      </c>
      <c r="D248" s="101">
        <f t="shared" si="68"/>
        <v>0.11861942717871234</v>
      </c>
      <c r="E248" s="100">
        <f>$D248*'MWh Impact Summary'!B$31</f>
        <v>409789.4030952492</v>
      </c>
      <c r="F248" s="100">
        <f>$D248*'MWh Impact Summary'!C$29</f>
        <v>288593.1549761708</v>
      </c>
      <c r="G248" s="100">
        <f>$D248*'MWh Impact Summary'!D$29</f>
        <v>1381.6397485733285</v>
      </c>
      <c r="H248" s="100">
        <f>$D248*'MWh Impact Summary'!E$29</f>
        <v>103492.52369934141</v>
      </c>
      <c r="I248" s="100">
        <f>$D248*'MWh Impact Summary'!F$29</f>
        <v>234276.78837597702</v>
      </c>
      <c r="J248" s="82">
        <f t="shared" si="59"/>
        <v>1037533.5098953119</v>
      </c>
      <c r="K248" s="83">
        <v>30</v>
      </c>
      <c r="L248" s="97">
        <f>K248/(SUM(K243:K254))</f>
        <v>8.2191780821917804E-2</v>
      </c>
      <c r="M248" s="85">
        <f>$L248*'MWh Impact Summary'!F$28</f>
        <v>151968.86079919027</v>
      </c>
      <c r="N248" s="85">
        <f>$L248*'MWh Impact Summary'!G$28</f>
        <v>19239.317135844569</v>
      </c>
      <c r="O248" s="85">
        <f>$L248*'MWh Impact Summary'!H$28</f>
        <v>9798.0486121727008</v>
      </c>
      <c r="P248" s="85">
        <f>$L248*'MWh Impact Summary'!I$28</f>
        <v>1637.4488117358328</v>
      </c>
      <c r="Q248" s="85">
        <f>$L248*'MWh Impact Summary'!J$28</f>
        <v>44607.637361837267</v>
      </c>
      <c r="R248" s="85">
        <f>$L248*'MWh Impact Summary'!K$28</f>
        <v>26885.680009079049</v>
      </c>
      <c r="S248" s="85">
        <f>$L248*'MWh Impact Summary'!L$28</f>
        <v>9606.7158433613913</v>
      </c>
      <c r="T248" s="85">
        <f>$L248*'MWh Impact Summary'!M$28</f>
        <v>29838.878194819466</v>
      </c>
      <c r="U248" s="85">
        <f t="shared" si="60"/>
        <v>293582.58676804055</v>
      </c>
      <c r="V248" s="81">
        <f t="shared" si="62"/>
        <v>1331116.0966633526</v>
      </c>
      <c r="W248" s="81"/>
      <c r="X248" s="262">
        <f>+'MWh by mo-WgtbyActulCDH&amp;Days'!AB250</f>
        <v>5431720.3103298927</v>
      </c>
      <c r="Y248" s="120">
        <f t="shared" si="77"/>
        <v>245.06344594582188</v>
      </c>
      <c r="Z248" s="87">
        <f t="shared" si="69"/>
        <v>8.168781531527395E-3</v>
      </c>
      <c r="AA248" s="88">
        <f t="shared" si="70"/>
        <v>-7.8253385463180822E-5</v>
      </c>
      <c r="AC248" s="89">
        <f t="shared" si="61"/>
        <v>9606.7158433613913</v>
      </c>
      <c r="AD248" s="90"/>
      <c r="AE248" s="96">
        <f t="shared" si="71"/>
        <v>1.768632273847313</v>
      </c>
      <c r="AF248" s="92">
        <f t="shared" si="72"/>
        <v>5.8954409128243767E-5</v>
      </c>
      <c r="AH248" s="123">
        <f t="shared" si="73"/>
        <v>8.168781531527395E-3</v>
      </c>
      <c r="AI248" s="121">
        <f t="shared" si="74"/>
        <v>1331116.0966633526</v>
      </c>
    </row>
    <row r="249" spans="1:35">
      <c r="A249" s="78">
        <f t="shared" si="75"/>
        <v>2025</v>
      </c>
      <c r="B249" s="78">
        <f t="shared" si="76"/>
        <v>7</v>
      </c>
      <c r="C249" s="79">
        <f t="shared" si="76"/>
        <v>311.6666769190017</v>
      </c>
      <c r="D249" s="101">
        <f t="shared" si="68"/>
        <v>0.1493197905993085</v>
      </c>
      <c r="E249" s="100">
        <f>$D249*'MWh Impact Summary'!B$31</f>
        <v>515848.62037657393</v>
      </c>
      <c r="F249" s="100">
        <f>$D249*'MWh Impact Summary'!C$29</f>
        <v>363285.09161077032</v>
      </c>
      <c r="G249" s="100">
        <f>$D249*'MWh Impact Summary'!D$29</f>
        <v>1739.2274001612675</v>
      </c>
      <c r="H249" s="100">
        <f>$D249*'MWh Impact Summary'!E$29</f>
        <v>130277.83336111864</v>
      </c>
      <c r="I249" s="100">
        <f>$D249*'MWh Impact Summary'!F$29</f>
        <v>294910.89119723358</v>
      </c>
      <c r="J249" s="82">
        <f t="shared" si="59"/>
        <v>1306061.6639458579</v>
      </c>
      <c r="K249" s="83">
        <v>31</v>
      </c>
      <c r="L249" s="97">
        <f>K249/(SUM(K243:K254))</f>
        <v>8.4931506849315067E-2</v>
      </c>
      <c r="M249" s="85">
        <f>$L249*'MWh Impact Summary'!F$28</f>
        <v>157034.48949249662</v>
      </c>
      <c r="N249" s="85">
        <f>$L249*'MWh Impact Summary'!G$28</f>
        <v>19880.627707039388</v>
      </c>
      <c r="O249" s="85">
        <f>$L249*'MWh Impact Summary'!H$28</f>
        <v>10124.650232578459</v>
      </c>
      <c r="P249" s="85">
        <f>$L249*'MWh Impact Summary'!I$28</f>
        <v>1692.030438793694</v>
      </c>
      <c r="Q249" s="85">
        <f>$L249*'MWh Impact Summary'!J$28</f>
        <v>46094.558607231847</v>
      </c>
      <c r="R249" s="85">
        <f>$L249*'MWh Impact Summary'!K$28</f>
        <v>27781.869342715021</v>
      </c>
      <c r="S249" s="85">
        <f>$L249*'MWh Impact Summary'!L$28</f>
        <v>9926.9397048067713</v>
      </c>
      <c r="T249" s="85">
        <f>$L249*'MWh Impact Summary'!M$28</f>
        <v>30833.507467980115</v>
      </c>
      <c r="U249" s="85">
        <f t="shared" si="60"/>
        <v>303368.67299364193</v>
      </c>
      <c r="V249" s="81">
        <f t="shared" si="62"/>
        <v>1609430.3369394997</v>
      </c>
      <c r="W249" s="81"/>
      <c r="X249" s="262">
        <f>+'MWh by mo-WgtbyActulCDH&amp;Days'!AB251</f>
        <v>5436311.5981648155</v>
      </c>
      <c r="Y249" s="120">
        <f t="shared" si="77"/>
        <v>296.05189251528731</v>
      </c>
      <c r="Z249" s="87">
        <f t="shared" si="69"/>
        <v>9.550061048880237E-3</v>
      </c>
      <c r="AA249" s="88">
        <f t="shared" si="70"/>
        <v>-9.0379398408014719E-5</v>
      </c>
      <c r="AC249" s="89">
        <f t="shared" si="61"/>
        <v>9926.9397048067713</v>
      </c>
      <c r="AD249" s="90"/>
      <c r="AE249" s="96">
        <f t="shared" si="71"/>
        <v>1.826043177539326</v>
      </c>
      <c r="AF249" s="92">
        <f t="shared" si="72"/>
        <v>5.8904618630300839E-5</v>
      </c>
      <c r="AH249" s="123">
        <f t="shared" si="73"/>
        <v>9.550061048880237E-3</v>
      </c>
      <c r="AI249" s="121">
        <f t="shared" si="74"/>
        <v>1609430.3369394997</v>
      </c>
    </row>
    <row r="250" spans="1:35">
      <c r="A250" s="78">
        <f t="shared" si="75"/>
        <v>2025</v>
      </c>
      <c r="B250" s="78">
        <f t="shared" si="76"/>
        <v>8</v>
      </c>
      <c r="C250" s="79">
        <f t="shared" si="76"/>
        <v>350.95807565684066</v>
      </c>
      <c r="D250" s="101">
        <f t="shared" si="68"/>
        <v>0.16814433575083526</v>
      </c>
      <c r="E250" s="100">
        <f>$D250*'MWh Impact Summary'!B$31</f>
        <v>580880.96208196459</v>
      </c>
      <c r="F250" s="100">
        <f>$D250*'MWh Impact Summary'!C$29</f>
        <v>409083.95445712062</v>
      </c>
      <c r="G250" s="100">
        <f>$D250*'MWh Impact Summary'!D$29</f>
        <v>1958.4894590732351</v>
      </c>
      <c r="H250" s="100">
        <f>$D250*'MWh Impact Summary'!E$29</f>
        <v>146701.78457687137</v>
      </c>
      <c r="I250" s="100">
        <f>$D250*'MWh Impact Summary'!F$29</f>
        <v>332089.91056725552</v>
      </c>
      <c r="J250" s="82">
        <f t="shared" si="59"/>
        <v>1470715.1011422854</v>
      </c>
      <c r="K250" s="83">
        <v>31</v>
      </c>
      <c r="L250" s="97">
        <f>K250/(SUM(K243:K254))</f>
        <v>8.4931506849315067E-2</v>
      </c>
      <c r="M250" s="85">
        <f>$L250*'MWh Impact Summary'!F$28</f>
        <v>157034.48949249662</v>
      </c>
      <c r="N250" s="85">
        <f>$L250*'MWh Impact Summary'!G$28</f>
        <v>19880.627707039388</v>
      </c>
      <c r="O250" s="85">
        <f>$L250*'MWh Impact Summary'!H$28</f>
        <v>10124.650232578459</v>
      </c>
      <c r="P250" s="85">
        <f>$L250*'MWh Impact Summary'!I$28</f>
        <v>1692.030438793694</v>
      </c>
      <c r="Q250" s="85">
        <f>$L250*'MWh Impact Summary'!J$28</f>
        <v>46094.558607231847</v>
      </c>
      <c r="R250" s="85">
        <f>$L250*'MWh Impact Summary'!K$28</f>
        <v>27781.869342715021</v>
      </c>
      <c r="S250" s="85">
        <f>$L250*'MWh Impact Summary'!L$28</f>
        <v>9926.9397048067713</v>
      </c>
      <c r="T250" s="85">
        <f>$L250*'MWh Impact Summary'!M$28</f>
        <v>30833.507467980115</v>
      </c>
      <c r="U250" s="85">
        <f t="shared" si="60"/>
        <v>303368.67299364193</v>
      </c>
      <c r="V250" s="81">
        <f t="shared" si="62"/>
        <v>1774083.7741359272</v>
      </c>
      <c r="W250" s="81"/>
      <c r="X250" s="262">
        <f>+'MWh by mo-WgtbyActulCDH&amp;Days'!AB252</f>
        <v>5440926.2620600108</v>
      </c>
      <c r="Y250" s="120">
        <f t="shared" si="77"/>
        <v>326.06282252100112</v>
      </c>
      <c r="Z250" s="87">
        <f t="shared" si="69"/>
        <v>1.0518155565193584E-2</v>
      </c>
      <c r="AA250" s="88">
        <f t="shared" si="70"/>
        <v>-9.8148777828320141E-5</v>
      </c>
      <c r="AC250" s="89">
        <f t="shared" si="61"/>
        <v>9926.9397048067713</v>
      </c>
      <c r="AD250" s="90"/>
      <c r="AE250" s="96">
        <f t="shared" si="71"/>
        <v>1.8244944383878294</v>
      </c>
      <c r="AF250" s="92">
        <f t="shared" si="72"/>
        <v>5.8854659302833203E-5</v>
      </c>
      <c r="AH250" s="123">
        <f t="shared" si="73"/>
        <v>1.0518155565193584E-2</v>
      </c>
      <c r="AI250" s="121">
        <f t="shared" si="74"/>
        <v>1774083.7741359272</v>
      </c>
    </row>
    <row r="251" spans="1:35">
      <c r="A251" s="78">
        <f t="shared" si="75"/>
        <v>2025</v>
      </c>
      <c r="B251" s="78">
        <f t="shared" si="76"/>
        <v>9</v>
      </c>
      <c r="C251" s="79">
        <f t="shared" si="76"/>
        <v>270.04400483226198</v>
      </c>
      <c r="D251" s="101">
        <f t="shared" si="68"/>
        <v>0.12937833024937548</v>
      </c>
      <c r="E251" s="100">
        <f>$D251*'MWh Impact Summary'!B$31</f>
        <v>446957.72005773342</v>
      </c>
      <c r="F251" s="100">
        <f>$D251*'MWh Impact Summary'!C$29</f>
        <v>314768.84857961041</v>
      </c>
      <c r="G251" s="100">
        <f>$D251*'MWh Impact Summary'!D$29</f>
        <v>1506.9558834344443</v>
      </c>
      <c r="H251" s="100">
        <f>$D251*'MWh Impact Summary'!E$29</f>
        <v>112879.40119068162</v>
      </c>
      <c r="I251" s="100">
        <f>$D251*'MWh Impact Summary'!F$29</f>
        <v>255525.93211063623</v>
      </c>
      <c r="J251" s="82">
        <f t="shared" si="59"/>
        <v>1131638.857822096</v>
      </c>
      <c r="K251" s="83">
        <v>30</v>
      </c>
      <c r="L251" s="97">
        <f>K251/(SUM(K243:K254))</f>
        <v>8.2191780821917804E-2</v>
      </c>
      <c r="M251" s="85">
        <f>$L251*'MWh Impact Summary'!F$28</f>
        <v>151968.86079919027</v>
      </c>
      <c r="N251" s="85">
        <f>$L251*'MWh Impact Summary'!G$28</f>
        <v>19239.317135844569</v>
      </c>
      <c r="O251" s="85">
        <f>$L251*'MWh Impact Summary'!H$28</f>
        <v>9798.0486121727008</v>
      </c>
      <c r="P251" s="85">
        <f>$L251*'MWh Impact Summary'!I$28</f>
        <v>1637.4488117358328</v>
      </c>
      <c r="Q251" s="85">
        <f>$L251*'MWh Impact Summary'!J$28</f>
        <v>44607.637361837267</v>
      </c>
      <c r="R251" s="85">
        <f>$L251*'MWh Impact Summary'!K$28</f>
        <v>26885.680009079049</v>
      </c>
      <c r="S251" s="85">
        <f>$L251*'MWh Impact Summary'!L$28</f>
        <v>9606.7158433613913</v>
      </c>
      <c r="T251" s="85">
        <f>$L251*'MWh Impact Summary'!M$28</f>
        <v>29838.878194819466</v>
      </c>
      <c r="U251" s="85">
        <f t="shared" si="60"/>
        <v>293582.58676804055</v>
      </c>
      <c r="V251" s="81">
        <f t="shared" si="62"/>
        <v>1425221.4445901364</v>
      </c>
      <c r="W251" s="81"/>
      <c r="X251" s="262">
        <f>+'MWh by mo-WgtbyActulCDH&amp;Days'!AB253</f>
        <v>5445455.1194933662</v>
      </c>
      <c r="Y251" s="120">
        <f t="shared" si="77"/>
        <v>261.726781933837</v>
      </c>
      <c r="Z251" s="87">
        <f t="shared" si="69"/>
        <v>8.7242260644612331E-3</v>
      </c>
      <c r="AA251" s="88">
        <f t="shared" si="70"/>
        <v>-7.9869066056892368E-5</v>
      </c>
      <c r="AC251" s="89">
        <f t="shared" si="61"/>
        <v>9606.7158433613913</v>
      </c>
      <c r="AD251" s="90"/>
      <c r="AE251" s="96">
        <f t="shared" si="71"/>
        <v>1.7641713378504862</v>
      </c>
      <c r="AF251" s="92">
        <f t="shared" si="72"/>
        <v>5.8805711261682876E-5</v>
      </c>
      <c r="AH251" s="123">
        <f t="shared" si="73"/>
        <v>8.7242260644612331E-3</v>
      </c>
      <c r="AI251" s="121">
        <f t="shared" si="74"/>
        <v>1425221.4445901364</v>
      </c>
    </row>
    <row r="252" spans="1:35">
      <c r="A252" s="78">
        <f t="shared" si="75"/>
        <v>2025</v>
      </c>
      <c r="B252" s="78">
        <f t="shared" si="76"/>
        <v>10</v>
      </c>
      <c r="C252" s="79">
        <f t="shared" si="76"/>
        <v>213.28592721551468</v>
      </c>
      <c r="D252" s="101">
        <f t="shared" si="68"/>
        <v>0.10218548323623593</v>
      </c>
      <c r="E252" s="100">
        <f>$D252*'MWh Impact Summary'!B$31</f>
        <v>353015.7679592268</v>
      </c>
      <c r="F252" s="100">
        <f>$D252*'MWh Impact Summary'!C$29</f>
        <v>248610.4654297494</v>
      </c>
      <c r="G252" s="100">
        <f>$D252*'MWh Impact Summary'!D$29</f>
        <v>1190.2226197202049</v>
      </c>
      <c r="H252" s="100">
        <f>$D252*'MWh Impact Summary'!E$29</f>
        <v>89154.313058870423</v>
      </c>
      <c r="I252" s="100">
        <f>$D252*'MWh Impact Summary'!F$29</f>
        <v>201819.27531284565</v>
      </c>
      <c r="J252" s="82">
        <f t="shared" si="59"/>
        <v>893790.04438041244</v>
      </c>
      <c r="K252" s="83">
        <v>31</v>
      </c>
      <c r="L252" s="97">
        <f>K252/(SUM(K243:K254))</f>
        <v>8.4931506849315067E-2</v>
      </c>
      <c r="M252" s="85">
        <f>$L252*'MWh Impact Summary'!F$28</f>
        <v>157034.48949249662</v>
      </c>
      <c r="N252" s="85">
        <f>$L252*'MWh Impact Summary'!G$28</f>
        <v>19880.627707039388</v>
      </c>
      <c r="O252" s="85">
        <f>$L252*'MWh Impact Summary'!H$28</f>
        <v>10124.650232578459</v>
      </c>
      <c r="P252" s="85">
        <f>$L252*'MWh Impact Summary'!I$28</f>
        <v>1692.030438793694</v>
      </c>
      <c r="Q252" s="85">
        <f>$L252*'MWh Impact Summary'!J$28</f>
        <v>46094.558607231847</v>
      </c>
      <c r="R252" s="85">
        <f>$L252*'MWh Impact Summary'!K$28</f>
        <v>27781.869342715021</v>
      </c>
      <c r="S252" s="85">
        <f>$L252*'MWh Impact Summary'!L$28</f>
        <v>9926.9397048067713</v>
      </c>
      <c r="T252" s="85">
        <f>$L252*'MWh Impact Summary'!M$28</f>
        <v>30833.507467980115</v>
      </c>
      <c r="U252" s="85">
        <f t="shared" si="60"/>
        <v>303368.67299364193</v>
      </c>
      <c r="V252" s="81">
        <f t="shared" si="62"/>
        <v>1197158.7173740542</v>
      </c>
      <c r="W252" s="81"/>
      <c r="X252" s="262">
        <f>+'MWh by mo-WgtbyActulCDH&amp;Days'!AB254</f>
        <v>5450014.5728547378</v>
      </c>
      <c r="Y252" s="120">
        <f t="shared" si="77"/>
        <v>219.66156261981848</v>
      </c>
      <c r="Z252" s="87">
        <f t="shared" si="69"/>
        <v>7.0858568587038222E-3</v>
      </c>
      <c r="AA252" s="88">
        <f t="shared" si="70"/>
        <v>-6.351440257616487E-5</v>
      </c>
      <c r="AC252" s="89">
        <f t="shared" si="61"/>
        <v>9926.9397048067713</v>
      </c>
      <c r="AD252" s="90"/>
      <c r="AE252" s="96">
        <f t="shared" si="71"/>
        <v>1.8214519561563307</v>
      </c>
      <c r="AF252" s="92">
        <f t="shared" si="72"/>
        <v>5.8756514714720347E-5</v>
      </c>
      <c r="AH252" s="123">
        <f t="shared" si="73"/>
        <v>7.0858568587038222E-3</v>
      </c>
      <c r="AI252" s="121">
        <f t="shared" si="74"/>
        <v>1197158.7173740542</v>
      </c>
    </row>
    <row r="253" spans="1:35">
      <c r="A253" s="78">
        <f t="shared" si="75"/>
        <v>2025</v>
      </c>
      <c r="B253" s="78">
        <f t="shared" si="76"/>
        <v>11</v>
      </c>
      <c r="C253" s="79">
        <f t="shared" si="76"/>
        <v>110.23315885291359</v>
      </c>
      <c r="D253" s="101">
        <f t="shared" si="68"/>
        <v>5.2812807451003543E-2</v>
      </c>
      <c r="E253" s="100">
        <f>$D253*'MWh Impact Summary'!B$31</f>
        <v>182450.1209951468</v>
      </c>
      <c r="F253" s="100">
        <f>$D253*'MWh Impact Summary'!C$29</f>
        <v>128490.03816610393</v>
      </c>
      <c r="G253" s="100">
        <f>$D253*'MWh Impact Summary'!D$29</f>
        <v>615.14606623518716</v>
      </c>
      <c r="H253" s="100">
        <f>$D253*'MWh Impact Summary'!E$29</f>
        <v>46077.871532097815</v>
      </c>
      <c r="I253" s="100">
        <f>$D253*'MWh Impact Summary'!F$29</f>
        <v>104306.8172644188</v>
      </c>
      <c r="J253" s="82">
        <f t="shared" si="59"/>
        <v>461939.99402400258</v>
      </c>
      <c r="K253" s="83">
        <v>30</v>
      </c>
      <c r="L253" s="97">
        <f>K253/(SUM(K243:K254))</f>
        <v>8.2191780821917804E-2</v>
      </c>
      <c r="M253" s="85">
        <f>$L253*'MWh Impact Summary'!F$28</f>
        <v>151968.86079919027</v>
      </c>
      <c r="N253" s="85">
        <f>$L253*'MWh Impact Summary'!G$28</f>
        <v>19239.317135844569</v>
      </c>
      <c r="O253" s="85">
        <f>$L253*'MWh Impact Summary'!H$28</f>
        <v>9798.0486121727008</v>
      </c>
      <c r="P253" s="85">
        <f>$L253*'MWh Impact Summary'!I$28</f>
        <v>1637.4488117358328</v>
      </c>
      <c r="Q253" s="85">
        <f>$L253*'MWh Impact Summary'!J$28</f>
        <v>44607.637361837267</v>
      </c>
      <c r="R253" s="85">
        <f>$L253*'MWh Impact Summary'!K$28</f>
        <v>26885.680009079049</v>
      </c>
      <c r="S253" s="85">
        <f>$L253*'MWh Impact Summary'!L$28</f>
        <v>9606.7158433613913</v>
      </c>
      <c r="T253" s="85">
        <f>$L253*'MWh Impact Summary'!M$28</f>
        <v>29838.878194819466</v>
      </c>
      <c r="U253" s="85">
        <f t="shared" si="60"/>
        <v>293582.58676804055</v>
      </c>
      <c r="V253" s="81">
        <f t="shared" si="62"/>
        <v>755522.58079204313</v>
      </c>
      <c r="W253" s="81"/>
      <c r="X253" s="262">
        <f>+'MWh by mo-WgtbyActulCDH&amp;Days'!AB255</f>
        <v>5454581.94816502</v>
      </c>
      <c r="Y253" s="120">
        <f t="shared" si="77"/>
        <v>138.51154643413307</v>
      </c>
      <c r="Z253" s="87">
        <f t="shared" si="69"/>
        <v>4.617051547804436E-3</v>
      </c>
      <c r="AA253" s="88">
        <f t="shared" si="70"/>
        <v>-4.0094511392088465E-5</v>
      </c>
      <c r="AC253" s="89">
        <f t="shared" si="61"/>
        <v>9606.7158433613913</v>
      </c>
      <c r="AD253" s="90"/>
      <c r="AE253" s="96">
        <f t="shared" si="71"/>
        <v>1.7612194545162518</v>
      </c>
      <c r="AF253" s="92">
        <f t="shared" si="72"/>
        <v>5.870731515054173E-5</v>
      </c>
      <c r="AH253" s="123">
        <f t="shared" si="73"/>
        <v>4.617051547804436E-3</v>
      </c>
      <c r="AI253" s="121">
        <f t="shared" si="74"/>
        <v>755522.58079204313</v>
      </c>
    </row>
    <row r="254" spans="1:35">
      <c r="A254" s="78">
        <f t="shared" si="75"/>
        <v>2025</v>
      </c>
      <c r="B254" s="78">
        <f t="shared" si="76"/>
        <v>12</v>
      </c>
      <c r="C254" s="79">
        <f t="shared" si="76"/>
        <v>79.005079745838657</v>
      </c>
      <c r="D254" s="101">
        <f t="shared" si="68"/>
        <v>3.7851406125770058E-2</v>
      </c>
      <c r="E254" s="100">
        <f>$D254*'MWh Impact Summary'!B$31</f>
        <v>130763.61513048028</v>
      </c>
      <c r="F254" s="100">
        <f>$D254*'MWh Impact Summary'!C$29</f>
        <v>92089.946595870249</v>
      </c>
      <c r="G254" s="100">
        <f>$D254*'MWh Impact Summary'!D$29</f>
        <v>440.88062543047926</v>
      </c>
      <c r="H254" s="100">
        <f>$D254*'MWh Impact Summary'!E$29</f>
        <v>33024.417995399555</v>
      </c>
      <c r="I254" s="100">
        <f>$D254*'MWh Impact Summary'!F$29</f>
        <v>74757.618322503651</v>
      </c>
      <c r="J254" s="82">
        <f t="shared" si="59"/>
        <v>331076.47866968421</v>
      </c>
      <c r="K254" s="83">
        <v>31</v>
      </c>
      <c r="L254" s="97">
        <f>K254/(SUM(K243:K254))</f>
        <v>8.4931506849315067E-2</v>
      </c>
      <c r="M254" s="85">
        <f>$L254*'MWh Impact Summary'!F$28</f>
        <v>157034.48949249662</v>
      </c>
      <c r="N254" s="85">
        <f>$L254*'MWh Impact Summary'!G$28</f>
        <v>19880.627707039388</v>
      </c>
      <c r="O254" s="85">
        <f>$L254*'MWh Impact Summary'!H$28</f>
        <v>10124.650232578459</v>
      </c>
      <c r="P254" s="85">
        <f>$L254*'MWh Impact Summary'!I$28</f>
        <v>1692.030438793694</v>
      </c>
      <c r="Q254" s="85">
        <f>$L254*'MWh Impact Summary'!J$28</f>
        <v>46094.558607231847</v>
      </c>
      <c r="R254" s="85">
        <f>$L254*'MWh Impact Summary'!K$28</f>
        <v>27781.869342715021</v>
      </c>
      <c r="S254" s="85">
        <f>$L254*'MWh Impact Summary'!L$28</f>
        <v>9926.9397048067713</v>
      </c>
      <c r="T254" s="85">
        <f>$L254*'MWh Impact Summary'!M$28</f>
        <v>30833.507467980115</v>
      </c>
      <c r="U254" s="85">
        <f t="shared" si="60"/>
        <v>303368.67299364193</v>
      </c>
      <c r="V254" s="81">
        <f t="shared" si="62"/>
        <v>634445.15166332619</v>
      </c>
      <c r="W254" s="81">
        <f>SUM(V243:V254)</f>
        <v>12318663.3389374</v>
      </c>
      <c r="X254" s="262">
        <f>+'MWh by mo-WgtbyActulCDH&amp;Days'!AB256</f>
        <v>5459151.0861720592</v>
      </c>
      <c r="Y254" s="120">
        <f t="shared" si="77"/>
        <v>116.21681496787392</v>
      </c>
      <c r="Z254" s="87">
        <f t="shared" si="69"/>
        <v>3.748929515092707E-3</v>
      </c>
      <c r="AA254" s="88">
        <f t="shared" si="70"/>
        <v>-3.1678844875096361E-5</v>
      </c>
      <c r="AC254" s="89">
        <f t="shared" si="61"/>
        <v>9926.9397048067713</v>
      </c>
      <c r="AD254" s="90">
        <f>SUM(AC243:AC254)</f>
        <v>116881.70942756362</v>
      </c>
      <c r="AE254" s="96">
        <f t="shared" si="71"/>
        <v>1.8184035481178653</v>
      </c>
      <c r="AF254" s="92">
        <f t="shared" si="72"/>
        <v>5.8658178971544046E-5</v>
      </c>
      <c r="AH254" s="123">
        <f t="shared" si="73"/>
        <v>3.748929515092707E-3</v>
      </c>
      <c r="AI254" s="121">
        <f t="shared" si="74"/>
        <v>634445.15166332619</v>
      </c>
    </row>
    <row r="255" spans="1:35">
      <c r="A255" s="78">
        <f t="shared" si="75"/>
        <v>2026</v>
      </c>
      <c r="B255" s="78">
        <f t="shared" si="76"/>
        <v>1</v>
      </c>
      <c r="C255" s="79">
        <f t="shared" si="76"/>
        <v>26.95686291874426</v>
      </c>
      <c r="D255" s="101">
        <f t="shared" si="68"/>
        <v>1.2915057734219224E-2</v>
      </c>
      <c r="E255" s="100">
        <f>$D255*'MWh Impact Summary'!B$32</f>
        <v>44859.33227281343</v>
      </c>
      <c r="F255" s="100">
        <f>$D255*'MWh Impact Summary'!C$29</f>
        <v>31421.474094646543</v>
      </c>
      <c r="G255" s="100">
        <f>$D255*'MWh Impact Summary'!D$29</f>
        <v>150.43030931040425</v>
      </c>
      <c r="H255" s="100">
        <f>$D255*'MWh Impact Summary'!E$29</f>
        <v>11268.069239816028</v>
      </c>
      <c r="I255" s="100">
        <f>$D255*'MWh Impact Summary'!F$29</f>
        <v>25507.611355302517</v>
      </c>
      <c r="J255" s="82">
        <f t="shared" si="59"/>
        <v>113206.91727188893</v>
      </c>
      <c r="K255" s="83">
        <v>31</v>
      </c>
      <c r="L255" s="97">
        <f>K255/(SUM(K255:K266))</f>
        <v>8.4931506849315067E-2</v>
      </c>
      <c r="M255" s="85">
        <f>$L255*'MWh Impact Summary'!F$28</f>
        <v>157034.48949249662</v>
      </c>
      <c r="N255" s="85">
        <f>$L255*'MWh Impact Summary'!G$28</f>
        <v>19880.627707039388</v>
      </c>
      <c r="O255" s="85">
        <f>$L255*'MWh Impact Summary'!H$28</f>
        <v>10124.650232578459</v>
      </c>
      <c r="P255" s="85">
        <f>$L255*'MWh Impact Summary'!I$28</f>
        <v>1692.030438793694</v>
      </c>
      <c r="Q255" s="85">
        <f>$L255*'MWh Impact Summary'!J$28</f>
        <v>46094.558607231847</v>
      </c>
      <c r="R255" s="85">
        <f>$L255*'MWh Impact Summary'!K$28</f>
        <v>27781.869342715021</v>
      </c>
      <c r="S255" s="85">
        <f>$L255*'MWh Impact Summary'!L$28</f>
        <v>9926.9397048067713</v>
      </c>
      <c r="T255" s="85">
        <f>$L255*'MWh Impact Summary'!M$28</f>
        <v>30833.507467980115</v>
      </c>
      <c r="U255" s="85">
        <f t="shared" si="60"/>
        <v>303368.67299364193</v>
      </c>
      <c r="V255" s="81">
        <f t="shared" si="62"/>
        <v>416575.59026553086</v>
      </c>
      <c r="W255" s="81"/>
      <c r="X255" s="262">
        <f>+'MWh by mo-WgtbyActulCDH&amp;Days'!AB257</f>
        <v>5463737.3974974714</v>
      </c>
      <c r="Y255" s="120">
        <f t="shared" si="77"/>
        <v>76.243706451985219</v>
      </c>
      <c r="Z255" s="87">
        <f t="shared" si="69"/>
        <v>2.4594744016769427E-3</v>
      </c>
      <c r="AA255" s="88">
        <f t="shared" si="70"/>
        <v>-2.4485850903628245E-5</v>
      </c>
      <c r="AC255" s="89">
        <f t="shared" si="61"/>
        <v>9926.9397048067713</v>
      </c>
      <c r="AD255" s="93"/>
      <c r="AE255" s="96">
        <f t="shared" si="71"/>
        <v>1.8168771634876812</v>
      </c>
      <c r="AF255" s="92">
        <f t="shared" si="72"/>
        <v>5.8608940757667133E-5</v>
      </c>
      <c r="AH255" s="123">
        <f t="shared" si="73"/>
        <v>2.4594744016769427E-3</v>
      </c>
      <c r="AI255" s="121">
        <f t="shared" si="74"/>
        <v>416575.59026553086</v>
      </c>
    </row>
    <row r="256" spans="1:35">
      <c r="A256" s="78">
        <f t="shared" si="75"/>
        <v>2026</v>
      </c>
      <c r="B256" s="78">
        <f t="shared" si="76"/>
        <v>2</v>
      </c>
      <c r="C256" s="79">
        <f t="shared" si="76"/>
        <v>57.510679559652473</v>
      </c>
      <c r="D256" s="101">
        <f t="shared" si="68"/>
        <v>2.7553419293853541E-2</v>
      </c>
      <c r="E256" s="100">
        <f>$D256*'MWh Impact Summary'!B$32</f>
        <v>95704.410835128801</v>
      </c>
      <c r="F256" s="100">
        <f>$D256*'MWh Impact Summary'!C$29</f>
        <v>67035.631460387973</v>
      </c>
      <c r="G256" s="100">
        <f>$D256*'MWh Impact Summary'!D$29</f>
        <v>320.93309005902211</v>
      </c>
      <c r="H256" s="100">
        <f>$D256*'MWh Impact Summary'!E$29</f>
        <v>24039.678550890669</v>
      </c>
      <c r="I256" s="100">
        <f>$D256*'MWh Impact Summary'!F$29</f>
        <v>54418.797447195378</v>
      </c>
      <c r="J256" s="82">
        <f t="shared" si="59"/>
        <v>241519.45138366183</v>
      </c>
      <c r="K256" s="83">
        <v>28</v>
      </c>
      <c r="L256" s="97">
        <f>K256/(SUM(K255:K266))</f>
        <v>7.6712328767123292E-2</v>
      </c>
      <c r="M256" s="85">
        <f>$L256*'MWh Impact Summary'!F$28</f>
        <v>141837.60341257759</v>
      </c>
      <c r="N256" s="85">
        <f>$L256*'MWh Impact Summary'!G$28</f>
        <v>17956.69599345493</v>
      </c>
      <c r="O256" s="85">
        <f>$L256*'MWh Impact Summary'!H$28</f>
        <v>9144.8453713611889</v>
      </c>
      <c r="P256" s="85">
        <f>$L256*'MWh Impact Summary'!I$28</f>
        <v>1528.2855576201107</v>
      </c>
      <c r="Q256" s="85">
        <f>$L256*'MWh Impact Summary'!J$28</f>
        <v>41633.794871048121</v>
      </c>
      <c r="R256" s="85">
        <f>$L256*'MWh Impact Summary'!K$28</f>
        <v>25093.301341807117</v>
      </c>
      <c r="S256" s="85">
        <f>$L256*'MWh Impact Summary'!L$28</f>
        <v>8966.2681204706332</v>
      </c>
      <c r="T256" s="85">
        <f>$L256*'MWh Impact Summary'!M$28</f>
        <v>27849.61964849817</v>
      </c>
      <c r="U256" s="85">
        <f t="shared" si="60"/>
        <v>274010.41431683785</v>
      </c>
      <c r="V256" s="81">
        <f t="shared" si="62"/>
        <v>515529.86570049968</v>
      </c>
      <c r="W256" s="81"/>
      <c r="X256" s="262">
        <f>+'MWh by mo-WgtbyActulCDH&amp;Days'!AB258</f>
        <v>5468304.7475988464</v>
      </c>
      <c r="Y256" s="120">
        <f t="shared" si="77"/>
        <v>94.275994022986879</v>
      </c>
      <c r="Z256" s="87">
        <f t="shared" si="69"/>
        <v>3.3669997865352456E-3</v>
      </c>
      <c r="AA256" s="88">
        <f t="shared" si="70"/>
        <v>-3.1604393900434586E-5</v>
      </c>
      <c r="AC256" s="89">
        <f t="shared" si="61"/>
        <v>8966.2681204706332</v>
      </c>
      <c r="AD256" s="93"/>
      <c r="AE256" s="96">
        <f t="shared" si="71"/>
        <v>1.6396796693541553</v>
      </c>
      <c r="AF256" s="92">
        <f t="shared" si="72"/>
        <v>5.8559988191219831E-5</v>
      </c>
      <c r="AH256" s="123">
        <f t="shared" si="73"/>
        <v>3.3669997865352456E-3</v>
      </c>
      <c r="AI256" s="121">
        <f t="shared" si="74"/>
        <v>515529.86570049968</v>
      </c>
    </row>
    <row r="257" spans="1:36">
      <c r="A257" s="78">
        <f t="shared" si="75"/>
        <v>2026</v>
      </c>
      <c r="B257" s="78">
        <f t="shared" si="76"/>
        <v>3</v>
      </c>
      <c r="C257" s="79">
        <f t="shared" si="76"/>
        <v>62.20178223460303</v>
      </c>
      <c r="D257" s="101">
        <f t="shared" si="68"/>
        <v>2.9800930885493855E-2</v>
      </c>
      <c r="E257" s="100">
        <f>$D257*'MWh Impact Summary'!B$32</f>
        <v>103510.94730993363</v>
      </c>
      <c r="F257" s="100">
        <f>$D257*'MWh Impact Summary'!C$29</f>
        <v>72503.677264552811</v>
      </c>
      <c r="G257" s="100">
        <f>$D257*'MWh Impact Summary'!D$29</f>
        <v>347.11135970882566</v>
      </c>
      <c r="H257" s="100">
        <f>$D257*'MWh Impact Summary'!E$29</f>
        <v>26000.57696521148</v>
      </c>
      <c r="I257" s="100">
        <f>$D257*'MWh Impact Summary'!F$29</f>
        <v>58857.697634548218</v>
      </c>
      <c r="J257" s="82">
        <f t="shared" si="59"/>
        <v>261220.01053395498</v>
      </c>
      <c r="K257" s="83">
        <v>31</v>
      </c>
      <c r="L257" s="97">
        <f>K257/(SUM(K255:K266))</f>
        <v>8.4931506849315067E-2</v>
      </c>
      <c r="M257" s="85">
        <f>$L257*'MWh Impact Summary'!F$28</f>
        <v>157034.48949249662</v>
      </c>
      <c r="N257" s="85">
        <f>$L257*'MWh Impact Summary'!G$28</f>
        <v>19880.627707039388</v>
      </c>
      <c r="O257" s="85">
        <f>$L257*'MWh Impact Summary'!H$28</f>
        <v>10124.650232578459</v>
      </c>
      <c r="P257" s="85">
        <f>$L257*'MWh Impact Summary'!I$28</f>
        <v>1692.030438793694</v>
      </c>
      <c r="Q257" s="85">
        <f>$L257*'MWh Impact Summary'!J$28</f>
        <v>46094.558607231847</v>
      </c>
      <c r="R257" s="85">
        <f>$L257*'MWh Impact Summary'!K$28</f>
        <v>27781.869342715021</v>
      </c>
      <c r="S257" s="85">
        <f>$L257*'MWh Impact Summary'!L$28</f>
        <v>9926.9397048067713</v>
      </c>
      <c r="T257" s="85">
        <f>$L257*'MWh Impact Summary'!M$28</f>
        <v>30833.507467980115</v>
      </c>
      <c r="U257" s="85">
        <f t="shared" si="60"/>
        <v>303368.67299364193</v>
      </c>
      <c r="V257" s="81">
        <f t="shared" si="62"/>
        <v>564588.68352759688</v>
      </c>
      <c r="W257" s="81"/>
      <c r="X257" s="262">
        <f>+'MWh by mo-WgtbyActulCDH&amp;Days'!AB259</f>
        <v>5472890.5962758642</v>
      </c>
      <c r="Y257" s="120">
        <f t="shared" si="77"/>
        <v>103.16096651224534</v>
      </c>
      <c r="Z257" s="87">
        <f t="shared" si="69"/>
        <v>3.3277731132982367E-3</v>
      </c>
      <c r="AA257" s="88">
        <f t="shared" si="70"/>
        <v>-3.0795593519394784E-5</v>
      </c>
      <c r="AC257" s="89">
        <f t="shared" si="61"/>
        <v>9926.9397048067713</v>
      </c>
      <c r="AD257" s="93"/>
      <c r="AE257" s="96">
        <f t="shared" si="71"/>
        <v>1.8138385063939981</v>
      </c>
      <c r="AF257" s="92">
        <f t="shared" si="72"/>
        <v>5.8510919561096709E-5</v>
      </c>
      <c r="AH257" s="123">
        <f t="shared" si="73"/>
        <v>3.3277731132982367E-3</v>
      </c>
      <c r="AI257" s="121">
        <f t="shared" si="74"/>
        <v>564588.68352759688</v>
      </c>
    </row>
    <row r="258" spans="1:36">
      <c r="A258" s="78">
        <f t="shared" si="75"/>
        <v>2026</v>
      </c>
      <c r="B258" s="78">
        <f t="shared" si="76"/>
        <v>4</v>
      </c>
      <c r="C258" s="79">
        <f t="shared" si="76"/>
        <v>137.13602413996043</v>
      </c>
      <c r="D258" s="101">
        <f t="shared" si="68"/>
        <v>6.5701994870379921E-2</v>
      </c>
      <c r="E258" s="100">
        <f>$D258*'MWh Impact Summary'!B$32</f>
        <v>228210.17757186489</v>
      </c>
      <c r="F258" s="100">
        <f>$D258*'MWh Impact Summary'!C$29</f>
        <v>159848.57151016436</v>
      </c>
      <c r="G258" s="100">
        <f>$D258*'MWh Impact Summary'!D$29</f>
        <v>765.2750466979893</v>
      </c>
      <c r="H258" s="100">
        <f>$D258*'MWh Impact Summary'!E$29</f>
        <v>57323.369560471816</v>
      </c>
      <c r="I258" s="100">
        <f>$D258*'MWh Impact Summary'!F$29</f>
        <v>129763.33400208733</v>
      </c>
      <c r="J258" s="82">
        <f t="shared" si="59"/>
        <v>575910.72769128636</v>
      </c>
      <c r="K258" s="83">
        <v>30</v>
      </c>
      <c r="L258" s="97">
        <f>K258/(SUM(K255:K266))</f>
        <v>8.2191780821917804E-2</v>
      </c>
      <c r="M258" s="85">
        <f>$L258*'MWh Impact Summary'!F$28</f>
        <v>151968.86079919027</v>
      </c>
      <c r="N258" s="85">
        <f>$L258*'MWh Impact Summary'!G$28</f>
        <v>19239.317135844569</v>
      </c>
      <c r="O258" s="85">
        <f>$L258*'MWh Impact Summary'!H$28</f>
        <v>9798.0486121727008</v>
      </c>
      <c r="P258" s="85">
        <f>$L258*'MWh Impact Summary'!I$28</f>
        <v>1637.4488117358328</v>
      </c>
      <c r="Q258" s="85">
        <f>$L258*'MWh Impact Summary'!J$28</f>
        <v>44607.637361837267</v>
      </c>
      <c r="R258" s="85">
        <f>$L258*'MWh Impact Summary'!K$28</f>
        <v>26885.680009079049</v>
      </c>
      <c r="S258" s="85">
        <f>$L258*'MWh Impact Summary'!L$28</f>
        <v>9606.7158433613913</v>
      </c>
      <c r="T258" s="85">
        <f>$L258*'MWh Impact Summary'!M$28</f>
        <v>29838.878194819466</v>
      </c>
      <c r="U258" s="85">
        <f t="shared" si="60"/>
        <v>293582.58676804055</v>
      </c>
      <c r="V258" s="81">
        <f t="shared" si="62"/>
        <v>869493.31445932691</v>
      </c>
      <c r="W258" s="81"/>
      <c r="X258" s="262">
        <f>+'MWh by mo-WgtbyActulCDH&amp;Days'!AB260</f>
        <v>5477458.5188071523</v>
      </c>
      <c r="Y258" s="120">
        <f t="shared" si="77"/>
        <v>158.74028282895694</v>
      </c>
      <c r="Z258" s="87">
        <f t="shared" si="69"/>
        <v>5.2913427609652319E-3</v>
      </c>
      <c r="AA258" s="88">
        <f t="shared" si="70"/>
        <v>-4.5926169335609723E-5</v>
      </c>
      <c r="AC258" s="89">
        <f t="shared" si="61"/>
        <v>9606.7158433613913</v>
      </c>
      <c r="AD258" s="93"/>
      <c r="AE258" s="96">
        <f t="shared" si="71"/>
        <v>1.7538637326738684</v>
      </c>
      <c r="AF258" s="92">
        <f t="shared" si="72"/>
        <v>5.846212442246228E-5</v>
      </c>
      <c r="AH258" s="123">
        <f t="shared" si="73"/>
        <v>5.2913427609652319E-3</v>
      </c>
      <c r="AI258" s="121">
        <f t="shared" si="74"/>
        <v>869493.31445932691</v>
      </c>
    </row>
    <row r="259" spans="1:36">
      <c r="A259" s="78">
        <f t="shared" si="75"/>
        <v>2026</v>
      </c>
      <c r="B259" s="78">
        <f t="shared" si="76"/>
        <v>5</v>
      </c>
      <c r="C259" s="79">
        <f t="shared" si="76"/>
        <v>220.65709530534707</v>
      </c>
      <c r="D259" s="101">
        <f t="shared" si="68"/>
        <v>0.10571701662481223</v>
      </c>
      <c r="E259" s="100">
        <f>$D259*'MWh Impact Summary'!B$32</f>
        <v>367198.8831376055</v>
      </c>
      <c r="F259" s="100">
        <f>$D259*'MWh Impact Summary'!C$29</f>
        <v>257202.4506277341</v>
      </c>
      <c r="G259" s="100">
        <f>$D259*'MWh Impact Summary'!D$29</f>
        <v>1231.3567494249428</v>
      </c>
      <c r="H259" s="100">
        <f>$D259*'MWh Impact Summary'!E$29</f>
        <v>92235.488812329451</v>
      </c>
      <c r="I259" s="100">
        <f>$D259*'MWh Impact Summary'!F$29</f>
        <v>208794.15556641232</v>
      </c>
      <c r="J259" s="82">
        <f t="shared" ref="J259:J266" si="78">SUM(E259:I259)</f>
        <v>926662.33489350625</v>
      </c>
      <c r="K259" s="83">
        <v>31</v>
      </c>
      <c r="L259" s="97">
        <f>K259/(SUM(K255:K266))</f>
        <v>8.4931506849315067E-2</v>
      </c>
      <c r="M259" s="85">
        <f>$L259*'MWh Impact Summary'!F$28</f>
        <v>157034.48949249662</v>
      </c>
      <c r="N259" s="85">
        <f>$L259*'MWh Impact Summary'!G$28</f>
        <v>19880.627707039388</v>
      </c>
      <c r="O259" s="85">
        <f>$L259*'MWh Impact Summary'!H$28</f>
        <v>10124.650232578459</v>
      </c>
      <c r="P259" s="85">
        <f>$L259*'MWh Impact Summary'!I$28</f>
        <v>1692.030438793694</v>
      </c>
      <c r="Q259" s="85">
        <f>$L259*'MWh Impact Summary'!J$28</f>
        <v>46094.558607231847</v>
      </c>
      <c r="R259" s="85">
        <f>$L259*'MWh Impact Summary'!K$28</f>
        <v>27781.869342715021</v>
      </c>
      <c r="S259" s="85">
        <f>$L259*'MWh Impact Summary'!L$28</f>
        <v>9926.9397048067713</v>
      </c>
      <c r="T259" s="85">
        <f>$L259*'MWh Impact Summary'!M$28</f>
        <v>30833.507467980115</v>
      </c>
      <c r="U259" s="85">
        <f t="shared" ref="U259:U266" si="79">SUM(M259:T259)</f>
        <v>303368.67299364193</v>
      </c>
      <c r="V259" s="81">
        <f t="shared" si="62"/>
        <v>1230031.0078871483</v>
      </c>
      <c r="W259" s="81"/>
      <c r="X259" s="262">
        <f>+'MWh by mo-WgtbyActulCDH&amp;Days'!AB261</f>
        <v>5482057.5816175342</v>
      </c>
      <c r="Y259" s="120">
        <f t="shared" si="77"/>
        <v>224.37396717825351</v>
      </c>
      <c r="Z259" s="87">
        <f t="shared" si="69"/>
        <v>7.2378699089759189E-3</v>
      </c>
      <c r="AA259" s="88">
        <f t="shared" si="70"/>
        <v>-6.1404997566145286E-5</v>
      </c>
      <c r="AC259" s="89">
        <f t="shared" ref="AC259:AC266" si="80">+S259</f>
        <v>9926.9397048067713</v>
      </c>
      <c r="AD259" s="93"/>
      <c r="AE259" s="96">
        <f t="shared" si="71"/>
        <v>1.8108054424845592</v>
      </c>
      <c r="AF259" s="92">
        <f t="shared" si="72"/>
        <v>5.8413078789824489E-5</v>
      </c>
      <c r="AH259" s="123">
        <f t="shared" si="73"/>
        <v>7.2378699089759189E-3</v>
      </c>
      <c r="AI259" s="121">
        <f t="shared" si="74"/>
        <v>1230031.0078871483</v>
      </c>
    </row>
    <row r="260" spans="1:36">
      <c r="A260" s="78">
        <f t="shared" si="75"/>
        <v>2026</v>
      </c>
      <c r="B260" s="78">
        <f t="shared" si="76"/>
        <v>6</v>
      </c>
      <c r="C260" s="79">
        <f t="shared" si="76"/>
        <v>247.5875604864128</v>
      </c>
      <c r="D260" s="101">
        <f t="shared" si="68"/>
        <v>0.11861942717871234</v>
      </c>
      <c r="E260" s="100">
        <f>$D260*'MWh Impact Summary'!B$32</f>
        <v>412014.28652710107</v>
      </c>
      <c r="F260" s="100">
        <f>$D260*'MWh Impact Summary'!C$29</f>
        <v>288593.1549761708</v>
      </c>
      <c r="G260" s="100">
        <f>$D260*'MWh Impact Summary'!D$29</f>
        <v>1381.6397485733285</v>
      </c>
      <c r="H260" s="100">
        <f>$D260*'MWh Impact Summary'!E$29</f>
        <v>103492.52369934141</v>
      </c>
      <c r="I260" s="100">
        <f>$D260*'MWh Impact Summary'!F$29</f>
        <v>234276.78837597702</v>
      </c>
      <c r="J260" s="82">
        <f t="shared" si="78"/>
        <v>1039758.3933271638</v>
      </c>
      <c r="K260" s="83">
        <v>30</v>
      </c>
      <c r="L260" s="97">
        <f>K260/(SUM(K255:K266))</f>
        <v>8.2191780821917804E-2</v>
      </c>
      <c r="M260" s="85">
        <f>$L260*'MWh Impact Summary'!F$28</f>
        <v>151968.86079919027</v>
      </c>
      <c r="N260" s="85">
        <f>$L260*'MWh Impact Summary'!G$28</f>
        <v>19239.317135844569</v>
      </c>
      <c r="O260" s="85">
        <f>$L260*'MWh Impact Summary'!H$28</f>
        <v>9798.0486121727008</v>
      </c>
      <c r="P260" s="85">
        <f>$L260*'MWh Impact Summary'!I$28</f>
        <v>1637.4488117358328</v>
      </c>
      <c r="Q260" s="85">
        <f>$L260*'MWh Impact Summary'!J$28</f>
        <v>44607.637361837267</v>
      </c>
      <c r="R260" s="85">
        <f>$L260*'MWh Impact Summary'!K$28</f>
        <v>26885.680009079049</v>
      </c>
      <c r="S260" s="85">
        <f>$L260*'MWh Impact Summary'!L$28</f>
        <v>9606.7158433613913</v>
      </c>
      <c r="T260" s="85">
        <f>$L260*'MWh Impact Summary'!M$28</f>
        <v>29838.878194819466</v>
      </c>
      <c r="U260" s="85">
        <f t="shared" si="79"/>
        <v>293582.58676804055</v>
      </c>
      <c r="V260" s="81">
        <f t="shared" ref="V260:V266" si="81">U260+J260</f>
        <v>1333340.9800952044</v>
      </c>
      <c r="W260" s="81"/>
      <c r="X260" s="262">
        <f>+'MWh by mo-WgtbyActulCDH&amp;Days'!AB262</f>
        <v>5486653.8083125623</v>
      </c>
      <c r="Y260" s="120">
        <f t="shared" si="77"/>
        <v>243.01532895607963</v>
      </c>
      <c r="Z260" s="87">
        <f t="shared" si="69"/>
        <v>8.1005109652026539E-3</v>
      </c>
      <c r="AA260" s="88">
        <f t="shared" si="70"/>
        <v>-6.8270566324741058E-5</v>
      </c>
      <c r="AC260" s="89">
        <f t="shared" si="80"/>
        <v>9606.7158433613913</v>
      </c>
      <c r="AD260" s="93"/>
      <c r="AE260" s="96">
        <f t="shared" si="71"/>
        <v>1.7509243664702743</v>
      </c>
      <c r="AF260" s="92">
        <f t="shared" si="72"/>
        <v>5.8364145549009144E-5</v>
      </c>
      <c r="AH260" s="123">
        <f t="shared" si="73"/>
        <v>8.1005109652026539E-3</v>
      </c>
      <c r="AI260" s="121">
        <f t="shared" si="74"/>
        <v>1333340.9800952044</v>
      </c>
    </row>
    <row r="261" spans="1:36">
      <c r="A261" s="78">
        <f t="shared" si="75"/>
        <v>2026</v>
      </c>
      <c r="B261" s="78">
        <f t="shared" si="76"/>
        <v>7</v>
      </c>
      <c r="C261" s="79">
        <f t="shared" si="76"/>
        <v>311.6666769190017</v>
      </c>
      <c r="D261" s="101">
        <f t="shared" si="68"/>
        <v>0.1493197905993085</v>
      </c>
      <c r="E261" s="100">
        <f>$D261*'MWh Impact Summary'!B$32</f>
        <v>518649.33469507651</v>
      </c>
      <c r="F261" s="100">
        <f>$D261*'MWh Impact Summary'!C$29</f>
        <v>363285.09161077032</v>
      </c>
      <c r="G261" s="100">
        <f>$D261*'MWh Impact Summary'!D$29</f>
        <v>1739.2274001612675</v>
      </c>
      <c r="H261" s="100">
        <f>$D261*'MWh Impact Summary'!E$29</f>
        <v>130277.83336111864</v>
      </c>
      <c r="I261" s="100">
        <f>$D261*'MWh Impact Summary'!F$29</f>
        <v>294910.89119723358</v>
      </c>
      <c r="J261" s="82">
        <f t="shared" si="78"/>
        <v>1308862.3782643601</v>
      </c>
      <c r="K261" s="83">
        <v>31</v>
      </c>
      <c r="L261" s="97">
        <f>K261/(SUM(K255:K266))</f>
        <v>8.4931506849315067E-2</v>
      </c>
      <c r="M261" s="85">
        <f>$L261*'MWh Impact Summary'!F$28</f>
        <v>157034.48949249662</v>
      </c>
      <c r="N261" s="85">
        <f>$L261*'MWh Impact Summary'!G$28</f>
        <v>19880.627707039388</v>
      </c>
      <c r="O261" s="85">
        <f>$L261*'MWh Impact Summary'!H$28</f>
        <v>10124.650232578459</v>
      </c>
      <c r="P261" s="85">
        <f>$L261*'MWh Impact Summary'!I$28</f>
        <v>1692.030438793694</v>
      </c>
      <c r="Q261" s="85">
        <f>$L261*'MWh Impact Summary'!J$28</f>
        <v>46094.558607231847</v>
      </c>
      <c r="R261" s="85">
        <f>$L261*'MWh Impact Summary'!K$28</f>
        <v>27781.869342715021</v>
      </c>
      <c r="S261" s="85">
        <f>$L261*'MWh Impact Summary'!L$28</f>
        <v>9926.9397048067713</v>
      </c>
      <c r="T261" s="85">
        <f>$L261*'MWh Impact Summary'!M$28</f>
        <v>30833.507467980115</v>
      </c>
      <c r="U261" s="85">
        <f t="shared" si="79"/>
        <v>303368.67299364193</v>
      </c>
      <c r="V261" s="81">
        <f t="shared" si="81"/>
        <v>1612231.0512580019</v>
      </c>
      <c r="W261" s="81"/>
      <c r="X261" s="262">
        <f>+'MWh by mo-WgtbyActulCDH&amp;Days'!AB263</f>
        <v>5491282.4171985919</v>
      </c>
      <c r="Y261" s="120">
        <f t="shared" si="77"/>
        <v>293.59827609822526</v>
      </c>
      <c r="Z261" s="87">
        <f t="shared" si="69"/>
        <v>9.4709121322008143E-3</v>
      </c>
      <c r="AA261" s="88">
        <f t="shared" si="70"/>
        <v>-7.9148916679422712E-5</v>
      </c>
      <c r="AC261" s="89">
        <f t="shared" si="80"/>
        <v>9926.9397048067713</v>
      </c>
      <c r="AD261" s="93"/>
      <c r="AE261" s="96">
        <f t="shared" si="71"/>
        <v>1.8077634604470143</v>
      </c>
      <c r="AF261" s="92">
        <f t="shared" si="72"/>
        <v>5.8314950337000457E-5</v>
      </c>
      <c r="AH261" s="123">
        <f t="shared" si="73"/>
        <v>9.4709121322008143E-3</v>
      </c>
      <c r="AI261" s="121">
        <f t="shared" si="74"/>
        <v>1612231.0512580019</v>
      </c>
    </row>
    <row r="262" spans="1:36">
      <c r="A262" s="78">
        <f t="shared" si="75"/>
        <v>2026</v>
      </c>
      <c r="B262" s="78">
        <f t="shared" si="76"/>
        <v>8</v>
      </c>
      <c r="C262" s="79">
        <f t="shared" si="76"/>
        <v>350.95807565684066</v>
      </c>
      <c r="D262" s="101">
        <f t="shared" si="68"/>
        <v>0.16814433575083526</v>
      </c>
      <c r="E262" s="100">
        <f>$D262*'MWh Impact Summary'!B$32</f>
        <v>584034.75868737348</v>
      </c>
      <c r="F262" s="100">
        <f>$D262*'MWh Impact Summary'!C$29</f>
        <v>409083.95445712062</v>
      </c>
      <c r="G262" s="100">
        <f>$D262*'MWh Impact Summary'!D$29</f>
        <v>1958.4894590732351</v>
      </c>
      <c r="H262" s="100">
        <f>$D262*'MWh Impact Summary'!E$29</f>
        <v>146701.78457687137</v>
      </c>
      <c r="I262" s="100">
        <f>$D262*'MWh Impact Summary'!F$29</f>
        <v>332089.91056725552</v>
      </c>
      <c r="J262" s="82">
        <f t="shared" si="78"/>
        <v>1473868.8977476943</v>
      </c>
      <c r="K262" s="83">
        <v>31</v>
      </c>
      <c r="L262" s="97">
        <f>K262/(SUM(K255:K266))</f>
        <v>8.4931506849315067E-2</v>
      </c>
      <c r="M262" s="85">
        <f>$L262*'MWh Impact Summary'!F$28</f>
        <v>157034.48949249662</v>
      </c>
      <c r="N262" s="85">
        <f>$L262*'MWh Impact Summary'!G$28</f>
        <v>19880.627707039388</v>
      </c>
      <c r="O262" s="85">
        <f>$L262*'MWh Impact Summary'!H$28</f>
        <v>10124.650232578459</v>
      </c>
      <c r="P262" s="85">
        <f>$L262*'MWh Impact Summary'!I$28</f>
        <v>1692.030438793694</v>
      </c>
      <c r="Q262" s="85">
        <f>$L262*'MWh Impact Summary'!J$28</f>
        <v>46094.558607231847</v>
      </c>
      <c r="R262" s="85">
        <f>$L262*'MWh Impact Summary'!K$28</f>
        <v>27781.869342715021</v>
      </c>
      <c r="S262" s="85">
        <f>$L262*'MWh Impact Summary'!L$28</f>
        <v>9926.9397048067713</v>
      </c>
      <c r="T262" s="85">
        <f>$L262*'MWh Impact Summary'!M$28</f>
        <v>30833.507467980115</v>
      </c>
      <c r="U262" s="85">
        <f t="shared" si="79"/>
        <v>303368.67299364193</v>
      </c>
      <c r="V262" s="81">
        <f t="shared" si="81"/>
        <v>1777237.5707413363</v>
      </c>
      <c r="W262" s="81"/>
      <c r="X262" s="262">
        <f>+'MWh by mo-WgtbyActulCDH&amp;Days'!AB264</f>
        <v>5495927.0258769719</v>
      </c>
      <c r="Y262" s="120">
        <f t="shared" si="77"/>
        <v>323.37357508085671</v>
      </c>
      <c r="Z262" s="87">
        <f t="shared" si="69"/>
        <v>1.0431405647769572E-2</v>
      </c>
      <c r="AA262" s="88">
        <f t="shared" si="70"/>
        <v>-8.6749917424012307E-5</v>
      </c>
      <c r="AC262" s="89">
        <f t="shared" si="80"/>
        <v>9926.9397048067713</v>
      </c>
      <c r="AD262" s="93"/>
      <c r="AE262" s="96">
        <f t="shared" si="71"/>
        <v>1.8062357193002856</v>
      </c>
      <c r="AF262" s="92">
        <f t="shared" si="72"/>
        <v>5.8265668364525338E-5</v>
      </c>
      <c r="AH262" s="123">
        <f t="shared" si="73"/>
        <v>1.0431405647769572E-2</v>
      </c>
      <c r="AI262" s="121">
        <f t="shared" si="74"/>
        <v>1777237.5707413363</v>
      </c>
    </row>
    <row r="263" spans="1:36">
      <c r="A263" s="78">
        <f t="shared" si="75"/>
        <v>2026</v>
      </c>
      <c r="B263" s="78">
        <f t="shared" si="76"/>
        <v>9</v>
      </c>
      <c r="C263" s="79">
        <f t="shared" si="76"/>
        <v>270.04400483226198</v>
      </c>
      <c r="D263" s="101">
        <f t="shared" si="68"/>
        <v>0.12937833024937548</v>
      </c>
      <c r="E263" s="100">
        <f>$D263*'MWh Impact Summary'!B$32</f>
        <v>449384.40268686815</v>
      </c>
      <c r="F263" s="100">
        <f>$D263*'MWh Impact Summary'!C$29</f>
        <v>314768.84857961041</v>
      </c>
      <c r="G263" s="100">
        <f>$D263*'MWh Impact Summary'!D$29</f>
        <v>1506.9558834344443</v>
      </c>
      <c r="H263" s="100">
        <f>$D263*'MWh Impact Summary'!E$29</f>
        <v>112879.40119068162</v>
      </c>
      <c r="I263" s="100">
        <f>$D263*'MWh Impact Summary'!F$29</f>
        <v>255525.93211063623</v>
      </c>
      <c r="J263" s="82">
        <f t="shared" si="78"/>
        <v>1134065.5404512307</v>
      </c>
      <c r="K263" s="83">
        <v>30</v>
      </c>
      <c r="L263" s="97">
        <f>K263/(SUM(K255:K266))</f>
        <v>8.2191780821917804E-2</v>
      </c>
      <c r="M263" s="85">
        <f>$L263*'MWh Impact Summary'!F$28</f>
        <v>151968.86079919027</v>
      </c>
      <c r="N263" s="85">
        <f>$L263*'MWh Impact Summary'!G$28</f>
        <v>19239.317135844569</v>
      </c>
      <c r="O263" s="85">
        <f>$L263*'MWh Impact Summary'!H$28</f>
        <v>9798.0486121727008</v>
      </c>
      <c r="P263" s="85">
        <f>$L263*'MWh Impact Summary'!I$28</f>
        <v>1637.4488117358328</v>
      </c>
      <c r="Q263" s="85">
        <f>$L263*'MWh Impact Summary'!J$28</f>
        <v>44607.637361837267</v>
      </c>
      <c r="R263" s="85">
        <f>$L263*'MWh Impact Summary'!K$28</f>
        <v>26885.680009079049</v>
      </c>
      <c r="S263" s="85">
        <f>$L263*'MWh Impact Summary'!L$28</f>
        <v>9606.7158433613913</v>
      </c>
      <c r="T263" s="85">
        <f>$L263*'MWh Impact Summary'!M$28</f>
        <v>29838.878194819466</v>
      </c>
      <c r="U263" s="85">
        <f t="shared" si="79"/>
        <v>293582.58676804055</v>
      </c>
      <c r="V263" s="81">
        <f t="shared" si="81"/>
        <v>1427648.1272192714</v>
      </c>
      <c r="W263" s="81"/>
      <c r="X263" s="262">
        <f>+'MWh by mo-WgtbyActulCDH&amp;Days'!AB265</f>
        <v>5500513.1358683985</v>
      </c>
      <c r="Y263" s="120">
        <f t="shared" si="77"/>
        <v>259.54817158960935</v>
      </c>
      <c r="Z263" s="87">
        <f t="shared" si="69"/>
        <v>8.6516057196536454E-3</v>
      </c>
      <c r="AA263" s="88">
        <f t="shared" si="70"/>
        <v>-7.2620344807587667E-5</v>
      </c>
      <c r="AC263" s="89">
        <f t="shared" si="80"/>
        <v>9606.7158433613913</v>
      </c>
      <c r="AD263" s="93"/>
      <c r="AE263" s="96">
        <f t="shared" si="71"/>
        <v>1.7465126627399139</v>
      </c>
      <c r="AF263" s="92">
        <f t="shared" si="72"/>
        <v>5.8217088757997129E-5</v>
      </c>
      <c r="AH263" s="123">
        <f t="shared" si="73"/>
        <v>8.6516057196536454E-3</v>
      </c>
      <c r="AI263" s="121">
        <f t="shared" si="74"/>
        <v>1427648.1272192714</v>
      </c>
    </row>
    <row r="264" spans="1:36">
      <c r="A264" s="78">
        <f t="shared" si="75"/>
        <v>2026</v>
      </c>
      <c r="B264" s="78">
        <f t="shared" si="76"/>
        <v>10</v>
      </c>
      <c r="C264" s="79">
        <f t="shared" si="76"/>
        <v>213.28592721551468</v>
      </c>
      <c r="D264" s="101">
        <f t="shared" si="68"/>
        <v>0.10218548323623593</v>
      </c>
      <c r="E264" s="100">
        <f>$D264*'MWh Impact Summary'!B$32</f>
        <v>354932.40837838472</v>
      </c>
      <c r="F264" s="100">
        <f>$D264*'MWh Impact Summary'!C$29</f>
        <v>248610.4654297494</v>
      </c>
      <c r="G264" s="100">
        <f>$D264*'MWh Impact Summary'!D$29</f>
        <v>1190.2226197202049</v>
      </c>
      <c r="H264" s="100">
        <f>$D264*'MWh Impact Summary'!E$29</f>
        <v>89154.313058870423</v>
      </c>
      <c r="I264" s="100">
        <f>$D264*'MWh Impact Summary'!F$29</f>
        <v>201819.27531284565</v>
      </c>
      <c r="J264" s="82">
        <f t="shared" si="78"/>
        <v>895706.68479957036</v>
      </c>
      <c r="K264" s="83">
        <v>31</v>
      </c>
      <c r="L264" s="97">
        <f>K264/(SUM(K255:K266))</f>
        <v>8.4931506849315067E-2</v>
      </c>
      <c r="M264" s="85">
        <f>$L264*'MWh Impact Summary'!F$28</f>
        <v>157034.48949249662</v>
      </c>
      <c r="N264" s="85">
        <f>$L264*'MWh Impact Summary'!G$28</f>
        <v>19880.627707039388</v>
      </c>
      <c r="O264" s="85">
        <f>$L264*'MWh Impact Summary'!H$28</f>
        <v>10124.650232578459</v>
      </c>
      <c r="P264" s="85">
        <f>$L264*'MWh Impact Summary'!I$28</f>
        <v>1692.030438793694</v>
      </c>
      <c r="Q264" s="85">
        <f>$L264*'MWh Impact Summary'!J$28</f>
        <v>46094.558607231847</v>
      </c>
      <c r="R264" s="85">
        <f>$L264*'MWh Impact Summary'!K$28</f>
        <v>27781.869342715021</v>
      </c>
      <c r="S264" s="85">
        <f>$L264*'MWh Impact Summary'!L$28</f>
        <v>9926.9397048067713</v>
      </c>
      <c r="T264" s="85">
        <f>$L264*'MWh Impact Summary'!M$28</f>
        <v>30833.507467980115</v>
      </c>
      <c r="U264" s="85">
        <f t="shared" si="79"/>
        <v>303368.67299364193</v>
      </c>
      <c r="V264" s="81">
        <f t="shared" si="81"/>
        <v>1199075.3577932124</v>
      </c>
      <c r="W264" s="81"/>
      <c r="X264" s="262">
        <f>+'MWh by mo-WgtbyActulCDH&amp;Days'!AB266</f>
        <v>5505120.0001729308</v>
      </c>
      <c r="Y264" s="120">
        <f t="shared" si="77"/>
        <v>217.81093922667375</v>
      </c>
      <c r="Z264" s="87">
        <f t="shared" si="69"/>
        <v>7.0261593298927014E-3</v>
      </c>
      <c r="AA264" s="88">
        <f t="shared" si="70"/>
        <v>-5.9697528811120809E-5</v>
      </c>
      <c r="AC264" s="89">
        <f t="shared" si="80"/>
        <v>9926.9397048067713</v>
      </c>
      <c r="AD264" s="93"/>
      <c r="AE264" s="96">
        <f t="shared" si="71"/>
        <v>1.8032194946694966</v>
      </c>
      <c r="AF264" s="92">
        <f t="shared" si="72"/>
        <v>5.8168370795790213E-5</v>
      </c>
      <c r="AH264" s="123">
        <f t="shared" si="73"/>
        <v>7.0261593298927014E-3</v>
      </c>
      <c r="AI264" s="121">
        <f t="shared" si="74"/>
        <v>1199075.3577932124</v>
      </c>
    </row>
    <row r="265" spans="1:36">
      <c r="A265" s="78">
        <f t="shared" si="75"/>
        <v>2026</v>
      </c>
      <c r="B265" s="78">
        <f t="shared" si="76"/>
        <v>11</v>
      </c>
      <c r="C265" s="79">
        <f t="shared" si="76"/>
        <v>110.23315885291359</v>
      </c>
      <c r="D265" s="101">
        <f t="shared" si="68"/>
        <v>5.2812807451003543E-2</v>
      </c>
      <c r="E265" s="100">
        <f>$D265*'MWh Impact Summary'!B$32</f>
        <v>183440.7035926356</v>
      </c>
      <c r="F265" s="100">
        <f>$D265*'MWh Impact Summary'!C$29</f>
        <v>128490.03816610393</v>
      </c>
      <c r="G265" s="100">
        <f>$D265*'MWh Impact Summary'!D$29</f>
        <v>615.14606623518716</v>
      </c>
      <c r="H265" s="100">
        <f>$D265*'MWh Impact Summary'!E$29</f>
        <v>46077.871532097815</v>
      </c>
      <c r="I265" s="100">
        <f>$D265*'MWh Impact Summary'!F$29</f>
        <v>104306.8172644188</v>
      </c>
      <c r="J265" s="82">
        <f t="shared" si="78"/>
        <v>462930.57662149135</v>
      </c>
      <c r="K265" s="83">
        <v>30</v>
      </c>
      <c r="L265" s="97">
        <f>K265/(SUM(K255:K266))</f>
        <v>8.2191780821917804E-2</v>
      </c>
      <c r="M265" s="85">
        <f>$L265*'MWh Impact Summary'!F$28</f>
        <v>151968.86079919027</v>
      </c>
      <c r="N265" s="85">
        <f>$L265*'MWh Impact Summary'!G$28</f>
        <v>19239.317135844569</v>
      </c>
      <c r="O265" s="85">
        <f>$L265*'MWh Impact Summary'!H$28</f>
        <v>9798.0486121727008</v>
      </c>
      <c r="P265" s="85">
        <f>$L265*'MWh Impact Summary'!I$28</f>
        <v>1637.4488117358328</v>
      </c>
      <c r="Q265" s="85">
        <f>$L265*'MWh Impact Summary'!J$28</f>
        <v>44607.637361837267</v>
      </c>
      <c r="R265" s="85">
        <f>$L265*'MWh Impact Summary'!K$28</f>
        <v>26885.680009079049</v>
      </c>
      <c r="S265" s="85">
        <f>$L265*'MWh Impact Summary'!L$28</f>
        <v>9606.7158433613913</v>
      </c>
      <c r="T265" s="85">
        <f>$L265*'MWh Impact Summary'!M$28</f>
        <v>29838.878194819466</v>
      </c>
      <c r="U265" s="85">
        <f t="shared" si="79"/>
        <v>293582.58676804055</v>
      </c>
      <c r="V265" s="81">
        <f t="shared" si="81"/>
        <v>756513.1633895319</v>
      </c>
      <c r="W265" s="81"/>
      <c r="X265" s="262">
        <f>+'MWh by mo-WgtbyActulCDH&amp;Days'!AB267</f>
        <v>5509732.4814156815</v>
      </c>
      <c r="Y265" s="120">
        <f t="shared" si="77"/>
        <v>137.30488112467339</v>
      </c>
      <c r="Z265" s="87">
        <f t="shared" si="69"/>
        <v>4.5768293708224467E-3</v>
      </c>
      <c r="AA265" s="88">
        <f t="shared" si="70"/>
        <v>-4.0222176981989308E-5</v>
      </c>
      <c r="AC265" s="89">
        <f t="shared" si="80"/>
        <v>9606.7158433613913</v>
      </c>
      <c r="AD265" s="93"/>
      <c r="AE265" s="96">
        <f t="shared" si="71"/>
        <v>1.7435902515711657</v>
      </c>
      <c r="AF265" s="92">
        <f t="shared" si="72"/>
        <v>5.8119675052372186E-5</v>
      </c>
      <c r="AH265" s="123">
        <f t="shared" si="73"/>
        <v>4.5768293708224467E-3</v>
      </c>
      <c r="AI265" s="121">
        <f t="shared" si="74"/>
        <v>756513.1633895319</v>
      </c>
    </row>
    <row r="266" spans="1:36">
      <c r="A266" s="78">
        <f>+A254+1</f>
        <v>2026</v>
      </c>
      <c r="B266" s="78">
        <f>+B254</f>
        <v>12</v>
      </c>
      <c r="C266" s="79">
        <f t="shared" ref="C266" si="82">+C254</f>
        <v>79.005079745838657</v>
      </c>
      <c r="D266" s="101">
        <f t="shared" si="68"/>
        <v>3.7851406125770058E-2</v>
      </c>
      <c r="E266" s="100">
        <f>$D266*'MWh Impact Summary'!B$32</f>
        <v>131473.57443785953</v>
      </c>
      <c r="F266" s="100">
        <f>$D266*'MWh Impact Summary'!C$29</f>
        <v>92089.946595870249</v>
      </c>
      <c r="G266" s="100">
        <f>$D266*'MWh Impact Summary'!D$29</f>
        <v>440.88062543047926</v>
      </c>
      <c r="H266" s="100">
        <f>$D266*'MWh Impact Summary'!E$29</f>
        <v>33024.417995399555</v>
      </c>
      <c r="I266" s="100">
        <f>$D266*'MWh Impact Summary'!F$29</f>
        <v>74757.618322503651</v>
      </c>
      <c r="J266" s="82">
        <f t="shared" si="78"/>
        <v>331786.43797706347</v>
      </c>
      <c r="K266" s="83">
        <v>31</v>
      </c>
      <c r="L266" s="97">
        <f>K266/(SUM(K255:K266))</f>
        <v>8.4931506849315067E-2</v>
      </c>
      <c r="M266" s="85">
        <f>$L266*'MWh Impact Summary'!F$28</f>
        <v>157034.48949249662</v>
      </c>
      <c r="N266" s="85">
        <f>$L266*'MWh Impact Summary'!G$28</f>
        <v>19880.627707039388</v>
      </c>
      <c r="O266" s="85">
        <f>$L266*'MWh Impact Summary'!H$28</f>
        <v>10124.650232578459</v>
      </c>
      <c r="P266" s="85">
        <f>$L266*'MWh Impact Summary'!I$28</f>
        <v>1692.030438793694</v>
      </c>
      <c r="Q266" s="85">
        <f>$L266*'MWh Impact Summary'!J$28</f>
        <v>46094.558607231847</v>
      </c>
      <c r="R266" s="85">
        <f>$L266*'MWh Impact Summary'!K$28</f>
        <v>27781.869342715021</v>
      </c>
      <c r="S266" s="85">
        <f>$L266*'MWh Impact Summary'!L$28</f>
        <v>9926.9397048067713</v>
      </c>
      <c r="T266" s="85">
        <f>$L266*'MWh Impact Summary'!M$28</f>
        <v>30833.507467980115</v>
      </c>
      <c r="U266" s="85">
        <f t="shared" si="79"/>
        <v>303368.67299364193</v>
      </c>
      <c r="V266" s="81">
        <f t="shared" si="81"/>
        <v>635155.1109707054</v>
      </c>
      <c r="W266" s="81">
        <f>SUM(V255:V266)</f>
        <v>12337419.823307365</v>
      </c>
      <c r="X266" s="262">
        <f>+'MWh by mo-WgtbyActulCDH&amp;Days'!AB268</f>
        <v>5514345.5968124717</v>
      </c>
      <c r="Y266" s="120">
        <f t="shared" si="77"/>
        <v>115.18231852168502</v>
      </c>
      <c r="Z266" s="87">
        <f t="shared" si="69"/>
        <v>3.7155586619898396E-3</v>
      </c>
      <c r="AA266" s="88">
        <f t="shared" si="70"/>
        <v>-3.3370853102867443E-5</v>
      </c>
      <c r="AC266" s="89">
        <f t="shared" si="80"/>
        <v>9926.9397048067713</v>
      </c>
      <c r="AD266" s="90">
        <f>SUM(AC255:AC266)</f>
        <v>116881.70942756362</v>
      </c>
      <c r="AE266" s="96">
        <f t="shared" si="71"/>
        <v>1.8002026769132802</v>
      </c>
      <c r="AF266" s="92">
        <f t="shared" si="72"/>
        <v>5.8071054093976782E-5</v>
      </c>
      <c r="AH266" s="123">
        <f t="shared" si="73"/>
        <v>3.7155586619898396E-3</v>
      </c>
      <c r="AI266" s="121">
        <f t="shared" si="74"/>
        <v>635155.1109707054</v>
      </c>
    </row>
    <row r="267" spans="1:36">
      <c r="C267"/>
      <c r="D267"/>
      <c r="E267" s="100"/>
      <c r="F267" s="100"/>
      <c r="J267" s="100">
        <f>SUM(J3:J266)</f>
        <v>96826589.059056804</v>
      </c>
      <c r="L267" s="97"/>
      <c r="M267" s="81"/>
      <c r="N267" s="81"/>
      <c r="O267" s="81"/>
      <c r="P267" s="81"/>
      <c r="Q267" s="81"/>
      <c r="R267" s="81"/>
      <c r="S267" s="81"/>
      <c r="T267" s="81"/>
      <c r="U267" s="81"/>
      <c r="V267" s="81">
        <f>SUM(V3:V218)</f>
        <v>91659346.353018403</v>
      </c>
      <c r="W267" s="81"/>
      <c r="X267" s="81"/>
    </row>
    <row r="268" spans="1:36">
      <c r="C268"/>
      <c r="D268"/>
      <c r="E268" s="100"/>
      <c r="F268" s="100"/>
      <c r="L268" s="97"/>
      <c r="M268" s="81"/>
      <c r="N268" s="81"/>
      <c r="O268" s="81"/>
      <c r="P268" s="81"/>
      <c r="Q268" s="81"/>
      <c r="R268" s="81"/>
      <c r="S268" s="81"/>
      <c r="T268" s="81"/>
      <c r="U268" s="81"/>
      <c r="V268" s="81">
        <f>SUM('MWh Impact Summary'!P11:P28)</f>
        <v>47640610.05968532</v>
      </c>
      <c r="W268" s="103" t="s">
        <v>242</v>
      </c>
      <c r="X268" s="103"/>
      <c r="AC268" s="82">
        <f>SUM(AC3:AC218)</f>
        <v>1614830.2010554641</v>
      </c>
      <c r="AD268" s="100">
        <f>SUM(AD3:AD218)</f>
        <v>1614830.2010554653</v>
      </c>
    </row>
    <row r="269" spans="1:36">
      <c r="C269"/>
      <c r="D269"/>
      <c r="E269" s="100"/>
      <c r="F269" s="100"/>
      <c r="L269" s="97"/>
      <c r="M269" s="81"/>
      <c r="N269" s="81"/>
      <c r="O269" s="81"/>
      <c r="P269" s="81"/>
      <c r="Q269" s="81"/>
      <c r="R269" s="81"/>
      <c r="S269" s="81"/>
      <c r="T269" s="81"/>
      <c r="U269" s="81"/>
      <c r="V269" s="81">
        <f>+V268-V267</f>
        <v>-44018736.293333083</v>
      </c>
      <c r="W269" s="105" t="s">
        <v>243</v>
      </c>
      <c r="X269" s="105"/>
      <c r="AC269" s="82">
        <f>SUM('MWh Impact Summary'!M11:M28)</f>
        <v>1635736.7688186388</v>
      </c>
    </row>
    <row r="270" spans="1:36">
      <c r="L270" s="97"/>
      <c r="AC270" s="81">
        <f>+AC268-AC269</f>
        <v>-20906.567763174651</v>
      </c>
      <c r="AD270" s="105" t="s">
        <v>243</v>
      </c>
    </row>
    <row r="271" spans="1:36">
      <c r="A271" s="78">
        <v>2005</v>
      </c>
      <c r="J271" s="81">
        <f>SUM(J3:J14)</f>
        <v>104508.94023145307</v>
      </c>
      <c r="L271" s="97"/>
      <c r="U271" s="81">
        <f>SUM(U3:U14)</f>
        <v>0</v>
      </c>
      <c r="V271" s="81">
        <f>SUM(V3:V14)</f>
        <v>104508.94023145307</v>
      </c>
      <c r="AB271" s="132" t="s">
        <v>251</v>
      </c>
      <c r="AC271" s="133">
        <f>SUM('MWh Impact Summary'!M11:M28)</f>
        <v>1635736.7688186388</v>
      </c>
      <c r="AG271" s="62"/>
      <c r="AH271" s="134"/>
      <c r="AI271" s="135"/>
      <c r="AJ271" s="62"/>
    </row>
    <row r="272" spans="1:36">
      <c r="A272" s="78">
        <v>2006</v>
      </c>
      <c r="J272" s="81">
        <f>SUM(J15:J26)</f>
        <v>523995.00862670655</v>
      </c>
      <c r="L272" s="97"/>
      <c r="U272" s="81">
        <f>SUM(U15:U26)</f>
        <v>1367.8209417769033</v>
      </c>
      <c r="V272" s="81">
        <f>SUM(V15:V26)</f>
        <v>525362.8295684834</v>
      </c>
      <c r="Y272" s="86"/>
      <c r="AE272" s="62"/>
      <c r="AF272" s="62"/>
      <c r="AG272" s="62"/>
      <c r="AH272" s="134"/>
      <c r="AI272" s="134"/>
      <c r="AJ272" s="62"/>
    </row>
    <row r="273" spans="1:33">
      <c r="A273" s="78">
        <v>2007</v>
      </c>
      <c r="J273" s="81">
        <f>SUM(J27:J38)</f>
        <v>939574.41399289877</v>
      </c>
      <c r="L273" s="97"/>
      <c r="U273" s="81">
        <f>SUM(U27:U38)</f>
        <v>136056.66988666815</v>
      </c>
      <c r="V273" s="81">
        <f>SUM(V27:V38)</f>
        <v>1075631.083879567</v>
      </c>
      <c r="AE273" s="102"/>
      <c r="AF273" s="102"/>
      <c r="AG273" s="102"/>
    </row>
    <row r="274" spans="1:33">
      <c r="A274" s="78">
        <v>2008</v>
      </c>
      <c r="J274" s="81">
        <f>SUM(J39:J50)</f>
        <v>1258245.6704983781</v>
      </c>
      <c r="L274" s="97"/>
      <c r="U274" s="81">
        <f>SUM(U39:U50)</f>
        <v>230318.12644950993</v>
      </c>
      <c r="V274" s="81">
        <f>SUM(V39:V50)</f>
        <v>1488563.7969478881</v>
      </c>
      <c r="Z274" s="78"/>
      <c r="AE274" s="102"/>
      <c r="AF274" s="102"/>
      <c r="AG274" s="102"/>
    </row>
    <row r="275" spans="1:33">
      <c r="A275" s="78">
        <v>2009</v>
      </c>
      <c r="J275" s="81">
        <f>SUM(J51:J62)</f>
        <v>1531308.1647085091</v>
      </c>
      <c r="L275" s="97"/>
      <c r="U275" s="81">
        <f>SUM(U51:U62)</f>
        <v>336452.7553298854</v>
      </c>
      <c r="V275" s="81">
        <f>SUM(V51:V62)</f>
        <v>1867760.9200383946</v>
      </c>
      <c r="Z275" s="78"/>
      <c r="AE275" s="102"/>
      <c r="AF275" s="102"/>
      <c r="AG275" s="102"/>
    </row>
    <row r="276" spans="1:33">
      <c r="A276" s="78">
        <v>2010</v>
      </c>
      <c r="J276" s="81">
        <f>SUM(J63:J74)</f>
        <v>1855630.2580059948</v>
      </c>
      <c r="L276" s="97"/>
      <c r="U276" s="81">
        <f>SUM(U63:U74)</f>
        <v>469241.70140261424</v>
      </c>
      <c r="V276" s="81">
        <f>SUM(V63:V74)</f>
        <v>2324871.9594086087</v>
      </c>
      <c r="Z276" s="78"/>
      <c r="AE276" s="102"/>
      <c r="AF276" s="102"/>
      <c r="AG276" s="102"/>
    </row>
    <row r="277" spans="1:33">
      <c r="A277" s="78">
        <v>2011</v>
      </c>
      <c r="J277" s="81">
        <f>SUM(J75:J86)</f>
        <v>2218630.1567784199</v>
      </c>
      <c r="L277" s="97"/>
      <c r="U277" s="81">
        <f>SUM(U75:U86)</f>
        <v>617289.83018788078</v>
      </c>
      <c r="V277" s="81">
        <f>SUM(V75:V86)</f>
        <v>2835919.9869663008</v>
      </c>
      <c r="Z277" s="78"/>
      <c r="AE277" s="102"/>
      <c r="AF277" s="102"/>
      <c r="AG277" s="102"/>
    </row>
    <row r="278" spans="1:33">
      <c r="A278" s="78">
        <v>2012</v>
      </c>
      <c r="J278" s="81">
        <f>SUM(J87:J98)</f>
        <v>2581644.952431045</v>
      </c>
      <c r="L278" s="97"/>
      <c r="U278" s="81">
        <f>SUM(U87:U98)</f>
        <v>765561.62717146205</v>
      </c>
      <c r="V278" s="81">
        <f>SUM(V87:V98)</f>
        <v>3347206.5796025079</v>
      </c>
      <c r="Z278" s="78"/>
      <c r="AE278" s="102"/>
      <c r="AF278" s="102"/>
      <c r="AG278" s="102"/>
    </row>
    <row r="279" spans="1:33">
      <c r="A279" s="78">
        <v>2013</v>
      </c>
      <c r="J279" s="81">
        <f>SUM(J99:J110)</f>
        <v>2964131.6899952153</v>
      </c>
      <c r="U279" s="81">
        <f>SUM(U99:U110)</f>
        <v>927359.3378910945</v>
      </c>
      <c r="V279" s="81">
        <f>SUM(V99:V110)</f>
        <v>3891491.0278863097</v>
      </c>
      <c r="Z279" s="78"/>
      <c r="AE279" s="102"/>
      <c r="AF279" s="102"/>
      <c r="AG279" s="102"/>
    </row>
    <row r="280" spans="1:33">
      <c r="A280" s="78">
        <v>2014</v>
      </c>
      <c r="J280" s="81">
        <f>SUM(J111:J122)</f>
        <v>3379166.324993222</v>
      </c>
      <c r="U280" s="81">
        <f>SUM(U111:U122)</f>
        <v>1125306.3450866523</v>
      </c>
      <c r="V280" s="81">
        <f>SUM(V111:V122)</f>
        <v>4504472.6700798748</v>
      </c>
      <c r="Z280" s="78"/>
      <c r="AE280" s="102"/>
      <c r="AF280" s="102"/>
      <c r="AG280" s="102"/>
    </row>
    <row r="281" spans="1:33">
      <c r="A281" s="78">
        <v>2015</v>
      </c>
      <c r="J281" s="81">
        <f>SUM(J123:J134)</f>
        <v>3917438.5275913915</v>
      </c>
      <c r="U281" s="81">
        <f>SUM(U123:U134)</f>
        <v>1449171.890313817</v>
      </c>
      <c r="V281" s="81">
        <f>SUM(V123:V134)</f>
        <v>5366610.4179052087</v>
      </c>
      <c r="Z281" s="78"/>
      <c r="AE281" s="102"/>
      <c r="AF281" s="102"/>
      <c r="AG281" s="102"/>
    </row>
    <row r="282" spans="1:33">
      <c r="A282" s="78">
        <v>2016</v>
      </c>
      <c r="J282" s="81">
        <f>SUM(J135:J146)</f>
        <v>4421075.540988883</v>
      </c>
      <c r="U282" s="81">
        <f>SUM(U135:U146)</f>
        <v>1778754.8554294347</v>
      </c>
      <c r="V282" s="81">
        <f>SUM(V135:V146)</f>
        <v>6199830.3964183163</v>
      </c>
      <c r="Z282" s="78"/>
      <c r="AE282" s="102"/>
      <c r="AF282" s="102"/>
      <c r="AG282" s="102"/>
    </row>
    <row r="283" spans="1:33">
      <c r="A283" s="78">
        <v>2017</v>
      </c>
      <c r="J283" s="81">
        <f>SUM(J147:J158)</f>
        <v>4922088.8016209714</v>
      </c>
      <c r="U283" s="81">
        <f>SUM(U147:U158)</f>
        <v>2235298.5118911657</v>
      </c>
      <c r="V283" s="81">
        <f>SUM(V147:V158)</f>
        <v>7157387.3135121353</v>
      </c>
      <c r="Z283" s="78"/>
      <c r="AE283" s="102"/>
      <c r="AF283" s="102"/>
      <c r="AG283" s="102"/>
    </row>
    <row r="284" spans="1:33">
      <c r="A284" s="78">
        <v>2018</v>
      </c>
      <c r="J284" s="81">
        <f>SUM(J159:J170)</f>
        <v>5420887.66148178</v>
      </c>
      <c r="U284" s="81">
        <f>SUM(U159:U170)</f>
        <v>2738992.2884337604</v>
      </c>
      <c r="V284" s="81">
        <f>SUM(V159:V170)</f>
        <v>8159879.9499155395</v>
      </c>
      <c r="Z284" s="78"/>
      <c r="AE284" s="102"/>
      <c r="AF284" s="102"/>
      <c r="AG284" s="102"/>
    </row>
    <row r="285" spans="1:33">
      <c r="A285" s="78">
        <v>2019</v>
      </c>
      <c r="J285" s="81">
        <f>SUM(J171:J182)</f>
        <v>5917482.0586689236</v>
      </c>
      <c r="U285" s="81">
        <f>SUM(U171:U182)</f>
        <v>3317402.2137155365</v>
      </c>
      <c r="V285" s="81">
        <f>SUM(V171:V182)</f>
        <v>9234884.272384461</v>
      </c>
      <c r="Z285" s="78"/>
      <c r="AE285" s="102"/>
      <c r="AF285" s="102"/>
      <c r="AG285" s="102"/>
    </row>
    <row r="286" spans="1:33">
      <c r="A286" s="78">
        <v>2020</v>
      </c>
      <c r="J286" s="81">
        <f>SUM(J183:J194)</f>
        <v>6310982.5630664797</v>
      </c>
      <c r="U286" s="81">
        <f>SUM(U183:U194)</f>
        <v>3932503.392459122</v>
      </c>
      <c r="V286" s="81">
        <f>SUM(V183:V194)</f>
        <v>10243485.955525599</v>
      </c>
      <c r="Z286" s="78"/>
      <c r="AE286" s="102"/>
      <c r="AF286" s="102"/>
      <c r="AG286" s="102"/>
    </row>
    <row r="287" spans="1:33">
      <c r="A287" s="78">
        <v>2021</v>
      </c>
      <c r="J287" s="81">
        <f>SUM(J195:J206)</f>
        <v>6608743.6959682833</v>
      </c>
      <c r="U287" s="81">
        <f>SUM(U195:U206)</f>
        <v>4556723.319740111</v>
      </c>
      <c r="V287" s="81">
        <f>SUM(V195:V206)</f>
        <v>11165467.015708394</v>
      </c>
      <c r="Z287" s="78"/>
      <c r="AE287" s="102"/>
      <c r="AF287" s="102"/>
      <c r="AG287" s="102"/>
    </row>
    <row r="288" spans="1:33">
      <c r="A288" s="78">
        <v>2022</v>
      </c>
      <c r="J288" s="81">
        <f>SUM(J207:J218)</f>
        <v>6897819.0894887727</v>
      </c>
      <c r="U288" s="81">
        <f>SUM(U207:U218)</f>
        <v>5268192.1475506127</v>
      </c>
      <c r="V288" s="81">
        <f>SUM(V207:V218)</f>
        <v>12166011.237039387</v>
      </c>
      <c r="Z288" s="78"/>
      <c r="AE288" s="102"/>
      <c r="AF288" s="102"/>
      <c r="AG288" s="102"/>
    </row>
    <row r="289" spans="10:33">
      <c r="J289" s="81"/>
      <c r="V289" s="81"/>
      <c r="Z289" s="78"/>
      <c r="AE289" s="102"/>
      <c r="AF289" s="102"/>
      <c r="AG289" s="102"/>
    </row>
    <row r="290" spans="10:33">
      <c r="L290" s="97"/>
    </row>
    <row r="291" spans="10:33">
      <c r="L291" s="97"/>
      <c r="Y291" s="86"/>
    </row>
    <row r="292" spans="10:33">
      <c r="L292" s="97"/>
    </row>
    <row r="293" spans="10:33">
      <c r="L293" s="97"/>
    </row>
    <row r="294" spans="10:33">
      <c r="L294" s="97"/>
    </row>
    <row r="295" spans="10:33">
      <c r="L295" s="97"/>
    </row>
    <row r="296" spans="10:33">
      <c r="L296" s="97"/>
    </row>
    <row r="297" spans="10:33">
      <c r="L297" s="97"/>
    </row>
  </sheetData>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L137"/>
  <sheetViews>
    <sheetView zoomScale="75" zoomScaleNormal="75" workbookViewId="0">
      <selection activeCell="A2" sqref="A1:A2"/>
    </sheetView>
  </sheetViews>
  <sheetFormatPr defaultColWidth="9.109375" defaultRowHeight="13.2"/>
  <cols>
    <col min="1" max="1" width="14.109375" style="33" customWidth="1"/>
    <col min="2" max="5" width="19.33203125" style="33" customWidth="1"/>
    <col min="6" max="6" width="20.6640625" style="33" customWidth="1"/>
    <col min="7" max="7" width="26.33203125" style="33" customWidth="1"/>
    <col min="8" max="8" width="20.6640625" style="33" customWidth="1"/>
    <col min="9" max="9" width="28.33203125" style="33" customWidth="1"/>
    <col min="10" max="10" width="31.5546875" style="33" customWidth="1"/>
    <col min="11" max="13" width="24.5546875" style="33" customWidth="1"/>
    <col min="14" max="16384" width="9.109375" style="33"/>
  </cols>
  <sheetData>
    <row r="1" spans="1:10">
      <c r="A1" s="416" t="s">
        <v>399</v>
      </c>
    </row>
    <row r="2" spans="1:10">
      <c r="A2" s="416" t="s">
        <v>380</v>
      </c>
    </row>
    <row r="3" spans="1:10" s="26" customFormat="1" ht="15.6">
      <c r="A3" s="25" t="s">
        <v>0</v>
      </c>
      <c r="B3" s="25"/>
      <c r="C3" s="25"/>
      <c r="D3" s="25"/>
      <c r="E3" s="25"/>
      <c r="F3" s="25"/>
      <c r="G3" s="25"/>
      <c r="H3" s="25"/>
      <c r="I3" s="25"/>
      <c r="J3" s="25"/>
    </row>
    <row r="4" spans="1:10" s="26" customFormat="1" ht="15.6">
      <c r="A4" s="25" t="s">
        <v>224</v>
      </c>
      <c r="B4" s="27"/>
      <c r="C4" s="25"/>
      <c r="D4" s="25"/>
      <c r="E4" s="25"/>
      <c r="F4" s="25"/>
      <c r="G4" s="25"/>
      <c r="H4" s="25"/>
      <c r="I4" s="25"/>
      <c r="J4" s="25"/>
    </row>
    <row r="5" spans="1:10" s="26" customFormat="1" ht="15.6">
      <c r="A5" s="25" t="s">
        <v>272</v>
      </c>
      <c r="B5" s="27"/>
      <c r="C5" s="25"/>
      <c r="D5" s="25"/>
      <c r="E5" s="25"/>
      <c r="F5" s="25"/>
      <c r="G5" s="25"/>
      <c r="H5" s="25"/>
      <c r="I5" s="25"/>
      <c r="J5" s="25"/>
    </row>
    <row r="6" spans="1:10" s="26" customFormat="1" ht="15.6">
      <c r="A6" s="25" t="s">
        <v>225</v>
      </c>
      <c r="B6" s="27"/>
      <c r="C6" s="25"/>
      <c r="D6" s="25"/>
      <c r="E6" s="25"/>
      <c r="F6" s="25"/>
      <c r="G6" s="25"/>
      <c r="H6" s="25"/>
      <c r="I6" s="25"/>
      <c r="J6" s="25"/>
    </row>
    <row r="7" spans="1:10" s="26" customFormat="1" ht="15.6">
      <c r="A7" s="25"/>
      <c r="B7" s="27"/>
      <c r="C7" s="25"/>
      <c r="D7" s="25"/>
      <c r="E7" s="25"/>
      <c r="F7" s="25"/>
      <c r="G7" s="25"/>
      <c r="H7" s="25"/>
      <c r="I7" s="25"/>
      <c r="J7" s="25"/>
    </row>
    <row r="8" spans="1:10" s="26" customFormat="1" ht="15.6">
      <c r="A8" s="25" t="s">
        <v>27</v>
      </c>
      <c r="B8" s="27"/>
      <c r="C8" s="25"/>
      <c r="D8" s="25"/>
      <c r="E8" s="25"/>
      <c r="F8" s="25"/>
      <c r="G8" s="25"/>
      <c r="H8" s="25"/>
      <c r="I8" s="25"/>
      <c r="J8" s="25"/>
    </row>
    <row r="9" spans="1:10" s="30" customFormat="1">
      <c r="A9" s="28"/>
      <c r="B9" s="29" t="s">
        <v>28</v>
      </c>
      <c r="C9" s="23"/>
      <c r="D9" s="23"/>
      <c r="E9" s="23"/>
      <c r="F9" s="23" t="s">
        <v>29</v>
      </c>
      <c r="G9" s="23" t="s">
        <v>30</v>
      </c>
      <c r="H9" s="23" t="s">
        <v>29</v>
      </c>
      <c r="I9" s="23" t="s">
        <v>30</v>
      </c>
      <c r="J9" s="23" t="s">
        <v>43</v>
      </c>
    </row>
    <row r="10" spans="1:10" s="30" customFormat="1">
      <c r="A10" s="31"/>
      <c r="B10" s="56" t="s">
        <v>4</v>
      </c>
      <c r="C10" s="57" t="s">
        <v>31</v>
      </c>
      <c r="D10" s="57" t="s">
        <v>32</v>
      </c>
      <c r="E10" s="57" t="s">
        <v>32</v>
      </c>
      <c r="F10" s="56" t="s">
        <v>4</v>
      </c>
      <c r="G10" s="56" t="s">
        <v>4</v>
      </c>
      <c r="H10" s="56" t="s">
        <v>4</v>
      </c>
      <c r="I10" s="56" t="s">
        <v>4</v>
      </c>
      <c r="J10" s="56" t="s">
        <v>24</v>
      </c>
    </row>
    <row r="11" spans="1:10" s="30" customFormat="1" ht="26.4">
      <c r="A11" s="31"/>
      <c r="B11" s="55" t="s">
        <v>33</v>
      </c>
      <c r="C11" s="55" t="s">
        <v>8</v>
      </c>
      <c r="D11" s="55" t="s">
        <v>34</v>
      </c>
      <c r="E11" s="55" t="s">
        <v>34</v>
      </c>
      <c r="F11" s="55" t="s">
        <v>35</v>
      </c>
      <c r="G11" s="55" t="s">
        <v>35</v>
      </c>
      <c r="H11" s="55" t="s">
        <v>35</v>
      </c>
      <c r="I11" s="55" t="s">
        <v>35</v>
      </c>
      <c r="J11" s="55" t="s">
        <v>298</v>
      </c>
    </row>
    <row r="12" spans="1:10" s="30" customFormat="1" ht="26.4">
      <c r="A12" s="31"/>
      <c r="B12" s="55" t="s">
        <v>12</v>
      </c>
      <c r="C12" s="55" t="s">
        <v>15</v>
      </c>
      <c r="D12" s="55" t="s">
        <v>9</v>
      </c>
      <c r="E12" s="55" t="s">
        <v>10</v>
      </c>
      <c r="F12" s="55" t="s">
        <v>36</v>
      </c>
      <c r="G12" s="55" t="s">
        <v>299</v>
      </c>
      <c r="H12" s="55" t="s">
        <v>36</v>
      </c>
      <c r="I12" s="55" t="s">
        <v>299</v>
      </c>
      <c r="J12" s="55" t="s">
        <v>44</v>
      </c>
    </row>
    <row r="13" spans="1:10" s="30" customFormat="1">
      <c r="A13" s="24" t="s">
        <v>17</v>
      </c>
      <c r="B13" s="58" t="s">
        <v>37</v>
      </c>
      <c r="C13" s="58" t="s">
        <v>21</v>
      </c>
      <c r="D13" s="58" t="s">
        <v>38</v>
      </c>
      <c r="E13" s="58" t="s">
        <v>38</v>
      </c>
      <c r="F13" s="58" t="s">
        <v>39</v>
      </c>
      <c r="G13" s="58" t="s">
        <v>39</v>
      </c>
      <c r="H13" s="58" t="s">
        <v>22</v>
      </c>
      <c r="I13" s="58" t="s">
        <v>22</v>
      </c>
      <c r="J13" s="58" t="s">
        <v>22</v>
      </c>
    </row>
    <row r="14" spans="1:10">
      <c r="A14" s="32">
        <v>2005</v>
      </c>
      <c r="B14" s="14">
        <v>2754502.1821334278</v>
      </c>
      <c r="C14" s="14">
        <v>15</v>
      </c>
      <c r="D14" s="14">
        <v>183633.47880889522</v>
      </c>
      <c r="E14" s="14">
        <v>0</v>
      </c>
      <c r="F14" s="14">
        <v>2760212.3313365183</v>
      </c>
      <c r="G14" s="14">
        <v>2745035.9225858189</v>
      </c>
      <c r="H14" s="14">
        <v>2760.2123313365182</v>
      </c>
      <c r="I14" s="14">
        <v>2745.0359225858188</v>
      </c>
      <c r="J14" s="14">
        <f>H14-I14</f>
        <v>15.176408750699466</v>
      </c>
    </row>
    <row r="15" spans="1:10">
      <c r="A15" s="32">
        <v>2006</v>
      </c>
      <c r="B15" s="14">
        <v>2809068.1735600354</v>
      </c>
      <c r="C15" s="14">
        <v>15</v>
      </c>
      <c r="D15" s="14">
        <v>183633.47880889522</v>
      </c>
      <c r="E15" s="14">
        <v>54565.991426607128</v>
      </c>
      <c r="F15" s="14">
        <v>2814891.4393743519</v>
      </c>
      <c r="G15" s="14">
        <v>2762999.788259076</v>
      </c>
      <c r="H15" s="14">
        <v>2814.8914393743521</v>
      </c>
      <c r="I15" s="14">
        <v>2762.999788259076</v>
      </c>
      <c r="J15" s="14">
        <f t="shared" ref="J15:J31" si="0">H15-I15</f>
        <v>51.89165111527609</v>
      </c>
    </row>
    <row r="16" spans="1:10">
      <c r="A16" s="32">
        <v>2007</v>
      </c>
      <c r="B16" s="14">
        <v>2875260.0053808419</v>
      </c>
      <c r="C16" s="14">
        <v>15</v>
      </c>
      <c r="D16" s="14">
        <v>183633.47880889522</v>
      </c>
      <c r="E16" s="14">
        <v>66191.831820806488</v>
      </c>
      <c r="F16" s="14">
        <v>2881220.4884528448</v>
      </c>
      <c r="G16" s="14">
        <v>2790821.6281506354</v>
      </c>
      <c r="H16" s="14">
        <v>2881.2204884528446</v>
      </c>
      <c r="I16" s="14">
        <v>2790.8216281506352</v>
      </c>
      <c r="J16" s="14">
        <f t="shared" si="0"/>
        <v>90.398860302209414</v>
      </c>
    </row>
    <row r="17" spans="1:10">
      <c r="A17" s="32">
        <v>2008</v>
      </c>
      <c r="B17" s="14">
        <v>2887969.9755202904</v>
      </c>
      <c r="C17" s="14">
        <v>15</v>
      </c>
      <c r="D17" s="14">
        <v>183633.47880889522</v>
      </c>
      <c r="E17" s="14">
        <v>12709.970139448764</v>
      </c>
      <c r="F17" s="14">
        <v>2893956.8066657619</v>
      </c>
      <c r="G17" s="14">
        <v>2773294.2463321947</v>
      </c>
      <c r="H17" s="14">
        <v>2893.9568066657616</v>
      </c>
      <c r="I17" s="14">
        <v>2773.2942463321947</v>
      </c>
      <c r="J17" s="14">
        <f t="shared" si="0"/>
        <v>120.66256033356694</v>
      </c>
    </row>
    <row r="18" spans="1:10">
      <c r="A18" s="32">
        <v>2009</v>
      </c>
      <c r="B18" s="14">
        <v>2871192.6464186418</v>
      </c>
      <c r="C18" s="14">
        <v>15</v>
      </c>
      <c r="D18" s="14">
        <v>183633.47880889522</v>
      </c>
      <c r="E18" s="14">
        <v>-16777.329101648764</v>
      </c>
      <c r="F18" s="14">
        <v>2877144.6977577941</v>
      </c>
      <c r="G18" s="14">
        <v>2730763.5076956851</v>
      </c>
      <c r="H18" s="14">
        <v>2877.1446977577939</v>
      </c>
      <c r="I18" s="14">
        <v>2730.7635076956853</v>
      </c>
      <c r="J18" s="14">
        <f t="shared" si="0"/>
        <v>146.38119006210854</v>
      </c>
    </row>
    <row r="19" spans="1:10">
      <c r="A19" s="32">
        <v>2010</v>
      </c>
      <c r="B19" s="14">
        <v>2878498.8195895501</v>
      </c>
      <c r="C19" s="14">
        <v>15</v>
      </c>
      <c r="D19" s="14">
        <v>183633.47880889522</v>
      </c>
      <c r="E19" s="14">
        <v>7306.1731709084706</v>
      </c>
      <c r="F19" s="14">
        <v>2884466.0168012232</v>
      </c>
      <c r="G19" s="14">
        <v>2702649.9973640013</v>
      </c>
      <c r="H19" s="14">
        <v>2884.4660168012233</v>
      </c>
      <c r="I19" s="14">
        <v>2702.6499973640011</v>
      </c>
      <c r="J19" s="14">
        <f t="shared" si="0"/>
        <v>181.81601943722217</v>
      </c>
    </row>
    <row r="20" spans="1:10">
      <c r="A20" s="32">
        <v>2011</v>
      </c>
      <c r="B20" s="14">
        <v>2902408.655136941</v>
      </c>
      <c r="C20" s="14">
        <v>15</v>
      </c>
      <c r="D20" s="14">
        <v>183633.47880889522</v>
      </c>
      <c r="E20" s="14">
        <v>23909.835547391092</v>
      </c>
      <c r="F20" s="14">
        <v>2908425.4180121603</v>
      </c>
      <c r="G20" s="14">
        <v>2688093.2399043525</v>
      </c>
      <c r="H20" s="14">
        <v>2908.4254180121607</v>
      </c>
      <c r="I20" s="14">
        <v>2688.0932399043522</v>
      </c>
      <c r="J20" s="14">
        <f t="shared" si="0"/>
        <v>220.33217810780843</v>
      </c>
    </row>
    <row r="21" spans="1:10">
      <c r="A21" s="32">
        <v>2012</v>
      </c>
      <c r="B21" s="14">
        <v>2924506.9267317802</v>
      </c>
      <c r="C21" s="14">
        <v>15</v>
      </c>
      <c r="D21" s="14">
        <v>183633.47880889522</v>
      </c>
      <c r="E21" s="14">
        <v>22098.271594838821</v>
      </c>
      <c r="F21" s="14">
        <v>2930569.4998549474</v>
      </c>
      <c r="G21" s="14">
        <v>2672057.3554750164</v>
      </c>
      <c r="H21" s="14">
        <v>2930.5694998549479</v>
      </c>
      <c r="I21" s="14">
        <v>2672.0573554750163</v>
      </c>
      <c r="J21" s="14">
        <f t="shared" si="0"/>
        <v>258.51214437993167</v>
      </c>
    </row>
    <row r="22" spans="1:10">
      <c r="A22" s="32">
        <v>2013</v>
      </c>
      <c r="B22" s="14">
        <v>2954901.8803666746</v>
      </c>
      <c r="C22" s="14">
        <v>15</v>
      </c>
      <c r="D22" s="14">
        <v>183633.47880889522</v>
      </c>
      <c r="E22" s="14">
        <v>30394.953634894802</v>
      </c>
      <c r="F22" s="14">
        <v>2961027.4629589953</v>
      </c>
      <c r="G22" s="14">
        <v>2662795.6432448332</v>
      </c>
      <c r="H22" s="14">
        <v>2961.0274629589949</v>
      </c>
      <c r="I22" s="14">
        <v>2662.7956432448332</v>
      </c>
      <c r="J22" s="14">
        <f t="shared" si="0"/>
        <v>298.2318197141617</v>
      </c>
    </row>
    <row r="23" spans="1:10">
      <c r="A23" s="32">
        <v>2014</v>
      </c>
      <c r="B23" s="14">
        <v>3009191.7899026833</v>
      </c>
      <c r="C23" s="14">
        <v>15</v>
      </c>
      <c r="D23" s="14">
        <v>183633.47880889522</v>
      </c>
      <c r="E23" s="14">
        <v>54289.909536008374</v>
      </c>
      <c r="F23" s="14">
        <v>3015429.9167818381</v>
      </c>
      <c r="G23" s="14">
        <v>2673043.9646864031</v>
      </c>
      <c r="H23" s="14">
        <v>3015.4299167818385</v>
      </c>
      <c r="I23" s="14">
        <v>2673.0439646864033</v>
      </c>
      <c r="J23" s="14">
        <f t="shared" si="0"/>
        <v>342.38595209543519</v>
      </c>
    </row>
    <row r="24" spans="1:10">
      <c r="A24" s="32">
        <v>2015</v>
      </c>
      <c r="B24" s="14">
        <v>3087589.1936211986</v>
      </c>
      <c r="C24" s="14">
        <v>15</v>
      </c>
      <c r="D24" s="14">
        <v>183633.47880889522</v>
      </c>
      <c r="E24" s="14">
        <v>78397.403718515183</v>
      </c>
      <c r="F24" s="14">
        <v>3093989.8402018342</v>
      </c>
      <c r="G24" s="14">
        <v>2702975.8555469206</v>
      </c>
      <c r="H24" s="14">
        <v>3093.9898402018343</v>
      </c>
      <c r="I24" s="14">
        <v>2702.9758555469207</v>
      </c>
      <c r="J24" s="14">
        <f t="shared" si="0"/>
        <v>391.01398465491366</v>
      </c>
    </row>
    <row r="25" spans="1:10">
      <c r="A25" s="32">
        <v>2016</v>
      </c>
      <c r="B25" s="14">
        <v>3139371.0044243559</v>
      </c>
      <c r="C25" s="14">
        <v>15</v>
      </c>
      <c r="D25" s="14">
        <v>183633.47880889522</v>
      </c>
      <c r="E25" s="14">
        <v>51781.810803157743</v>
      </c>
      <c r="F25" s="14">
        <v>3145878.9959428939</v>
      </c>
      <c r="G25" s="14">
        <v>2711176.3351371596</v>
      </c>
      <c r="H25" s="14">
        <v>3145.8789959428941</v>
      </c>
      <c r="I25" s="14">
        <v>2711.1763351371596</v>
      </c>
      <c r="J25" s="14">
        <f t="shared" si="0"/>
        <v>434.70266080573447</v>
      </c>
    </row>
    <row r="26" spans="1:10">
      <c r="A26" s="32">
        <v>2017</v>
      </c>
      <c r="B26" s="14">
        <v>3188390.0673808218</v>
      </c>
      <c r="C26" s="14">
        <v>15</v>
      </c>
      <c r="D26" s="14">
        <v>183633.47880889522</v>
      </c>
      <c r="E26" s="14">
        <v>49019.062956465641</v>
      </c>
      <c r="F26" s="14">
        <v>3194999.6765945973</v>
      </c>
      <c r="G26" s="14">
        <v>2717121.053982805</v>
      </c>
      <c r="H26" s="14">
        <v>3194.9996765945971</v>
      </c>
      <c r="I26" s="14">
        <v>2717.1210539828053</v>
      </c>
      <c r="J26" s="14">
        <f t="shared" si="0"/>
        <v>477.8786226117918</v>
      </c>
    </row>
    <row r="27" spans="1:10">
      <c r="A27" s="32">
        <v>2018</v>
      </c>
      <c r="B27" s="14">
        <v>3234169.7109250678</v>
      </c>
      <c r="C27" s="14">
        <v>15</v>
      </c>
      <c r="D27" s="14">
        <v>183633.47880889522</v>
      </c>
      <c r="E27" s="14">
        <v>45779.643544246093</v>
      </c>
      <c r="F27" s="14">
        <v>3240874.2224398102</v>
      </c>
      <c r="G27" s="14">
        <v>2720420.8136968715</v>
      </c>
      <c r="H27" s="14">
        <v>3240.8742224398102</v>
      </c>
      <c r="I27" s="14">
        <v>2720.4208136968714</v>
      </c>
      <c r="J27" s="14">
        <f t="shared" si="0"/>
        <v>520.45340874293879</v>
      </c>
    </row>
    <row r="28" spans="1:10">
      <c r="A28" s="32">
        <v>2019</v>
      </c>
      <c r="B28" s="14">
        <v>3278801.5058854739</v>
      </c>
      <c r="C28" s="14">
        <v>15</v>
      </c>
      <c r="D28" s="14">
        <v>183633.47880889522</v>
      </c>
      <c r="E28" s="14">
        <v>44631.794960406143</v>
      </c>
      <c r="F28" s="14">
        <v>3285598.5401834901</v>
      </c>
      <c r="G28" s="14">
        <v>2722783.3645450389</v>
      </c>
      <c r="H28" s="14">
        <v>3285.5985401834896</v>
      </c>
      <c r="I28" s="14">
        <v>2722.7833645450387</v>
      </c>
      <c r="J28" s="14">
        <f t="shared" si="0"/>
        <v>562.81517563845091</v>
      </c>
    </row>
    <row r="29" spans="1:10">
      <c r="A29" s="32">
        <v>2020</v>
      </c>
      <c r="B29" s="14">
        <v>3322437.2893080609</v>
      </c>
      <c r="C29" s="14">
        <v>15</v>
      </c>
      <c r="D29" s="14">
        <v>218586.76705903161</v>
      </c>
      <c r="E29" s="14">
        <v>43635.783422586857</v>
      </c>
      <c r="F29" s="14">
        <v>3329324.7816335033</v>
      </c>
      <c r="G29" s="14">
        <v>2738409.9911383884</v>
      </c>
      <c r="H29" s="14">
        <v>3329.3247816335033</v>
      </c>
      <c r="I29" s="14">
        <v>2738.4099911383887</v>
      </c>
      <c r="J29" s="14">
        <f t="shared" si="0"/>
        <v>590.91479049511463</v>
      </c>
    </row>
    <row r="30" spans="1:10">
      <c r="A30" s="32">
        <v>2021</v>
      </c>
      <c r="B30" s="14">
        <v>3365510.3060716898</v>
      </c>
      <c r="C30" s="14">
        <v>15</v>
      </c>
      <c r="D30" s="14">
        <v>218586.76705903161</v>
      </c>
      <c r="E30" s="14">
        <v>43073.016763628926</v>
      </c>
      <c r="F30" s="14">
        <v>3372487.0897957534</v>
      </c>
      <c r="G30" s="14">
        <v>2766705.3438633117</v>
      </c>
      <c r="H30" s="14">
        <v>3372.4870897957535</v>
      </c>
      <c r="I30" s="14">
        <v>2766.705343863312</v>
      </c>
      <c r="J30" s="14">
        <f t="shared" si="0"/>
        <v>605.78174593244148</v>
      </c>
    </row>
    <row r="31" spans="1:10">
      <c r="A31" s="32">
        <v>2022</v>
      </c>
      <c r="B31" s="14">
        <v>3408989.9854267393</v>
      </c>
      <c r="C31" s="14">
        <v>15</v>
      </c>
      <c r="D31" s="14">
        <v>218586.76705903161</v>
      </c>
      <c r="E31" s="14">
        <v>43479.679355049506</v>
      </c>
      <c r="F31" s="14">
        <v>3416056.9035707461</v>
      </c>
      <c r="G31" s="14">
        <v>2795332.7332274523</v>
      </c>
      <c r="H31" s="14">
        <v>3416.0569035707458</v>
      </c>
      <c r="I31" s="14">
        <v>2795.3327332274521</v>
      </c>
      <c r="J31" s="14">
        <f t="shared" si="0"/>
        <v>620.72417034329374</v>
      </c>
    </row>
    <row r="32" spans="1:10">
      <c r="A32" s="32">
        <v>2023</v>
      </c>
      <c r="B32" s="14">
        <v>3451908.830020539</v>
      </c>
      <c r="C32" s="14">
        <v>15</v>
      </c>
      <c r="D32" s="14">
        <v>218586.76705903161</v>
      </c>
      <c r="E32" s="14">
        <v>42918.844593799673</v>
      </c>
      <c r="F32" s="14">
        <v>3459064.7199605554</v>
      </c>
      <c r="G32" s="14">
        <v>2823502.2056520698</v>
      </c>
      <c r="H32" s="14">
        <v>3459.0647199605551</v>
      </c>
      <c r="I32" s="14">
        <v>2823.5022056520697</v>
      </c>
      <c r="J32" s="14">
        <f>H32-I32</f>
        <v>635.56251430848533</v>
      </c>
    </row>
    <row r="33" spans="1:10">
      <c r="A33" s="32">
        <v>2024</v>
      </c>
      <c r="B33" s="14">
        <v>3494134.4320598897</v>
      </c>
      <c r="C33" s="14">
        <v>15</v>
      </c>
      <c r="D33" s="14">
        <v>218586.76705903161</v>
      </c>
      <c r="E33" s="14">
        <v>42225.602039350895</v>
      </c>
      <c r="F33" s="14">
        <v>3501377.8566874438</v>
      </c>
      <c r="G33" s="14">
        <v>2852931.836544659</v>
      </c>
      <c r="H33" s="14">
        <v>3501.3778566874439</v>
      </c>
      <c r="I33" s="14">
        <v>2852.9318365446588</v>
      </c>
      <c r="J33" s="14">
        <f>H33-I33</f>
        <v>648.44602014278507</v>
      </c>
    </row>
    <row r="34" spans="1:10">
      <c r="A34" s="32">
        <v>2025</v>
      </c>
      <c r="B34" s="14">
        <v>3537467.9822127935</v>
      </c>
      <c r="C34" s="14">
        <v>15</v>
      </c>
      <c r="D34" s="14">
        <v>218586.76705903161</v>
      </c>
      <c r="E34" s="14">
        <v>43333.550152903656</v>
      </c>
      <c r="F34" s="14">
        <v>3544801.2383309444</v>
      </c>
      <c r="G34" s="14">
        <v>2888313.3214948075</v>
      </c>
      <c r="H34" s="14">
        <v>3544.8012383309442</v>
      </c>
      <c r="I34" s="14">
        <v>2888.3133214948075</v>
      </c>
      <c r="J34" s="14">
        <f>H34-I34</f>
        <v>656.48791683613672</v>
      </c>
    </row>
    <row r="35" spans="1:10">
      <c r="A35" s="32">
        <v>2026</v>
      </c>
      <c r="B35" s="14">
        <v>3581763.0166796693</v>
      </c>
      <c r="C35" s="14">
        <v>15</v>
      </c>
      <c r="D35" s="14">
        <v>218586.76705903161</v>
      </c>
      <c r="E35" s="14">
        <v>44295.034466875717</v>
      </c>
      <c r="F35" s="14">
        <v>3589188.0974684991</v>
      </c>
      <c r="G35" s="14">
        <v>2924479.8504273803</v>
      </c>
      <c r="H35" s="14">
        <v>3589.1880974684991</v>
      </c>
      <c r="I35" s="14">
        <v>2924.4798504273804</v>
      </c>
      <c r="J35" s="14">
        <f>H35-I35</f>
        <v>664.70824704111874</v>
      </c>
    </row>
    <row r="36" spans="1:10">
      <c r="A36" s="34"/>
      <c r="B36" s="18"/>
      <c r="C36" s="18"/>
      <c r="D36" s="18"/>
      <c r="E36" s="18"/>
      <c r="F36" s="18"/>
      <c r="G36" s="18"/>
      <c r="H36" s="18"/>
      <c r="I36" s="18"/>
      <c r="J36" s="18"/>
    </row>
    <row r="37" spans="1:10" s="26" customFormat="1" ht="15.6">
      <c r="A37" s="25" t="s">
        <v>40</v>
      </c>
      <c r="B37" s="27"/>
      <c r="C37" s="25"/>
      <c r="D37" s="25"/>
      <c r="E37" s="25"/>
      <c r="F37" s="25"/>
      <c r="G37" s="25"/>
      <c r="H37" s="25"/>
      <c r="I37" s="25"/>
      <c r="J37" s="155"/>
    </row>
    <row r="38" spans="1:10" s="30" customFormat="1">
      <c r="A38" s="28"/>
      <c r="B38" s="29" t="s">
        <v>28</v>
      </c>
      <c r="C38" s="23"/>
      <c r="D38" s="23"/>
      <c r="E38" s="23"/>
      <c r="F38" s="23" t="s">
        <v>29</v>
      </c>
      <c r="G38" s="23" t="s">
        <v>30</v>
      </c>
      <c r="H38" s="23" t="s">
        <v>29</v>
      </c>
      <c r="I38" s="23" t="s">
        <v>30</v>
      </c>
      <c r="J38" s="23" t="s">
        <v>43</v>
      </c>
    </row>
    <row r="39" spans="1:10" s="30" customFormat="1">
      <c r="A39" s="31"/>
      <c r="B39" s="56" t="s">
        <v>4</v>
      </c>
      <c r="C39" s="57" t="s">
        <v>31</v>
      </c>
      <c r="D39" s="57" t="s">
        <v>32</v>
      </c>
      <c r="E39" s="57" t="s">
        <v>32</v>
      </c>
      <c r="F39" s="56" t="s">
        <v>4</v>
      </c>
      <c r="G39" s="56" t="s">
        <v>4</v>
      </c>
      <c r="H39" s="56" t="s">
        <v>4</v>
      </c>
      <c r="I39" s="56" t="s">
        <v>4</v>
      </c>
      <c r="J39" s="56" t="s">
        <v>24</v>
      </c>
    </row>
    <row r="40" spans="1:10" s="30" customFormat="1" ht="26.4">
      <c r="A40" s="31"/>
      <c r="B40" s="55" t="s">
        <v>33</v>
      </c>
      <c r="C40" s="55" t="s">
        <v>8</v>
      </c>
      <c r="D40" s="55" t="s">
        <v>34</v>
      </c>
      <c r="E40" s="55" t="s">
        <v>34</v>
      </c>
      <c r="F40" s="55" t="s">
        <v>35</v>
      </c>
      <c r="G40" s="55" t="s">
        <v>35</v>
      </c>
      <c r="H40" s="55" t="s">
        <v>35</v>
      </c>
      <c r="I40" s="55" t="s">
        <v>35</v>
      </c>
      <c r="J40" s="55" t="s">
        <v>298</v>
      </c>
    </row>
    <row r="41" spans="1:10" s="30" customFormat="1" ht="26.4">
      <c r="A41" s="31"/>
      <c r="B41" s="55" t="s">
        <v>12</v>
      </c>
      <c r="C41" s="55" t="s">
        <v>15</v>
      </c>
      <c r="D41" s="55" t="s">
        <v>9</v>
      </c>
      <c r="E41" s="55" t="s">
        <v>10</v>
      </c>
      <c r="F41" s="55" t="s">
        <v>36</v>
      </c>
      <c r="G41" s="55" t="s">
        <v>299</v>
      </c>
      <c r="H41" s="55" t="s">
        <v>36</v>
      </c>
      <c r="I41" s="55" t="s">
        <v>299</v>
      </c>
      <c r="J41" s="55" t="s">
        <v>44</v>
      </c>
    </row>
    <row r="42" spans="1:10" s="30" customFormat="1">
      <c r="A42" s="24" t="s">
        <v>17</v>
      </c>
      <c r="B42" s="58" t="s">
        <v>37</v>
      </c>
      <c r="C42" s="58" t="s">
        <v>21</v>
      </c>
      <c r="D42" s="58" t="s">
        <v>38</v>
      </c>
      <c r="E42" s="58" t="s">
        <v>38</v>
      </c>
      <c r="F42" s="58" t="s">
        <v>39</v>
      </c>
      <c r="G42" s="58" t="s">
        <v>39</v>
      </c>
      <c r="H42" s="58" t="s">
        <v>22</v>
      </c>
      <c r="I42" s="58" t="s">
        <v>22</v>
      </c>
      <c r="J42" s="58" t="s">
        <v>22</v>
      </c>
    </row>
    <row r="43" spans="1:10">
      <c r="A43" s="32">
        <v>2005</v>
      </c>
      <c r="B43" s="14">
        <v>351638.5764425653</v>
      </c>
      <c r="C43" s="14">
        <v>15</v>
      </c>
      <c r="D43" s="14">
        <v>23442.571762837688</v>
      </c>
      <c r="E43" s="14">
        <v>0</v>
      </c>
      <c r="F43" s="14">
        <v>342349.3541569048</v>
      </c>
      <c r="G43" s="14">
        <v>342080.02061400533</v>
      </c>
      <c r="H43" s="14">
        <v>342.34935415690478</v>
      </c>
      <c r="I43" s="14">
        <v>342.08002061400538</v>
      </c>
      <c r="J43" s="14">
        <f>H43-I43</f>
        <v>0.26933354289940326</v>
      </c>
    </row>
    <row r="44" spans="1:10">
      <c r="A44" s="32">
        <v>2006</v>
      </c>
      <c r="B44" s="14">
        <v>358604.44768851507</v>
      </c>
      <c r="C44" s="14">
        <v>15</v>
      </c>
      <c r="D44" s="14">
        <v>23442.571762837688</v>
      </c>
      <c r="E44" s="14">
        <v>6965.8712459497438</v>
      </c>
      <c r="F44" s="14">
        <v>349131.20825925341</v>
      </c>
      <c r="G44" s="14">
        <v>342285.38105060696</v>
      </c>
      <c r="H44" s="14">
        <v>349.13120825925341</v>
      </c>
      <c r="I44" s="14">
        <v>342.28538105060699</v>
      </c>
      <c r="J44" s="14">
        <f t="shared" ref="J44:J60" si="1">H44-I44</f>
        <v>6.8458272086464262</v>
      </c>
    </row>
    <row r="45" spans="1:10">
      <c r="A45" s="32">
        <v>2007</v>
      </c>
      <c r="B45" s="14">
        <v>367054.46877202234</v>
      </c>
      <c r="C45" s="14">
        <v>15</v>
      </c>
      <c r="D45" s="14">
        <v>23442.571762837688</v>
      </c>
      <c r="E45" s="14">
        <v>8450.0210835072867</v>
      </c>
      <c r="F45" s="14">
        <v>357358.0054719405</v>
      </c>
      <c r="G45" s="14">
        <v>343614.70459857443</v>
      </c>
      <c r="H45" s="14">
        <v>357.35800547194049</v>
      </c>
      <c r="I45" s="14">
        <v>343.61470459857446</v>
      </c>
      <c r="J45" s="14">
        <f t="shared" si="1"/>
        <v>13.743300873366024</v>
      </c>
    </row>
    <row r="46" spans="1:10">
      <c r="A46" s="32">
        <v>2008</v>
      </c>
      <c r="B46" s="14">
        <v>368677.01815152646</v>
      </c>
      <c r="C46" s="14">
        <v>15</v>
      </c>
      <c r="D46" s="14">
        <v>23442.571762837688</v>
      </c>
      <c r="E46" s="14">
        <v>1622.5493795041548</v>
      </c>
      <c r="F46" s="14">
        <v>358937.69202903146</v>
      </c>
      <c r="G46" s="14">
        <v>339773.50819969963</v>
      </c>
      <c r="H46" s="14">
        <v>358.93769202903144</v>
      </c>
      <c r="I46" s="14">
        <v>339.77350819969962</v>
      </c>
      <c r="J46" s="14">
        <f t="shared" si="1"/>
        <v>19.164183829331819</v>
      </c>
    </row>
    <row r="47" spans="1:10">
      <c r="A47" s="32">
        <v>2009</v>
      </c>
      <c r="B47" s="14">
        <v>366535.23145769886</v>
      </c>
      <c r="C47" s="14">
        <v>15</v>
      </c>
      <c r="D47" s="14">
        <v>23442.571762837688</v>
      </c>
      <c r="E47" s="14">
        <v>-2141.7866938276275</v>
      </c>
      <c r="F47" s="14">
        <v>356852.4848290942</v>
      </c>
      <c r="G47" s="14">
        <v>333081.53839632025</v>
      </c>
      <c r="H47" s="14">
        <v>356.85248482909424</v>
      </c>
      <c r="I47" s="14">
        <v>333.08153839632018</v>
      </c>
      <c r="J47" s="14">
        <f t="shared" si="1"/>
        <v>23.770946432774053</v>
      </c>
    </row>
    <row r="48" spans="1:10">
      <c r="A48" s="32">
        <v>2010</v>
      </c>
      <c r="B48" s="14">
        <v>367467.93441568722</v>
      </c>
      <c r="C48" s="14">
        <v>15</v>
      </c>
      <c r="D48" s="14">
        <v>23442.571762837688</v>
      </c>
      <c r="E48" s="14">
        <v>932.70295798836378</v>
      </c>
      <c r="F48" s="14">
        <v>357760.54861014441</v>
      </c>
      <c r="G48" s="14">
        <v>328595.07902831514</v>
      </c>
      <c r="H48" s="14">
        <v>357.76054861014438</v>
      </c>
      <c r="I48" s="14">
        <v>328.59507902831518</v>
      </c>
      <c r="J48" s="14">
        <f t="shared" si="1"/>
        <v>29.1654695818292</v>
      </c>
    </row>
    <row r="49" spans="1:10">
      <c r="A49" s="32">
        <v>2011</v>
      </c>
      <c r="B49" s="14">
        <v>370520.25384726905</v>
      </c>
      <c r="C49" s="14">
        <v>15</v>
      </c>
      <c r="D49" s="14">
        <v>23442.571762837688</v>
      </c>
      <c r="E49" s="14">
        <v>3052.31943158184</v>
      </c>
      <c r="F49" s="14">
        <v>360732.23504072375</v>
      </c>
      <c r="G49" s="14">
        <v>325703.14728363429</v>
      </c>
      <c r="H49" s="14">
        <v>360.73223504072376</v>
      </c>
      <c r="I49" s="14">
        <v>325.70314728363434</v>
      </c>
      <c r="J49" s="14">
        <f t="shared" si="1"/>
        <v>35.029087757089428</v>
      </c>
    </row>
    <row r="50" spans="1:10">
      <c r="A50" s="32">
        <v>2012</v>
      </c>
      <c r="B50" s="14">
        <v>373341.30979554635</v>
      </c>
      <c r="C50" s="14">
        <v>15</v>
      </c>
      <c r="D50" s="14">
        <v>23442.571762837688</v>
      </c>
      <c r="E50" s="14">
        <v>2821.0559482773097</v>
      </c>
      <c r="F50" s="14">
        <v>363478.76726623735</v>
      </c>
      <c r="G50" s="14">
        <v>322637.24255044857</v>
      </c>
      <c r="H50" s="14">
        <v>363.47876726623736</v>
      </c>
      <c r="I50" s="14">
        <v>322.6372425504486</v>
      </c>
      <c r="J50" s="14">
        <f t="shared" si="1"/>
        <v>40.841524715788751</v>
      </c>
    </row>
    <row r="51" spans="1:10">
      <c r="A51" s="32">
        <v>2013</v>
      </c>
      <c r="B51" s="14">
        <v>377221.51664255426</v>
      </c>
      <c r="C51" s="14">
        <v>15</v>
      </c>
      <c r="D51" s="14">
        <v>23442.571762837688</v>
      </c>
      <c r="E51" s="14">
        <v>3880.2068470078993</v>
      </c>
      <c r="F51" s="14">
        <v>367256.47084332292</v>
      </c>
      <c r="G51" s="14">
        <v>320368.10713205842</v>
      </c>
      <c r="H51" s="14">
        <v>367.25647084332292</v>
      </c>
      <c r="I51" s="14">
        <v>320.36810713205847</v>
      </c>
      <c r="J51" s="14">
        <f t="shared" si="1"/>
        <v>46.888363711264446</v>
      </c>
    </row>
    <row r="52" spans="1:10">
      <c r="A52" s="32">
        <v>2014</v>
      </c>
      <c r="B52" s="14">
        <v>384152.14339183189</v>
      </c>
      <c r="C52" s="14">
        <v>15</v>
      </c>
      <c r="D52" s="14">
        <v>23442.571762837688</v>
      </c>
      <c r="E52" s="14">
        <v>6930.626749277646</v>
      </c>
      <c r="F52" s="14">
        <v>374004.01150146598</v>
      </c>
      <c r="G52" s="14">
        <v>320393.7164741017</v>
      </c>
      <c r="H52" s="14">
        <v>374.00401150146598</v>
      </c>
      <c r="I52" s="14">
        <v>320.39371647410172</v>
      </c>
      <c r="J52" s="14">
        <f t="shared" si="1"/>
        <v>53.610295027364259</v>
      </c>
    </row>
    <row r="53" spans="1:10">
      <c r="A53" s="32">
        <v>2015</v>
      </c>
      <c r="B53" s="14">
        <v>394160.32258994022</v>
      </c>
      <c r="C53" s="14">
        <v>15</v>
      </c>
      <c r="D53" s="14">
        <v>23442.571762837688</v>
      </c>
      <c r="E53" s="14">
        <v>10008.179198108286</v>
      </c>
      <c r="F53" s="14">
        <v>383747.80502782436</v>
      </c>
      <c r="G53" s="14">
        <v>322734.48162523808</v>
      </c>
      <c r="H53" s="14">
        <v>383.74780502782437</v>
      </c>
      <c r="I53" s="14">
        <v>322.73448162523806</v>
      </c>
      <c r="J53" s="14">
        <f t="shared" si="1"/>
        <v>61.013323402586309</v>
      </c>
    </row>
    <row r="54" spans="1:10">
      <c r="A54" s="32">
        <v>2016</v>
      </c>
      <c r="B54" s="14">
        <v>400770.76652225823</v>
      </c>
      <c r="C54" s="14">
        <v>15</v>
      </c>
      <c r="D54" s="14">
        <v>23442.571762837688</v>
      </c>
      <c r="E54" s="14">
        <v>6610.4439323180268</v>
      </c>
      <c r="F54" s="14">
        <v>390183.62112574658</v>
      </c>
      <c r="G54" s="14">
        <v>322519.22647480544</v>
      </c>
      <c r="H54" s="14">
        <v>390.18362112574658</v>
      </c>
      <c r="I54" s="14">
        <v>322.51922647480541</v>
      </c>
      <c r="J54" s="14">
        <f t="shared" si="1"/>
        <v>67.664394650941176</v>
      </c>
    </row>
    <row r="55" spans="1:10">
      <c r="A55" s="32">
        <v>2017</v>
      </c>
      <c r="B55" s="14">
        <v>407028.51924010488</v>
      </c>
      <c r="C55" s="14">
        <v>15</v>
      </c>
      <c r="D55" s="14">
        <v>23442.571762837688</v>
      </c>
      <c r="E55" s="14">
        <v>6257.752717846648</v>
      </c>
      <c r="F55" s="14">
        <v>396276.06303898001</v>
      </c>
      <c r="G55" s="14">
        <v>322038.65168235986</v>
      </c>
      <c r="H55" s="14">
        <v>396.27606303898</v>
      </c>
      <c r="I55" s="14">
        <v>322.03865168235984</v>
      </c>
      <c r="J55" s="14">
        <f t="shared" si="1"/>
        <v>74.237411356620157</v>
      </c>
    </row>
    <row r="56" spans="1:10">
      <c r="A56" s="32">
        <v>2018</v>
      </c>
      <c r="B56" s="14">
        <v>412872.72905426403</v>
      </c>
      <c r="C56" s="14">
        <v>15</v>
      </c>
      <c r="D56" s="14">
        <v>23442.571762837688</v>
      </c>
      <c r="E56" s="14">
        <v>5844.2098141591559</v>
      </c>
      <c r="F56" s="14">
        <v>401965.8865949618</v>
      </c>
      <c r="G56" s="14">
        <v>321246.98024032015</v>
      </c>
      <c r="H56" s="14">
        <v>401.96588659496183</v>
      </c>
      <c r="I56" s="14">
        <v>321.24698024032017</v>
      </c>
      <c r="J56" s="14">
        <f t="shared" si="1"/>
        <v>80.718906354641661</v>
      </c>
    </row>
    <row r="57" spans="1:10">
      <c r="A57" s="32">
        <v>2019</v>
      </c>
      <c r="B57" s="14">
        <v>418570.40500665625</v>
      </c>
      <c r="C57" s="14">
        <v>15</v>
      </c>
      <c r="D57" s="14">
        <v>23442.571762837688</v>
      </c>
      <c r="E57" s="14">
        <v>5697.6759523922083</v>
      </c>
      <c r="F57" s="14">
        <v>407513.04726837389</v>
      </c>
      <c r="G57" s="14">
        <v>320345.07551162195</v>
      </c>
      <c r="H57" s="14">
        <v>407.51304726837384</v>
      </c>
      <c r="I57" s="14">
        <v>320.34507551162199</v>
      </c>
      <c r="J57" s="14">
        <f t="shared" si="1"/>
        <v>87.167971756751854</v>
      </c>
    </row>
    <row r="58" spans="1:10">
      <c r="A58" s="32">
        <v>2020</v>
      </c>
      <c r="B58" s="14">
        <v>424140.93054996518</v>
      </c>
      <c r="C58" s="14">
        <v>15</v>
      </c>
      <c r="D58" s="14">
        <v>27904.693667110416</v>
      </c>
      <c r="E58" s="14">
        <v>5570.5255433089405</v>
      </c>
      <c r="F58" s="14">
        <v>412936.41646000138</v>
      </c>
      <c r="G58" s="14">
        <v>319594.36663545395</v>
      </c>
      <c r="H58" s="14">
        <v>412.9364164600014</v>
      </c>
      <c r="I58" s="14">
        <v>319.59436663545398</v>
      </c>
      <c r="J58" s="14">
        <f t="shared" si="1"/>
        <v>93.342049824547416</v>
      </c>
    </row>
    <row r="59" spans="1:10">
      <c r="A59" s="32">
        <v>2021</v>
      </c>
      <c r="B59" s="14">
        <v>429639.6135410667</v>
      </c>
      <c r="C59" s="14">
        <v>15</v>
      </c>
      <c r="D59" s="14">
        <v>27904.693667110416</v>
      </c>
      <c r="E59" s="14">
        <v>5498.6829911015229</v>
      </c>
      <c r="F59" s="14">
        <v>418289.8409612652</v>
      </c>
      <c r="G59" s="14">
        <v>323590.25010927423</v>
      </c>
      <c r="H59" s="14">
        <v>418.28984096126521</v>
      </c>
      <c r="I59" s="14">
        <v>323.59025010927422</v>
      </c>
      <c r="J59" s="14">
        <f t="shared" si="1"/>
        <v>94.69959085199099</v>
      </c>
    </row>
    <row r="60" spans="1:10">
      <c r="A60" s="32">
        <v>2022</v>
      </c>
      <c r="B60" s="14">
        <v>435190.21090554108</v>
      </c>
      <c r="C60" s="14">
        <v>15</v>
      </c>
      <c r="D60" s="14">
        <v>27904.693667110416</v>
      </c>
      <c r="E60" s="14">
        <v>5550.5973644744008</v>
      </c>
      <c r="F60" s="14">
        <v>423693.80841596576</v>
      </c>
      <c r="G60" s="14">
        <v>327625.18730032205</v>
      </c>
      <c r="H60" s="14">
        <v>423.69380841596575</v>
      </c>
      <c r="I60" s="14">
        <v>327.62518730032207</v>
      </c>
      <c r="J60" s="14">
        <f t="shared" si="1"/>
        <v>96.06862111564368</v>
      </c>
    </row>
    <row r="61" spans="1:10">
      <c r="A61" s="32">
        <v>2023</v>
      </c>
      <c r="B61" s="14">
        <v>440669.21234304755</v>
      </c>
      <c r="C61" s="14">
        <v>15</v>
      </c>
      <c r="D61" s="14">
        <v>27904.693667110416</v>
      </c>
      <c r="E61" s="14">
        <v>5479.0014375064347</v>
      </c>
      <c r="F61" s="14">
        <v>429028.07129045273</v>
      </c>
      <c r="G61" s="14">
        <v>331606.26489710365</v>
      </c>
      <c r="H61" s="14">
        <v>429.02807129045277</v>
      </c>
      <c r="I61" s="14">
        <v>331.60626489710364</v>
      </c>
      <c r="J61" s="14">
        <f>H61-I61</f>
        <v>97.421806393349129</v>
      </c>
    </row>
    <row r="62" spans="1:10">
      <c r="A62" s="32">
        <v>2024</v>
      </c>
      <c r="B62" s="14">
        <v>446059.71473104984</v>
      </c>
      <c r="C62" s="14">
        <v>15</v>
      </c>
      <c r="D62" s="14">
        <v>27904.693667110416</v>
      </c>
      <c r="E62" s="14">
        <v>5390.5023880023218</v>
      </c>
      <c r="F62" s="14">
        <v>434276.17299130606</v>
      </c>
      <c r="G62" s="14">
        <v>335558.12839336233</v>
      </c>
      <c r="H62" s="14">
        <v>434.27617299130605</v>
      </c>
      <c r="I62" s="14">
        <v>335.55812839336232</v>
      </c>
      <c r="J62" s="14">
        <f>H62-I62</f>
        <v>98.718044597943731</v>
      </c>
    </row>
    <row r="63" spans="1:10">
      <c r="A63" s="32">
        <v>2025</v>
      </c>
      <c r="B63" s="14">
        <v>451591.65730376088</v>
      </c>
      <c r="C63" s="14">
        <v>15</v>
      </c>
      <c r="D63" s="14">
        <v>27904.693667110416</v>
      </c>
      <c r="E63" s="14">
        <v>5531.9425727110356</v>
      </c>
      <c r="F63" s="14">
        <v>439661.97845713509</v>
      </c>
      <c r="G63" s="14">
        <v>339719.65259017923</v>
      </c>
      <c r="H63" s="14">
        <v>439.66197845713515</v>
      </c>
      <c r="I63" s="14">
        <v>339.71965259017918</v>
      </c>
      <c r="J63" s="14">
        <f>H63-I63</f>
        <v>99.942325866955969</v>
      </c>
    </row>
    <row r="64" spans="1:10">
      <c r="A64" s="32">
        <v>2026</v>
      </c>
      <c r="B64" s="14">
        <v>457246.34255485144</v>
      </c>
      <c r="C64" s="14">
        <v>15</v>
      </c>
      <c r="D64" s="14">
        <v>27904.693667110416</v>
      </c>
      <c r="E64" s="14">
        <v>5654.6852510905665</v>
      </c>
      <c r="F64" s="14">
        <v>445167.28411289159</v>
      </c>
      <c r="G64" s="14">
        <v>343973.51263816311</v>
      </c>
      <c r="H64" s="14">
        <v>445.16728411289159</v>
      </c>
      <c r="I64" s="14">
        <v>343.97351263816313</v>
      </c>
      <c r="J64" s="14">
        <f>H64-I64</f>
        <v>101.19377147472846</v>
      </c>
    </row>
    <row r="65" spans="1:10">
      <c r="A65" s="34"/>
      <c r="B65" s="18"/>
      <c r="C65" s="18"/>
      <c r="D65" s="18"/>
      <c r="E65" s="18"/>
      <c r="F65" s="18"/>
      <c r="G65" s="18"/>
      <c r="H65" s="18"/>
      <c r="I65" s="18"/>
      <c r="J65" s="155"/>
    </row>
    <row r="66" spans="1:10" s="26" customFormat="1" ht="15.6">
      <c r="A66" s="25" t="s">
        <v>41</v>
      </c>
      <c r="B66" s="27"/>
      <c r="C66" s="25"/>
      <c r="D66" s="25"/>
      <c r="E66" s="25"/>
      <c r="F66" s="25"/>
      <c r="G66" s="25"/>
      <c r="H66" s="25"/>
      <c r="I66" s="25"/>
      <c r="J66" s="155"/>
    </row>
    <row r="67" spans="1:10" s="30" customFormat="1">
      <c r="A67" s="28"/>
      <c r="B67" s="29" t="s">
        <v>28</v>
      </c>
      <c r="C67" s="23"/>
      <c r="D67" s="23"/>
      <c r="E67" s="23"/>
      <c r="F67" s="23" t="s">
        <v>29</v>
      </c>
      <c r="G67" s="23" t="s">
        <v>30</v>
      </c>
      <c r="H67" s="23" t="s">
        <v>29</v>
      </c>
      <c r="I67" s="23" t="s">
        <v>30</v>
      </c>
      <c r="J67" s="23" t="s">
        <v>43</v>
      </c>
    </row>
    <row r="68" spans="1:10" s="30" customFormat="1">
      <c r="A68" s="31"/>
      <c r="B68" s="56" t="s">
        <v>4</v>
      </c>
      <c r="C68" s="57" t="s">
        <v>31</v>
      </c>
      <c r="D68" s="57" t="s">
        <v>32</v>
      </c>
      <c r="E68" s="57" t="s">
        <v>32</v>
      </c>
      <c r="F68" s="56" t="s">
        <v>4</v>
      </c>
      <c r="G68" s="56" t="s">
        <v>4</v>
      </c>
      <c r="H68" s="56" t="s">
        <v>4</v>
      </c>
      <c r="I68" s="56" t="s">
        <v>4</v>
      </c>
      <c r="J68" s="56" t="s">
        <v>24</v>
      </c>
    </row>
    <row r="69" spans="1:10" s="30" customFormat="1" ht="26.4">
      <c r="A69" s="31"/>
      <c r="B69" s="55" t="s">
        <v>33</v>
      </c>
      <c r="C69" s="55" t="s">
        <v>8</v>
      </c>
      <c r="D69" s="55" t="s">
        <v>34</v>
      </c>
      <c r="E69" s="55" t="s">
        <v>34</v>
      </c>
      <c r="F69" s="55" t="s">
        <v>35</v>
      </c>
      <c r="G69" s="55" t="s">
        <v>35</v>
      </c>
      <c r="H69" s="55" t="s">
        <v>35</v>
      </c>
      <c r="I69" s="55" t="s">
        <v>35</v>
      </c>
      <c r="J69" s="55" t="s">
        <v>298</v>
      </c>
    </row>
    <row r="70" spans="1:10" s="30" customFormat="1" ht="26.4">
      <c r="A70" s="31"/>
      <c r="B70" s="55" t="s">
        <v>12</v>
      </c>
      <c r="C70" s="55" t="s">
        <v>15</v>
      </c>
      <c r="D70" s="55" t="s">
        <v>9</v>
      </c>
      <c r="E70" s="55" t="s">
        <v>10</v>
      </c>
      <c r="F70" s="55" t="s">
        <v>36</v>
      </c>
      <c r="G70" s="55" t="s">
        <v>299</v>
      </c>
      <c r="H70" s="55" t="s">
        <v>36</v>
      </c>
      <c r="I70" s="55" t="s">
        <v>299</v>
      </c>
      <c r="J70" s="55" t="s">
        <v>44</v>
      </c>
    </row>
    <row r="71" spans="1:10" s="30" customFormat="1">
      <c r="A71" s="24" t="s">
        <v>17</v>
      </c>
      <c r="B71" s="58" t="s">
        <v>37</v>
      </c>
      <c r="C71" s="58" t="s">
        <v>21</v>
      </c>
      <c r="D71" s="58" t="s">
        <v>38</v>
      </c>
      <c r="E71" s="58" t="s">
        <v>38</v>
      </c>
      <c r="F71" s="58" t="s">
        <v>39</v>
      </c>
      <c r="G71" s="58" t="s">
        <v>39</v>
      </c>
      <c r="H71" s="58" t="s">
        <v>22</v>
      </c>
      <c r="I71" s="58" t="s">
        <v>22</v>
      </c>
      <c r="J71" s="58" t="s">
        <v>22</v>
      </c>
    </row>
    <row r="72" spans="1:10">
      <c r="A72" s="32">
        <v>2005</v>
      </c>
      <c r="B72" s="14">
        <v>1377251.0910667141</v>
      </c>
      <c r="C72" s="14">
        <v>15</v>
      </c>
      <c r="D72" s="14">
        <v>91816.73940444761</v>
      </c>
      <c r="E72" s="14">
        <v>0</v>
      </c>
      <c r="F72" s="14">
        <v>1368207.6117566414</v>
      </c>
      <c r="G72" s="14">
        <v>1360475.7396270949</v>
      </c>
      <c r="H72" s="14">
        <v>1368.2076117566412</v>
      </c>
      <c r="I72" s="14">
        <v>1360.475739627095</v>
      </c>
      <c r="J72" s="14">
        <f>H72-I72</f>
        <v>7.7318721295462183</v>
      </c>
    </row>
    <row r="73" spans="1:10">
      <c r="A73" s="32">
        <v>2006</v>
      </c>
      <c r="B73" s="14">
        <v>1404534.0867800175</v>
      </c>
      <c r="C73" s="14">
        <v>15</v>
      </c>
      <c r="D73" s="14">
        <v>91816.73940444761</v>
      </c>
      <c r="E73" s="14">
        <v>27282.995713303389</v>
      </c>
      <c r="F73" s="14">
        <v>1395311.4584325249</v>
      </c>
      <c r="G73" s="14">
        <v>1368491.4017327963</v>
      </c>
      <c r="H73" s="14">
        <v>1395.3114584325249</v>
      </c>
      <c r="I73" s="14">
        <v>1368.4914017327962</v>
      </c>
      <c r="J73" s="14">
        <f t="shared" ref="J73:J89" si="2">H73-I73</f>
        <v>26.820056699728639</v>
      </c>
    </row>
    <row r="74" spans="1:10">
      <c r="A74" s="32">
        <v>2007</v>
      </c>
      <c r="B74" s="14">
        <v>1437630.002690421</v>
      </c>
      <c r="C74" s="14">
        <v>15</v>
      </c>
      <c r="D74" s="14">
        <v>91816.73940444761</v>
      </c>
      <c r="E74" s="14">
        <v>33095.915910403477</v>
      </c>
      <c r="F74" s="14">
        <v>1428190.0557779078</v>
      </c>
      <c r="G74" s="14">
        <v>1381350.1743703904</v>
      </c>
      <c r="H74" s="14">
        <v>1428.1900557779077</v>
      </c>
      <c r="I74" s="14">
        <v>1381.3501743703905</v>
      </c>
      <c r="J74" s="14">
        <f t="shared" si="2"/>
        <v>46.839881407517169</v>
      </c>
    </row>
    <row r="75" spans="1:10">
      <c r="A75" s="32">
        <v>2008</v>
      </c>
      <c r="B75" s="14">
        <v>1443984.9877601452</v>
      </c>
      <c r="C75" s="14">
        <v>15</v>
      </c>
      <c r="D75" s="14">
        <v>91816.73940444761</v>
      </c>
      <c r="E75" s="14">
        <v>6354.9850697243237</v>
      </c>
      <c r="F75" s="14">
        <v>1434503.3119454975</v>
      </c>
      <c r="G75" s="14">
        <v>1371929.3905379465</v>
      </c>
      <c r="H75" s="14">
        <v>1434.5033119454974</v>
      </c>
      <c r="I75" s="14">
        <v>1371.9293905379466</v>
      </c>
      <c r="J75" s="14">
        <f t="shared" si="2"/>
        <v>62.57392140755087</v>
      </c>
    </row>
    <row r="76" spans="1:10">
      <c r="A76" s="32">
        <v>2009</v>
      </c>
      <c r="B76" s="14">
        <v>1435596.3232093209</v>
      </c>
      <c r="C76" s="14">
        <v>15</v>
      </c>
      <c r="D76" s="14">
        <v>91816.73940444761</v>
      </c>
      <c r="E76" s="14">
        <v>-8388.6645508244983</v>
      </c>
      <c r="F76" s="14">
        <v>1426169.7300987614</v>
      </c>
      <c r="G76" s="14">
        <v>1350224.7420841649</v>
      </c>
      <c r="H76" s="14">
        <v>1426.1697300987614</v>
      </c>
      <c r="I76" s="14">
        <v>1350.2247420841647</v>
      </c>
      <c r="J76" s="14">
        <f t="shared" si="2"/>
        <v>75.944988014596674</v>
      </c>
    </row>
    <row r="77" spans="1:10">
      <c r="A77" s="32">
        <v>2010</v>
      </c>
      <c r="B77" s="14">
        <v>1439249.4097947751</v>
      </c>
      <c r="C77" s="14">
        <v>15</v>
      </c>
      <c r="D77" s="14">
        <v>91816.73940444761</v>
      </c>
      <c r="E77" s="14">
        <v>3653.0865854542935</v>
      </c>
      <c r="F77" s="14">
        <v>1429798.8293276851</v>
      </c>
      <c r="G77" s="14">
        <v>1335012.1806006839</v>
      </c>
      <c r="H77" s="14">
        <v>1429.7988293276851</v>
      </c>
      <c r="I77" s="14">
        <v>1335.0121806006841</v>
      </c>
      <c r="J77" s="14">
        <f t="shared" si="2"/>
        <v>94.786648727000966</v>
      </c>
    </row>
    <row r="78" spans="1:10">
      <c r="A78" s="32">
        <v>2011</v>
      </c>
      <c r="B78" s="14">
        <v>1451204.3275684707</v>
      </c>
      <c r="C78" s="14">
        <v>15</v>
      </c>
      <c r="D78" s="14">
        <v>91816.73940444761</v>
      </c>
      <c r="E78" s="14">
        <v>11954.917773695546</v>
      </c>
      <c r="F78" s="14">
        <v>1441675.2472169069</v>
      </c>
      <c r="G78" s="14">
        <v>1326408.5113436137</v>
      </c>
      <c r="H78" s="14">
        <v>1441.6752472169069</v>
      </c>
      <c r="I78" s="14">
        <v>1326.4085113436136</v>
      </c>
      <c r="J78" s="14">
        <f t="shared" si="2"/>
        <v>115.26673587329333</v>
      </c>
    </row>
    <row r="79" spans="1:10">
      <c r="A79" s="32">
        <v>2012</v>
      </c>
      <c r="B79" s="14">
        <v>1462253.4633658901</v>
      </c>
      <c r="C79" s="14">
        <v>15</v>
      </c>
      <c r="D79" s="14">
        <v>91816.73940444761</v>
      </c>
      <c r="E79" s="14">
        <v>11049.135797419411</v>
      </c>
      <c r="F79" s="14">
        <v>1452651.8307893716</v>
      </c>
      <c r="G79" s="14">
        <v>1317083.7703945157</v>
      </c>
      <c r="H79" s="14">
        <v>1452.6518307893716</v>
      </c>
      <c r="I79" s="14">
        <v>1317.0837703945156</v>
      </c>
      <c r="J79" s="14">
        <f t="shared" si="2"/>
        <v>135.56806039485605</v>
      </c>
    </row>
    <row r="80" spans="1:10">
      <c r="A80" s="32">
        <v>2013</v>
      </c>
      <c r="B80" s="14">
        <v>1477450.9401833373</v>
      </c>
      <c r="C80" s="14">
        <v>15</v>
      </c>
      <c r="D80" s="14">
        <v>91816.73940444761</v>
      </c>
      <c r="E80" s="14">
        <v>15197.476817447226</v>
      </c>
      <c r="F80" s="14">
        <v>1467749.5160233849</v>
      </c>
      <c r="G80" s="14">
        <v>1311061.4260008417</v>
      </c>
      <c r="H80" s="14">
        <v>1467.7495160233848</v>
      </c>
      <c r="I80" s="14">
        <v>1311.0614260008417</v>
      </c>
      <c r="J80" s="14">
        <f t="shared" si="2"/>
        <v>156.68809002254307</v>
      </c>
    </row>
    <row r="81" spans="1:10">
      <c r="A81" s="32">
        <v>2014</v>
      </c>
      <c r="B81" s="14">
        <v>1504595.8949513417</v>
      </c>
      <c r="C81" s="14">
        <v>15</v>
      </c>
      <c r="D81" s="14">
        <v>91816.73940444761</v>
      </c>
      <c r="E81" s="14">
        <v>27144.954768004362</v>
      </c>
      <c r="F81" s="14">
        <v>1494716.2281757835</v>
      </c>
      <c r="G81" s="14">
        <v>1314550.1873333943</v>
      </c>
      <c r="H81" s="14">
        <v>1494.7162281757837</v>
      </c>
      <c r="I81" s="14">
        <v>1314.5501873333944</v>
      </c>
      <c r="J81" s="14">
        <f t="shared" si="2"/>
        <v>180.16604084238929</v>
      </c>
    </row>
    <row r="82" spans="1:10">
      <c r="A82" s="32">
        <v>2015</v>
      </c>
      <c r="B82" s="14">
        <v>1543794.5968105993</v>
      </c>
      <c r="C82" s="14">
        <v>15</v>
      </c>
      <c r="D82" s="14">
        <v>91816.73940444761</v>
      </c>
      <c r="E82" s="14">
        <v>39198.701859257533</v>
      </c>
      <c r="F82" s="14">
        <v>1533657.5385894687</v>
      </c>
      <c r="G82" s="14">
        <v>1327634.6527514907</v>
      </c>
      <c r="H82" s="14">
        <v>1533.6575385894687</v>
      </c>
      <c r="I82" s="14">
        <v>1327.6346527514906</v>
      </c>
      <c r="J82" s="14">
        <f t="shared" si="2"/>
        <v>206.02288583797804</v>
      </c>
    </row>
    <row r="83" spans="1:10">
      <c r="A83" s="32">
        <v>2016</v>
      </c>
      <c r="B83" s="14">
        <v>1569685.5022121782</v>
      </c>
      <c r="C83" s="14">
        <v>15</v>
      </c>
      <c r="D83" s="14">
        <v>91816.73940444761</v>
      </c>
      <c r="E83" s="14">
        <v>25890.905401578988</v>
      </c>
      <c r="F83" s="14">
        <v>1559378.4358720947</v>
      </c>
      <c r="G83" s="14">
        <v>1330125.094927537</v>
      </c>
      <c r="H83" s="14">
        <v>1559.3784358720945</v>
      </c>
      <c r="I83" s="14">
        <v>1330.125094927537</v>
      </c>
      <c r="J83" s="14">
        <f t="shared" si="2"/>
        <v>229.25334094455752</v>
      </c>
    </row>
    <row r="84" spans="1:10">
      <c r="A84" s="32">
        <v>2017</v>
      </c>
      <c r="B84" s="14">
        <v>1594195.0336904107</v>
      </c>
      <c r="C84" s="14">
        <v>15</v>
      </c>
      <c r="D84" s="14">
        <v>91816.73940444761</v>
      </c>
      <c r="E84" s="14">
        <v>24509.531478232471</v>
      </c>
      <c r="F84" s="14">
        <v>1583727.0297825439</v>
      </c>
      <c r="G84" s="14">
        <v>1331515.8578669466</v>
      </c>
      <c r="H84" s="14">
        <v>1583.7270297825439</v>
      </c>
      <c r="I84" s="14">
        <v>1331.5158578669466</v>
      </c>
      <c r="J84" s="14">
        <f t="shared" si="2"/>
        <v>252.21117191559733</v>
      </c>
    </row>
    <row r="85" spans="1:10">
      <c r="A85" s="32">
        <v>2018</v>
      </c>
      <c r="B85" s="14">
        <v>1617084.8554625341</v>
      </c>
      <c r="C85" s="14">
        <v>15</v>
      </c>
      <c r="D85" s="14">
        <v>91816.73940444761</v>
      </c>
      <c r="E85" s="14">
        <v>22889.821772123454</v>
      </c>
      <c r="F85" s="14">
        <v>1606466.5495284428</v>
      </c>
      <c r="G85" s="14">
        <v>1331617.2080680069</v>
      </c>
      <c r="H85" s="14">
        <v>1606.4665495284428</v>
      </c>
      <c r="I85" s="14">
        <v>1331.6172080680069</v>
      </c>
      <c r="J85" s="14">
        <f t="shared" si="2"/>
        <v>274.84934146043588</v>
      </c>
    </row>
    <row r="86" spans="1:10">
      <c r="A86" s="32">
        <v>2019</v>
      </c>
      <c r="B86" s="14">
        <v>1639400.7529427367</v>
      </c>
      <c r="C86" s="14">
        <v>15</v>
      </c>
      <c r="D86" s="14">
        <v>91816.73940444761</v>
      </c>
      <c r="E86" s="14">
        <v>22315.897480202722</v>
      </c>
      <c r="F86" s="14">
        <v>1628635.9135562803</v>
      </c>
      <c r="G86" s="14">
        <v>1331261.6706613312</v>
      </c>
      <c r="H86" s="14">
        <v>1628.6359135562802</v>
      </c>
      <c r="I86" s="14">
        <v>1331.2616706613312</v>
      </c>
      <c r="J86" s="14">
        <f t="shared" si="2"/>
        <v>297.37424289494902</v>
      </c>
    </row>
    <row r="87" spans="1:10">
      <c r="A87" s="32">
        <v>2020</v>
      </c>
      <c r="B87" s="14">
        <v>1661218.6446540304</v>
      </c>
      <c r="C87" s="14">
        <v>15</v>
      </c>
      <c r="D87" s="14">
        <v>109293.38352951579</v>
      </c>
      <c r="E87" s="14">
        <v>21817.89171129372</v>
      </c>
      <c r="F87" s="14">
        <v>1650310.541883315</v>
      </c>
      <c r="G87" s="14">
        <v>1337593.4046228041</v>
      </c>
      <c r="H87" s="14">
        <v>1650.3105418833147</v>
      </c>
      <c r="I87" s="14">
        <v>1337.593404622804</v>
      </c>
      <c r="J87" s="14">
        <f t="shared" si="2"/>
        <v>312.71713726051075</v>
      </c>
    </row>
    <row r="88" spans="1:10">
      <c r="A88" s="32">
        <v>2021</v>
      </c>
      <c r="B88" s="14">
        <v>1682755.1530358449</v>
      </c>
      <c r="C88" s="14">
        <v>15</v>
      </c>
      <c r="D88" s="14">
        <v>109293.38352951579</v>
      </c>
      <c r="E88" s="14">
        <v>21536.508381814347</v>
      </c>
      <c r="F88" s="14">
        <v>1671705.6345354738</v>
      </c>
      <c r="G88" s="14">
        <v>1350684.7866218248</v>
      </c>
      <c r="H88" s="14">
        <v>1671.705634535474</v>
      </c>
      <c r="I88" s="14">
        <v>1350.684786621825</v>
      </c>
      <c r="J88" s="14">
        <f t="shared" si="2"/>
        <v>321.02084791364905</v>
      </c>
    </row>
    <row r="89" spans="1:10">
      <c r="A89" s="32">
        <v>2022</v>
      </c>
      <c r="B89" s="14">
        <v>1704494.9927133694</v>
      </c>
      <c r="C89" s="14">
        <v>15</v>
      </c>
      <c r="D89" s="14">
        <v>109293.38352951579</v>
      </c>
      <c r="E89" s="14">
        <v>21739.839677524636</v>
      </c>
      <c r="F89" s="14">
        <v>1693302.7233438189</v>
      </c>
      <c r="G89" s="14">
        <v>1363938.035875086</v>
      </c>
      <c r="H89" s="14">
        <v>1693.3027233438188</v>
      </c>
      <c r="I89" s="14">
        <v>1363.9380358750861</v>
      </c>
      <c r="J89" s="14">
        <f t="shared" si="2"/>
        <v>329.36468746873265</v>
      </c>
    </row>
    <row r="90" spans="1:10">
      <c r="A90" s="32">
        <v>2023</v>
      </c>
      <c r="B90" s="14">
        <v>1725954.4150102697</v>
      </c>
      <c r="C90" s="14">
        <v>15</v>
      </c>
      <c r="D90" s="14">
        <v>109293.38352951579</v>
      </c>
      <c r="E90" s="14">
        <v>21459.422296900186</v>
      </c>
      <c r="F90" s="14">
        <v>1714621.2360834084</v>
      </c>
      <c r="G90" s="14">
        <v>1376968.0514579751</v>
      </c>
      <c r="H90" s="14">
        <v>1714.6212360834083</v>
      </c>
      <c r="I90" s="14">
        <v>1376.968051457975</v>
      </c>
      <c r="J90" s="14">
        <f>H90-I90</f>
        <v>337.65318462543337</v>
      </c>
    </row>
    <row r="91" spans="1:10">
      <c r="A91" s="32">
        <v>2024</v>
      </c>
      <c r="B91" s="14">
        <v>1747067.2160299448</v>
      </c>
      <c r="C91" s="14">
        <v>15</v>
      </c>
      <c r="D91" s="14">
        <v>109293.38352951579</v>
      </c>
      <c r="E91" s="14">
        <v>21112.801019675215</v>
      </c>
      <c r="F91" s="14">
        <v>1735595.4035739927</v>
      </c>
      <c r="G91" s="14">
        <v>1390799.051586472</v>
      </c>
      <c r="H91" s="14">
        <v>1735.5954035739924</v>
      </c>
      <c r="I91" s="14">
        <v>1390.7990515864719</v>
      </c>
      <c r="J91" s="14">
        <f>H91-I91</f>
        <v>344.79635198752044</v>
      </c>
    </row>
    <row r="92" spans="1:10">
      <c r="A92" s="32">
        <v>2025</v>
      </c>
      <c r="B92" s="14">
        <v>1768733.9911063968</v>
      </c>
      <c r="C92" s="14">
        <v>15</v>
      </c>
      <c r="D92" s="14">
        <v>109293.38352951579</v>
      </c>
      <c r="E92" s="14">
        <v>21666.775076451828</v>
      </c>
      <c r="F92" s="14">
        <v>1757119.9075472369</v>
      </c>
      <c r="G92" s="14">
        <v>1408047.460778045</v>
      </c>
      <c r="H92" s="14">
        <v>1757.1199075472368</v>
      </c>
      <c r="I92" s="14">
        <v>1408.047460778045</v>
      </c>
      <c r="J92" s="14">
        <f>H92-I92</f>
        <v>349.07244676919186</v>
      </c>
    </row>
    <row r="93" spans="1:10">
      <c r="A93" s="32">
        <v>2026</v>
      </c>
      <c r="B93" s="14">
        <v>1790881.5083398349</v>
      </c>
      <c r="C93" s="14">
        <v>15</v>
      </c>
      <c r="D93" s="14">
        <v>109293.38352951579</v>
      </c>
      <c r="E93" s="14">
        <v>22147.517233437975</v>
      </c>
      <c r="F93" s="14">
        <v>1779121.9969678603</v>
      </c>
      <c r="G93" s="14">
        <v>1425678.5774750069</v>
      </c>
      <c r="H93" s="14">
        <v>1779.1219969678605</v>
      </c>
      <c r="I93" s="14">
        <v>1425.6785774750069</v>
      </c>
      <c r="J93" s="14">
        <f>H93-I93</f>
        <v>353.44341949285354</v>
      </c>
    </row>
    <row r="94" spans="1:10">
      <c r="A94" s="34"/>
      <c r="B94" s="18"/>
      <c r="C94" s="18"/>
      <c r="D94" s="18"/>
      <c r="E94" s="18"/>
      <c r="F94" s="18"/>
      <c r="G94" s="18"/>
      <c r="H94" s="18"/>
      <c r="I94" s="18"/>
      <c r="J94" s="155"/>
    </row>
    <row r="95" spans="1:10" s="26" customFormat="1" ht="15.6">
      <c r="A95" s="25" t="s">
        <v>42</v>
      </c>
      <c r="B95" s="27"/>
      <c r="C95" s="25"/>
      <c r="D95" s="25"/>
      <c r="E95" s="25"/>
      <c r="F95" s="25"/>
      <c r="G95" s="25"/>
      <c r="H95" s="25"/>
      <c r="I95" s="25"/>
      <c r="J95" s="155"/>
    </row>
    <row r="96" spans="1:10" s="30" customFormat="1">
      <c r="A96" s="28"/>
      <c r="B96" s="29" t="s">
        <v>28</v>
      </c>
      <c r="C96" s="23"/>
      <c r="D96" s="23"/>
      <c r="E96" s="23"/>
      <c r="F96" s="23" t="s">
        <v>29</v>
      </c>
      <c r="G96" s="23" t="s">
        <v>30</v>
      </c>
      <c r="H96" s="23" t="s">
        <v>29</v>
      </c>
      <c r="I96" s="23" t="s">
        <v>30</v>
      </c>
      <c r="J96" s="23" t="s">
        <v>43</v>
      </c>
    </row>
    <row r="97" spans="1:12" s="30" customFormat="1">
      <c r="A97" s="31"/>
      <c r="B97" s="56" t="s">
        <v>4</v>
      </c>
      <c r="C97" s="57" t="s">
        <v>31</v>
      </c>
      <c r="D97" s="57" t="s">
        <v>32</v>
      </c>
      <c r="E97" s="57" t="s">
        <v>32</v>
      </c>
      <c r="F97" s="56" t="s">
        <v>4</v>
      </c>
      <c r="G97" s="56" t="s">
        <v>4</v>
      </c>
      <c r="H97" s="56" t="s">
        <v>4</v>
      </c>
      <c r="I97" s="56" t="s">
        <v>4</v>
      </c>
      <c r="J97" s="56" t="s">
        <v>24</v>
      </c>
    </row>
    <row r="98" spans="1:12" s="30" customFormat="1" ht="26.4">
      <c r="A98" s="31"/>
      <c r="B98" s="55" t="s">
        <v>33</v>
      </c>
      <c r="C98" s="55" t="s">
        <v>8</v>
      </c>
      <c r="D98" s="55" t="s">
        <v>34</v>
      </c>
      <c r="E98" s="55" t="s">
        <v>34</v>
      </c>
      <c r="F98" s="55" t="s">
        <v>35</v>
      </c>
      <c r="G98" s="55" t="s">
        <v>35</v>
      </c>
      <c r="H98" s="55" t="s">
        <v>35</v>
      </c>
      <c r="I98" s="55" t="s">
        <v>35</v>
      </c>
      <c r="J98" s="55" t="s">
        <v>298</v>
      </c>
    </row>
    <row r="99" spans="1:12" s="30" customFormat="1" ht="26.4">
      <c r="A99" s="31"/>
      <c r="B99" s="55" t="s">
        <v>12</v>
      </c>
      <c r="C99" s="55" t="s">
        <v>15</v>
      </c>
      <c r="D99" s="55" t="s">
        <v>9</v>
      </c>
      <c r="E99" s="55" t="s">
        <v>10</v>
      </c>
      <c r="F99" s="55" t="s">
        <v>36</v>
      </c>
      <c r="G99" s="55" t="s">
        <v>299</v>
      </c>
      <c r="H99" s="55" t="s">
        <v>36</v>
      </c>
      <c r="I99" s="55" t="s">
        <v>299</v>
      </c>
      <c r="J99" s="55" t="s">
        <v>44</v>
      </c>
    </row>
    <row r="100" spans="1:12" s="30" customFormat="1">
      <c r="A100" s="24" t="s">
        <v>17</v>
      </c>
      <c r="B100" s="58" t="s">
        <v>37</v>
      </c>
      <c r="C100" s="58" t="s">
        <v>21</v>
      </c>
      <c r="D100" s="58" t="s">
        <v>38</v>
      </c>
      <c r="E100" s="58" t="s">
        <v>38</v>
      </c>
      <c r="F100" s="58" t="s">
        <v>39</v>
      </c>
      <c r="G100" s="58" t="s">
        <v>39</v>
      </c>
      <c r="H100" s="58" t="s">
        <v>22</v>
      </c>
      <c r="I100" s="58" t="s">
        <v>22</v>
      </c>
      <c r="J100" s="58" t="s">
        <v>22</v>
      </c>
    </row>
    <row r="101" spans="1:12">
      <c r="A101" s="32">
        <v>2005</v>
      </c>
      <c r="B101" s="14">
        <v>1025612.5146241488</v>
      </c>
      <c r="C101" s="14">
        <v>15</v>
      </c>
      <c r="D101" s="14">
        <v>68374.167641609922</v>
      </c>
      <c r="E101" s="14">
        <v>0</v>
      </c>
      <c r="F101" s="14">
        <v>1049655.365422972</v>
      </c>
      <c r="G101" s="14">
        <v>1042480.1623447184</v>
      </c>
      <c r="H101" s="14">
        <v>1049.655365422972</v>
      </c>
      <c r="I101" s="14">
        <v>1042.4801623447183</v>
      </c>
      <c r="J101" s="14">
        <f>H101-I101</f>
        <v>7.1752030782536167</v>
      </c>
      <c r="L101" s="38"/>
    </row>
    <row r="102" spans="1:12">
      <c r="A102" s="32">
        <v>2006</v>
      </c>
      <c r="B102" s="14">
        <v>1045929.6390915025</v>
      </c>
      <c r="C102" s="14">
        <v>15</v>
      </c>
      <c r="D102" s="14">
        <v>68374.167641609922</v>
      </c>
      <c r="E102" s="14">
        <v>20317.1244673537</v>
      </c>
      <c r="F102" s="14">
        <v>1070448.7726825736</v>
      </c>
      <c r="G102" s="14">
        <v>1052223.0054756727</v>
      </c>
      <c r="H102" s="14">
        <v>1070.4487726825737</v>
      </c>
      <c r="I102" s="14">
        <v>1052.2230054756726</v>
      </c>
      <c r="J102" s="14">
        <f t="shared" ref="J102:J118" si="3">H102-I102</f>
        <v>18.225767206901082</v>
      </c>
    </row>
    <row r="103" spans="1:12">
      <c r="A103" s="32">
        <v>2007</v>
      </c>
      <c r="B103" s="14">
        <v>1070575.5339183984</v>
      </c>
      <c r="C103" s="14">
        <v>15</v>
      </c>
      <c r="D103" s="14">
        <v>68374.167641609922</v>
      </c>
      <c r="E103" s="14">
        <v>24645.894826896008</v>
      </c>
      <c r="F103" s="14">
        <v>1095672.4272029966</v>
      </c>
      <c r="G103" s="14">
        <v>1065856.7491816701</v>
      </c>
      <c r="H103" s="14">
        <v>1095.6724272029965</v>
      </c>
      <c r="I103" s="14">
        <v>1065.8567491816702</v>
      </c>
      <c r="J103" s="14">
        <f t="shared" si="3"/>
        <v>29.815678021326221</v>
      </c>
    </row>
    <row r="104" spans="1:12">
      <c r="A104" s="32">
        <v>2008</v>
      </c>
      <c r="B104" s="14">
        <v>1075307.9696086186</v>
      </c>
      <c r="C104" s="14">
        <v>15</v>
      </c>
      <c r="D104" s="14">
        <v>68374.167641609922</v>
      </c>
      <c r="E104" s="14">
        <v>4732.4356902202126</v>
      </c>
      <c r="F104" s="14">
        <v>1100515.8026912326</v>
      </c>
      <c r="G104" s="14">
        <v>1061591.3475945485</v>
      </c>
      <c r="H104" s="14">
        <v>1100.5158026912327</v>
      </c>
      <c r="I104" s="14">
        <v>1061.5913475945486</v>
      </c>
      <c r="J104" s="14">
        <f t="shared" si="3"/>
        <v>38.924455096684142</v>
      </c>
    </row>
    <row r="105" spans="1:12">
      <c r="A105" s="32">
        <v>2009</v>
      </c>
      <c r="B105" s="14">
        <v>1069061.091751622</v>
      </c>
      <c r="C105" s="14">
        <v>15</v>
      </c>
      <c r="D105" s="14">
        <v>68374.167641609922</v>
      </c>
      <c r="E105" s="14">
        <v>-6246.8778569967544</v>
      </c>
      <c r="F105" s="14">
        <v>1094122.4828299384</v>
      </c>
      <c r="G105" s="14">
        <v>1047457.2272152003</v>
      </c>
      <c r="H105" s="14">
        <v>1094.1224828299382</v>
      </c>
      <c r="I105" s="14">
        <v>1047.4572272152002</v>
      </c>
      <c r="J105" s="14">
        <f t="shared" si="3"/>
        <v>46.665255614738044</v>
      </c>
    </row>
    <row r="106" spans="1:12">
      <c r="A106" s="32">
        <v>2010</v>
      </c>
      <c r="B106" s="14">
        <v>1071781.475379088</v>
      </c>
      <c r="C106" s="14">
        <v>15</v>
      </c>
      <c r="D106" s="14">
        <v>68374.167641609922</v>
      </c>
      <c r="E106" s="14">
        <v>2720.3836274659989</v>
      </c>
      <c r="F106" s="14">
        <v>1096906.638863394</v>
      </c>
      <c r="G106" s="14">
        <v>1039042.7377350021</v>
      </c>
      <c r="H106" s="14">
        <v>1096.9066388633942</v>
      </c>
      <c r="I106" s="14">
        <v>1039.0427377350022</v>
      </c>
      <c r="J106" s="14">
        <f t="shared" si="3"/>
        <v>57.863901128391944</v>
      </c>
    </row>
    <row r="107" spans="1:12">
      <c r="A107" s="32">
        <v>2011</v>
      </c>
      <c r="B107" s="14">
        <v>1080684.0737212014</v>
      </c>
      <c r="C107" s="14">
        <v>15</v>
      </c>
      <c r="D107" s="14">
        <v>68374.167641609922</v>
      </c>
      <c r="E107" s="14">
        <v>8902.5983421134588</v>
      </c>
      <c r="F107" s="14">
        <v>1106017.9357545299</v>
      </c>
      <c r="G107" s="14">
        <v>1035981.5812771043</v>
      </c>
      <c r="H107" s="14">
        <v>1106.0179357545298</v>
      </c>
      <c r="I107" s="14">
        <v>1035.9815812771044</v>
      </c>
      <c r="J107" s="14">
        <f t="shared" si="3"/>
        <v>70.036354477425448</v>
      </c>
    </row>
    <row r="108" spans="1:12">
      <c r="A108" s="32">
        <v>2012</v>
      </c>
      <c r="B108" s="14">
        <v>1088912.1535703435</v>
      </c>
      <c r="C108" s="14">
        <v>15</v>
      </c>
      <c r="D108" s="14">
        <v>68374.167641609922</v>
      </c>
      <c r="E108" s="14">
        <v>8228.0798491421883</v>
      </c>
      <c r="F108" s="14">
        <v>1114438.9017993384</v>
      </c>
      <c r="G108" s="14">
        <v>1032336.3425300522</v>
      </c>
      <c r="H108" s="14">
        <v>1114.4389017993385</v>
      </c>
      <c r="I108" s="14">
        <v>1032.3363425300522</v>
      </c>
      <c r="J108" s="14">
        <f t="shared" si="3"/>
        <v>82.102559269286303</v>
      </c>
    </row>
    <row r="109" spans="1:12">
      <c r="A109" s="32">
        <v>2013</v>
      </c>
      <c r="B109" s="14">
        <v>1100229.4235407831</v>
      </c>
      <c r="C109" s="14">
        <v>15</v>
      </c>
      <c r="D109" s="14">
        <v>68374.167641609922</v>
      </c>
      <c r="E109" s="14">
        <v>11317.269970439462</v>
      </c>
      <c r="F109" s="14">
        <v>1126021.4760922871</v>
      </c>
      <c r="G109" s="14">
        <v>1031366.1101119331</v>
      </c>
      <c r="H109" s="14">
        <v>1126.0214760922872</v>
      </c>
      <c r="I109" s="14">
        <v>1031.3661101119333</v>
      </c>
      <c r="J109" s="14">
        <f t="shared" si="3"/>
        <v>94.655365980353963</v>
      </c>
    </row>
    <row r="110" spans="1:12">
      <c r="A110" s="32">
        <v>2014</v>
      </c>
      <c r="B110" s="14">
        <v>1120443.7515595099</v>
      </c>
      <c r="C110" s="14">
        <v>15</v>
      </c>
      <c r="D110" s="14">
        <v>68374.167641609922</v>
      </c>
      <c r="E110" s="14">
        <v>20214.328018726737</v>
      </c>
      <c r="F110" s="14">
        <v>1146709.6771045886</v>
      </c>
      <c r="G110" s="14">
        <v>1038100.060878907</v>
      </c>
      <c r="H110" s="14">
        <v>1146.7096771045885</v>
      </c>
      <c r="I110" s="14">
        <v>1038.100060878907</v>
      </c>
      <c r="J110" s="14">
        <f t="shared" si="3"/>
        <v>108.60961622568152</v>
      </c>
    </row>
    <row r="111" spans="1:12">
      <c r="A111" s="32">
        <v>2015</v>
      </c>
      <c r="B111" s="14">
        <v>1149634.2742206592</v>
      </c>
      <c r="C111" s="14">
        <v>15</v>
      </c>
      <c r="D111" s="14">
        <v>68374.167641609922</v>
      </c>
      <c r="E111" s="14">
        <v>29190.522661149429</v>
      </c>
      <c r="F111" s="14">
        <v>1176584.4965845412</v>
      </c>
      <c r="G111" s="14">
        <v>1052606.7211701919</v>
      </c>
      <c r="H111" s="14">
        <v>1176.5844965845411</v>
      </c>
      <c r="I111" s="14">
        <v>1052.6067211701918</v>
      </c>
      <c r="J111" s="14">
        <f t="shared" si="3"/>
        <v>123.97777541434925</v>
      </c>
    </row>
    <row r="112" spans="1:12">
      <c r="A112" s="32">
        <v>2016</v>
      </c>
      <c r="B112" s="14">
        <v>1168914.7356899199</v>
      </c>
      <c r="C112" s="14">
        <v>15</v>
      </c>
      <c r="D112" s="14">
        <v>68374.167641609922</v>
      </c>
      <c r="E112" s="14">
        <v>19280.461469260641</v>
      </c>
      <c r="F112" s="14">
        <v>1196316.9389450524</v>
      </c>
      <c r="G112" s="14">
        <v>1058532.0137348173</v>
      </c>
      <c r="H112" s="14">
        <v>1196.3169389450525</v>
      </c>
      <c r="I112" s="14">
        <v>1058.5320137348172</v>
      </c>
      <c r="J112" s="14">
        <f t="shared" si="3"/>
        <v>137.78492521023531</v>
      </c>
    </row>
    <row r="113" spans="1:10">
      <c r="A113" s="32">
        <v>2017</v>
      </c>
      <c r="B113" s="14">
        <v>1187166.5144503061</v>
      </c>
      <c r="C113" s="14">
        <v>15</v>
      </c>
      <c r="D113" s="14">
        <v>68374.167641609922</v>
      </c>
      <c r="E113" s="14">
        <v>18251.778760386151</v>
      </c>
      <c r="F113" s="14">
        <v>1214996.5837730733</v>
      </c>
      <c r="G113" s="14">
        <v>1063566.5444334983</v>
      </c>
      <c r="H113" s="14">
        <v>1214.9965837730733</v>
      </c>
      <c r="I113" s="14">
        <v>1063.5665444334984</v>
      </c>
      <c r="J113" s="14">
        <f t="shared" si="3"/>
        <v>151.43003933957493</v>
      </c>
    </row>
    <row r="114" spans="1:10">
      <c r="A114" s="32">
        <v>2018</v>
      </c>
      <c r="B114" s="14">
        <v>1204212.1264082699</v>
      </c>
      <c r="C114" s="14">
        <v>15</v>
      </c>
      <c r="D114" s="14">
        <v>68374.167641609922</v>
      </c>
      <c r="E114" s="14">
        <v>17045.61195796392</v>
      </c>
      <c r="F114" s="14">
        <v>1232441.7863164057</v>
      </c>
      <c r="G114" s="14">
        <v>1067556.6253885445</v>
      </c>
      <c r="H114" s="14">
        <v>1232.4417863164058</v>
      </c>
      <c r="I114" s="14">
        <v>1067.5566253885445</v>
      </c>
      <c r="J114" s="14">
        <f t="shared" si="3"/>
        <v>164.88516092786131</v>
      </c>
    </row>
    <row r="115" spans="1:10">
      <c r="A115" s="32">
        <v>2019</v>
      </c>
      <c r="B115" s="14">
        <v>1220830.3479360808</v>
      </c>
      <c r="C115" s="14">
        <v>15</v>
      </c>
      <c r="D115" s="14">
        <v>68374.167641609922</v>
      </c>
      <c r="E115" s="14">
        <v>16618.221527810849</v>
      </c>
      <c r="F115" s="14">
        <v>1249449.5793588362</v>
      </c>
      <c r="G115" s="14">
        <v>1071176.6183720853</v>
      </c>
      <c r="H115" s="14">
        <v>1249.4495793588362</v>
      </c>
      <c r="I115" s="14">
        <v>1071.1766183720854</v>
      </c>
      <c r="J115" s="14">
        <f t="shared" si="3"/>
        <v>178.27296098675083</v>
      </c>
    </row>
    <row r="116" spans="1:10">
      <c r="A116" s="32">
        <v>2020</v>
      </c>
      <c r="B116" s="14">
        <v>1237077.714104065</v>
      </c>
      <c r="C116" s="14">
        <v>15</v>
      </c>
      <c r="D116" s="14">
        <v>81388.689862405387</v>
      </c>
      <c r="E116" s="14">
        <v>16247.366167984263</v>
      </c>
      <c r="F116" s="14">
        <v>1266077.8232901869</v>
      </c>
      <c r="G116" s="14">
        <v>1081222.2198801306</v>
      </c>
      <c r="H116" s="14">
        <v>1266.0778232901866</v>
      </c>
      <c r="I116" s="14">
        <v>1081.2222198801305</v>
      </c>
      <c r="J116" s="14">
        <f t="shared" si="3"/>
        <v>184.85560341005612</v>
      </c>
    </row>
    <row r="117" spans="1:10">
      <c r="A117" s="32">
        <v>2021</v>
      </c>
      <c r="B117" s="14">
        <v>1253115.5394947783</v>
      </c>
      <c r="C117" s="14">
        <v>15</v>
      </c>
      <c r="D117" s="14">
        <v>81388.689862405387</v>
      </c>
      <c r="E117" s="14">
        <v>16037.825390713275</v>
      </c>
      <c r="F117" s="14">
        <v>1282491.6142990147</v>
      </c>
      <c r="G117" s="14">
        <v>1092430.3071322127</v>
      </c>
      <c r="H117" s="14">
        <v>1282.4916142990146</v>
      </c>
      <c r="I117" s="14">
        <v>1092.4303071322126</v>
      </c>
      <c r="J117" s="14">
        <f t="shared" si="3"/>
        <v>190.06130716680195</v>
      </c>
    </row>
    <row r="118" spans="1:10">
      <c r="A118" s="32">
        <v>2022</v>
      </c>
      <c r="B118" s="14">
        <v>1269304.7818078285</v>
      </c>
      <c r="C118" s="14">
        <v>15</v>
      </c>
      <c r="D118" s="14">
        <v>81388.689862405387</v>
      </c>
      <c r="E118" s="14">
        <v>16189.242313050141</v>
      </c>
      <c r="F118" s="14">
        <v>1299060.3718109615</v>
      </c>
      <c r="G118" s="14">
        <v>1103769.5100520439</v>
      </c>
      <c r="H118" s="14">
        <v>1299.0603718109614</v>
      </c>
      <c r="I118" s="14">
        <v>1103.7695100520439</v>
      </c>
      <c r="J118" s="14">
        <f t="shared" si="3"/>
        <v>195.29086175891757</v>
      </c>
    </row>
    <row r="119" spans="1:10">
      <c r="A119" s="32">
        <v>2023</v>
      </c>
      <c r="B119" s="14">
        <v>1285285.2026672219</v>
      </c>
      <c r="C119" s="14">
        <v>15</v>
      </c>
      <c r="D119" s="14">
        <v>81388.689862405387</v>
      </c>
      <c r="E119" s="14">
        <v>15980.420859393547</v>
      </c>
      <c r="F119" s="14">
        <v>1315415.4125866941</v>
      </c>
      <c r="G119" s="14">
        <v>1114927.8892969913</v>
      </c>
      <c r="H119" s="14">
        <v>1315.4154125866942</v>
      </c>
      <c r="I119" s="14">
        <v>1114.9278892969912</v>
      </c>
      <c r="J119" s="14">
        <f>H119-I119</f>
        <v>200.48752328970295</v>
      </c>
    </row>
    <row r="120" spans="1:10">
      <c r="A120" s="32">
        <v>2024</v>
      </c>
      <c r="B120" s="14">
        <v>1301007.5012988951</v>
      </c>
      <c r="C120" s="14">
        <v>15</v>
      </c>
      <c r="D120" s="14">
        <v>81388.689862405387</v>
      </c>
      <c r="E120" s="14">
        <v>15722.298631673082</v>
      </c>
      <c r="F120" s="14">
        <v>1331506.2801221451</v>
      </c>
      <c r="G120" s="14">
        <v>1126574.6565648245</v>
      </c>
      <c r="H120" s="14">
        <v>1331.5062801221447</v>
      </c>
      <c r="I120" s="14">
        <v>1126.5746565648246</v>
      </c>
      <c r="J120" s="14">
        <f>H120-I120</f>
        <v>204.93162355732011</v>
      </c>
    </row>
    <row r="121" spans="1:10">
      <c r="A121" s="32">
        <v>2025</v>
      </c>
      <c r="B121" s="14">
        <v>1317142.3338026358</v>
      </c>
      <c r="C121" s="14">
        <v>15</v>
      </c>
      <c r="D121" s="14">
        <v>81388.689862405387</v>
      </c>
      <c r="E121" s="14">
        <v>16134.832503740807</v>
      </c>
      <c r="F121" s="14">
        <v>1348019.3523265719</v>
      </c>
      <c r="G121" s="14">
        <v>1140546.2081265836</v>
      </c>
      <c r="H121" s="14">
        <v>1348.0193523265718</v>
      </c>
      <c r="I121" s="14">
        <v>1140.5462081265835</v>
      </c>
      <c r="J121" s="14">
        <f>H121-I121</f>
        <v>207.47314419998838</v>
      </c>
    </row>
    <row r="122" spans="1:10">
      <c r="A122" s="32">
        <v>2026</v>
      </c>
      <c r="B122" s="14">
        <v>1333635.1657849832</v>
      </c>
      <c r="C122" s="14">
        <v>15</v>
      </c>
      <c r="D122" s="14">
        <v>81388.689862405387</v>
      </c>
      <c r="E122" s="14">
        <v>16492.831982347299</v>
      </c>
      <c r="F122" s="14">
        <v>1364898.8163877476</v>
      </c>
      <c r="G122" s="14">
        <v>1154827.7603142103</v>
      </c>
      <c r="H122" s="14">
        <v>1364.8988163877475</v>
      </c>
      <c r="I122" s="14">
        <v>1154.8277603142105</v>
      </c>
      <c r="J122" s="14">
        <f>H122-I122</f>
        <v>210.07105607353697</v>
      </c>
    </row>
    <row r="123" spans="1:10">
      <c r="J123" s="155"/>
    </row>
    <row r="124" spans="1:10">
      <c r="A124" s="33" t="s">
        <v>222</v>
      </c>
      <c r="J124" s="155"/>
    </row>
    <row r="125" spans="1:10">
      <c r="A125" s="33" t="s">
        <v>300</v>
      </c>
      <c r="J125" s="155"/>
    </row>
    <row r="126" spans="1:10">
      <c r="A126" s="33" t="s">
        <v>223</v>
      </c>
      <c r="J126" s="155"/>
    </row>
    <row r="128" spans="1:10">
      <c r="A128" s="33" t="s">
        <v>103</v>
      </c>
      <c r="F128" s="35"/>
      <c r="G128" s="35"/>
      <c r="H128" s="35"/>
      <c r="I128" s="35"/>
    </row>
    <row r="129" spans="1:9">
      <c r="A129" s="33" t="s">
        <v>297</v>
      </c>
      <c r="F129" s="35"/>
      <c r="G129" s="35"/>
      <c r="H129" s="35"/>
      <c r="I129" s="35"/>
    </row>
    <row r="130" spans="1:9">
      <c r="F130" s="35"/>
      <c r="G130" s="35"/>
      <c r="H130" s="35"/>
      <c r="I130" s="35"/>
    </row>
    <row r="131" spans="1:9">
      <c r="F131" s="35"/>
      <c r="G131" s="35"/>
      <c r="H131" s="35"/>
      <c r="I131" s="35"/>
    </row>
    <row r="132" spans="1:9">
      <c r="F132" s="35"/>
      <c r="G132" s="35"/>
      <c r="H132" s="35"/>
      <c r="I132" s="35"/>
    </row>
    <row r="133" spans="1:9">
      <c r="F133" s="35"/>
      <c r="G133" s="35"/>
      <c r="H133" s="35"/>
      <c r="I133" s="35"/>
    </row>
    <row r="134" spans="1:9">
      <c r="F134" s="35"/>
      <c r="G134" s="35"/>
      <c r="H134" s="35"/>
      <c r="I134" s="35"/>
    </row>
    <row r="135" spans="1:9">
      <c r="F135" s="35"/>
      <c r="G135" s="35"/>
      <c r="H135" s="35"/>
      <c r="I135" s="35"/>
    </row>
    <row r="136" spans="1:9">
      <c r="F136" s="35"/>
      <c r="G136" s="35"/>
      <c r="H136" s="35"/>
      <c r="I136" s="35"/>
    </row>
    <row r="137" spans="1:9">
      <c r="F137" s="35"/>
      <c r="G137" s="35"/>
      <c r="H137" s="35"/>
      <c r="I137" s="35"/>
    </row>
  </sheetData>
  <phoneticPr fontId="0" type="noConversion"/>
  <printOptions horizontalCentered="1"/>
  <pageMargins left="0.75" right="0.75" top="0.75" bottom="0.75" header="0.5" footer="0.5"/>
  <pageSetup scale="34"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pageSetUpPr fitToPage="1"/>
  </sheetPr>
  <dimension ref="A1:O136"/>
  <sheetViews>
    <sheetView zoomScale="75" zoomScaleNormal="75" workbookViewId="0">
      <pane xSplit="2" ySplit="11" topLeftCell="C12" activePane="bottomRight" state="frozen"/>
      <selection pane="topRight" activeCell="C1" sqref="C1"/>
      <selection pane="bottomLeft" activeCell="A12" sqref="A12"/>
      <selection pane="bottomRight" activeCell="A2" sqref="A1:A2"/>
    </sheetView>
  </sheetViews>
  <sheetFormatPr defaultColWidth="9.109375" defaultRowHeight="13.2"/>
  <cols>
    <col min="1" max="1" width="14.109375" style="33" customWidth="1"/>
    <col min="2" max="4" width="20.109375" style="33" customWidth="1"/>
    <col min="5" max="8" width="17.33203125" style="33" customWidth="1"/>
    <col min="9" max="9" width="19.5546875" style="33" customWidth="1"/>
    <col min="10" max="10" width="25.88671875" style="33" customWidth="1"/>
    <col min="11" max="11" width="27" style="33" customWidth="1"/>
    <col min="12" max="14" width="24.5546875" style="33" customWidth="1"/>
    <col min="15" max="18" width="9.109375" style="33"/>
    <col min="19" max="21" width="9.109375" style="33" customWidth="1"/>
    <col min="22" max="16384" width="9.109375" style="33"/>
  </cols>
  <sheetData>
    <row r="1" spans="1:15" s="26" customFormat="1" ht="15.6">
      <c r="A1" s="416" t="s">
        <v>400</v>
      </c>
      <c r="B1" s="25"/>
      <c r="C1" s="25"/>
      <c r="D1" s="25"/>
      <c r="E1" s="25"/>
      <c r="F1" s="25"/>
      <c r="G1" s="25"/>
      <c r="H1" s="25"/>
      <c r="I1" s="25"/>
      <c r="J1" s="25"/>
      <c r="K1" s="25"/>
    </row>
    <row r="2" spans="1:15" s="26" customFormat="1" ht="15.6">
      <c r="A2" s="416" t="s">
        <v>380</v>
      </c>
      <c r="B2" s="27"/>
      <c r="C2" s="25"/>
      <c r="D2" s="25"/>
      <c r="E2" s="25"/>
      <c r="F2" s="25"/>
      <c r="G2" s="25"/>
      <c r="H2" s="25"/>
      <c r="I2" s="25"/>
      <c r="J2" s="25"/>
      <c r="K2" s="25"/>
    </row>
    <row r="3" spans="1:15" s="26" customFormat="1" ht="15.6">
      <c r="A3" s="25" t="s">
        <v>221</v>
      </c>
      <c r="B3" s="27"/>
      <c r="C3" s="25"/>
      <c r="D3" s="25"/>
      <c r="E3" s="25"/>
      <c r="F3" s="25"/>
      <c r="G3" s="25"/>
      <c r="H3" s="25"/>
      <c r="I3" s="25"/>
      <c r="J3" s="25"/>
      <c r="K3" s="25"/>
    </row>
    <row r="4" spans="1:15" s="26" customFormat="1" ht="15.6">
      <c r="A4" s="25" t="s">
        <v>272</v>
      </c>
      <c r="B4" s="27"/>
      <c r="C4" s="25"/>
      <c r="D4" s="25"/>
      <c r="E4" s="25"/>
      <c r="F4" s="25"/>
      <c r="G4" s="25"/>
      <c r="H4" s="25"/>
      <c r="I4" s="25"/>
      <c r="J4" s="25"/>
      <c r="K4" s="25"/>
    </row>
    <row r="5" spans="1:15" s="26" customFormat="1" ht="15.6">
      <c r="A5" s="25"/>
      <c r="B5" s="27"/>
      <c r="C5" s="25"/>
      <c r="D5" s="25"/>
      <c r="E5" s="25"/>
      <c r="F5" s="25"/>
      <c r="G5" s="25"/>
      <c r="H5" s="25"/>
      <c r="I5" s="25"/>
      <c r="J5" s="25"/>
      <c r="K5" s="25"/>
    </row>
    <row r="6" spans="1:15" s="26" customFormat="1" ht="15.6">
      <c r="A6" s="25" t="s">
        <v>27</v>
      </c>
      <c r="B6" s="27"/>
      <c r="C6" s="25"/>
      <c r="D6" s="25"/>
      <c r="E6" s="25"/>
      <c r="F6" s="25"/>
      <c r="G6" s="25"/>
      <c r="H6" s="25"/>
      <c r="I6" s="25"/>
      <c r="J6" s="25"/>
      <c r="K6" s="25"/>
    </row>
    <row r="7" spans="1:15" s="30" customFormat="1">
      <c r="A7" s="28"/>
      <c r="B7" s="29" t="s">
        <v>94</v>
      </c>
      <c r="C7" s="23"/>
      <c r="D7" s="23"/>
      <c r="E7" s="23"/>
      <c r="F7" s="23"/>
      <c r="G7" s="23"/>
      <c r="H7" s="23"/>
      <c r="I7" s="23" t="s">
        <v>29</v>
      </c>
      <c r="J7" s="23" t="s">
        <v>30</v>
      </c>
      <c r="K7" s="23" t="s">
        <v>95</v>
      </c>
    </row>
    <row r="8" spans="1:15" s="30" customFormat="1" ht="26.4">
      <c r="A8" s="31"/>
      <c r="B8" s="56" t="s">
        <v>4</v>
      </c>
      <c r="C8" s="57" t="s">
        <v>96</v>
      </c>
      <c r="D8" s="57" t="s">
        <v>32</v>
      </c>
      <c r="E8" s="57" t="s">
        <v>32</v>
      </c>
      <c r="F8" s="56"/>
      <c r="G8" s="56"/>
      <c r="H8" s="56"/>
      <c r="I8" s="56" t="s">
        <v>4</v>
      </c>
      <c r="J8" s="56" t="s">
        <v>4</v>
      </c>
      <c r="K8" s="56" t="s">
        <v>24</v>
      </c>
      <c r="L8" s="59"/>
      <c r="M8" s="59"/>
      <c r="N8" s="59"/>
      <c r="O8" s="59"/>
    </row>
    <row r="9" spans="1:15" s="30" customFormat="1">
      <c r="A9" s="31"/>
      <c r="B9" s="55" t="s">
        <v>97</v>
      </c>
      <c r="C9" s="55" t="s">
        <v>8</v>
      </c>
      <c r="D9" s="55" t="s">
        <v>98</v>
      </c>
      <c r="E9" s="55" t="s">
        <v>98</v>
      </c>
      <c r="F9" s="55"/>
      <c r="G9" s="55"/>
      <c r="H9" s="55" t="s">
        <v>105</v>
      </c>
      <c r="I9" s="55" t="s">
        <v>99</v>
      </c>
      <c r="J9" s="55" t="s">
        <v>99</v>
      </c>
      <c r="K9" s="55" t="s">
        <v>100</v>
      </c>
      <c r="L9" s="59"/>
      <c r="M9" s="59"/>
      <c r="N9" s="59"/>
      <c r="O9" s="59"/>
    </row>
    <row r="10" spans="1:15" s="30" customFormat="1" ht="26.4">
      <c r="A10" s="31"/>
      <c r="B10" s="55" t="s">
        <v>12</v>
      </c>
      <c r="C10" s="55" t="s">
        <v>15</v>
      </c>
      <c r="D10" s="55" t="s">
        <v>9</v>
      </c>
      <c r="E10" s="55" t="s">
        <v>10</v>
      </c>
      <c r="F10" s="55" t="s">
        <v>106</v>
      </c>
      <c r="G10" s="55" t="s">
        <v>107</v>
      </c>
      <c r="H10" s="55" t="s">
        <v>108</v>
      </c>
      <c r="I10" s="55" t="s">
        <v>36</v>
      </c>
      <c r="J10" s="55" t="s">
        <v>101</v>
      </c>
      <c r="K10" s="55" t="s">
        <v>44</v>
      </c>
      <c r="L10" s="59"/>
      <c r="M10" s="59"/>
      <c r="N10" s="59"/>
      <c r="O10" s="59"/>
    </row>
    <row r="11" spans="1:15" s="30" customFormat="1">
      <c r="A11" s="24" t="s">
        <v>17</v>
      </c>
      <c r="B11" s="58" t="s">
        <v>37</v>
      </c>
      <c r="C11" s="58" t="s">
        <v>21</v>
      </c>
      <c r="D11" s="58" t="s">
        <v>38</v>
      </c>
      <c r="E11" s="58" t="s">
        <v>38</v>
      </c>
      <c r="F11" s="58" t="s">
        <v>109</v>
      </c>
      <c r="G11" s="58" t="s">
        <v>109</v>
      </c>
      <c r="H11" s="58"/>
      <c r="I11" s="58" t="s">
        <v>22</v>
      </c>
      <c r="J11" s="58" t="s">
        <v>22</v>
      </c>
      <c r="K11" s="58" t="s">
        <v>22</v>
      </c>
    </row>
    <row r="12" spans="1:15">
      <c r="A12" s="32">
        <v>2005</v>
      </c>
      <c r="B12" s="14">
        <v>1408121.8058073223</v>
      </c>
      <c r="C12" s="14">
        <v>15</v>
      </c>
      <c r="D12" s="14">
        <f>B12*(1/C12)</f>
        <v>93874.787053821477</v>
      </c>
      <c r="E12" s="14">
        <v>0</v>
      </c>
      <c r="F12" s="159">
        <v>0.89867989554788053</v>
      </c>
      <c r="G12" s="159">
        <v>0.77296967736167144</v>
      </c>
      <c r="H12" s="159">
        <v>0.91</v>
      </c>
      <c r="I12" s="14">
        <f>B12*F12*H12/1000</f>
        <v>1151.5601891990716</v>
      </c>
      <c r="J12" s="14">
        <f>SUM(D$12:E12)*G12*H12/1000+(B12-SUM(D$12:E12))*F12*H12/1000</f>
        <v>1140.8212610329967</v>
      </c>
      <c r="K12" s="14">
        <f>I12-J12</f>
        <v>10.738928166074857</v>
      </c>
    </row>
    <row r="13" spans="1:15">
      <c r="A13" s="32">
        <v>2006</v>
      </c>
      <c r="B13" s="14">
        <v>1436016.3425703282</v>
      </c>
      <c r="C13" s="14">
        <v>15</v>
      </c>
      <c r="D13" s="14">
        <f t="shared" ref="D13:D21" si="0">B$12*(1/C$12)</f>
        <v>93874.787053821477</v>
      </c>
      <c r="E13" s="14">
        <f>B13-B12</f>
        <v>27894.53676300589</v>
      </c>
      <c r="F13" s="159">
        <v>0.89867989554788053</v>
      </c>
      <c r="G13" s="159">
        <v>0.77296967736167144</v>
      </c>
      <c r="H13" s="159">
        <v>0.91</v>
      </c>
      <c r="I13" s="14">
        <f t="shared" ref="I13:I28" si="1">B13*F13*H13/1000</f>
        <v>1174.3723052389983</v>
      </c>
      <c r="J13" s="14">
        <f>SUM(D$12:E13)*G13*H13/1000+(B13-SUM(D$12:E13))*F13*H13/1000</f>
        <v>1149.7034171514085</v>
      </c>
      <c r="K13" s="14">
        <f t="shared" ref="K13:K33" si="2">I13-J13</f>
        <v>24.668888087589721</v>
      </c>
    </row>
    <row r="14" spans="1:15">
      <c r="A14" s="32">
        <v>2007</v>
      </c>
      <c r="B14" s="14">
        <v>1469854.0945814806</v>
      </c>
      <c r="C14" s="14">
        <v>15</v>
      </c>
      <c r="D14" s="14">
        <f t="shared" si="0"/>
        <v>93874.787053821477</v>
      </c>
      <c r="E14" s="14">
        <f t="shared" ref="E14:E33" si="3">B14-B13</f>
        <v>33837.75201115245</v>
      </c>
      <c r="F14" s="159">
        <v>0.89867989554788053</v>
      </c>
      <c r="G14" s="159">
        <v>0.77296967736167144</v>
      </c>
      <c r="H14" s="159">
        <v>0.91</v>
      </c>
      <c r="I14" s="14">
        <f t="shared" si="1"/>
        <v>1202.0447750120895</v>
      </c>
      <c r="J14" s="14">
        <f>SUM(D$12:E14)*G14*H14/1000+(B14-SUM(D$12:E14))*F14*H14/1000</f>
        <v>1162.7660451771153</v>
      </c>
      <c r="K14" s="14">
        <f t="shared" si="2"/>
        <v>39.278729834974229</v>
      </c>
    </row>
    <row r="15" spans="1:15">
      <c r="A15" s="32">
        <v>2008</v>
      </c>
      <c r="B15" s="14">
        <v>1476351.5249413492</v>
      </c>
      <c r="C15" s="14">
        <v>15</v>
      </c>
      <c r="D15" s="14">
        <f t="shared" si="0"/>
        <v>93874.787053821477</v>
      </c>
      <c r="E15" s="14">
        <f t="shared" si="3"/>
        <v>6497.4303598685656</v>
      </c>
      <c r="F15" s="159">
        <v>0.89867989554788053</v>
      </c>
      <c r="G15" s="159">
        <v>0.77296967736167144</v>
      </c>
      <c r="H15" s="159">
        <v>0.91</v>
      </c>
      <c r="I15" s="14">
        <f t="shared" si="1"/>
        <v>1207.3583651458837</v>
      </c>
      <c r="J15" s="14">
        <f>SUM(D$12:E15)*G15*H15/1000+(B15-SUM(D$12:E15))*F15*H15/1000</f>
        <v>1156.5974251615824</v>
      </c>
      <c r="K15" s="14">
        <f t="shared" si="2"/>
        <v>50.760939984301331</v>
      </c>
    </row>
    <row r="16" spans="1:15">
      <c r="A16" s="32">
        <v>2009</v>
      </c>
      <c r="B16" s="14">
        <v>1467774.8307188964</v>
      </c>
      <c r="C16" s="14">
        <v>15</v>
      </c>
      <c r="D16" s="14">
        <f t="shared" si="0"/>
        <v>93874.787053821477</v>
      </c>
      <c r="E16" s="14">
        <f t="shared" si="3"/>
        <v>-8576.6942224528175</v>
      </c>
      <c r="F16" s="159">
        <v>0.89867989554788053</v>
      </c>
      <c r="G16" s="159">
        <v>0.77296967736167144</v>
      </c>
      <c r="H16" s="159">
        <v>0.91</v>
      </c>
      <c r="I16" s="14">
        <f t="shared" si="1"/>
        <v>1200.3443557180219</v>
      </c>
      <c r="J16" s="14">
        <f>SUM(D$12:E16)*G16*H16/1000+(B16-SUM(D$12:E16))*F16*H16/1000</f>
        <v>1139.8256296404847</v>
      </c>
      <c r="K16" s="14">
        <f t="shared" si="2"/>
        <v>60.518726077537167</v>
      </c>
    </row>
    <row r="17" spans="1:11">
      <c r="A17" s="32">
        <v>2010</v>
      </c>
      <c r="B17" s="14">
        <v>1471509.8002628277</v>
      </c>
      <c r="C17" s="14">
        <v>15</v>
      </c>
      <c r="D17" s="14">
        <f t="shared" si="0"/>
        <v>93874.787053821477</v>
      </c>
      <c r="E17" s="14">
        <f t="shared" si="3"/>
        <v>3734.9695439313073</v>
      </c>
      <c r="F17" s="159">
        <v>0.89867989554788053</v>
      </c>
      <c r="G17" s="159">
        <v>0.77296967736167144</v>
      </c>
      <c r="H17" s="159">
        <v>0.91</v>
      </c>
      <c r="I17" s="14">
        <f t="shared" si="1"/>
        <v>1203.3988089740715</v>
      </c>
      <c r="J17" s="14">
        <f>SUM(D$12:E17)*G17*H17/1000+(B17-SUM(D$12:E17))*F17*H17/1000</f>
        <v>1131.7138880394382</v>
      </c>
      <c r="K17" s="14">
        <f t="shared" si="2"/>
        <v>71.684920934633283</v>
      </c>
    </row>
    <row r="18" spans="1:11">
      <c r="A18" s="32">
        <v>2011</v>
      </c>
      <c r="B18" s="14">
        <v>1483732.6843200373</v>
      </c>
      <c r="C18" s="14">
        <v>15</v>
      </c>
      <c r="D18" s="14">
        <f t="shared" si="0"/>
        <v>93874.787053821477</v>
      </c>
      <c r="E18" s="14">
        <f t="shared" si="3"/>
        <v>12222.884057209594</v>
      </c>
      <c r="F18" s="159">
        <v>0.89867989554788053</v>
      </c>
      <c r="G18" s="159">
        <v>0.77296967736167144</v>
      </c>
      <c r="H18" s="159">
        <v>0.91</v>
      </c>
      <c r="I18" s="14">
        <f t="shared" si="1"/>
        <v>1213.3946677267938</v>
      </c>
      <c r="J18" s="14">
        <f>SUM(D$12:E18)*G18*H18/1000+(B18-SUM(D$12:E18))*F18*H18/1000</f>
        <v>1129.5725659323418</v>
      </c>
      <c r="K18" s="14">
        <f t="shared" si="2"/>
        <v>83.82210179445201</v>
      </c>
    </row>
    <row r="19" spans="1:11">
      <c r="A19" s="32">
        <v>2012</v>
      </c>
      <c r="B19" s="14">
        <v>1495029.4835403033</v>
      </c>
      <c r="C19" s="14">
        <v>15</v>
      </c>
      <c r="D19" s="14">
        <f t="shared" si="0"/>
        <v>93874.787053821477</v>
      </c>
      <c r="E19" s="14">
        <f t="shared" si="3"/>
        <v>11296.799220266053</v>
      </c>
      <c r="F19" s="159">
        <v>0.89867989554788053</v>
      </c>
      <c r="G19" s="159">
        <v>0.77296967736167144</v>
      </c>
      <c r="H19" s="159">
        <v>0.91</v>
      </c>
      <c r="I19" s="14">
        <f t="shared" si="1"/>
        <v>1222.6331754991913</v>
      </c>
      <c r="J19" s="14">
        <f>SUM(D$12:E19)*G19*H19/1000+(B19-SUM(D$12:E19))*F19*H19/1000</f>
        <v>1126.7798335224097</v>
      </c>
      <c r="K19" s="14">
        <f t="shared" si="2"/>
        <v>95.853341976781621</v>
      </c>
    </row>
    <row r="20" spans="1:11">
      <c r="A20" s="32">
        <v>2013</v>
      </c>
      <c r="B20" s="14">
        <v>1510567.6077347258</v>
      </c>
      <c r="C20" s="14">
        <v>15</v>
      </c>
      <c r="D20" s="14">
        <f t="shared" si="0"/>
        <v>93874.787053821477</v>
      </c>
      <c r="E20" s="14">
        <f t="shared" si="3"/>
        <v>15538.124194422504</v>
      </c>
      <c r="F20" s="159">
        <v>0.89867989554788053</v>
      </c>
      <c r="G20" s="159">
        <v>0.77296967736167144</v>
      </c>
      <c r="H20" s="159">
        <v>0.91</v>
      </c>
      <c r="I20" s="14">
        <f t="shared" si="1"/>
        <v>1235.3402333427202</v>
      </c>
      <c r="J20" s="14">
        <f>SUM(D$12:E20)*G20*H20/1000+(B20-SUM(D$12:E20))*F20*H20/1000</f>
        <v>1126.9704593056199</v>
      </c>
      <c r="K20" s="14">
        <f t="shared" si="2"/>
        <v>108.36977403710034</v>
      </c>
    </row>
    <row r="21" spans="1:11">
      <c r="A21" s="32">
        <v>2014</v>
      </c>
      <c r="B21" s="14">
        <v>1538321.0094015747</v>
      </c>
      <c r="C21" s="14">
        <v>15</v>
      </c>
      <c r="D21" s="14">
        <f t="shared" si="0"/>
        <v>93874.787053821477</v>
      </c>
      <c r="E21" s="14">
        <f t="shared" si="3"/>
        <v>27753.40166684892</v>
      </c>
      <c r="F21" s="159">
        <v>0.89867989554788053</v>
      </c>
      <c r="G21" s="159">
        <v>0.77296967736167144</v>
      </c>
      <c r="H21" s="159">
        <v>0.91</v>
      </c>
      <c r="I21" s="14">
        <f t="shared" si="1"/>
        <v>1258.0369292837868</v>
      </c>
      <c r="J21" s="14">
        <f>SUM(D$12:E21)*G21*H21/1000+(B21-SUM(D$12:E21))*F21*H21/1000</f>
        <v>1135.7533406577677</v>
      </c>
      <c r="K21" s="14">
        <f t="shared" si="2"/>
        <v>122.28358862601908</v>
      </c>
    </row>
    <row r="22" spans="1:11">
      <c r="A22" s="32">
        <v>2015</v>
      </c>
      <c r="B22" s="14">
        <v>1578398.3396759038</v>
      </c>
      <c r="C22" s="14">
        <v>15</v>
      </c>
      <c r="D22" s="14">
        <f>B$12*(1/C$12)</f>
        <v>93874.787053821477</v>
      </c>
      <c r="E22" s="14">
        <f t="shared" si="3"/>
        <v>40077.330274329055</v>
      </c>
      <c r="F22" s="159">
        <v>0.89867989554788053</v>
      </c>
      <c r="G22" s="159">
        <v>0.77296967736167144</v>
      </c>
      <c r="H22" s="159">
        <v>0.91</v>
      </c>
      <c r="I22" s="14">
        <f t="shared" si="1"/>
        <v>1290.8121180799292</v>
      </c>
      <c r="J22" s="14">
        <f>SUM(D$12:E22)*G22*H22/1000+(B22-SUM(D$12:E22))*F22*H22/1000</f>
        <v>1153.204903048708</v>
      </c>
      <c r="K22" s="14">
        <f t="shared" si="2"/>
        <v>137.60721503122113</v>
      </c>
    </row>
    <row r="23" spans="1:11">
      <c r="A23" s="32">
        <v>2016</v>
      </c>
      <c r="B23" s="14">
        <v>1604869.5827952835</v>
      </c>
      <c r="C23" s="14">
        <v>15</v>
      </c>
      <c r="D23" s="14">
        <f>B$12*(1/C$12)</f>
        <v>93874.787053821477</v>
      </c>
      <c r="E23" s="14">
        <f t="shared" si="3"/>
        <v>26471.243119379738</v>
      </c>
      <c r="F23" s="159">
        <v>0.89867989554788053</v>
      </c>
      <c r="G23" s="159">
        <v>0.77296967736167144</v>
      </c>
      <c r="H23" s="159">
        <v>0.91</v>
      </c>
      <c r="I23" s="14">
        <f t="shared" si="1"/>
        <v>1312.4602664213367</v>
      </c>
      <c r="J23" s="14">
        <f>SUM(D$12:E23)*G23*H23/1000+(B23-SUM(D$12:E23))*F23*H23/1000</f>
        <v>1161.085910993181</v>
      </c>
      <c r="K23" s="14">
        <f t="shared" si="2"/>
        <v>151.3743554281557</v>
      </c>
    </row>
    <row r="24" spans="1:11">
      <c r="A24" s="32">
        <v>2017</v>
      </c>
      <c r="B24" s="14">
        <v>1629928.4888643937</v>
      </c>
      <c r="C24" s="14">
        <v>15</v>
      </c>
      <c r="D24" s="14">
        <f>B$12*(1/C$12)</f>
        <v>93874.787053821477</v>
      </c>
      <c r="E24" s="14">
        <f t="shared" si="3"/>
        <v>25058.906069110148</v>
      </c>
      <c r="F24" s="159">
        <v>0.89867989554788053</v>
      </c>
      <c r="G24" s="159">
        <v>0.77296967736167144</v>
      </c>
      <c r="H24" s="159">
        <v>0.91</v>
      </c>
      <c r="I24" s="14">
        <f t="shared" si="1"/>
        <v>1332.9534073520829</v>
      </c>
      <c r="J24" s="14">
        <f>SUM(D$12:E24)*G24*H24/1000+(B24-SUM(D$12:E24))*F24*H24/1000</f>
        <v>1167.9734776578478</v>
      </c>
      <c r="K24" s="14">
        <f t="shared" si="2"/>
        <v>164.97992969423512</v>
      </c>
    </row>
    <row r="25" spans="1:11">
      <c r="A25" s="32">
        <v>2018</v>
      </c>
      <c r="B25" s="14">
        <v>1653331.3798676645</v>
      </c>
      <c r="C25" s="14">
        <v>15</v>
      </c>
      <c r="D25" s="14">
        <f>B$12*(1/C$12)</f>
        <v>93874.787053821477</v>
      </c>
      <c r="E25" s="14">
        <f>B25-B24</f>
        <v>23402.891003270866</v>
      </c>
      <c r="F25" s="159">
        <v>0.89867989554788053</v>
      </c>
      <c r="G25" s="159">
        <v>0.77296967736167144</v>
      </c>
      <c r="H25" s="159">
        <v>0.91</v>
      </c>
      <c r="I25" s="14">
        <f t="shared" si="1"/>
        <v>1352.0922613066105</v>
      </c>
      <c r="J25" s="14">
        <f>SUM(D$12:E25)*G25*H25/1000+(B25-SUM(D$12:E25))*F25*H25/1000</f>
        <v>1173.6961993401699</v>
      </c>
      <c r="K25" s="14">
        <f t="shared" si="2"/>
        <v>178.39606196644058</v>
      </c>
    </row>
    <row r="26" spans="1:11">
      <c r="A26" s="32">
        <v>2019</v>
      </c>
      <c r="B26" s="14">
        <v>1676147.4822195573</v>
      </c>
      <c r="C26" s="14">
        <v>15</v>
      </c>
      <c r="D26" s="14">
        <f>B$12*(1/C$12)</f>
        <v>93874.787053821477</v>
      </c>
      <c r="E26" s="14">
        <f>B26-B25</f>
        <v>22816.10235189274</v>
      </c>
      <c r="F26" s="159">
        <v>0.89867989554788053</v>
      </c>
      <c r="G26" s="159">
        <v>0.77296967736167144</v>
      </c>
      <c r="H26" s="159">
        <v>0.91</v>
      </c>
      <c r="I26" s="14">
        <f t="shared" si="1"/>
        <v>1370.7512402619625</v>
      </c>
      <c r="J26" s="14">
        <f>SUM(D$12:E26)*G26*H26/1000+(B26-SUM(D$12:E26))*F26*H26/1000</f>
        <v>1179.0061724730649</v>
      </c>
      <c r="K26" s="14">
        <f t="shared" si="2"/>
        <v>191.74506778889759</v>
      </c>
    </row>
    <row r="27" spans="1:11">
      <c r="A27" s="32">
        <v>2020</v>
      </c>
      <c r="B27" s="14">
        <v>1698454.4161364657</v>
      </c>
      <c r="C27" s="14">
        <v>15</v>
      </c>
      <c r="D27" s="160">
        <f>B$26*(1/C$26)</f>
        <v>111743.16548130382</v>
      </c>
      <c r="E27" s="14">
        <f>B27-B26</f>
        <v>22306.933916908456</v>
      </c>
      <c r="F27" s="159">
        <v>0.89867989554788053</v>
      </c>
      <c r="G27" s="159">
        <v>0.77296967736167144</v>
      </c>
      <c r="H27" s="159">
        <v>0.91</v>
      </c>
      <c r="I27" s="14">
        <f t="shared" si="1"/>
        <v>1388.9938219305836</v>
      </c>
      <c r="J27" s="14">
        <f>B27*G27*H27/1000</f>
        <v>1194.6969234696039</v>
      </c>
      <c r="K27" s="161">
        <f t="shared" si="2"/>
        <v>194.29689846097972</v>
      </c>
    </row>
    <row r="28" spans="1:11">
      <c r="A28" s="32">
        <v>2021</v>
      </c>
      <c r="B28" s="14">
        <v>1720473.6595918452</v>
      </c>
      <c r="C28" s="14">
        <v>15</v>
      </c>
      <c r="D28" s="160">
        <f>B$26*(1/C$26)</f>
        <v>111743.16548130382</v>
      </c>
      <c r="E28" s="14">
        <f t="shared" si="3"/>
        <v>22019.243455379503</v>
      </c>
      <c r="F28" s="159">
        <v>0.89867989554788053</v>
      </c>
      <c r="G28" s="159">
        <v>0.77296967736167144</v>
      </c>
      <c r="H28" s="159">
        <v>0.91</v>
      </c>
      <c r="I28" s="14">
        <f t="shared" si="1"/>
        <v>1407.0011307123402</v>
      </c>
      <c r="J28" s="14">
        <f t="shared" ref="J28:J33" si="4">B28*G28*H28/1000</f>
        <v>1210.185312303206</v>
      </c>
      <c r="K28" s="161">
        <f t="shared" si="2"/>
        <v>196.81581840913418</v>
      </c>
    </row>
    <row r="29" spans="1:11">
      <c r="A29" s="32">
        <v>2022</v>
      </c>
      <c r="B29" s="14">
        <v>1742700.7919595295</v>
      </c>
      <c r="C29" s="14">
        <v>15</v>
      </c>
      <c r="D29" s="160">
        <f>B$26*(1/C$26)</f>
        <v>111743.16548130382</v>
      </c>
      <c r="E29" s="14">
        <f t="shared" si="3"/>
        <v>22227.132367684273</v>
      </c>
      <c r="F29" s="159">
        <v>0.89867989554788053</v>
      </c>
      <c r="G29" s="159">
        <v>0.77296967736167144</v>
      </c>
      <c r="H29" s="159">
        <v>0.91</v>
      </c>
      <c r="I29" s="14">
        <f>B29*F29*H29/1000</f>
        <v>1425.1784507773527</v>
      </c>
      <c r="J29" s="14">
        <f t="shared" si="4"/>
        <v>1225.8199306979868</v>
      </c>
      <c r="K29" s="161">
        <f t="shared" si="2"/>
        <v>199.35852007936592</v>
      </c>
    </row>
    <row r="30" spans="1:11" s="167" customFormat="1">
      <c r="A30" s="162">
        <v>2023</v>
      </c>
      <c r="B30" s="163">
        <v>1764641.2214660258</v>
      </c>
      <c r="C30" s="163">
        <v>15</v>
      </c>
      <c r="D30" s="164">
        <f>B$26*(1/C$26)</f>
        <v>111743.16548130382</v>
      </c>
      <c r="E30" s="163">
        <f t="shared" si="3"/>
        <v>21940.429506496293</v>
      </c>
      <c r="F30" s="165">
        <v>0.89867989554788053</v>
      </c>
      <c r="G30" s="165">
        <v>0.77296967736167144</v>
      </c>
      <c r="H30" s="165">
        <v>0.91</v>
      </c>
      <c r="I30" s="163">
        <f>B30*F30*H30/1000</f>
        <v>1443.1213056137808</v>
      </c>
      <c r="J30" s="163">
        <f t="shared" si="4"/>
        <v>1241.252881610287</v>
      </c>
      <c r="K30" s="166">
        <f>I30-J30</f>
        <v>201.86842400349383</v>
      </c>
    </row>
    <row r="31" spans="1:11" s="167" customFormat="1">
      <c r="A31" s="162">
        <v>2024</v>
      </c>
      <c r="B31" s="163">
        <v>1786227.2602721017</v>
      </c>
      <c r="C31" s="163">
        <v>15</v>
      </c>
      <c r="D31" s="164">
        <f>B$26*(1/C$26)</f>
        <v>111743.16548130382</v>
      </c>
      <c r="E31" s="163">
        <f t="shared" si="3"/>
        <v>21586.038806075929</v>
      </c>
      <c r="F31" s="165">
        <v>0.89867989554788053</v>
      </c>
      <c r="G31" s="165">
        <v>0.77296967736167144</v>
      </c>
      <c r="H31" s="165">
        <v>0.91</v>
      </c>
      <c r="I31" s="163">
        <f>B31*F31*H31/1000</f>
        <v>1460.7743401943594</v>
      </c>
      <c r="J31" s="163">
        <f t="shared" si="4"/>
        <v>1256.4365532511056</v>
      </c>
      <c r="K31" s="166">
        <f t="shared" si="2"/>
        <v>204.33778694325383</v>
      </c>
    </row>
    <row r="32" spans="1:11" s="167" customFormat="1">
      <c r="A32" s="162">
        <v>2025</v>
      </c>
      <c r="B32" s="163">
        <v>1808379.6903152282</v>
      </c>
      <c r="C32" s="163">
        <v>15</v>
      </c>
      <c r="D32" s="164">
        <f t="shared" ref="D32:D33" si="5">B$26*(1/C$26)</f>
        <v>111743.16548130382</v>
      </c>
      <c r="E32" s="163">
        <f t="shared" si="3"/>
        <v>22152.430043126456</v>
      </c>
      <c r="F32" s="165">
        <v>0.89867989554788053</v>
      </c>
      <c r="G32" s="165">
        <v>0.77296967736167144</v>
      </c>
      <c r="H32" s="165">
        <v>0.91</v>
      </c>
      <c r="I32" s="163">
        <f>B32*F32*H32/1000</f>
        <v>1478.8905687950919</v>
      </c>
      <c r="J32" s="163">
        <f t="shared" si="4"/>
        <v>1272.0186258510289</v>
      </c>
      <c r="K32" s="166">
        <f t="shared" si="2"/>
        <v>206.87194294406299</v>
      </c>
    </row>
    <row r="33" spans="1:11" s="167" customFormat="1">
      <c r="A33" s="162">
        <v>2026</v>
      </c>
      <c r="B33" s="163">
        <v>1831023.6382221731</v>
      </c>
      <c r="C33" s="163">
        <v>15</v>
      </c>
      <c r="D33" s="164">
        <f t="shared" si="5"/>
        <v>111743.16548130382</v>
      </c>
      <c r="E33" s="163">
        <f t="shared" si="3"/>
        <v>22643.947906944901</v>
      </c>
      <c r="F33" s="165">
        <v>0.89867989554788053</v>
      </c>
      <c r="G33" s="165">
        <v>0.77296967736167144</v>
      </c>
      <c r="H33" s="165">
        <v>0.91</v>
      </c>
      <c r="I33" s="163">
        <f>B33*F33*H33/1000</f>
        <v>1497.4087600683145</v>
      </c>
      <c r="J33" s="163">
        <f t="shared" si="4"/>
        <v>1287.9464332991502</v>
      </c>
      <c r="K33" s="166">
        <f t="shared" si="2"/>
        <v>209.46232676916429</v>
      </c>
    </row>
    <row r="34" spans="1:11">
      <c r="A34" s="34"/>
      <c r="B34" s="18"/>
      <c r="C34" s="18"/>
      <c r="D34" s="18"/>
      <c r="E34" s="18"/>
      <c r="F34" s="18"/>
      <c r="G34" s="18"/>
      <c r="H34" s="18"/>
      <c r="I34" s="18"/>
      <c r="J34" s="18"/>
      <c r="K34" s="18"/>
    </row>
    <row r="35" spans="1:11" s="26" customFormat="1" ht="15.6">
      <c r="A35" s="25" t="s">
        <v>40</v>
      </c>
      <c r="B35" s="27"/>
      <c r="C35" s="25"/>
      <c r="D35" s="25"/>
      <c r="E35" s="25"/>
      <c r="F35" s="25"/>
      <c r="G35" s="25"/>
      <c r="H35" s="25"/>
      <c r="I35" s="25"/>
      <c r="J35" s="25"/>
      <c r="K35" s="155"/>
    </row>
    <row r="36" spans="1:11" s="30" customFormat="1">
      <c r="A36" s="28"/>
      <c r="B36" s="29" t="s">
        <v>94</v>
      </c>
      <c r="C36" s="23"/>
      <c r="D36" s="23"/>
      <c r="E36" s="23"/>
      <c r="F36" s="23"/>
      <c r="G36" s="23"/>
      <c r="H36" s="23"/>
      <c r="I36" s="23" t="s">
        <v>29</v>
      </c>
      <c r="J36" s="23" t="s">
        <v>30</v>
      </c>
      <c r="K36" s="23" t="s">
        <v>95</v>
      </c>
    </row>
    <row r="37" spans="1:11" s="30" customFormat="1">
      <c r="A37" s="31"/>
      <c r="B37" s="156" t="s">
        <v>4</v>
      </c>
      <c r="C37" s="157" t="s">
        <v>96</v>
      </c>
      <c r="D37" s="157" t="s">
        <v>32</v>
      </c>
      <c r="E37" s="157" t="s">
        <v>32</v>
      </c>
      <c r="F37" s="156"/>
      <c r="G37" s="156"/>
      <c r="H37" s="156"/>
      <c r="I37" s="156" t="s">
        <v>4</v>
      </c>
      <c r="J37" s="156" t="s">
        <v>4</v>
      </c>
      <c r="K37" s="156" t="s">
        <v>24</v>
      </c>
    </row>
    <row r="38" spans="1:11" s="30" customFormat="1">
      <c r="A38" s="31"/>
      <c r="B38" s="158" t="s">
        <v>97</v>
      </c>
      <c r="C38" s="158" t="s">
        <v>8</v>
      </c>
      <c r="D38" s="158" t="s">
        <v>98</v>
      </c>
      <c r="E38" s="158" t="s">
        <v>98</v>
      </c>
      <c r="F38" s="158"/>
      <c r="G38" s="158"/>
      <c r="H38" s="158" t="s">
        <v>105</v>
      </c>
      <c r="I38" s="158" t="s">
        <v>99</v>
      </c>
      <c r="J38" s="158" t="s">
        <v>99</v>
      </c>
      <c r="K38" s="158" t="s">
        <v>100</v>
      </c>
    </row>
    <row r="39" spans="1:11" s="30" customFormat="1">
      <c r="A39" s="31"/>
      <c r="B39" s="158" t="s">
        <v>12</v>
      </c>
      <c r="C39" s="158" t="s">
        <v>15</v>
      </c>
      <c r="D39" s="158" t="s">
        <v>9</v>
      </c>
      <c r="E39" s="158" t="s">
        <v>10</v>
      </c>
      <c r="F39" s="158" t="s">
        <v>106</v>
      </c>
      <c r="G39" s="158" t="s">
        <v>107</v>
      </c>
      <c r="H39" s="158" t="s">
        <v>108</v>
      </c>
      <c r="I39" s="158" t="s">
        <v>36</v>
      </c>
      <c r="J39" s="158" t="s">
        <v>101</v>
      </c>
      <c r="K39" s="158" t="s">
        <v>44</v>
      </c>
    </row>
    <row r="40" spans="1:11" s="30" customFormat="1">
      <c r="A40" s="24" t="s">
        <v>17</v>
      </c>
      <c r="B40" s="24" t="s">
        <v>37</v>
      </c>
      <c r="C40" s="24" t="s">
        <v>21</v>
      </c>
      <c r="D40" s="24" t="s">
        <v>38</v>
      </c>
      <c r="E40" s="24" t="s">
        <v>38</v>
      </c>
      <c r="F40" s="24" t="s">
        <v>109</v>
      </c>
      <c r="G40" s="24" t="s">
        <v>109</v>
      </c>
      <c r="H40" s="24"/>
      <c r="I40" s="24" t="s">
        <v>22</v>
      </c>
      <c r="J40" s="24" t="s">
        <v>22</v>
      </c>
      <c r="K40" s="24" t="s">
        <v>22</v>
      </c>
    </row>
    <row r="41" spans="1:11">
      <c r="A41" s="32">
        <v>2005</v>
      </c>
      <c r="B41" s="14">
        <v>0</v>
      </c>
      <c r="C41" s="14">
        <v>15</v>
      </c>
      <c r="D41" s="14">
        <v>0</v>
      </c>
      <c r="E41" s="14">
        <v>0</v>
      </c>
      <c r="F41" s="159">
        <v>0.89867989554788053</v>
      </c>
      <c r="G41" s="159">
        <v>0.77296967736167144</v>
      </c>
      <c r="H41" s="159">
        <v>0.91</v>
      </c>
      <c r="I41" s="14">
        <f>B41*F41*H41/1000</f>
        <v>0</v>
      </c>
      <c r="J41" s="14">
        <v>0</v>
      </c>
      <c r="K41" s="14">
        <f>I41-J41</f>
        <v>0</v>
      </c>
    </row>
    <row r="42" spans="1:11">
      <c r="A42" s="32">
        <v>2006</v>
      </c>
      <c r="B42" s="14">
        <v>0</v>
      </c>
      <c r="C42" s="14">
        <v>15</v>
      </c>
      <c r="D42" s="14">
        <v>0</v>
      </c>
      <c r="E42" s="14">
        <v>0</v>
      </c>
      <c r="F42" s="159">
        <v>0.89867989554788053</v>
      </c>
      <c r="G42" s="159">
        <v>0.77296967736167144</v>
      </c>
      <c r="H42" s="159">
        <v>0.91</v>
      </c>
      <c r="I42" s="14">
        <f t="shared" ref="I42:I58" si="6">B42*F42*H42/1000</f>
        <v>0</v>
      </c>
      <c r="J42" s="14">
        <v>0</v>
      </c>
      <c r="K42" s="14">
        <f t="shared" ref="K42:K58" si="7">I42-J42</f>
        <v>0</v>
      </c>
    </row>
    <row r="43" spans="1:11">
      <c r="A43" s="32">
        <v>2007</v>
      </c>
      <c r="B43" s="14">
        <v>0</v>
      </c>
      <c r="C43" s="14">
        <v>15</v>
      </c>
      <c r="D43" s="14">
        <v>0</v>
      </c>
      <c r="E43" s="14">
        <v>0</v>
      </c>
      <c r="F43" s="159">
        <v>0.89867989554788053</v>
      </c>
      <c r="G43" s="159">
        <v>0.77296967736167144</v>
      </c>
      <c r="H43" s="159">
        <v>0.91</v>
      </c>
      <c r="I43" s="14">
        <f t="shared" si="6"/>
        <v>0</v>
      </c>
      <c r="J43" s="14">
        <v>0</v>
      </c>
      <c r="K43" s="14">
        <f t="shared" si="7"/>
        <v>0</v>
      </c>
    </row>
    <row r="44" spans="1:11">
      <c r="A44" s="32">
        <v>2008</v>
      </c>
      <c r="B44" s="14">
        <v>0</v>
      </c>
      <c r="C44" s="14">
        <v>15</v>
      </c>
      <c r="D44" s="14">
        <v>0</v>
      </c>
      <c r="E44" s="14">
        <v>0</v>
      </c>
      <c r="F44" s="159">
        <v>0.89867989554788053</v>
      </c>
      <c r="G44" s="159">
        <v>0.77296967736167144</v>
      </c>
      <c r="H44" s="159">
        <v>0.91</v>
      </c>
      <c r="I44" s="14">
        <f t="shared" si="6"/>
        <v>0</v>
      </c>
      <c r="J44" s="14">
        <v>0</v>
      </c>
      <c r="K44" s="14">
        <f t="shared" si="7"/>
        <v>0</v>
      </c>
    </row>
    <row r="45" spans="1:11">
      <c r="A45" s="32">
        <v>2009</v>
      </c>
      <c r="B45" s="14">
        <v>0</v>
      </c>
      <c r="C45" s="14">
        <v>15</v>
      </c>
      <c r="D45" s="14">
        <v>0</v>
      </c>
      <c r="E45" s="14">
        <v>0</v>
      </c>
      <c r="F45" s="159">
        <v>0.89867989554788053</v>
      </c>
      <c r="G45" s="159">
        <v>0.77296967736167144</v>
      </c>
      <c r="H45" s="159">
        <v>0.91</v>
      </c>
      <c r="I45" s="14">
        <f t="shared" si="6"/>
        <v>0</v>
      </c>
      <c r="J45" s="14">
        <v>0</v>
      </c>
      <c r="K45" s="14">
        <f t="shared" si="7"/>
        <v>0</v>
      </c>
    </row>
    <row r="46" spans="1:11">
      <c r="A46" s="32">
        <v>2010</v>
      </c>
      <c r="B46" s="14">
        <v>0</v>
      </c>
      <c r="C46" s="14">
        <v>15</v>
      </c>
      <c r="D46" s="14">
        <v>0</v>
      </c>
      <c r="E46" s="14">
        <v>0</v>
      </c>
      <c r="F46" s="159">
        <v>0.89867989554788053</v>
      </c>
      <c r="G46" s="159">
        <v>0.77296967736167144</v>
      </c>
      <c r="H46" s="159">
        <v>0.91</v>
      </c>
      <c r="I46" s="14">
        <f t="shared" si="6"/>
        <v>0</v>
      </c>
      <c r="J46" s="14">
        <v>0</v>
      </c>
      <c r="K46" s="14">
        <f t="shared" si="7"/>
        <v>0</v>
      </c>
    </row>
    <row r="47" spans="1:11">
      <c r="A47" s="32">
        <v>2011</v>
      </c>
      <c r="B47" s="14">
        <v>0</v>
      </c>
      <c r="C47" s="14">
        <v>15</v>
      </c>
      <c r="D47" s="14">
        <v>0</v>
      </c>
      <c r="E47" s="14">
        <v>0</v>
      </c>
      <c r="F47" s="159">
        <v>0.89867989554788053</v>
      </c>
      <c r="G47" s="159">
        <v>0.77296967736167144</v>
      </c>
      <c r="H47" s="159">
        <v>0.91</v>
      </c>
      <c r="I47" s="14">
        <f t="shared" si="6"/>
        <v>0</v>
      </c>
      <c r="J47" s="14">
        <v>0</v>
      </c>
      <c r="K47" s="14">
        <f t="shared" si="7"/>
        <v>0</v>
      </c>
    </row>
    <row r="48" spans="1:11">
      <c r="A48" s="32">
        <v>2012</v>
      </c>
      <c r="B48" s="14">
        <v>0</v>
      </c>
      <c r="C48" s="14">
        <v>15</v>
      </c>
      <c r="D48" s="14">
        <v>0</v>
      </c>
      <c r="E48" s="14">
        <v>0</v>
      </c>
      <c r="F48" s="159">
        <v>0.89867989554788053</v>
      </c>
      <c r="G48" s="159">
        <v>0.77296967736167144</v>
      </c>
      <c r="H48" s="159">
        <v>0.91</v>
      </c>
      <c r="I48" s="14">
        <f t="shared" si="6"/>
        <v>0</v>
      </c>
      <c r="J48" s="14">
        <v>0</v>
      </c>
      <c r="K48" s="14">
        <f t="shared" si="7"/>
        <v>0</v>
      </c>
    </row>
    <row r="49" spans="1:11">
      <c r="A49" s="32">
        <v>2013</v>
      </c>
      <c r="B49" s="14">
        <v>0</v>
      </c>
      <c r="C49" s="14">
        <v>15</v>
      </c>
      <c r="D49" s="14">
        <v>0</v>
      </c>
      <c r="E49" s="14">
        <v>0</v>
      </c>
      <c r="F49" s="159">
        <v>0.89867989554788053</v>
      </c>
      <c r="G49" s="159">
        <v>0.77296967736167144</v>
      </c>
      <c r="H49" s="159">
        <v>0.91</v>
      </c>
      <c r="I49" s="14">
        <f t="shared" si="6"/>
        <v>0</v>
      </c>
      <c r="J49" s="14">
        <v>0</v>
      </c>
      <c r="K49" s="14">
        <f t="shared" si="7"/>
        <v>0</v>
      </c>
    </row>
    <row r="50" spans="1:11">
      <c r="A50" s="32">
        <v>2014</v>
      </c>
      <c r="B50" s="14">
        <v>0</v>
      </c>
      <c r="C50" s="14">
        <v>15</v>
      </c>
      <c r="D50" s="14">
        <v>0</v>
      </c>
      <c r="E50" s="14">
        <v>0</v>
      </c>
      <c r="F50" s="159">
        <v>0.89867989554788053</v>
      </c>
      <c r="G50" s="159">
        <v>0.77296967736167144</v>
      </c>
      <c r="H50" s="159">
        <v>0.91</v>
      </c>
      <c r="I50" s="14">
        <f t="shared" si="6"/>
        <v>0</v>
      </c>
      <c r="J50" s="14">
        <v>0</v>
      </c>
      <c r="K50" s="14">
        <f t="shared" si="7"/>
        <v>0</v>
      </c>
    </row>
    <row r="51" spans="1:11">
      <c r="A51" s="32">
        <v>2015</v>
      </c>
      <c r="B51" s="14">
        <v>0</v>
      </c>
      <c r="C51" s="14">
        <v>15</v>
      </c>
      <c r="D51" s="14">
        <v>0</v>
      </c>
      <c r="E51" s="14">
        <v>0</v>
      </c>
      <c r="F51" s="159">
        <v>0.89867989554788053</v>
      </c>
      <c r="G51" s="159">
        <v>0.77296967736167144</v>
      </c>
      <c r="H51" s="159">
        <v>0.91</v>
      </c>
      <c r="I51" s="14">
        <f t="shared" si="6"/>
        <v>0</v>
      </c>
      <c r="J51" s="14">
        <v>0</v>
      </c>
      <c r="K51" s="14">
        <f t="shared" si="7"/>
        <v>0</v>
      </c>
    </row>
    <row r="52" spans="1:11">
      <c r="A52" s="32">
        <v>2016</v>
      </c>
      <c r="B52" s="14">
        <v>0</v>
      </c>
      <c r="C52" s="14">
        <v>15</v>
      </c>
      <c r="D52" s="14">
        <v>0</v>
      </c>
      <c r="E52" s="14">
        <v>0</v>
      </c>
      <c r="F52" s="159">
        <v>0.89867989554788053</v>
      </c>
      <c r="G52" s="159">
        <v>0.77296967736167144</v>
      </c>
      <c r="H52" s="159">
        <v>0.91</v>
      </c>
      <c r="I52" s="14">
        <f t="shared" si="6"/>
        <v>0</v>
      </c>
      <c r="J52" s="14">
        <v>0</v>
      </c>
      <c r="K52" s="14">
        <f t="shared" si="7"/>
        <v>0</v>
      </c>
    </row>
    <row r="53" spans="1:11">
      <c r="A53" s="32">
        <v>2017</v>
      </c>
      <c r="B53" s="14">
        <v>0</v>
      </c>
      <c r="C53" s="14">
        <v>15</v>
      </c>
      <c r="D53" s="14">
        <v>0</v>
      </c>
      <c r="E53" s="14">
        <v>0</v>
      </c>
      <c r="F53" s="159">
        <v>0.89867989554788053</v>
      </c>
      <c r="G53" s="159">
        <v>0.77296967736167144</v>
      </c>
      <c r="H53" s="159">
        <v>0.91</v>
      </c>
      <c r="I53" s="14">
        <f t="shared" si="6"/>
        <v>0</v>
      </c>
      <c r="J53" s="14">
        <v>0</v>
      </c>
      <c r="K53" s="14">
        <f t="shared" si="7"/>
        <v>0</v>
      </c>
    </row>
    <row r="54" spans="1:11">
      <c r="A54" s="32">
        <v>2018</v>
      </c>
      <c r="B54" s="14">
        <v>0</v>
      </c>
      <c r="C54" s="14">
        <v>15</v>
      </c>
      <c r="D54" s="14">
        <v>0</v>
      </c>
      <c r="E54" s="14">
        <v>0</v>
      </c>
      <c r="F54" s="159">
        <v>0.89867989554788053</v>
      </c>
      <c r="G54" s="159">
        <v>0.77296967736167144</v>
      </c>
      <c r="H54" s="159">
        <v>0.91</v>
      </c>
      <c r="I54" s="14">
        <f t="shared" si="6"/>
        <v>0</v>
      </c>
      <c r="J54" s="14">
        <v>0</v>
      </c>
      <c r="K54" s="14">
        <f t="shared" si="7"/>
        <v>0</v>
      </c>
    </row>
    <row r="55" spans="1:11">
      <c r="A55" s="32">
        <v>2019</v>
      </c>
      <c r="B55" s="14">
        <v>0</v>
      </c>
      <c r="C55" s="14">
        <v>15</v>
      </c>
      <c r="D55" s="14">
        <v>0</v>
      </c>
      <c r="E55" s="14">
        <v>0</v>
      </c>
      <c r="F55" s="159">
        <v>0.89867989554788053</v>
      </c>
      <c r="G55" s="159">
        <v>0.77296967736167144</v>
      </c>
      <c r="H55" s="159">
        <v>0.91</v>
      </c>
      <c r="I55" s="14">
        <f t="shared" si="6"/>
        <v>0</v>
      </c>
      <c r="J55" s="14">
        <v>0</v>
      </c>
      <c r="K55" s="14">
        <f t="shared" si="7"/>
        <v>0</v>
      </c>
    </row>
    <row r="56" spans="1:11">
      <c r="A56" s="32">
        <v>2020</v>
      </c>
      <c r="B56" s="14">
        <v>0</v>
      </c>
      <c r="C56" s="14">
        <v>15</v>
      </c>
      <c r="D56" s="14">
        <v>0</v>
      </c>
      <c r="E56" s="14">
        <v>0</v>
      </c>
      <c r="F56" s="159">
        <v>0.89867989554788053</v>
      </c>
      <c r="G56" s="159">
        <v>0.77296967736167144</v>
      </c>
      <c r="H56" s="159">
        <v>0.91</v>
      </c>
      <c r="I56" s="14">
        <f t="shared" si="6"/>
        <v>0</v>
      </c>
      <c r="J56" s="14">
        <v>0</v>
      </c>
      <c r="K56" s="14">
        <f t="shared" si="7"/>
        <v>0</v>
      </c>
    </row>
    <row r="57" spans="1:11">
      <c r="A57" s="32">
        <v>2021</v>
      </c>
      <c r="B57" s="14">
        <v>0</v>
      </c>
      <c r="C57" s="14">
        <v>15</v>
      </c>
      <c r="D57" s="14">
        <v>0</v>
      </c>
      <c r="E57" s="14">
        <v>0</v>
      </c>
      <c r="F57" s="159">
        <v>0.89867989554788053</v>
      </c>
      <c r="G57" s="159">
        <v>0.77296967736167144</v>
      </c>
      <c r="H57" s="159">
        <v>0.91</v>
      </c>
      <c r="I57" s="14">
        <f t="shared" si="6"/>
        <v>0</v>
      </c>
      <c r="J57" s="14">
        <v>0</v>
      </c>
      <c r="K57" s="14">
        <f t="shared" si="7"/>
        <v>0</v>
      </c>
    </row>
    <row r="58" spans="1:11">
      <c r="A58" s="32">
        <v>2022</v>
      </c>
      <c r="B58" s="14">
        <v>0</v>
      </c>
      <c r="C58" s="14">
        <v>15</v>
      </c>
      <c r="D58" s="14">
        <v>0</v>
      </c>
      <c r="E58" s="14">
        <v>0</v>
      </c>
      <c r="F58" s="159">
        <v>0.89867989554788053</v>
      </c>
      <c r="G58" s="159">
        <v>0.77296967736167144</v>
      </c>
      <c r="H58" s="159">
        <v>0.91</v>
      </c>
      <c r="I58" s="14">
        <f t="shared" si="6"/>
        <v>0</v>
      </c>
      <c r="J58" s="14">
        <v>0</v>
      </c>
      <c r="K58" s="14">
        <f t="shared" si="7"/>
        <v>0</v>
      </c>
    </row>
    <row r="59" spans="1:11" s="167" customFormat="1">
      <c r="A59" s="162">
        <v>2023</v>
      </c>
      <c r="B59" s="163">
        <v>0</v>
      </c>
      <c r="C59" s="163">
        <v>15</v>
      </c>
      <c r="D59" s="163">
        <v>0</v>
      </c>
      <c r="E59" s="163">
        <v>0</v>
      </c>
      <c r="F59" s="165">
        <v>0.89867989554788053</v>
      </c>
      <c r="G59" s="165">
        <v>0.77296967736167144</v>
      </c>
      <c r="H59" s="165">
        <v>0.91</v>
      </c>
      <c r="I59" s="163">
        <v>0</v>
      </c>
      <c r="J59" s="163">
        <v>0</v>
      </c>
      <c r="K59" s="163">
        <v>0</v>
      </c>
    </row>
    <row r="60" spans="1:11" s="167" customFormat="1">
      <c r="A60" s="162">
        <v>2024</v>
      </c>
      <c r="B60" s="163">
        <v>0</v>
      </c>
      <c r="C60" s="163">
        <v>15</v>
      </c>
      <c r="D60" s="163">
        <v>0</v>
      </c>
      <c r="E60" s="163">
        <v>0</v>
      </c>
      <c r="F60" s="165">
        <v>0.89867989554788053</v>
      </c>
      <c r="G60" s="165">
        <v>0.77296967736167144</v>
      </c>
      <c r="H60" s="165">
        <v>0.91</v>
      </c>
      <c r="I60" s="163">
        <v>0</v>
      </c>
      <c r="J60" s="163">
        <v>0</v>
      </c>
      <c r="K60" s="163">
        <v>0</v>
      </c>
    </row>
    <row r="61" spans="1:11" s="167" customFormat="1">
      <c r="A61" s="162">
        <v>2025</v>
      </c>
      <c r="B61" s="163">
        <v>0</v>
      </c>
      <c r="C61" s="163">
        <v>15</v>
      </c>
      <c r="D61" s="163">
        <v>0</v>
      </c>
      <c r="E61" s="163">
        <v>0</v>
      </c>
      <c r="F61" s="165">
        <v>0.89867989554788053</v>
      </c>
      <c r="G61" s="165">
        <v>0.77296967736167144</v>
      </c>
      <c r="H61" s="165">
        <v>0.91</v>
      </c>
      <c r="I61" s="163">
        <v>0</v>
      </c>
      <c r="J61" s="163">
        <v>0</v>
      </c>
      <c r="K61" s="163">
        <v>0</v>
      </c>
    </row>
    <row r="62" spans="1:11" s="167" customFormat="1">
      <c r="A62" s="162">
        <v>2026</v>
      </c>
      <c r="B62" s="163">
        <v>0</v>
      </c>
      <c r="C62" s="163">
        <v>15</v>
      </c>
      <c r="D62" s="163">
        <v>0</v>
      </c>
      <c r="E62" s="163">
        <v>0</v>
      </c>
      <c r="F62" s="165">
        <v>0.89867989554788053</v>
      </c>
      <c r="G62" s="165">
        <v>0.77296967736167144</v>
      </c>
      <c r="H62" s="165">
        <v>0.91</v>
      </c>
      <c r="I62" s="163">
        <v>0</v>
      </c>
      <c r="J62" s="163">
        <v>0</v>
      </c>
      <c r="K62" s="163">
        <v>0</v>
      </c>
    </row>
    <row r="63" spans="1:11">
      <c r="A63" s="34"/>
      <c r="B63" s="18"/>
      <c r="C63" s="18"/>
      <c r="D63" s="18"/>
      <c r="E63" s="18"/>
      <c r="F63" s="18"/>
      <c r="G63" s="18"/>
      <c r="H63" s="18"/>
      <c r="I63" s="18"/>
      <c r="J63" s="18"/>
      <c r="K63" s="155"/>
    </row>
    <row r="64" spans="1:11" s="26" customFormat="1" ht="15.6">
      <c r="A64" s="25" t="s">
        <v>41</v>
      </c>
      <c r="B64" s="27"/>
      <c r="C64" s="25"/>
      <c r="D64" s="25"/>
      <c r="E64" s="25"/>
      <c r="F64" s="25"/>
      <c r="G64" s="25"/>
      <c r="H64" s="25"/>
      <c r="I64" s="25"/>
      <c r="J64" s="25"/>
      <c r="K64" s="155"/>
    </row>
    <row r="65" spans="1:11" s="30" customFormat="1">
      <c r="A65" s="28"/>
      <c r="B65" s="29" t="s">
        <v>94</v>
      </c>
      <c r="C65" s="23"/>
      <c r="D65" s="23"/>
      <c r="E65" s="23"/>
      <c r="F65" s="23"/>
      <c r="G65" s="23"/>
      <c r="H65" s="23"/>
      <c r="I65" s="23" t="s">
        <v>29</v>
      </c>
      <c r="J65" s="23" t="s">
        <v>30</v>
      </c>
      <c r="K65" s="23" t="s">
        <v>95</v>
      </c>
    </row>
    <row r="66" spans="1:11" s="30" customFormat="1">
      <c r="A66" s="31"/>
      <c r="B66" s="156" t="s">
        <v>4</v>
      </c>
      <c r="C66" s="157" t="s">
        <v>96</v>
      </c>
      <c r="D66" s="157" t="s">
        <v>32</v>
      </c>
      <c r="E66" s="157" t="s">
        <v>32</v>
      </c>
      <c r="F66" s="156"/>
      <c r="G66" s="156"/>
      <c r="H66" s="156"/>
      <c r="I66" s="156" t="s">
        <v>4</v>
      </c>
      <c r="J66" s="156" t="s">
        <v>4</v>
      </c>
      <c r="K66" s="156" t="s">
        <v>24</v>
      </c>
    </row>
    <row r="67" spans="1:11" s="30" customFormat="1">
      <c r="A67" s="31"/>
      <c r="B67" s="158" t="s">
        <v>97</v>
      </c>
      <c r="C67" s="158" t="s">
        <v>8</v>
      </c>
      <c r="D67" s="158" t="s">
        <v>98</v>
      </c>
      <c r="E67" s="158" t="s">
        <v>98</v>
      </c>
      <c r="F67" s="158"/>
      <c r="G67" s="158"/>
      <c r="H67" s="158" t="s">
        <v>105</v>
      </c>
      <c r="I67" s="158" t="s">
        <v>99</v>
      </c>
      <c r="J67" s="158" t="s">
        <v>99</v>
      </c>
      <c r="K67" s="158" t="s">
        <v>100</v>
      </c>
    </row>
    <row r="68" spans="1:11" s="30" customFormat="1">
      <c r="A68" s="31"/>
      <c r="B68" s="158" t="s">
        <v>12</v>
      </c>
      <c r="C68" s="158" t="s">
        <v>15</v>
      </c>
      <c r="D68" s="158" t="s">
        <v>9</v>
      </c>
      <c r="E68" s="158" t="s">
        <v>10</v>
      </c>
      <c r="F68" s="158" t="s">
        <v>106</v>
      </c>
      <c r="G68" s="158" t="s">
        <v>107</v>
      </c>
      <c r="H68" s="158" t="s">
        <v>108</v>
      </c>
      <c r="I68" s="158" t="s">
        <v>36</v>
      </c>
      <c r="J68" s="158" t="s">
        <v>101</v>
      </c>
      <c r="K68" s="158" t="s">
        <v>44</v>
      </c>
    </row>
    <row r="69" spans="1:11" s="30" customFormat="1">
      <c r="A69" s="24" t="s">
        <v>17</v>
      </c>
      <c r="B69" s="24" t="s">
        <v>37</v>
      </c>
      <c r="C69" s="24" t="s">
        <v>21</v>
      </c>
      <c r="D69" s="24" t="s">
        <v>38</v>
      </c>
      <c r="E69" s="24" t="s">
        <v>38</v>
      </c>
      <c r="F69" s="24" t="s">
        <v>109</v>
      </c>
      <c r="G69" s="24" t="s">
        <v>109</v>
      </c>
      <c r="H69" s="24"/>
      <c r="I69" s="24" t="s">
        <v>22</v>
      </c>
      <c r="J69" s="24" t="s">
        <v>22</v>
      </c>
      <c r="K69" s="24" t="s">
        <v>22</v>
      </c>
    </row>
    <row r="70" spans="1:11">
      <c r="A70" s="32">
        <v>2005</v>
      </c>
      <c r="B70" s="14">
        <v>291580.8906169376</v>
      </c>
      <c r="C70" s="14">
        <v>15</v>
      </c>
      <c r="D70" s="14">
        <v>19438.726041129172</v>
      </c>
      <c r="E70" s="14">
        <v>0</v>
      </c>
      <c r="F70" s="159">
        <v>0.89867989554788053</v>
      </c>
      <c r="G70" s="159">
        <v>0.77296967736167144</v>
      </c>
      <c r="H70" s="159">
        <v>0.91</v>
      </c>
      <c r="I70" s="14">
        <v>238.45447473428257</v>
      </c>
      <c r="J70" s="14">
        <v>236.23075642666063</v>
      </c>
      <c r="K70" s="14">
        <v>2.2237183076219504</v>
      </c>
    </row>
    <row r="71" spans="1:11">
      <c r="A71" s="32">
        <v>2006</v>
      </c>
      <c r="B71" s="14">
        <v>297357.03429936641</v>
      </c>
      <c r="C71" s="14">
        <v>15</v>
      </c>
      <c r="D71" s="14">
        <v>19438.726041129172</v>
      </c>
      <c r="E71" s="14">
        <v>5776.1436824287766</v>
      </c>
      <c r="F71" s="159">
        <v>0.89867989554788053</v>
      </c>
      <c r="G71" s="159">
        <v>0.77296967736167144</v>
      </c>
      <c r="H71" s="159">
        <v>0.91</v>
      </c>
      <c r="I71" s="14">
        <v>243.17819755736974</v>
      </c>
      <c r="J71" s="14">
        <v>238.06999148496607</v>
      </c>
      <c r="K71" s="14">
        <v>5.1082060724036626</v>
      </c>
    </row>
    <row r="72" spans="1:11">
      <c r="A72" s="32">
        <v>2007</v>
      </c>
      <c r="B72" s="14">
        <v>304363.84424094681</v>
      </c>
      <c r="C72" s="14">
        <v>15</v>
      </c>
      <c r="D72" s="14">
        <v>19438.726041129172</v>
      </c>
      <c r="E72" s="14">
        <v>7006.809941580409</v>
      </c>
      <c r="F72" s="159">
        <v>0.89867989554788053</v>
      </c>
      <c r="G72" s="159">
        <v>0.77296967736167144</v>
      </c>
      <c r="H72" s="159">
        <v>0.91</v>
      </c>
      <c r="I72" s="14">
        <v>248.90835765341495</v>
      </c>
      <c r="J72" s="14">
        <v>240.77488015143314</v>
      </c>
      <c r="K72" s="14">
        <v>8.1334775019818171</v>
      </c>
    </row>
    <row r="73" spans="1:11">
      <c r="A73" s="32">
        <v>2008</v>
      </c>
      <c r="B73" s="14">
        <v>305709.272259488</v>
      </c>
      <c r="C73" s="14">
        <v>15</v>
      </c>
      <c r="D73" s="14">
        <v>19438.726041129172</v>
      </c>
      <c r="E73" s="14">
        <v>1345.4280185412028</v>
      </c>
      <c r="F73" s="159">
        <v>0.89867989554788053</v>
      </c>
      <c r="G73" s="159">
        <v>0.77296967736167144</v>
      </c>
      <c r="H73" s="159">
        <v>0.91</v>
      </c>
      <c r="I73" s="14">
        <v>250.00864694457948</v>
      </c>
      <c r="J73" s="14">
        <v>239.4975391496898</v>
      </c>
      <c r="K73" s="14">
        <v>10.511107794889698</v>
      </c>
    </row>
    <row r="74" spans="1:11">
      <c r="A74" s="32">
        <v>2009</v>
      </c>
      <c r="B74" s="14">
        <v>303933.28943639825</v>
      </c>
      <c r="C74" s="14">
        <v>15</v>
      </c>
      <c r="D74" s="14">
        <v>19438.726041129172</v>
      </c>
      <c r="E74" s="14">
        <v>-1775.9828230897579</v>
      </c>
      <c r="F74" s="159">
        <v>0.89867989554788053</v>
      </c>
      <c r="G74" s="159">
        <v>0.77296967736167144</v>
      </c>
      <c r="H74" s="159">
        <v>0.91</v>
      </c>
      <c r="I74" s="14">
        <v>248.55625049184579</v>
      </c>
      <c r="J74" s="14">
        <v>236.024590250583</v>
      </c>
      <c r="K74" s="14">
        <v>12.531660241262784</v>
      </c>
    </row>
    <row r="75" spans="1:11">
      <c r="A75" s="32">
        <v>2010</v>
      </c>
      <c r="B75" s="14">
        <v>304706.69251953723</v>
      </c>
      <c r="C75" s="14">
        <v>15</v>
      </c>
      <c r="D75" s="14">
        <v>19438.726041129172</v>
      </c>
      <c r="E75" s="14">
        <v>773.40308313899197</v>
      </c>
      <c r="F75" s="159">
        <v>0.89867989554788053</v>
      </c>
      <c r="G75" s="159">
        <v>0.77296967736167144</v>
      </c>
      <c r="H75" s="159">
        <v>0.91</v>
      </c>
      <c r="I75" s="14">
        <v>249.18873853164013</v>
      </c>
      <c r="J75" s="14">
        <v>234.34488553275742</v>
      </c>
      <c r="K75" s="14">
        <v>14.84385299888269</v>
      </c>
    </row>
    <row r="76" spans="1:11">
      <c r="A76" s="32">
        <v>2011</v>
      </c>
      <c r="B76" s="14">
        <v>307237.69474151148</v>
      </c>
      <c r="C76" s="14">
        <v>15</v>
      </c>
      <c r="D76" s="14">
        <v>19438.726041129172</v>
      </c>
      <c r="E76" s="14">
        <v>2531.0022219742609</v>
      </c>
      <c r="F76" s="159">
        <v>0.89867989554788053</v>
      </c>
      <c r="G76" s="159">
        <v>0.77296967736167144</v>
      </c>
      <c r="H76" s="159">
        <v>0.91</v>
      </c>
      <c r="I76" s="14">
        <v>251.25858887099258</v>
      </c>
      <c r="J76" s="14">
        <v>233.90148027867366</v>
      </c>
      <c r="K76" s="14">
        <v>17.35710859231893</v>
      </c>
    </row>
    <row r="77" spans="1:11">
      <c r="A77" s="32">
        <v>2012</v>
      </c>
      <c r="B77" s="14">
        <v>309576.9318474076</v>
      </c>
      <c r="C77" s="14">
        <v>15</v>
      </c>
      <c r="D77" s="14">
        <v>19438.726041129172</v>
      </c>
      <c r="E77" s="14">
        <v>2339.2371058960939</v>
      </c>
      <c r="F77" s="159">
        <v>0.89867989554788053</v>
      </c>
      <c r="G77" s="159">
        <v>0.77296967736167144</v>
      </c>
      <c r="H77" s="159">
        <v>0.91</v>
      </c>
      <c r="I77" s="14">
        <v>253.17161394676202</v>
      </c>
      <c r="J77" s="14">
        <v>233.32318698047712</v>
      </c>
      <c r="K77" s="14">
        <v>19.848426966284922</v>
      </c>
    </row>
    <row r="78" spans="1:11">
      <c r="A78" s="32">
        <v>2013</v>
      </c>
      <c r="B78" s="14">
        <v>312794.42345391586</v>
      </c>
      <c r="C78" s="14">
        <v>15</v>
      </c>
      <c r="D78" s="14">
        <v>19438.726041129172</v>
      </c>
      <c r="E78" s="14">
        <v>3217.4916065082507</v>
      </c>
      <c r="F78" s="159">
        <v>0.89867989554788053</v>
      </c>
      <c r="G78" s="159">
        <v>0.77296967736167144</v>
      </c>
      <c r="H78" s="159">
        <v>0.91</v>
      </c>
      <c r="I78" s="14">
        <v>255.8028744157474</v>
      </c>
      <c r="J78" s="14">
        <v>233.36266001144202</v>
      </c>
      <c r="K78" s="14">
        <v>22.440214404305397</v>
      </c>
    </row>
    <row r="79" spans="1:11">
      <c r="A79" s="32">
        <v>2014</v>
      </c>
      <c r="B79" s="14">
        <v>318541.34218090039</v>
      </c>
      <c r="C79" s="14">
        <v>15</v>
      </c>
      <c r="D79" s="14">
        <v>19438.726041129172</v>
      </c>
      <c r="E79" s="14">
        <v>5746.9187269845552</v>
      </c>
      <c r="F79" s="159">
        <v>0.89867989554788053</v>
      </c>
      <c r="G79" s="159">
        <v>0.77296967736167144</v>
      </c>
      <c r="H79" s="159">
        <v>0.91</v>
      </c>
      <c r="I79" s="14">
        <v>260.50269710812006</v>
      </c>
      <c r="J79" s="14">
        <v>235.1813381657611</v>
      </c>
      <c r="K79" s="14">
        <v>25.321358942358948</v>
      </c>
    </row>
    <row r="80" spans="1:11">
      <c r="A80" s="32">
        <v>2015</v>
      </c>
      <c r="B80" s="14">
        <v>326840.18650441273</v>
      </c>
      <c r="C80" s="14">
        <v>15</v>
      </c>
      <c r="D80" s="14">
        <v>19438.726041129172</v>
      </c>
      <c r="E80" s="14">
        <v>8298.8443235123268</v>
      </c>
      <c r="F80" s="159">
        <v>0.89867989554788053</v>
      </c>
      <c r="G80" s="159">
        <v>0.77296967736167144</v>
      </c>
      <c r="H80" s="159">
        <v>0.91</v>
      </c>
      <c r="I80" s="14">
        <v>267.28948124845823</v>
      </c>
      <c r="J80" s="14">
        <v>238.79504692562938</v>
      </c>
      <c r="K80" s="14">
        <v>28.494434322828848</v>
      </c>
    </row>
    <row r="81" spans="1:11">
      <c r="A81" s="32">
        <v>2016</v>
      </c>
      <c r="B81" s="14">
        <v>332321.60765182617</v>
      </c>
      <c r="C81" s="14">
        <v>15</v>
      </c>
      <c r="D81" s="14">
        <v>19438.726041129172</v>
      </c>
      <c r="E81" s="14">
        <v>5481.4211474134181</v>
      </c>
      <c r="F81" s="159">
        <v>0.89867989554788053</v>
      </c>
      <c r="G81" s="159">
        <v>0.77296967736167144</v>
      </c>
      <c r="H81" s="159">
        <v>0.91</v>
      </c>
      <c r="I81" s="14">
        <v>271.77218036409062</v>
      </c>
      <c r="J81" s="14">
        <v>240.42697344358504</v>
      </c>
      <c r="K81" s="14">
        <v>31.345206920505589</v>
      </c>
    </row>
    <row r="82" spans="1:11">
      <c r="A82" s="32">
        <v>2017</v>
      </c>
      <c r="B82" s="14">
        <v>337510.57505463413</v>
      </c>
      <c r="C82" s="14">
        <v>15</v>
      </c>
      <c r="D82" s="14">
        <v>19438.726041129172</v>
      </c>
      <c r="E82" s="14">
        <v>5188.9674028079917</v>
      </c>
      <c r="F82" s="159">
        <v>0.89867989554788053</v>
      </c>
      <c r="G82" s="159">
        <v>0.77296967736167144</v>
      </c>
      <c r="H82" s="159">
        <v>0.91</v>
      </c>
      <c r="I82" s="14">
        <v>276.01571118612736</v>
      </c>
      <c r="J82" s="14">
        <v>241.85318729382482</v>
      </c>
      <c r="K82" s="14">
        <v>34.162523892302531</v>
      </c>
    </row>
    <row r="83" spans="1:11">
      <c r="A83" s="32">
        <v>2018</v>
      </c>
      <c r="B83" s="14">
        <v>342356.63011436141</v>
      </c>
      <c r="C83" s="14">
        <v>15</v>
      </c>
      <c r="D83" s="14">
        <v>19438.726041129172</v>
      </c>
      <c r="E83" s="14">
        <v>4846.0550597272431</v>
      </c>
      <c r="F83" s="159">
        <v>0.89867989554788053</v>
      </c>
      <c r="G83" s="159">
        <v>0.77296967736167144</v>
      </c>
      <c r="H83" s="159">
        <v>0.91</v>
      </c>
      <c r="I83" s="14">
        <v>279.9788087380818</v>
      </c>
      <c r="J83" s="14">
        <v>243.03819577675765</v>
      </c>
      <c r="K83" s="14">
        <v>36.940612961324149</v>
      </c>
    </row>
    <row r="84" spans="1:11">
      <c r="A84" s="32">
        <v>2019</v>
      </c>
      <c r="B84" s="14">
        <v>347081.17838620488</v>
      </c>
      <c r="C84" s="14">
        <v>15</v>
      </c>
      <c r="D84" s="14">
        <v>19438.726041129172</v>
      </c>
      <c r="E84" s="14">
        <v>4724.5482718434696</v>
      </c>
      <c r="F84" s="159">
        <v>0.89867989554788053</v>
      </c>
      <c r="G84" s="159">
        <v>0.77296967736167144</v>
      </c>
      <c r="H84" s="159">
        <v>0.91</v>
      </c>
      <c r="I84" s="14">
        <v>283.84253819626241</v>
      </c>
      <c r="J84" s="14">
        <v>244.13773609269916</v>
      </c>
      <c r="K84" s="14">
        <v>39.704802103563239</v>
      </c>
    </row>
    <row r="85" spans="1:11">
      <c r="A85" s="32">
        <v>2020</v>
      </c>
      <c r="B85" s="14">
        <v>351700.29274946568</v>
      </c>
      <c r="C85" s="14">
        <v>15</v>
      </c>
      <c r="D85" s="160">
        <v>23138.745225746992</v>
      </c>
      <c r="E85" s="14">
        <v>4619.1143632608018</v>
      </c>
      <c r="F85" s="159">
        <v>0.89867989554788053</v>
      </c>
      <c r="G85" s="159">
        <v>0.77296967736167144</v>
      </c>
      <c r="H85" s="159">
        <v>0.91</v>
      </c>
      <c r="I85" s="14">
        <v>287.62004394054645</v>
      </c>
      <c r="J85" s="14">
        <v>247.38683225124944</v>
      </c>
      <c r="K85" s="14">
        <v>40.233211689297001</v>
      </c>
    </row>
    <row r="86" spans="1:11">
      <c r="A86" s="32">
        <v>2021</v>
      </c>
      <c r="B86" s="14">
        <v>356259.83482242556</v>
      </c>
      <c r="C86" s="14">
        <v>15</v>
      </c>
      <c r="D86" s="160">
        <v>23138.745225746992</v>
      </c>
      <c r="E86" s="14">
        <v>4559.5420729598818</v>
      </c>
      <c r="F86" s="159">
        <v>0.89867989554788053</v>
      </c>
      <c r="G86" s="159">
        <v>0.77296967736167144</v>
      </c>
      <c r="H86" s="159">
        <v>0.91</v>
      </c>
      <c r="I86" s="14">
        <v>291.34883154297154</v>
      </c>
      <c r="J86" s="14">
        <v>250.59402511744747</v>
      </c>
      <c r="K86" s="14">
        <v>40.754806425524066</v>
      </c>
    </row>
    <row r="87" spans="1:11">
      <c r="A87" s="32">
        <v>2022</v>
      </c>
      <c r="B87" s="14">
        <v>360862.4246160792</v>
      </c>
      <c r="C87" s="14">
        <v>15</v>
      </c>
      <c r="D87" s="160">
        <v>23138.745225746992</v>
      </c>
      <c r="E87" s="14">
        <v>4602.5897936536594</v>
      </c>
      <c r="F87" s="159">
        <v>0.89867989554788053</v>
      </c>
      <c r="G87" s="159">
        <v>0.77296967736167144</v>
      </c>
      <c r="H87" s="159">
        <v>0.91</v>
      </c>
      <c r="I87" s="14">
        <v>295.11282351563096</v>
      </c>
      <c r="J87" s="14">
        <v>253.83149785397148</v>
      </c>
      <c r="K87" s="14">
        <v>41.281325661659523</v>
      </c>
    </row>
    <row r="88" spans="1:11" s="167" customFormat="1">
      <c r="A88" s="162">
        <v>2023</v>
      </c>
      <c r="B88" s="163">
        <v>365405.64662261185</v>
      </c>
      <c r="C88" s="163">
        <v>15</v>
      </c>
      <c r="D88" s="164">
        <v>23138.745225746992</v>
      </c>
      <c r="E88" s="163">
        <v>4543.2220065326537</v>
      </c>
      <c r="F88" s="165">
        <v>0.89867989554788053</v>
      </c>
      <c r="G88" s="165">
        <v>0.77296967736167144</v>
      </c>
      <c r="H88" s="165">
        <v>0.91</v>
      </c>
      <c r="I88" s="163">
        <v>298.82826458886723</v>
      </c>
      <c r="J88" s="163">
        <v>257.02721114617208</v>
      </c>
      <c r="K88" s="163">
        <v>41.801053442695178</v>
      </c>
    </row>
    <row r="89" spans="1:11" s="167" customFormat="1">
      <c r="A89" s="162">
        <v>2024</v>
      </c>
      <c r="B89" s="163">
        <v>369875.48466787866</v>
      </c>
      <c r="C89" s="163">
        <v>15</v>
      </c>
      <c r="D89" s="164">
        <v>23138.745225746992</v>
      </c>
      <c r="E89" s="163">
        <v>4469.8380452668271</v>
      </c>
      <c r="F89" s="165">
        <v>0.89867989554788053</v>
      </c>
      <c r="G89" s="165">
        <v>0.77296967736167144</v>
      </c>
      <c r="H89" s="165">
        <v>0.91</v>
      </c>
      <c r="I89" s="163">
        <v>302.48369235361633</v>
      </c>
      <c r="J89" s="163">
        <v>260.17130598342709</v>
      </c>
      <c r="K89" s="163">
        <v>42.312386370189238</v>
      </c>
    </row>
    <row r="90" spans="1:11" s="167" customFormat="1">
      <c r="A90" s="162">
        <v>2025</v>
      </c>
      <c r="B90" s="163">
        <v>374462.6057923903</v>
      </c>
      <c r="C90" s="163">
        <v>15</v>
      </c>
      <c r="D90" s="164">
        <v>23138.745225746992</v>
      </c>
      <c r="E90" s="163">
        <v>4587.121124511621</v>
      </c>
      <c r="F90" s="165">
        <v>0.89867989554788053</v>
      </c>
      <c r="G90" s="165">
        <v>0.77296967736167144</v>
      </c>
      <c r="H90" s="165">
        <v>0.91</v>
      </c>
      <c r="I90" s="163">
        <v>306.23503406868412</v>
      </c>
      <c r="J90" s="163">
        <v>263.39789802085278</v>
      </c>
      <c r="K90" s="163">
        <v>42.837136047831329</v>
      </c>
    </row>
    <row r="91" spans="1:11" s="167" customFormat="1">
      <c r="A91" s="162">
        <v>2026</v>
      </c>
      <c r="B91" s="163">
        <v>379151.50590782106</v>
      </c>
      <c r="C91" s="163">
        <v>15</v>
      </c>
      <c r="D91" s="164">
        <v>23138.745225746992</v>
      </c>
      <c r="E91" s="163">
        <v>4688.900115430768</v>
      </c>
      <c r="F91" s="165">
        <v>0.89867989554788053</v>
      </c>
      <c r="G91" s="165">
        <v>0.77296967736167144</v>
      </c>
      <c r="H91" s="165">
        <v>0.91</v>
      </c>
      <c r="I91" s="163">
        <v>310.06961051071664</v>
      </c>
      <c r="J91" s="163">
        <v>266.69608164541188</v>
      </c>
      <c r="K91" s="163">
        <v>43.373528865304749</v>
      </c>
    </row>
    <row r="92" spans="1:11">
      <c r="A92" s="34"/>
      <c r="B92" s="18"/>
      <c r="C92" s="18"/>
      <c r="D92" s="18"/>
      <c r="E92" s="18"/>
      <c r="F92" s="18"/>
      <c r="G92" s="18"/>
      <c r="H92" s="18"/>
      <c r="I92" s="18"/>
      <c r="J92" s="18"/>
      <c r="K92" s="155"/>
    </row>
    <row r="93" spans="1:11" s="26" customFormat="1" ht="15.6">
      <c r="A93" s="25" t="s">
        <v>42</v>
      </c>
      <c r="B93" s="27"/>
      <c r="C93" s="25"/>
      <c r="D93" s="25"/>
      <c r="E93" s="25"/>
      <c r="F93" s="25"/>
      <c r="G93" s="25"/>
      <c r="H93" s="25"/>
      <c r="I93" s="25"/>
      <c r="J93" s="25"/>
      <c r="K93" s="155"/>
    </row>
    <row r="94" spans="1:11" s="30" customFormat="1">
      <c r="A94" s="28"/>
      <c r="B94" s="29" t="s">
        <v>94</v>
      </c>
      <c r="C94" s="23"/>
      <c r="D94" s="23"/>
      <c r="E94" s="23"/>
      <c r="F94" s="23"/>
      <c r="G94" s="23"/>
      <c r="H94" s="23"/>
      <c r="I94" s="23" t="s">
        <v>29</v>
      </c>
      <c r="J94" s="23" t="s">
        <v>30</v>
      </c>
      <c r="K94" s="23" t="s">
        <v>95</v>
      </c>
    </row>
    <row r="95" spans="1:11" s="30" customFormat="1">
      <c r="A95" s="31"/>
      <c r="B95" s="156" t="s">
        <v>4</v>
      </c>
      <c r="C95" s="157" t="s">
        <v>96</v>
      </c>
      <c r="D95" s="157" t="s">
        <v>32</v>
      </c>
      <c r="E95" s="157" t="s">
        <v>32</v>
      </c>
      <c r="F95" s="156"/>
      <c r="G95" s="156"/>
      <c r="H95" s="156"/>
      <c r="I95" s="156" t="s">
        <v>4</v>
      </c>
      <c r="J95" s="156" t="s">
        <v>4</v>
      </c>
      <c r="K95" s="156" t="s">
        <v>24</v>
      </c>
    </row>
    <row r="96" spans="1:11" s="30" customFormat="1">
      <c r="A96" s="31"/>
      <c r="B96" s="158" t="s">
        <v>97</v>
      </c>
      <c r="C96" s="158" t="s">
        <v>8</v>
      </c>
      <c r="D96" s="158" t="s">
        <v>98</v>
      </c>
      <c r="E96" s="158" t="s">
        <v>98</v>
      </c>
      <c r="F96" s="158"/>
      <c r="G96" s="158"/>
      <c r="H96" s="158" t="s">
        <v>105</v>
      </c>
      <c r="I96" s="158" t="s">
        <v>99</v>
      </c>
      <c r="J96" s="158" t="s">
        <v>99</v>
      </c>
      <c r="K96" s="158" t="s">
        <v>100</v>
      </c>
    </row>
    <row r="97" spans="1:11" s="30" customFormat="1">
      <c r="A97" s="31"/>
      <c r="B97" s="158" t="s">
        <v>12</v>
      </c>
      <c r="C97" s="158" t="s">
        <v>15</v>
      </c>
      <c r="D97" s="158" t="s">
        <v>9</v>
      </c>
      <c r="E97" s="158" t="s">
        <v>10</v>
      </c>
      <c r="F97" s="158" t="s">
        <v>106</v>
      </c>
      <c r="G97" s="158" t="s">
        <v>107</v>
      </c>
      <c r="H97" s="158" t="s">
        <v>108</v>
      </c>
      <c r="I97" s="158" t="s">
        <v>36</v>
      </c>
      <c r="J97" s="158" t="s">
        <v>101</v>
      </c>
      <c r="K97" s="158" t="s">
        <v>44</v>
      </c>
    </row>
    <row r="98" spans="1:11" s="30" customFormat="1">
      <c r="A98" s="24" t="s">
        <v>17</v>
      </c>
      <c r="B98" s="24" t="s">
        <v>37</v>
      </c>
      <c r="C98" s="24" t="s">
        <v>21</v>
      </c>
      <c r="D98" s="24" t="s">
        <v>38</v>
      </c>
      <c r="E98" s="24" t="s">
        <v>38</v>
      </c>
      <c r="F98" s="24" t="s">
        <v>109</v>
      </c>
      <c r="G98" s="24" t="s">
        <v>109</v>
      </c>
      <c r="H98" s="24"/>
      <c r="I98" s="24" t="s">
        <v>22</v>
      </c>
      <c r="J98" s="24" t="s">
        <v>22</v>
      </c>
      <c r="K98" s="24" t="s">
        <v>22</v>
      </c>
    </row>
    <row r="99" spans="1:11">
      <c r="A99" s="32">
        <v>2005</v>
      </c>
      <c r="B99" s="14">
        <v>1116540.9151903847</v>
      </c>
      <c r="C99" s="14">
        <v>15</v>
      </c>
      <c r="D99" s="14">
        <v>74436.061012692298</v>
      </c>
      <c r="E99" s="14">
        <v>0</v>
      </c>
      <c r="F99" s="159">
        <v>0.89867989554788053</v>
      </c>
      <c r="G99" s="159">
        <v>0.77296967736167144</v>
      </c>
      <c r="H99" s="159">
        <v>0.91</v>
      </c>
      <c r="I99" s="14">
        <v>913.105714464789</v>
      </c>
      <c r="J99" s="14">
        <v>904.59050460633614</v>
      </c>
      <c r="K99" s="14">
        <v>8.5152098584529057</v>
      </c>
    </row>
    <row r="100" spans="1:11">
      <c r="A100" s="32">
        <v>2006</v>
      </c>
      <c r="B100" s="14">
        <v>1138659.3082709617</v>
      </c>
      <c r="C100" s="14">
        <v>15</v>
      </c>
      <c r="D100" s="14">
        <v>74436.061012692298</v>
      </c>
      <c r="E100" s="14">
        <v>22118.393080577112</v>
      </c>
      <c r="F100" s="159">
        <v>0.89867989554788053</v>
      </c>
      <c r="G100" s="159">
        <v>0.77296967736167144</v>
      </c>
      <c r="H100" s="159">
        <v>0.91</v>
      </c>
      <c r="I100" s="14">
        <v>931.19410768162857</v>
      </c>
      <c r="J100" s="14">
        <v>911.63342566644246</v>
      </c>
      <c r="K100" s="14">
        <v>19.56068201518606</v>
      </c>
    </row>
    <row r="101" spans="1:11">
      <c r="A101" s="32">
        <v>2007</v>
      </c>
      <c r="B101" s="14">
        <v>1165490.2503405339</v>
      </c>
      <c r="C101" s="14">
        <v>15</v>
      </c>
      <c r="D101" s="14">
        <v>74436.061012692298</v>
      </c>
      <c r="E101" s="14">
        <v>26830.94206957204</v>
      </c>
      <c r="F101" s="159">
        <v>0.89867989554788053</v>
      </c>
      <c r="G101" s="159">
        <v>0.77296967736167144</v>
      </c>
      <c r="H101" s="159">
        <v>0.91</v>
      </c>
      <c r="I101" s="14">
        <v>953.13641735867463</v>
      </c>
      <c r="J101" s="14">
        <v>921.99116502568222</v>
      </c>
      <c r="K101" s="14">
        <v>31.14525233299241</v>
      </c>
    </row>
    <row r="102" spans="1:11">
      <c r="A102" s="32">
        <v>2008</v>
      </c>
      <c r="B102" s="14">
        <v>1170642.2526818612</v>
      </c>
      <c r="C102" s="14">
        <v>15</v>
      </c>
      <c r="D102" s="14">
        <v>74436.061012692298</v>
      </c>
      <c r="E102" s="14">
        <v>5152.002341327363</v>
      </c>
      <c r="F102" s="159">
        <v>0.89867989554788053</v>
      </c>
      <c r="G102" s="159">
        <v>0.77296967736167144</v>
      </c>
      <c r="H102" s="159">
        <v>0.91</v>
      </c>
      <c r="I102" s="14">
        <v>957.3497182013042</v>
      </c>
      <c r="J102" s="14">
        <v>917.09988601189252</v>
      </c>
      <c r="K102" s="14">
        <v>40.249832189411634</v>
      </c>
    </row>
    <row r="103" spans="1:11">
      <c r="A103" s="32">
        <v>2009</v>
      </c>
      <c r="B103" s="14">
        <v>1163841.541282498</v>
      </c>
      <c r="C103" s="14">
        <v>15</v>
      </c>
      <c r="D103" s="14">
        <v>74436.061012692298</v>
      </c>
      <c r="E103" s="14">
        <v>-6800.7113993630601</v>
      </c>
      <c r="F103" s="159">
        <v>0.89867989554788053</v>
      </c>
      <c r="G103" s="159">
        <v>0.77296967736167144</v>
      </c>
      <c r="H103" s="159">
        <v>0.91</v>
      </c>
      <c r="I103" s="14">
        <v>951.78810522617619</v>
      </c>
      <c r="J103" s="14">
        <v>903.8010393899018</v>
      </c>
      <c r="K103" s="14">
        <v>47.987065836274382</v>
      </c>
    </row>
    <row r="104" spans="1:11">
      <c r="A104" s="32">
        <v>2010</v>
      </c>
      <c r="B104" s="14">
        <v>1166803.1077432905</v>
      </c>
      <c r="C104" s="14">
        <v>15</v>
      </c>
      <c r="D104" s="14">
        <v>74436.061012692298</v>
      </c>
      <c r="E104" s="14">
        <v>2961.5664607923154</v>
      </c>
      <c r="F104" s="159">
        <v>0.89867989554788053</v>
      </c>
      <c r="G104" s="159">
        <v>0.77296967736167144</v>
      </c>
      <c r="H104" s="159">
        <v>0.91</v>
      </c>
      <c r="I104" s="14">
        <v>954.2100704424314</v>
      </c>
      <c r="J104" s="14">
        <v>897.36900250668077</v>
      </c>
      <c r="K104" s="14">
        <v>56.841067935750594</v>
      </c>
    </row>
    <row r="105" spans="1:11">
      <c r="A105" s="32">
        <v>2011</v>
      </c>
      <c r="B105" s="14">
        <v>1176494.9895785258</v>
      </c>
      <c r="C105" s="14">
        <v>15</v>
      </c>
      <c r="D105" s="14">
        <v>74436.061012692298</v>
      </c>
      <c r="E105" s="14">
        <v>9691.8818352353337</v>
      </c>
      <c r="F105" s="159">
        <v>0.89867989554788053</v>
      </c>
      <c r="G105" s="159">
        <v>0.77296967736167144</v>
      </c>
      <c r="H105" s="159">
        <v>0.91</v>
      </c>
      <c r="I105" s="14">
        <v>962.1360788558012</v>
      </c>
      <c r="J105" s="14">
        <v>895.67108565366823</v>
      </c>
      <c r="K105" s="14">
        <v>66.464993202133073</v>
      </c>
    </row>
    <row r="106" spans="1:11">
      <c r="A106" s="32">
        <v>2012</v>
      </c>
      <c r="B106" s="14">
        <v>1185452.5516928956</v>
      </c>
      <c r="C106" s="14">
        <v>15</v>
      </c>
      <c r="D106" s="14">
        <v>74436.061012692298</v>
      </c>
      <c r="E106" s="14">
        <v>8957.5621143699591</v>
      </c>
      <c r="F106" s="159">
        <v>0.89867989554788053</v>
      </c>
      <c r="G106" s="159">
        <v>0.77296967736167144</v>
      </c>
      <c r="H106" s="159">
        <v>0.91</v>
      </c>
      <c r="I106" s="14">
        <v>969.46156155242932</v>
      </c>
      <c r="J106" s="14">
        <v>893.45664654193263</v>
      </c>
      <c r="K106" s="14">
        <v>76.004915010496703</v>
      </c>
    </row>
    <row r="107" spans="1:11">
      <c r="A107" s="32">
        <v>2013</v>
      </c>
      <c r="B107" s="14">
        <v>1197773.1842808099</v>
      </c>
      <c r="C107" s="14">
        <v>15</v>
      </c>
      <c r="D107" s="14">
        <v>74436.061012692298</v>
      </c>
      <c r="E107" s="14">
        <v>12320.632587914253</v>
      </c>
      <c r="F107" s="159">
        <v>0.89867989554788053</v>
      </c>
      <c r="G107" s="159">
        <v>0.77296967736167144</v>
      </c>
      <c r="H107" s="159">
        <v>0.91</v>
      </c>
      <c r="I107" s="14">
        <v>979.53735892697284</v>
      </c>
      <c r="J107" s="14">
        <v>893.60779929417788</v>
      </c>
      <c r="K107" s="14">
        <v>85.929559632794948</v>
      </c>
    </row>
    <row r="108" spans="1:11">
      <c r="A108" s="32">
        <v>2014</v>
      </c>
      <c r="B108" s="14">
        <v>1219779.6672206742</v>
      </c>
      <c r="C108" s="14">
        <v>15</v>
      </c>
      <c r="D108" s="14">
        <v>74436.061012692298</v>
      </c>
      <c r="E108" s="14">
        <v>22006.482939864367</v>
      </c>
      <c r="F108" s="159">
        <v>0.89867989554788053</v>
      </c>
      <c r="G108" s="159">
        <v>0.77296967736167144</v>
      </c>
      <c r="H108" s="159">
        <v>0.91</v>
      </c>
      <c r="I108" s="14">
        <v>997.53423217566672</v>
      </c>
      <c r="J108" s="14">
        <v>900.57200249200662</v>
      </c>
      <c r="K108" s="14">
        <v>96.962229683660141</v>
      </c>
    </row>
    <row r="109" spans="1:11">
      <c r="A109" s="32">
        <v>2015</v>
      </c>
      <c r="B109" s="14">
        <v>1251558.1531714911</v>
      </c>
      <c r="C109" s="14">
        <v>15</v>
      </c>
      <c r="D109" s="14">
        <v>74436.061012692298</v>
      </c>
      <c r="E109" s="14">
        <v>31778.485950816728</v>
      </c>
      <c r="F109" s="159">
        <v>0.89867989554788053</v>
      </c>
      <c r="G109" s="159">
        <v>0.77296967736167144</v>
      </c>
      <c r="H109" s="159">
        <v>0.91</v>
      </c>
      <c r="I109" s="14">
        <v>1023.522636831471</v>
      </c>
      <c r="J109" s="14">
        <v>914.40985612307873</v>
      </c>
      <c r="K109" s="14">
        <v>109.11278070839228</v>
      </c>
    </row>
    <row r="110" spans="1:11">
      <c r="A110" s="32">
        <v>2016</v>
      </c>
      <c r="B110" s="14">
        <v>1272547.9751434573</v>
      </c>
      <c r="C110" s="14">
        <v>15</v>
      </c>
      <c r="D110" s="14">
        <v>74436.061012692298</v>
      </c>
      <c r="E110" s="14">
        <v>20989.821971966321</v>
      </c>
      <c r="F110" s="159">
        <v>0.89867989554788053</v>
      </c>
      <c r="G110" s="159">
        <v>0.77296967736167144</v>
      </c>
      <c r="H110" s="159">
        <v>0.91</v>
      </c>
      <c r="I110" s="14">
        <v>1040.688086057246</v>
      </c>
      <c r="J110" s="14">
        <v>920.65893754959598</v>
      </c>
      <c r="K110" s="14">
        <v>120.02914850765011</v>
      </c>
    </row>
    <row r="111" spans="1:11">
      <c r="A111" s="32">
        <v>2017</v>
      </c>
      <c r="B111" s="14">
        <v>1292417.9138097595</v>
      </c>
      <c r="C111" s="14">
        <v>15</v>
      </c>
      <c r="D111" s="14">
        <v>74436.061012692298</v>
      </c>
      <c r="E111" s="14">
        <v>19869.938666302154</v>
      </c>
      <c r="F111" s="159">
        <v>0.89867989554788053</v>
      </c>
      <c r="G111" s="159">
        <v>0.77296967736167144</v>
      </c>
      <c r="H111" s="159">
        <v>0.91</v>
      </c>
      <c r="I111" s="14">
        <v>1056.9376961659555</v>
      </c>
      <c r="J111" s="14">
        <v>926.12029036402294</v>
      </c>
      <c r="K111" s="14">
        <v>130.81740580193258</v>
      </c>
    </row>
    <row r="112" spans="1:11">
      <c r="A112" s="32">
        <v>2018</v>
      </c>
      <c r="B112" s="14">
        <v>1310974.7497533031</v>
      </c>
      <c r="C112" s="14">
        <v>15</v>
      </c>
      <c r="D112" s="14">
        <v>74436.061012692298</v>
      </c>
      <c r="E112" s="14">
        <v>18556.835943543625</v>
      </c>
      <c r="F112" s="159">
        <v>0.89867989554788053</v>
      </c>
      <c r="G112" s="159">
        <v>0.77296967736167144</v>
      </c>
      <c r="H112" s="159">
        <v>0.91</v>
      </c>
      <c r="I112" s="14">
        <v>1072.1134525685286</v>
      </c>
      <c r="J112" s="14">
        <v>930.65800356341219</v>
      </c>
      <c r="K112" s="14">
        <v>141.45544900511644</v>
      </c>
    </row>
    <row r="113" spans="1:11">
      <c r="A113" s="32">
        <v>2019</v>
      </c>
      <c r="B113" s="14">
        <v>1329066.3038333524</v>
      </c>
      <c r="C113" s="14">
        <v>15</v>
      </c>
      <c r="D113" s="14">
        <v>74436.061012692298</v>
      </c>
      <c r="E113" s="14">
        <v>18091.554080049271</v>
      </c>
      <c r="F113" s="159">
        <v>0.89867989554788053</v>
      </c>
      <c r="G113" s="159">
        <v>0.77296967736167144</v>
      </c>
      <c r="H113" s="159">
        <v>0.91</v>
      </c>
      <c r="I113" s="14">
        <v>1086.9087020657</v>
      </c>
      <c r="J113" s="14">
        <v>934.86843638036578</v>
      </c>
      <c r="K113" s="14">
        <v>152.04026568533433</v>
      </c>
    </row>
    <row r="114" spans="1:11">
      <c r="A114" s="32">
        <v>2020</v>
      </c>
      <c r="B114" s="14">
        <v>1346754.1233870001</v>
      </c>
      <c r="C114" s="14">
        <v>15</v>
      </c>
      <c r="D114" s="160">
        <v>88604.420255556834</v>
      </c>
      <c r="E114" s="14">
        <v>17687.819553647652</v>
      </c>
      <c r="F114" s="159">
        <v>0.89867989554788053</v>
      </c>
      <c r="G114" s="159">
        <v>0.77296967736167144</v>
      </c>
      <c r="H114" s="159">
        <v>0.91</v>
      </c>
      <c r="I114" s="14">
        <v>1101.3737779900373</v>
      </c>
      <c r="J114" s="14">
        <v>947.3100912183545</v>
      </c>
      <c r="K114" s="14">
        <v>154.06368677168271</v>
      </c>
    </row>
    <row r="115" spans="1:11">
      <c r="A115" s="32">
        <v>2021</v>
      </c>
      <c r="B115" s="14">
        <v>1364213.8247694196</v>
      </c>
      <c r="C115" s="14">
        <v>15</v>
      </c>
      <c r="D115" s="160">
        <v>88604.420255556834</v>
      </c>
      <c r="E115" s="14">
        <v>17459.701382419622</v>
      </c>
      <c r="F115" s="159">
        <v>0.89867989554788053</v>
      </c>
      <c r="G115" s="159">
        <v>0.77296967736167144</v>
      </c>
      <c r="H115" s="159">
        <v>0.91</v>
      </c>
      <c r="I115" s="14">
        <v>1115.6522991693687</v>
      </c>
      <c r="J115" s="14">
        <v>959.59128718575857</v>
      </c>
      <c r="K115" s="14">
        <v>156.06101198361011</v>
      </c>
    </row>
    <row r="116" spans="1:11">
      <c r="A116" s="32">
        <v>2022</v>
      </c>
      <c r="B116" s="14">
        <v>1381838.3673434502</v>
      </c>
      <c r="C116" s="14">
        <v>15</v>
      </c>
      <c r="D116" s="160">
        <v>88604.420255556834</v>
      </c>
      <c r="E116" s="14">
        <v>17624.542574030613</v>
      </c>
      <c r="F116" s="159">
        <v>0.89867989554788053</v>
      </c>
      <c r="G116" s="159">
        <v>0.77296967736167144</v>
      </c>
      <c r="H116" s="159">
        <v>0.91</v>
      </c>
      <c r="I116" s="14">
        <v>1130.0656272617218</v>
      </c>
      <c r="J116" s="14">
        <v>971.98843284401539</v>
      </c>
      <c r="K116" s="14">
        <v>158.07719441770641</v>
      </c>
    </row>
    <row r="117" spans="1:11">
      <c r="A117" s="162">
        <v>2023</v>
      </c>
      <c r="B117" s="163">
        <v>1399235.5748434139</v>
      </c>
      <c r="C117" s="163">
        <v>15</v>
      </c>
      <c r="D117" s="164">
        <v>88604.420255556834</v>
      </c>
      <c r="E117" s="163">
        <v>17397.207499963639</v>
      </c>
      <c r="F117" s="165">
        <v>0.89867989554788053</v>
      </c>
      <c r="G117" s="165">
        <v>0.77296967736167144</v>
      </c>
      <c r="H117" s="165">
        <v>0.91</v>
      </c>
      <c r="I117" s="163">
        <v>1144.2930410249135</v>
      </c>
      <c r="J117" s="163">
        <v>984.22567046411496</v>
      </c>
      <c r="K117" s="163">
        <v>160.06737056079865</v>
      </c>
    </row>
    <row r="118" spans="1:11">
      <c r="A118" s="162">
        <v>2024</v>
      </c>
      <c r="B118" s="163">
        <v>1416351.7756042231</v>
      </c>
      <c r="C118" s="163">
        <v>15</v>
      </c>
      <c r="D118" s="164">
        <v>88604.420255556834</v>
      </c>
      <c r="E118" s="163">
        <v>17116.200760809101</v>
      </c>
      <c r="F118" s="165">
        <v>0.89867989554788053</v>
      </c>
      <c r="G118" s="165">
        <v>0.77296967736167144</v>
      </c>
      <c r="H118" s="165">
        <v>0.91</v>
      </c>
      <c r="I118" s="163">
        <v>1158.2906478407431</v>
      </c>
      <c r="J118" s="163">
        <v>996.26524726767855</v>
      </c>
      <c r="K118" s="163">
        <v>162.02540057306459</v>
      </c>
    </row>
    <row r="119" spans="1:11">
      <c r="A119" s="162">
        <v>2025</v>
      </c>
      <c r="B119" s="163">
        <v>1433917.0845228378</v>
      </c>
      <c r="C119" s="163">
        <v>15</v>
      </c>
      <c r="D119" s="164">
        <v>88604.420255556834</v>
      </c>
      <c r="E119" s="163">
        <v>17565.308918614835</v>
      </c>
      <c r="F119" s="165">
        <v>0.89867989554788053</v>
      </c>
      <c r="G119" s="165">
        <v>0.77296967736167144</v>
      </c>
      <c r="H119" s="165">
        <v>0.91</v>
      </c>
      <c r="I119" s="163">
        <v>1172.6555347264077</v>
      </c>
      <c r="J119" s="163">
        <v>1008.6207278301761</v>
      </c>
      <c r="K119" s="163">
        <v>164.03480689623166</v>
      </c>
    </row>
    <row r="120" spans="1:11">
      <c r="A120" s="162">
        <v>2026</v>
      </c>
      <c r="B120" s="163">
        <v>1451872.1323143521</v>
      </c>
      <c r="C120" s="163">
        <v>15</v>
      </c>
      <c r="D120" s="164">
        <v>88604.420255556834</v>
      </c>
      <c r="E120" s="163">
        <v>17955.047791514135</v>
      </c>
      <c r="F120" s="165">
        <v>0.89867989554788053</v>
      </c>
      <c r="G120" s="165">
        <v>0.77296967736167144</v>
      </c>
      <c r="H120" s="165">
        <v>0.91</v>
      </c>
      <c r="I120" s="163">
        <v>1187.3391495575979</v>
      </c>
      <c r="J120" s="163">
        <v>1021.2503516537382</v>
      </c>
      <c r="K120" s="163">
        <v>166.08879790385956</v>
      </c>
    </row>
    <row r="122" spans="1:11">
      <c r="A122" s="33" t="s">
        <v>222</v>
      </c>
      <c r="K122" s="155"/>
    </row>
    <row r="123" spans="1:11">
      <c r="A123" s="33" t="s">
        <v>296</v>
      </c>
      <c r="K123" s="155"/>
    </row>
    <row r="124" spans="1:11">
      <c r="A124" s="33" t="s">
        <v>223</v>
      </c>
      <c r="J124" s="155"/>
      <c r="K124" s="155"/>
    </row>
    <row r="125" spans="1:11">
      <c r="K125" s="155"/>
    </row>
    <row r="126" spans="1:11">
      <c r="A126" s="33" t="s">
        <v>103</v>
      </c>
    </row>
    <row r="127" spans="1:11">
      <c r="A127" s="33" t="s">
        <v>297</v>
      </c>
      <c r="F127" s="35"/>
      <c r="G127" s="35"/>
      <c r="H127" s="35"/>
      <c r="I127" s="35"/>
      <c r="J127" s="35"/>
      <c r="K127" s="155"/>
    </row>
    <row r="128" spans="1:11">
      <c r="F128" s="35"/>
      <c r="G128" s="35"/>
      <c r="H128" s="35"/>
      <c r="I128" s="35"/>
      <c r="J128" s="35"/>
    </row>
    <row r="129" spans="6:10">
      <c r="F129" s="35"/>
      <c r="G129" s="35"/>
      <c r="H129" s="35"/>
      <c r="I129" s="35"/>
      <c r="J129" s="35"/>
    </row>
    <row r="130" spans="6:10">
      <c r="F130" s="35"/>
      <c r="G130" s="35"/>
      <c r="H130" s="35"/>
      <c r="I130" s="35"/>
      <c r="J130" s="35"/>
    </row>
    <row r="131" spans="6:10">
      <c r="F131" s="35"/>
      <c r="G131" s="35"/>
      <c r="H131" s="35"/>
      <c r="I131" s="35"/>
      <c r="J131" s="35"/>
    </row>
    <row r="132" spans="6:10">
      <c r="F132" s="35"/>
      <c r="G132" s="35"/>
      <c r="H132" s="35"/>
      <c r="I132" s="35"/>
      <c r="J132" s="35"/>
    </row>
    <row r="133" spans="6:10">
      <c r="F133" s="35"/>
      <c r="G133" s="35"/>
      <c r="H133" s="35"/>
      <c r="I133" s="35"/>
      <c r="J133" s="35"/>
    </row>
    <row r="134" spans="6:10">
      <c r="F134" s="35"/>
      <c r="G134" s="35"/>
      <c r="H134" s="35"/>
      <c r="I134" s="35"/>
      <c r="J134" s="35"/>
    </row>
    <row r="135" spans="6:10">
      <c r="F135" s="35"/>
      <c r="G135" s="35"/>
      <c r="H135" s="35"/>
      <c r="I135" s="35"/>
      <c r="J135" s="35"/>
    </row>
    <row r="136" spans="6:10">
      <c r="F136" s="35"/>
      <c r="G136" s="35"/>
      <c r="H136" s="35"/>
      <c r="I136" s="35"/>
      <c r="J136" s="35"/>
    </row>
  </sheetData>
  <phoneticPr fontId="0" type="noConversion"/>
  <printOptions horizontalCentered="1"/>
  <pageMargins left="0.75" right="0.75" top="0.75" bottom="0.75" header="0.5" footer="0.5"/>
  <pageSetup scale="3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N137"/>
  <sheetViews>
    <sheetView zoomScale="75" zoomScaleNormal="75" workbookViewId="0">
      <selection sqref="A1:A2"/>
    </sheetView>
  </sheetViews>
  <sheetFormatPr defaultColWidth="9.109375" defaultRowHeight="13.2"/>
  <cols>
    <col min="1" max="1" width="12.6640625" style="33" customWidth="1"/>
    <col min="2" max="2" width="16.109375" style="33" customWidth="1"/>
    <col min="3" max="3" width="15.6640625" style="33" customWidth="1"/>
    <col min="4" max="4" width="17.44140625" style="33" customWidth="1"/>
    <col min="5" max="5" width="14.88671875" style="33" customWidth="1"/>
    <col min="6" max="6" width="17" style="33" customWidth="1"/>
    <col min="7" max="7" width="18.6640625" style="33" customWidth="1"/>
    <col min="8" max="8" width="23.5546875" style="33" customWidth="1"/>
    <col min="9" max="9" width="14.109375" style="33" customWidth="1"/>
    <col min="10" max="10" width="14.88671875" style="33" customWidth="1"/>
    <col min="11" max="11" width="18.5546875" style="33" customWidth="1"/>
    <col min="12" max="12" width="19.44140625" style="33" customWidth="1"/>
    <col min="13" max="13" width="18.44140625" style="33" customWidth="1"/>
    <col min="14" max="16384" width="9.109375" style="33"/>
  </cols>
  <sheetData>
    <row r="1" spans="1:14">
      <c r="A1" s="416" t="s">
        <v>401</v>
      </c>
    </row>
    <row r="2" spans="1:14">
      <c r="A2" s="416" t="s">
        <v>380</v>
      </c>
    </row>
    <row r="3" spans="1:14" s="26" customFormat="1" ht="15.6">
      <c r="A3" s="25" t="s">
        <v>0</v>
      </c>
      <c r="B3" s="25"/>
      <c r="C3" s="25"/>
      <c r="D3" s="25"/>
      <c r="E3" s="25"/>
      <c r="F3" s="25"/>
      <c r="G3" s="25"/>
      <c r="H3" s="25"/>
      <c r="I3" s="25"/>
      <c r="J3" s="25"/>
      <c r="K3" s="25"/>
      <c r="L3" s="25"/>
    </row>
    <row r="4" spans="1:14" s="26" customFormat="1" ht="15.6">
      <c r="A4" s="25" t="s">
        <v>46</v>
      </c>
      <c r="B4" s="27"/>
      <c r="C4" s="25"/>
      <c r="D4" s="25"/>
      <c r="E4" s="25"/>
      <c r="F4" s="25"/>
      <c r="G4" s="25"/>
      <c r="H4" s="25"/>
      <c r="I4" s="25"/>
      <c r="J4" s="25"/>
      <c r="K4" s="25"/>
      <c r="L4" s="25"/>
    </row>
    <row r="5" spans="1:14" s="26" customFormat="1" ht="15.6">
      <c r="A5" s="25" t="s">
        <v>272</v>
      </c>
      <c r="B5" s="27"/>
      <c r="C5" s="25"/>
      <c r="D5" s="25"/>
      <c r="E5" s="25"/>
      <c r="F5" s="25"/>
      <c r="G5" s="25"/>
      <c r="H5" s="25"/>
      <c r="I5" s="25"/>
      <c r="J5" s="25"/>
      <c r="K5" s="25"/>
      <c r="L5" s="25"/>
    </row>
    <row r="6" spans="1:14" s="26" customFormat="1" ht="15.6">
      <c r="A6" s="25" t="s">
        <v>273</v>
      </c>
      <c r="B6" s="27"/>
      <c r="C6" s="25"/>
      <c r="D6" s="25"/>
      <c r="E6" s="25"/>
      <c r="F6" s="25"/>
      <c r="G6" s="25"/>
      <c r="H6" s="25"/>
      <c r="I6" s="25"/>
      <c r="J6" s="25"/>
      <c r="K6" s="25"/>
      <c r="L6" s="25"/>
    </row>
    <row r="7" spans="1:14" s="26" customFormat="1" ht="15.6">
      <c r="A7" s="25"/>
      <c r="B7" s="27"/>
      <c r="C7" s="25"/>
      <c r="D7" s="25"/>
      <c r="E7" s="25"/>
      <c r="F7" s="25"/>
      <c r="G7" s="25"/>
      <c r="H7" s="25"/>
      <c r="I7" s="25"/>
      <c r="J7" s="25"/>
      <c r="K7" s="25"/>
      <c r="L7" s="25"/>
    </row>
    <row r="8" spans="1:14" s="26" customFormat="1" ht="15.6">
      <c r="A8" s="25" t="s">
        <v>27</v>
      </c>
      <c r="B8" s="27"/>
      <c r="C8" s="25"/>
      <c r="D8" s="25"/>
      <c r="E8" s="25"/>
      <c r="F8" s="25"/>
      <c r="G8" s="25"/>
      <c r="H8" s="25"/>
      <c r="I8" s="25"/>
      <c r="J8" s="25"/>
      <c r="K8" s="25"/>
      <c r="L8" s="25"/>
    </row>
    <row r="9" spans="1:14" s="30" customFormat="1" ht="26.4">
      <c r="A9" s="28"/>
      <c r="B9" s="29" t="s">
        <v>47</v>
      </c>
      <c r="C9" s="23"/>
      <c r="D9" s="23"/>
      <c r="E9" s="23"/>
      <c r="F9" s="146" t="s">
        <v>48</v>
      </c>
      <c r="G9" s="146" t="s">
        <v>49</v>
      </c>
      <c r="H9" s="146" t="s">
        <v>59</v>
      </c>
      <c r="I9" s="146" t="s">
        <v>274</v>
      </c>
      <c r="J9" s="146"/>
      <c r="K9" s="146" t="s">
        <v>50</v>
      </c>
      <c r="L9" s="146" t="s">
        <v>59</v>
      </c>
      <c r="M9" s="146" t="s">
        <v>59</v>
      </c>
    </row>
    <row r="10" spans="1:14" s="30" customFormat="1" ht="39.6">
      <c r="A10" s="31"/>
      <c r="B10" s="56" t="s">
        <v>4</v>
      </c>
      <c r="C10" s="57" t="s">
        <v>51</v>
      </c>
      <c r="D10" s="57" t="s">
        <v>32</v>
      </c>
      <c r="E10" s="57" t="s">
        <v>32</v>
      </c>
      <c r="F10" s="56" t="s">
        <v>4</v>
      </c>
      <c r="G10" s="56" t="s">
        <v>4</v>
      </c>
      <c r="H10" s="56" t="s">
        <v>24</v>
      </c>
      <c r="I10" s="56" t="s">
        <v>275</v>
      </c>
      <c r="J10" s="56" t="s">
        <v>276</v>
      </c>
      <c r="K10" s="56" t="s">
        <v>4</v>
      </c>
      <c r="L10" s="57" t="s">
        <v>24</v>
      </c>
      <c r="M10" s="57" t="s">
        <v>24</v>
      </c>
    </row>
    <row r="11" spans="1:14" s="30" customFormat="1" ht="26.4">
      <c r="A11" s="31"/>
      <c r="B11" s="55" t="s">
        <v>52</v>
      </c>
      <c r="C11" s="55" t="s">
        <v>8</v>
      </c>
      <c r="D11" s="55" t="s">
        <v>53</v>
      </c>
      <c r="E11" s="55" t="s">
        <v>53</v>
      </c>
      <c r="F11" s="55" t="s">
        <v>54</v>
      </c>
      <c r="G11" s="55" t="s">
        <v>54</v>
      </c>
      <c r="H11" s="55" t="s">
        <v>60</v>
      </c>
      <c r="I11" s="55" t="s">
        <v>277</v>
      </c>
      <c r="J11" s="55" t="s">
        <v>53</v>
      </c>
      <c r="K11" s="55" t="s">
        <v>278</v>
      </c>
      <c r="L11" s="55" t="s">
        <v>279</v>
      </c>
      <c r="M11" s="61" t="s">
        <v>280</v>
      </c>
    </row>
    <row r="12" spans="1:14" s="30" customFormat="1" ht="26.4">
      <c r="A12" s="31"/>
      <c r="B12" s="55" t="s">
        <v>12</v>
      </c>
      <c r="C12" s="55" t="s">
        <v>15</v>
      </c>
      <c r="D12" s="55" t="s">
        <v>9</v>
      </c>
      <c r="E12" s="55" t="s">
        <v>10</v>
      </c>
      <c r="F12" s="55" t="s">
        <v>55</v>
      </c>
      <c r="G12" s="55" t="s">
        <v>56</v>
      </c>
      <c r="H12" s="55" t="s">
        <v>61</v>
      </c>
      <c r="I12" s="55" t="s">
        <v>281</v>
      </c>
      <c r="J12" s="55" t="s">
        <v>282</v>
      </c>
      <c r="K12" s="55" t="s">
        <v>283</v>
      </c>
      <c r="L12" s="55" t="s">
        <v>284</v>
      </c>
      <c r="M12" s="55" t="s">
        <v>285</v>
      </c>
    </row>
    <row r="13" spans="1:14" s="30" customFormat="1" ht="26.4">
      <c r="A13" s="24" t="s">
        <v>17</v>
      </c>
      <c r="B13" s="58" t="s">
        <v>57</v>
      </c>
      <c r="C13" s="58" t="s">
        <v>21</v>
      </c>
      <c r="D13" s="58" t="s">
        <v>58</v>
      </c>
      <c r="E13" s="58" t="s">
        <v>58</v>
      </c>
      <c r="F13" s="58" t="s">
        <v>22</v>
      </c>
      <c r="G13" s="58" t="s">
        <v>22</v>
      </c>
      <c r="H13" s="58" t="s">
        <v>22</v>
      </c>
      <c r="I13" s="58" t="s">
        <v>286</v>
      </c>
      <c r="J13" s="58" t="s">
        <v>287</v>
      </c>
      <c r="K13" s="58" t="s">
        <v>22</v>
      </c>
      <c r="L13" s="58" t="s">
        <v>22</v>
      </c>
      <c r="M13" s="58" t="s">
        <v>22</v>
      </c>
    </row>
    <row r="14" spans="1:14">
      <c r="A14" s="32">
        <v>2005</v>
      </c>
      <c r="B14" s="14">
        <v>14791641.597848127</v>
      </c>
      <c r="C14" s="14">
        <v>25</v>
      </c>
      <c r="D14" s="14">
        <f>B14*(1/C14)</f>
        <v>591665.66391392506</v>
      </c>
      <c r="E14" s="14">
        <v>0</v>
      </c>
      <c r="F14" s="14">
        <v>1346.3193110924051</v>
      </c>
      <c r="G14" s="14">
        <f>F14</f>
        <v>1346.3193110924051</v>
      </c>
      <c r="H14" s="14">
        <f>F14-G14</f>
        <v>0</v>
      </c>
      <c r="I14" s="147"/>
      <c r="J14" s="147"/>
      <c r="K14" s="14">
        <f>G14</f>
        <v>1346.3193110924051</v>
      </c>
      <c r="L14" s="14">
        <f>G14-K14</f>
        <v>0</v>
      </c>
      <c r="M14" s="112">
        <f>+L14+H14</f>
        <v>0</v>
      </c>
      <c r="N14" s="148"/>
    </row>
    <row r="15" spans="1:14">
      <c r="A15" s="32">
        <v>2006</v>
      </c>
      <c r="B15" s="14">
        <v>15084660.276086561</v>
      </c>
      <c r="C15" s="14">
        <v>25</v>
      </c>
      <c r="D15" s="14">
        <f t="shared" ref="D15:D35" si="0">B$14*(1/C$14)</f>
        <v>591665.66391392506</v>
      </c>
      <c r="E15" s="14">
        <f>B15-B14</f>
        <v>293018.67823843472</v>
      </c>
      <c r="F15" s="14">
        <f>B15*$F$14/$B$14</f>
        <v>1372.9895560691741</v>
      </c>
      <c r="G15" s="14">
        <f>F15</f>
        <v>1372.9895560691741</v>
      </c>
      <c r="H15" s="14">
        <f t="shared" ref="H15:H34" si="1">F15-G15</f>
        <v>0</v>
      </c>
      <c r="I15" s="147"/>
      <c r="J15" s="147"/>
      <c r="K15" s="14">
        <f t="shared" ref="K15:K20" si="2">G15</f>
        <v>1372.9895560691741</v>
      </c>
      <c r="L15" s="14">
        <f t="shared" ref="L15:L22" si="3">G15-K15</f>
        <v>0</v>
      </c>
      <c r="M15" s="112">
        <f t="shared" ref="M15:M33" si="4">+L15+H15</f>
        <v>0</v>
      </c>
      <c r="N15" s="148"/>
    </row>
    <row r="16" spans="1:14">
      <c r="A16" s="32">
        <v>2007</v>
      </c>
      <c r="B16" s="14">
        <v>15440109.569011098</v>
      </c>
      <c r="C16" s="14">
        <v>25</v>
      </c>
      <c r="D16" s="14">
        <f t="shared" si="0"/>
        <v>591665.66391392506</v>
      </c>
      <c r="E16" s="14">
        <f t="shared" ref="E16:E35" si="5">B16-B15</f>
        <v>355449.29292453639</v>
      </c>
      <c r="F16" s="14">
        <f t="shared" ref="F16:F35" si="6">B16*$F$14/$B$14</f>
        <v>1405.3421684558928</v>
      </c>
      <c r="G16" s="14">
        <v>1378.693419129879</v>
      </c>
      <c r="H16" s="14">
        <f t="shared" si="1"/>
        <v>26.648749326013785</v>
      </c>
      <c r="I16" s="147"/>
      <c r="J16" s="147"/>
      <c r="K16" s="14">
        <f t="shared" si="2"/>
        <v>1378.693419129879</v>
      </c>
      <c r="L16" s="14">
        <f t="shared" si="3"/>
        <v>0</v>
      </c>
      <c r="M16" s="112">
        <f t="shared" si="4"/>
        <v>26.648749326013785</v>
      </c>
      <c r="N16" s="148"/>
    </row>
    <row r="17" spans="1:14">
      <c r="A17" s="32">
        <v>2008</v>
      </c>
      <c r="B17" s="14">
        <v>15508361.946606405</v>
      </c>
      <c r="C17" s="14">
        <v>25</v>
      </c>
      <c r="D17" s="14">
        <f t="shared" si="0"/>
        <v>591665.66391392506</v>
      </c>
      <c r="E17" s="14">
        <f t="shared" si="5"/>
        <v>68252.377595307305</v>
      </c>
      <c r="F17" s="14">
        <f t="shared" si="6"/>
        <v>1411.5544264650307</v>
      </c>
      <c r="G17" s="14">
        <v>1366.337719430275</v>
      </c>
      <c r="H17" s="14">
        <f t="shared" si="1"/>
        <v>45.2167070347557</v>
      </c>
      <c r="I17" s="147"/>
      <c r="J17" s="147"/>
      <c r="K17" s="14">
        <f t="shared" si="2"/>
        <v>1366.337719430275</v>
      </c>
      <c r="L17" s="14">
        <f t="shared" si="3"/>
        <v>0</v>
      </c>
      <c r="M17" s="112">
        <f t="shared" si="4"/>
        <v>45.2167070347557</v>
      </c>
      <c r="N17" s="148"/>
    </row>
    <row r="18" spans="1:14">
      <c r="A18" s="32">
        <v>2009</v>
      </c>
      <c r="B18" s="14">
        <v>15418267.903243357</v>
      </c>
      <c r="C18" s="14">
        <v>25</v>
      </c>
      <c r="D18" s="14">
        <f t="shared" si="0"/>
        <v>591665.66391392506</v>
      </c>
      <c r="E18" s="14">
        <f t="shared" si="5"/>
        <v>-90094.043363047764</v>
      </c>
      <c r="F18" s="14">
        <f t="shared" si="6"/>
        <v>1403.354163526554</v>
      </c>
      <c r="G18" s="14">
        <v>1344.0248545435402</v>
      </c>
      <c r="H18" s="14">
        <f t="shared" si="1"/>
        <v>59.329308983013789</v>
      </c>
      <c r="I18" s="147"/>
      <c r="J18" s="147"/>
      <c r="K18" s="14">
        <f t="shared" si="2"/>
        <v>1344.0248545435402</v>
      </c>
      <c r="L18" s="14">
        <f t="shared" si="3"/>
        <v>0</v>
      </c>
      <c r="M18" s="112">
        <f t="shared" si="4"/>
        <v>59.329308983013789</v>
      </c>
      <c r="N18" s="148"/>
    </row>
    <row r="19" spans="1:14">
      <c r="A19" s="32">
        <v>2010</v>
      </c>
      <c r="B19" s="14">
        <v>15457501.960016618</v>
      </c>
      <c r="C19" s="14">
        <v>25</v>
      </c>
      <c r="D19" s="14">
        <f t="shared" si="0"/>
        <v>591665.66391392506</v>
      </c>
      <c r="E19" s="14">
        <f t="shared" si="5"/>
        <v>39234.056773260236</v>
      </c>
      <c r="F19" s="14">
        <f>B19*$F$14/$B$14</f>
        <v>1406.9252051811882</v>
      </c>
      <c r="G19" s="14">
        <v>1329.8444201127718</v>
      </c>
      <c r="H19" s="14">
        <f t="shared" si="1"/>
        <v>77.08078506841639</v>
      </c>
      <c r="I19" s="147"/>
      <c r="J19" s="147"/>
      <c r="K19" s="14">
        <f t="shared" si="2"/>
        <v>1329.8444201127718</v>
      </c>
      <c r="L19" s="14">
        <f t="shared" si="3"/>
        <v>0</v>
      </c>
      <c r="M19" s="112">
        <f t="shared" si="4"/>
        <v>77.08078506841639</v>
      </c>
      <c r="N19" s="148"/>
    </row>
    <row r="20" spans="1:14">
      <c r="A20" s="32">
        <v>2011</v>
      </c>
      <c r="B20" s="14">
        <v>15585897.472053049</v>
      </c>
      <c r="C20" s="14">
        <v>25</v>
      </c>
      <c r="D20" s="14">
        <f t="shared" si="0"/>
        <v>591665.66391392506</v>
      </c>
      <c r="E20" s="14">
        <f t="shared" si="5"/>
        <v>128395.51203643158</v>
      </c>
      <c r="F20" s="14">
        <f>B20*$F$14/$B$14</f>
        <v>1418.6116266083673</v>
      </c>
      <c r="G20" s="14">
        <v>1321.2706506953787</v>
      </c>
      <c r="H20" s="14">
        <f t="shared" si="1"/>
        <v>97.340975912988597</v>
      </c>
      <c r="I20" s="147"/>
      <c r="J20" s="147"/>
      <c r="K20" s="14">
        <f t="shared" si="2"/>
        <v>1321.2706506953787</v>
      </c>
      <c r="L20" s="14">
        <f t="shared" si="3"/>
        <v>0</v>
      </c>
      <c r="M20" s="112">
        <f t="shared" si="4"/>
        <v>97.340975912988597</v>
      </c>
      <c r="N20" s="148"/>
    </row>
    <row r="21" spans="1:14">
      <c r="A21" s="32">
        <v>2012</v>
      </c>
      <c r="B21" s="14">
        <v>15704564.908761924</v>
      </c>
      <c r="C21" s="14">
        <v>25</v>
      </c>
      <c r="D21" s="14">
        <f t="shared" si="0"/>
        <v>591665.66391392506</v>
      </c>
      <c r="E21" s="14">
        <f t="shared" si="5"/>
        <v>118667.436708875</v>
      </c>
      <c r="F21" s="14">
        <f>B21*$F$14/$B$14</f>
        <v>1429.4126090809441</v>
      </c>
      <c r="G21" s="14">
        <v>1312.0851588759062</v>
      </c>
      <c r="H21" s="14">
        <f t="shared" si="1"/>
        <v>117.32745020503785</v>
      </c>
      <c r="I21" s="147"/>
      <c r="J21" s="147"/>
      <c r="K21" s="14">
        <f>G21</f>
        <v>1312.0851588759062</v>
      </c>
      <c r="L21" s="14">
        <f t="shared" si="3"/>
        <v>0</v>
      </c>
      <c r="M21" s="112">
        <f t="shared" si="4"/>
        <v>117.32745020503785</v>
      </c>
      <c r="N21" s="148"/>
    </row>
    <row r="22" spans="1:14">
      <c r="A22" s="32">
        <v>2013</v>
      </c>
      <c r="B22" s="14">
        <v>15867785.422242278</v>
      </c>
      <c r="C22" s="14">
        <v>25</v>
      </c>
      <c r="D22" s="14">
        <f t="shared" si="0"/>
        <v>591665.66391392506</v>
      </c>
      <c r="E22" s="14">
        <f t="shared" si="5"/>
        <v>163220.5134803541</v>
      </c>
      <c r="F22" s="14">
        <f>B22*$F$14/$B$14</f>
        <v>1444.2687646882423</v>
      </c>
      <c r="G22" s="14">
        <v>1305.7012608172756</v>
      </c>
      <c r="H22" s="14">
        <f t="shared" si="1"/>
        <v>138.56750387096668</v>
      </c>
      <c r="I22" s="149">
        <v>0.01</v>
      </c>
      <c r="J22" s="14">
        <f>SUM(D22:E22)*I22</f>
        <v>7548.8617739427918</v>
      </c>
      <c r="K22" s="14">
        <v>1305.5186417081763</v>
      </c>
      <c r="L22" s="14">
        <f t="shared" si="3"/>
        <v>0.18261910909927792</v>
      </c>
      <c r="M22" s="112">
        <f t="shared" si="4"/>
        <v>138.75012298006595</v>
      </c>
      <c r="N22" s="148"/>
    </row>
    <row r="23" spans="1:14">
      <c r="A23" s="32">
        <v>2014</v>
      </c>
      <c r="B23" s="14">
        <v>16159321.544248274</v>
      </c>
      <c r="C23" s="14">
        <v>25</v>
      </c>
      <c r="D23" s="14">
        <f t="shared" si="0"/>
        <v>591665.66391392506</v>
      </c>
      <c r="E23" s="14">
        <f t="shared" si="5"/>
        <v>291536.12200599536</v>
      </c>
      <c r="F23" s="14">
        <f t="shared" si="6"/>
        <v>1470.804068991097</v>
      </c>
      <c r="G23" s="14">
        <v>1307.3861255538147</v>
      </c>
      <c r="H23" s="14">
        <f t="shared" si="1"/>
        <v>163.41794343728225</v>
      </c>
      <c r="I23" s="149">
        <f>AVERAGE(I22,I24)</f>
        <v>2.5000000000000001E-2</v>
      </c>
      <c r="J23" s="14">
        <f>SUM(D23:E23)*I23</f>
        <v>22080.044647998013</v>
      </c>
      <c r="K23" s="14">
        <v>1306.6693546476317</v>
      </c>
      <c r="L23" s="14">
        <f>G23-K23</f>
        <v>0.71677090618300099</v>
      </c>
      <c r="M23" s="112">
        <f>+L23+H23</f>
        <v>164.13471434346525</v>
      </c>
      <c r="N23" s="148"/>
    </row>
    <row r="24" spans="1:14">
      <c r="A24" s="32">
        <v>2015</v>
      </c>
      <c r="B24" s="14">
        <v>16580314.602641104</v>
      </c>
      <c r="C24" s="14">
        <v>25</v>
      </c>
      <c r="D24" s="14">
        <f t="shared" si="0"/>
        <v>591665.66391392506</v>
      </c>
      <c r="E24" s="14">
        <f t="shared" si="5"/>
        <v>420993.05839283019</v>
      </c>
      <c r="F24" s="14">
        <f t="shared" si="6"/>
        <v>1509.1224044240332</v>
      </c>
      <c r="G24" s="14">
        <v>1317.21152224821</v>
      </c>
      <c r="H24" s="14">
        <f t="shared" si="1"/>
        <v>191.91088217582319</v>
      </c>
      <c r="I24" s="149">
        <v>0.04</v>
      </c>
      <c r="J24" s="14">
        <f>SUM(D24:E24)*I24</f>
        <v>40506.348892270209</v>
      </c>
      <c r="K24" s="14">
        <v>1315.5148376054815</v>
      </c>
      <c r="L24" s="14">
        <f t="shared" ref="L24:L35" si="7">G24-K24</f>
        <v>1.6966846427285418</v>
      </c>
      <c r="M24" s="112">
        <f>+L24+H24</f>
        <v>193.60756681855173</v>
      </c>
      <c r="N24" s="148"/>
    </row>
    <row r="25" spans="1:14">
      <c r="A25" s="32">
        <v>2016</v>
      </c>
      <c r="B25" s="14">
        <v>16858382.266430233</v>
      </c>
      <c r="C25" s="14">
        <v>25</v>
      </c>
      <c r="D25" s="14">
        <f t="shared" si="0"/>
        <v>591665.66391392506</v>
      </c>
      <c r="E25" s="14">
        <f t="shared" si="5"/>
        <v>278067.66378912888</v>
      </c>
      <c r="F25" s="14">
        <f t="shared" si="6"/>
        <v>1534.431824144162</v>
      </c>
      <c r="G25" s="14">
        <v>1318.0494612224261</v>
      </c>
      <c r="H25" s="14">
        <f t="shared" si="1"/>
        <v>216.38236292173588</v>
      </c>
      <c r="I25" s="149">
        <f>I$24+(I$29-I$24)*(A25-A$24)/(A$29-A$24)</f>
        <v>0.122</v>
      </c>
      <c r="J25" s="14">
        <f t="shared" ref="J25:J35" si="8">SUM(D25:E25)*I25</f>
        <v>106107.46597977258</v>
      </c>
      <c r="K25" s="14">
        <v>1313.7858662975555</v>
      </c>
      <c r="L25" s="14">
        <f t="shared" si="7"/>
        <v>4.2635949248706311</v>
      </c>
      <c r="M25" s="112">
        <f>+L25+H25</f>
        <v>220.64595784660651</v>
      </c>
      <c r="N25" s="148"/>
    </row>
    <row r="26" spans="1:14">
      <c r="A26" s="32">
        <v>2017</v>
      </c>
      <c r="B26" s="14">
        <v>17121614.009507958</v>
      </c>
      <c r="C26" s="14">
        <v>25</v>
      </c>
      <c r="D26" s="14">
        <f t="shared" si="0"/>
        <v>591665.66391392506</v>
      </c>
      <c r="E26" s="14">
        <f t="shared" si="5"/>
        <v>263231.74307772517</v>
      </c>
      <c r="F26" s="14">
        <f t="shared" si="6"/>
        <v>1558.3908943159008</v>
      </c>
      <c r="G26" s="14">
        <v>1315.804173570802</v>
      </c>
      <c r="H26" s="14">
        <f t="shared" si="1"/>
        <v>242.58672074509877</v>
      </c>
      <c r="I26" s="149">
        <f>I$24+(I$29-I$24)*(A26-A$24)/(A$29-A$24)</f>
        <v>0.20400000000000001</v>
      </c>
      <c r="J26" s="14">
        <f>SUM(D26:E26)*I26</f>
        <v>174399.07102629665</v>
      </c>
      <c r="K26" s="14">
        <v>1307.7602482073885</v>
      </c>
      <c r="L26" s="14">
        <f t="shared" si="7"/>
        <v>8.0439253634135639</v>
      </c>
      <c r="M26" s="112">
        <f t="shared" si="4"/>
        <v>250.63064610851234</v>
      </c>
      <c r="N26" s="148"/>
    </row>
    <row r="27" spans="1:14">
      <c r="A27" s="32">
        <v>2018</v>
      </c>
      <c r="B27" s="14">
        <v>17367450.111645032</v>
      </c>
      <c r="C27" s="14">
        <v>25</v>
      </c>
      <c r="D27" s="14">
        <f t="shared" si="0"/>
        <v>591665.66391392506</v>
      </c>
      <c r="E27" s="14">
        <f t="shared" si="5"/>
        <v>245836.10213707387</v>
      </c>
      <c r="F27" s="14">
        <f t="shared" si="6"/>
        <v>1580.766631956744</v>
      </c>
      <c r="G27" s="14">
        <v>1312.5087654392805</v>
      </c>
      <c r="H27" s="14">
        <f t="shared" si="1"/>
        <v>268.25786651746353</v>
      </c>
      <c r="I27" s="149">
        <f>I$24+(I$29-I$24)*(A27-A$24)/(A$29-A$24)</f>
        <v>0.28599999999999998</v>
      </c>
      <c r="J27" s="14">
        <f t="shared" si="8"/>
        <v>239525.50509058568</v>
      </c>
      <c r="K27" s="14">
        <v>1299.2728080749355</v>
      </c>
      <c r="L27" s="14">
        <f t="shared" si="7"/>
        <v>13.23595736434504</v>
      </c>
      <c r="M27" s="112">
        <f t="shared" si="4"/>
        <v>281.49382388180857</v>
      </c>
      <c r="N27" s="148"/>
    </row>
    <row r="28" spans="1:14">
      <c r="A28" s="32">
        <v>2019</v>
      </c>
      <c r="B28" s="14">
        <v>17607122.281522073</v>
      </c>
      <c r="C28" s="14">
        <v>25</v>
      </c>
      <c r="D28" s="14">
        <f t="shared" si="0"/>
        <v>591665.66391392506</v>
      </c>
      <c r="E28" s="14">
        <f t="shared" si="5"/>
        <v>239672.16987704113</v>
      </c>
      <c r="F28" s="14">
        <f t="shared" si="6"/>
        <v>1602.5813351120598</v>
      </c>
      <c r="G28" s="14">
        <v>1308.8412599803287</v>
      </c>
      <c r="H28" s="14">
        <f t="shared" si="1"/>
        <v>293.74007513173115</v>
      </c>
      <c r="I28" s="149">
        <f>I$24+(I$29-I$24)*(A28-A$24)/(A$29-A$24)</f>
        <v>0.36799999999999999</v>
      </c>
      <c r="J28" s="14">
        <f t="shared" si="8"/>
        <v>305932.32283507555</v>
      </c>
      <c r="K28" s="14">
        <v>1288.9738150435919</v>
      </c>
      <c r="L28" s="14">
        <f t="shared" si="7"/>
        <v>19.867444936736774</v>
      </c>
      <c r="M28" s="112">
        <f t="shared" si="4"/>
        <v>313.60752006846792</v>
      </c>
      <c r="N28" s="148"/>
    </row>
    <row r="29" spans="1:14">
      <c r="A29" s="32">
        <v>2020</v>
      </c>
      <c r="B29" s="14">
        <v>17841445.882140286</v>
      </c>
      <c r="C29" s="14">
        <v>25</v>
      </c>
      <c r="D29" s="14">
        <f t="shared" si="0"/>
        <v>591665.66391392506</v>
      </c>
      <c r="E29" s="14">
        <f t="shared" si="5"/>
        <v>234323.60061821342</v>
      </c>
      <c r="F29" s="14">
        <f t="shared" si="6"/>
        <v>1623.9092172453654</v>
      </c>
      <c r="G29" s="14">
        <v>1304.8508781102109</v>
      </c>
      <c r="H29" s="14">
        <f t="shared" si="1"/>
        <v>319.05833913515448</v>
      </c>
      <c r="I29" s="150">
        <v>0.45</v>
      </c>
      <c r="J29" s="14">
        <f t="shared" si="8"/>
        <v>371695.16903946234</v>
      </c>
      <c r="K29" s="14">
        <v>1276.9264489641525</v>
      </c>
      <c r="L29" s="14">
        <f t="shared" si="7"/>
        <v>27.924429146058401</v>
      </c>
      <c r="M29" s="112">
        <f t="shared" si="4"/>
        <v>346.98276828121288</v>
      </c>
      <c r="N29" s="148"/>
    </row>
    <row r="30" spans="1:14">
      <c r="A30" s="32">
        <v>2021</v>
      </c>
      <c r="B30" s="14">
        <v>18072747.432975233</v>
      </c>
      <c r="C30" s="14">
        <v>25</v>
      </c>
      <c r="D30" s="14">
        <f t="shared" si="0"/>
        <v>591665.66391392506</v>
      </c>
      <c r="E30" s="14">
        <f t="shared" si="5"/>
        <v>231301.55083494633</v>
      </c>
      <c r="F30" s="14">
        <f t="shared" si="6"/>
        <v>1644.9620356573537</v>
      </c>
      <c r="G30" s="14">
        <v>1300.6780645389847</v>
      </c>
      <c r="H30" s="14">
        <f t="shared" si="1"/>
        <v>344.28397111836898</v>
      </c>
      <c r="I30" s="150">
        <f>I$29+(I$34-I$29)*(A30-A$29)/(A$34-A$29)</f>
        <v>0.502</v>
      </c>
      <c r="J30" s="14">
        <f t="shared" si="8"/>
        <v>413129.54180393345</v>
      </c>
      <c r="K30" s="14">
        <v>1263.7985063733047</v>
      </c>
      <c r="L30" s="14">
        <f t="shared" si="7"/>
        <v>36.87955816568001</v>
      </c>
      <c r="M30" s="112">
        <f t="shared" si="4"/>
        <v>381.16352928404899</v>
      </c>
      <c r="N30" s="148"/>
    </row>
    <row r="31" spans="1:14">
      <c r="A31" s="32">
        <v>2022</v>
      </c>
      <c r="B31" s="14">
        <v>18306232.75674111</v>
      </c>
      <c r="C31" s="14">
        <v>25</v>
      </c>
      <c r="D31" s="14">
        <f t="shared" si="0"/>
        <v>591665.66391392506</v>
      </c>
      <c r="E31" s="14">
        <f t="shared" si="5"/>
        <v>233485.32376587763</v>
      </c>
      <c r="F31" s="14">
        <f t="shared" si="6"/>
        <v>1666.2136187330548</v>
      </c>
      <c r="G31" s="14">
        <v>1296.6370785150182</v>
      </c>
      <c r="H31" s="14">
        <f t="shared" si="1"/>
        <v>369.5765402180366</v>
      </c>
      <c r="I31" s="150">
        <f>I$29+(I$34-I$29)*(A31-A$29)/(A$34-A$29)</f>
        <v>0.55400000000000005</v>
      </c>
      <c r="J31" s="14">
        <f t="shared" si="8"/>
        <v>457133.64717461076</v>
      </c>
      <c r="K31" s="14">
        <v>1249.8485441677178</v>
      </c>
      <c r="L31" s="14">
        <f t="shared" si="7"/>
        <v>46.788534347300356</v>
      </c>
      <c r="M31" s="112">
        <f t="shared" si="4"/>
        <v>416.36507456533695</v>
      </c>
      <c r="N31" s="148"/>
    </row>
    <row r="32" spans="1:14">
      <c r="A32" s="32">
        <v>2023</v>
      </c>
      <c r="B32" s="14">
        <v>18536706.40498979</v>
      </c>
      <c r="C32" s="14">
        <v>25</v>
      </c>
      <c r="D32" s="14">
        <f t="shared" si="0"/>
        <v>591665.66391392506</v>
      </c>
      <c r="E32" s="14">
        <f t="shared" si="5"/>
        <v>230473.64824867994</v>
      </c>
      <c r="F32" s="14">
        <f t="shared" si="6"/>
        <v>1687.1910823419796</v>
      </c>
      <c r="G32" s="14">
        <v>1292.4142870519645</v>
      </c>
      <c r="H32" s="14">
        <f t="shared" si="1"/>
        <v>394.77679529001512</v>
      </c>
      <c r="I32" s="150">
        <f>I$29+(I$34-I$29)*(A32-A$29)/(A$34-A$29)</f>
        <v>0.60599999999999998</v>
      </c>
      <c r="J32" s="14">
        <f t="shared" si="8"/>
        <v>498216.42317053862</v>
      </c>
      <c r="K32" s="14">
        <v>1234.8262530375498</v>
      </c>
      <c r="L32" s="14">
        <f t="shared" si="7"/>
        <v>57.588034014414688</v>
      </c>
      <c r="M32" s="112">
        <f t="shared" si="4"/>
        <v>452.3648293044298</v>
      </c>
      <c r="N32" s="148"/>
    </row>
    <row r="33" spans="1:14">
      <c r="A33" s="32">
        <v>2024</v>
      </c>
      <c r="B33" s="14">
        <v>18763457.349559996</v>
      </c>
      <c r="C33" s="14">
        <v>25</v>
      </c>
      <c r="D33" s="14">
        <f t="shared" si="0"/>
        <v>591665.66391392506</v>
      </c>
      <c r="E33" s="14">
        <f t="shared" si="5"/>
        <v>226750.94457020611</v>
      </c>
      <c r="F33" s="14">
        <f t="shared" si="6"/>
        <v>1707.8297094655384</v>
      </c>
      <c r="G33" s="14">
        <v>1287.9667676017853</v>
      </c>
      <c r="H33" s="14">
        <f t="shared" si="1"/>
        <v>419.86294186375312</v>
      </c>
      <c r="I33" s="150">
        <f>I$29+(I$34-I$29)*(A33-A$29)/(A$34-A$29)</f>
        <v>0.65799999999999992</v>
      </c>
      <c r="J33" s="14">
        <f t="shared" si="8"/>
        <v>538518.12838255824</v>
      </c>
      <c r="K33" s="14">
        <v>1218.7056411766621</v>
      </c>
      <c r="L33" s="14">
        <f t="shared" si="7"/>
        <v>69.261126425123166</v>
      </c>
      <c r="M33" s="112">
        <f t="shared" si="4"/>
        <v>489.12406828887629</v>
      </c>
      <c r="N33" s="148"/>
    </row>
    <row r="34" spans="1:14">
      <c r="A34" s="32">
        <v>2025</v>
      </c>
      <c r="B34" s="14">
        <v>18996157.961373519</v>
      </c>
      <c r="C34" s="14">
        <v>25</v>
      </c>
      <c r="D34" s="14">
        <f t="shared" si="0"/>
        <v>591665.66391392506</v>
      </c>
      <c r="E34" s="14">
        <f t="shared" si="5"/>
        <v>232700.61181352288</v>
      </c>
      <c r="F34" s="14">
        <f t="shared" si="6"/>
        <v>1729.0098689032268</v>
      </c>
      <c r="G34" s="14">
        <v>1283.8784109695841</v>
      </c>
      <c r="H34" s="14">
        <f t="shared" si="1"/>
        <v>445.13145793364265</v>
      </c>
      <c r="I34" s="149">
        <v>0.71</v>
      </c>
      <c r="J34" s="14">
        <f t="shared" si="8"/>
        <v>585300.05576648796</v>
      </c>
      <c r="K34" s="14">
        <v>1201.9301320070415</v>
      </c>
      <c r="L34" s="14">
        <f t="shared" si="7"/>
        <v>81.948278962542645</v>
      </c>
      <c r="M34" s="112">
        <f>+L34+H34</f>
        <v>527.0797368961853</v>
      </c>
      <c r="N34" s="148"/>
    </row>
    <row r="35" spans="1:14">
      <c r="A35" s="32">
        <v>2026</v>
      </c>
      <c r="B35" s="14">
        <v>19234021.731694039</v>
      </c>
      <c r="C35" s="14">
        <v>25</v>
      </c>
      <c r="D35" s="14">
        <f t="shared" si="0"/>
        <v>591665.66391392506</v>
      </c>
      <c r="E35" s="14">
        <f t="shared" si="5"/>
        <v>237863.7703205198</v>
      </c>
      <c r="F35" s="14">
        <f t="shared" si="6"/>
        <v>1750.6599734756867</v>
      </c>
      <c r="G35" s="14">
        <v>1280.1017380808939</v>
      </c>
      <c r="H35" s="14">
        <f>F35-G35</f>
        <v>470.55823539479275</v>
      </c>
      <c r="I35" s="149">
        <f>I34+I34-I33</f>
        <v>0.76200000000000001</v>
      </c>
      <c r="J35" s="14">
        <f t="shared" si="8"/>
        <v>632101.42888664699</v>
      </c>
      <c r="K35" s="14">
        <v>1184.451824942179</v>
      </c>
      <c r="L35" s="14">
        <f t="shared" si="7"/>
        <v>95.649913138714965</v>
      </c>
      <c r="M35" s="112">
        <f>+L35+H35</f>
        <v>566.20814853350771</v>
      </c>
      <c r="N35" s="148"/>
    </row>
    <row r="36" spans="1:14">
      <c r="A36" s="34"/>
      <c r="B36" s="18"/>
      <c r="C36" s="18"/>
      <c r="D36" s="18"/>
      <c r="E36" s="18"/>
      <c r="F36" s="18"/>
      <c r="G36" s="18"/>
      <c r="H36" s="18"/>
      <c r="I36" s="18"/>
      <c r="J36" s="18"/>
      <c r="K36" s="18"/>
      <c r="L36" s="18"/>
    </row>
    <row r="37" spans="1:14" s="26" customFormat="1" ht="15.6">
      <c r="A37" s="25" t="s">
        <v>40</v>
      </c>
      <c r="B37" s="27"/>
      <c r="C37" s="25"/>
      <c r="D37" s="25"/>
      <c r="E37" s="25"/>
      <c r="F37" s="25"/>
      <c r="G37" s="25"/>
      <c r="H37" s="25"/>
      <c r="I37" s="25"/>
      <c r="J37" s="25"/>
      <c r="K37" s="25"/>
      <c r="L37" s="25"/>
    </row>
    <row r="38" spans="1:14" s="30" customFormat="1" ht="26.4">
      <c r="A38" s="28"/>
      <c r="B38" s="29" t="s">
        <v>47</v>
      </c>
      <c r="C38" s="23"/>
      <c r="D38" s="23"/>
      <c r="E38" s="23"/>
      <c r="F38" s="146" t="s">
        <v>48</v>
      </c>
      <c r="G38" s="146" t="s">
        <v>49</v>
      </c>
      <c r="H38" s="146" t="s">
        <v>59</v>
      </c>
      <c r="I38" s="146" t="s">
        <v>274</v>
      </c>
      <c r="J38" s="146"/>
      <c r="K38" s="146" t="s">
        <v>50</v>
      </c>
      <c r="L38" s="146" t="s">
        <v>59</v>
      </c>
    </row>
    <row r="39" spans="1:14" s="30" customFormat="1" ht="39.6">
      <c r="A39" s="31"/>
      <c r="B39" s="56" t="s">
        <v>4</v>
      </c>
      <c r="C39" s="57" t="s">
        <v>51</v>
      </c>
      <c r="D39" s="57" t="s">
        <v>32</v>
      </c>
      <c r="E39" s="57" t="s">
        <v>32</v>
      </c>
      <c r="F39" s="56" t="s">
        <v>4</v>
      </c>
      <c r="G39" s="56" t="s">
        <v>4</v>
      </c>
      <c r="H39" s="56" t="s">
        <v>24</v>
      </c>
      <c r="I39" s="56" t="s">
        <v>275</v>
      </c>
      <c r="J39" s="56" t="s">
        <v>276</v>
      </c>
      <c r="K39" s="56" t="s">
        <v>4</v>
      </c>
      <c r="L39" s="57" t="s">
        <v>24</v>
      </c>
    </row>
    <row r="40" spans="1:14" s="30" customFormat="1" ht="26.4">
      <c r="A40" s="31"/>
      <c r="B40" s="55" t="s">
        <v>52</v>
      </c>
      <c r="C40" s="55" t="s">
        <v>8</v>
      </c>
      <c r="D40" s="55" t="s">
        <v>53</v>
      </c>
      <c r="E40" s="55" t="s">
        <v>53</v>
      </c>
      <c r="F40" s="55" t="s">
        <v>54</v>
      </c>
      <c r="G40" s="55" t="s">
        <v>54</v>
      </c>
      <c r="H40" s="55" t="s">
        <v>60</v>
      </c>
      <c r="I40" s="55" t="s">
        <v>277</v>
      </c>
      <c r="J40" s="55" t="s">
        <v>53</v>
      </c>
      <c r="K40" s="55" t="s">
        <v>278</v>
      </c>
      <c r="L40" s="55" t="s">
        <v>279</v>
      </c>
    </row>
    <row r="41" spans="1:14" s="30" customFormat="1" ht="26.4">
      <c r="A41" s="31"/>
      <c r="B41" s="55" t="s">
        <v>12</v>
      </c>
      <c r="C41" s="55" t="s">
        <v>15</v>
      </c>
      <c r="D41" s="55" t="s">
        <v>9</v>
      </c>
      <c r="E41" s="55" t="s">
        <v>10</v>
      </c>
      <c r="F41" s="55" t="s">
        <v>55</v>
      </c>
      <c r="G41" s="55" t="s">
        <v>56</v>
      </c>
      <c r="H41" s="55" t="s">
        <v>61</v>
      </c>
      <c r="I41" s="55" t="s">
        <v>281</v>
      </c>
      <c r="J41" s="55" t="s">
        <v>282</v>
      </c>
      <c r="K41" s="55" t="s">
        <v>283</v>
      </c>
      <c r="L41" s="55" t="s">
        <v>284</v>
      </c>
    </row>
    <row r="42" spans="1:14" s="30" customFormat="1" ht="26.4">
      <c r="A42" s="24" t="s">
        <v>17</v>
      </c>
      <c r="B42" s="58" t="s">
        <v>57</v>
      </c>
      <c r="C42" s="58" t="s">
        <v>21</v>
      </c>
      <c r="D42" s="58" t="s">
        <v>58</v>
      </c>
      <c r="E42" s="58" t="s">
        <v>58</v>
      </c>
      <c r="F42" s="58" t="s">
        <v>22</v>
      </c>
      <c r="G42" s="58" t="s">
        <v>22</v>
      </c>
      <c r="H42" s="58" t="s">
        <v>22</v>
      </c>
      <c r="I42" s="58" t="s">
        <v>286</v>
      </c>
      <c r="J42" s="58" t="s">
        <v>287</v>
      </c>
      <c r="K42" s="58" t="s">
        <v>22</v>
      </c>
      <c r="L42" s="58" t="s">
        <v>22</v>
      </c>
    </row>
    <row r="43" spans="1:14">
      <c r="A43" s="32">
        <v>2005</v>
      </c>
      <c r="B43" s="14">
        <v>1888294.6720657181</v>
      </c>
      <c r="C43" s="14">
        <v>25</v>
      </c>
      <c r="D43" s="14">
        <f t="shared" ref="D43:D64" si="9">B$43*(1/C$43)</f>
        <v>75531.78688262873</v>
      </c>
      <c r="E43" s="14">
        <v>0</v>
      </c>
      <c r="F43" s="14">
        <v>171.87055035222193</v>
      </c>
      <c r="G43" s="14">
        <v>171.87055035222193</v>
      </c>
      <c r="H43" s="14">
        <f>F43-G43</f>
        <v>0</v>
      </c>
      <c r="I43" s="14"/>
      <c r="J43" s="14"/>
      <c r="K43" s="14">
        <v>171.87055035222193</v>
      </c>
      <c r="L43" s="14">
        <v>0</v>
      </c>
    </row>
    <row r="44" spans="1:14">
      <c r="A44" s="32">
        <v>2006</v>
      </c>
      <c r="B44" s="14">
        <v>1925701.3118408374</v>
      </c>
      <c r="C44" s="14">
        <v>25</v>
      </c>
      <c r="D44" s="14">
        <f t="shared" si="9"/>
        <v>75531.78688262873</v>
      </c>
      <c r="E44" s="14">
        <f>B44-B43</f>
        <v>37406.639775119256</v>
      </c>
      <c r="F44" s="14">
        <v>175.27526247691583</v>
      </c>
      <c r="G44" s="14">
        <v>175.27526247691583</v>
      </c>
      <c r="H44" s="14">
        <f t="shared" ref="H44:H64" si="10">F44-G44</f>
        <v>0</v>
      </c>
      <c r="I44" s="14"/>
      <c r="J44" s="14"/>
      <c r="K44" s="14">
        <v>175.27526247691583</v>
      </c>
      <c r="L44" s="14">
        <v>0</v>
      </c>
    </row>
    <row r="45" spans="1:14">
      <c r="A45" s="32">
        <v>2007</v>
      </c>
      <c r="B45" s="14">
        <v>1971077.8173205655</v>
      </c>
      <c r="C45" s="14">
        <v>25</v>
      </c>
      <c r="D45" s="14">
        <f t="shared" si="9"/>
        <v>75531.78688262873</v>
      </c>
      <c r="E45" s="14">
        <f t="shared" ref="E45:E64" si="11">B45-B44</f>
        <v>45376.505479728105</v>
      </c>
      <c r="F45" s="14">
        <v>179.40538320713523</v>
      </c>
      <c r="G45" s="14">
        <v>176.00341520806964</v>
      </c>
      <c r="H45" s="14">
        <f t="shared" si="10"/>
        <v>3.4019679990655902</v>
      </c>
      <c r="I45" s="14"/>
      <c r="J45" s="14"/>
      <c r="K45" s="14">
        <v>176.00341520806964</v>
      </c>
      <c r="L45" s="14">
        <v>0</v>
      </c>
    </row>
    <row r="46" spans="1:14">
      <c r="A46" s="32">
        <v>2008</v>
      </c>
      <c r="B46" s="14">
        <v>1979790.8868008174</v>
      </c>
      <c r="C46" s="14">
        <v>25</v>
      </c>
      <c r="D46" s="14">
        <f t="shared" si="9"/>
        <v>75531.78688262873</v>
      </c>
      <c r="E46" s="14">
        <f t="shared" si="11"/>
        <v>8713.0694802519865</v>
      </c>
      <c r="F46" s="14">
        <v>180.19843742106772</v>
      </c>
      <c r="G46" s="14">
        <v>174.42609184216275</v>
      </c>
      <c r="H46" s="14">
        <f t="shared" si="10"/>
        <v>5.7723455789049751</v>
      </c>
      <c r="I46" s="14"/>
      <c r="J46" s="14"/>
      <c r="K46" s="14">
        <v>174.42609184216275</v>
      </c>
      <c r="L46" s="14">
        <v>0</v>
      </c>
    </row>
    <row r="47" spans="1:14">
      <c r="A47" s="32">
        <v>2009</v>
      </c>
      <c r="B47" s="14">
        <v>1968289.5195629816</v>
      </c>
      <c r="C47" s="14">
        <v>25</v>
      </c>
      <c r="D47" s="14">
        <f t="shared" si="9"/>
        <v>75531.78688262873</v>
      </c>
      <c r="E47" s="14">
        <f t="shared" si="11"/>
        <v>-11501.36723783589</v>
      </c>
      <c r="F47" s="14">
        <v>179.15159534381539</v>
      </c>
      <c r="G47" s="14">
        <v>171.57764100555832</v>
      </c>
      <c r="H47" s="14">
        <f t="shared" si="10"/>
        <v>7.5739543382570673</v>
      </c>
      <c r="I47" s="14"/>
      <c r="J47" s="14"/>
      <c r="K47" s="14">
        <v>171.57764100555832</v>
      </c>
      <c r="L47" s="14">
        <v>0</v>
      </c>
    </row>
    <row r="48" spans="1:14">
      <c r="A48" s="32">
        <v>2010</v>
      </c>
      <c r="B48" s="14">
        <v>1973298.1225553127</v>
      </c>
      <c r="C48" s="14">
        <v>25</v>
      </c>
      <c r="D48" s="14">
        <f t="shared" si="9"/>
        <v>75531.78688262873</v>
      </c>
      <c r="E48" s="14">
        <f t="shared" si="11"/>
        <v>5008.6029923311435</v>
      </c>
      <c r="F48" s="14">
        <v>179.6074730018538</v>
      </c>
      <c r="G48" s="14">
        <v>169.76737278035384</v>
      </c>
      <c r="H48" s="14">
        <f t="shared" si="10"/>
        <v>9.8401002214999664</v>
      </c>
      <c r="I48" s="14"/>
      <c r="J48" s="14"/>
      <c r="K48" s="14">
        <v>169.76737278035384</v>
      </c>
      <c r="L48" s="14">
        <v>0</v>
      </c>
    </row>
    <row r="49" spans="1:12">
      <c r="A49" s="32">
        <v>2011</v>
      </c>
      <c r="B49" s="14">
        <v>1989689.0389854955</v>
      </c>
      <c r="C49" s="14">
        <v>25</v>
      </c>
      <c r="D49" s="14">
        <f t="shared" si="9"/>
        <v>75531.78688262873</v>
      </c>
      <c r="E49" s="14">
        <f t="shared" si="11"/>
        <v>16390.916430182755</v>
      </c>
      <c r="F49" s="14">
        <v>181.09935658830219</v>
      </c>
      <c r="G49" s="14">
        <v>168.67284902494194</v>
      </c>
      <c r="H49" s="14">
        <f t="shared" si="10"/>
        <v>12.426507563360246</v>
      </c>
      <c r="I49" s="14"/>
      <c r="J49" s="14"/>
      <c r="K49" s="14">
        <v>168.67284902494194</v>
      </c>
      <c r="L49" s="14">
        <v>0</v>
      </c>
    </row>
    <row r="50" spans="1:12">
      <c r="A50" s="32">
        <v>2012</v>
      </c>
      <c r="B50" s="14">
        <v>2004838.0734589689</v>
      </c>
      <c r="C50" s="14">
        <v>25</v>
      </c>
      <c r="D50" s="14">
        <f t="shared" si="9"/>
        <v>75531.78688262873</v>
      </c>
      <c r="E50" s="14">
        <f t="shared" si="11"/>
        <v>15149.034473473439</v>
      </c>
      <c r="F50" s="14">
        <v>182.47820541458859</v>
      </c>
      <c r="G50" s="14">
        <v>167.50023304798802</v>
      </c>
      <c r="H50" s="14">
        <f t="shared" si="10"/>
        <v>14.977972366600568</v>
      </c>
      <c r="I50" s="14"/>
      <c r="J50" s="14"/>
      <c r="K50" s="14">
        <v>167.50023304798802</v>
      </c>
      <c r="L50" s="14">
        <v>0</v>
      </c>
    </row>
    <row r="51" spans="1:12">
      <c r="A51" s="32">
        <v>2013</v>
      </c>
      <c r="B51" s="14">
        <v>2025674.7347543333</v>
      </c>
      <c r="C51" s="14">
        <v>25</v>
      </c>
      <c r="D51" s="14">
        <f t="shared" si="9"/>
        <v>75531.78688262873</v>
      </c>
      <c r="E51" s="14">
        <f t="shared" si="11"/>
        <v>20836.661295364378</v>
      </c>
      <c r="F51" s="14">
        <v>184.37473591764794</v>
      </c>
      <c r="G51" s="14">
        <v>166.68526733837561</v>
      </c>
      <c r="H51" s="14">
        <f t="shared" si="10"/>
        <v>17.689468579272329</v>
      </c>
      <c r="I51" s="147">
        <f>I22</f>
        <v>0.01</v>
      </c>
      <c r="J51" s="14">
        <v>963.68448177993082</v>
      </c>
      <c r="K51" s="14">
        <v>166.66195426061824</v>
      </c>
      <c r="L51" s="14">
        <v>2.3313077757354625E-2</v>
      </c>
    </row>
    <row r="52" spans="1:12">
      <c r="A52" s="32">
        <v>2014</v>
      </c>
      <c r="B52" s="14">
        <v>2062892.1120316943</v>
      </c>
      <c r="C52" s="14">
        <v>25</v>
      </c>
      <c r="D52" s="14">
        <f t="shared" si="9"/>
        <v>75531.78688262873</v>
      </c>
      <c r="E52" s="14">
        <f t="shared" si="11"/>
        <v>37217.377277360996</v>
      </c>
      <c r="F52" s="14">
        <v>187.76222157333152</v>
      </c>
      <c r="G52" s="14">
        <v>166.90035645367846</v>
      </c>
      <c r="H52" s="14">
        <f t="shared" si="10"/>
        <v>20.861865119653061</v>
      </c>
      <c r="I52" s="147">
        <f t="shared" ref="I52:I64" si="12">I23</f>
        <v>2.5000000000000001E-2</v>
      </c>
      <c r="J52" s="14">
        <v>2818.7291039997463</v>
      </c>
      <c r="K52" s="14">
        <v>166.80885378480403</v>
      </c>
      <c r="L52" s="14">
        <v>9.1502668874425652E-2</v>
      </c>
    </row>
    <row r="53" spans="1:12">
      <c r="A53" s="32">
        <v>2015</v>
      </c>
      <c r="B53" s="14">
        <v>2116635.9067201409</v>
      </c>
      <c r="C53" s="14">
        <v>25</v>
      </c>
      <c r="D53" s="14">
        <f t="shared" si="9"/>
        <v>75531.78688262873</v>
      </c>
      <c r="E53" s="14">
        <f t="shared" si="11"/>
        <v>53743.79468844668</v>
      </c>
      <c r="F53" s="14">
        <v>192.6539239690255</v>
      </c>
      <c r="G53" s="14">
        <v>168.1546624146651</v>
      </c>
      <c r="H53" s="14">
        <f t="shared" si="10"/>
        <v>24.499261554360402</v>
      </c>
      <c r="I53" s="147">
        <f t="shared" si="12"/>
        <v>0.04</v>
      </c>
      <c r="J53" s="14">
        <v>5171.0232628430049</v>
      </c>
      <c r="K53" s="14">
        <v>167.93806437516784</v>
      </c>
      <c r="L53" s="14">
        <v>0.21659803949726064</v>
      </c>
    </row>
    <row r="54" spans="1:12">
      <c r="A54" s="32">
        <v>2016</v>
      </c>
      <c r="B54" s="14">
        <v>2152133.9063527957</v>
      </c>
      <c r="C54" s="14">
        <v>25</v>
      </c>
      <c r="D54" s="14">
        <f t="shared" si="9"/>
        <v>75531.78688262873</v>
      </c>
      <c r="E54" s="14">
        <f t="shared" si="11"/>
        <v>35497.999632654712</v>
      </c>
      <c r="F54" s="14">
        <v>195.8849137205313</v>
      </c>
      <c r="G54" s="14">
        <v>168.26163334754375</v>
      </c>
      <c r="H54" s="14">
        <f t="shared" si="10"/>
        <v>27.623280372987551</v>
      </c>
      <c r="I54" s="147">
        <f t="shared" si="12"/>
        <v>0.122</v>
      </c>
      <c r="J54" s="14">
        <v>13545.633954864583</v>
      </c>
      <c r="K54" s="14">
        <v>167.71734463373048</v>
      </c>
      <c r="L54" s="14">
        <v>0.54428871381327204</v>
      </c>
    </row>
    <row r="55" spans="1:12">
      <c r="A55" s="32">
        <v>2017</v>
      </c>
      <c r="B55" s="14">
        <v>2185737.95866059</v>
      </c>
      <c r="C55" s="14">
        <v>25</v>
      </c>
      <c r="D55" s="14">
        <f t="shared" si="9"/>
        <v>75531.78688262873</v>
      </c>
      <c r="E55" s="14">
        <f t="shared" si="11"/>
        <v>33604.052307794336</v>
      </c>
      <c r="F55" s="14">
        <v>198.94351842330647</v>
      </c>
      <c r="G55" s="14">
        <v>167.97500088137897</v>
      </c>
      <c r="H55" s="14">
        <f t="shared" si="10"/>
        <v>30.968517541927497</v>
      </c>
      <c r="I55" s="147">
        <f t="shared" si="12"/>
        <v>0.20400000000000001</v>
      </c>
      <c r="J55" s="14">
        <v>22263.711194846379</v>
      </c>
      <c r="K55" s="14">
        <v>166.94811679243256</v>
      </c>
      <c r="L55" s="14">
        <v>1.0268840889464124</v>
      </c>
    </row>
    <row r="56" spans="1:12">
      <c r="A56" s="32">
        <v>2018</v>
      </c>
      <c r="B56" s="14">
        <v>2217121.2908483017</v>
      </c>
      <c r="C56" s="14">
        <v>25</v>
      </c>
      <c r="D56" s="14">
        <f t="shared" si="9"/>
        <v>75531.78688262873</v>
      </c>
      <c r="E56" s="14">
        <f t="shared" si="11"/>
        <v>31383.332187711727</v>
      </c>
      <c r="F56" s="14">
        <v>201.79999556894603</v>
      </c>
      <c r="G56" s="14">
        <v>167.55431048161026</v>
      </c>
      <c r="H56" s="14">
        <f t="shared" si="10"/>
        <v>34.245685087335772</v>
      </c>
      <c r="I56" s="147">
        <f t="shared" si="12"/>
        <v>0.28599999999999998</v>
      </c>
      <c r="J56" s="14">
        <v>30577.72405411732</v>
      </c>
      <c r="K56" s="14">
        <v>165.86461379680026</v>
      </c>
      <c r="L56" s="14">
        <v>1.689696684810005</v>
      </c>
    </row>
    <row r="57" spans="1:12">
      <c r="A57" s="32">
        <v>2019</v>
      </c>
      <c r="B57" s="14">
        <v>2247717.7380666472</v>
      </c>
      <c r="C57" s="14">
        <v>25</v>
      </c>
      <c r="D57" s="14">
        <f t="shared" si="9"/>
        <v>75531.78688262873</v>
      </c>
      <c r="E57" s="14">
        <f t="shared" si="11"/>
        <v>30596.447218345478</v>
      </c>
      <c r="F57" s="14">
        <v>204.58485129090124</v>
      </c>
      <c r="G57" s="14">
        <v>167.0861182953611</v>
      </c>
      <c r="H57" s="14">
        <f t="shared" si="10"/>
        <v>37.498732995540138</v>
      </c>
      <c r="I57" s="147">
        <f t="shared" si="12"/>
        <v>0.36799999999999999</v>
      </c>
      <c r="J57" s="14">
        <v>39055.190149158581</v>
      </c>
      <c r="K57" s="14">
        <v>164.54984872896918</v>
      </c>
      <c r="L57" s="14">
        <v>2.5362695663919284</v>
      </c>
    </row>
    <row r="58" spans="1:12">
      <c r="A58" s="32">
        <v>2020</v>
      </c>
      <c r="B58" s="14">
        <v>2277631.3892093981</v>
      </c>
      <c r="C58" s="14">
        <v>25</v>
      </c>
      <c r="D58" s="14">
        <f t="shared" si="9"/>
        <v>75531.78688262873</v>
      </c>
      <c r="E58" s="14">
        <f t="shared" si="11"/>
        <v>29913.651142750867</v>
      </c>
      <c r="F58" s="14">
        <v>207.30755964834449</v>
      </c>
      <c r="G58" s="14">
        <v>166.5767078438567</v>
      </c>
      <c r="H58" s="14">
        <f t="shared" si="10"/>
        <v>40.730851804487799</v>
      </c>
      <c r="I58" s="147">
        <f t="shared" si="12"/>
        <v>0.45</v>
      </c>
      <c r="J58" s="14">
        <v>47450.447111420719</v>
      </c>
      <c r="K58" s="14">
        <v>163.01188710180671</v>
      </c>
      <c r="L58" s="14">
        <v>3.5648207420500082</v>
      </c>
    </row>
    <row r="59" spans="1:12">
      <c r="A59" s="32">
        <v>2021</v>
      </c>
      <c r="B59" s="14">
        <v>2307159.2467627954</v>
      </c>
      <c r="C59" s="14">
        <v>25</v>
      </c>
      <c r="D59" s="14">
        <f t="shared" si="9"/>
        <v>75531.78688262873</v>
      </c>
      <c r="E59" s="14">
        <f t="shared" si="11"/>
        <v>29527.857553397305</v>
      </c>
      <c r="F59" s="14">
        <v>209.9951534881728</v>
      </c>
      <c r="G59" s="14">
        <v>166.04400823901932</v>
      </c>
      <c r="H59" s="14">
        <f t="shared" si="10"/>
        <v>43.951145249153484</v>
      </c>
      <c r="I59" s="147">
        <f t="shared" si="12"/>
        <v>0.502</v>
      </c>
      <c r="J59" s="14">
        <v>52739.941506885116</v>
      </c>
      <c r="K59" s="14">
        <v>161.33597953701761</v>
      </c>
      <c r="L59" s="14">
        <v>4.7080287020017026</v>
      </c>
    </row>
    <row r="60" spans="1:12">
      <c r="A60" s="32">
        <v>2022</v>
      </c>
      <c r="B60" s="14">
        <v>2336965.8838392906</v>
      </c>
      <c r="C60" s="14">
        <v>25</v>
      </c>
      <c r="D60" s="14">
        <f t="shared" si="9"/>
        <v>75531.78688262873</v>
      </c>
      <c r="E60" s="14">
        <f t="shared" si="11"/>
        <v>29806.637076495215</v>
      </c>
      <c r="F60" s="14">
        <v>212.70812154038995</v>
      </c>
      <c r="G60" s="14">
        <v>165.52813768276826</v>
      </c>
      <c r="H60" s="14">
        <f t="shared" si="10"/>
        <v>47.179983857621693</v>
      </c>
      <c r="I60" s="147">
        <f t="shared" si="12"/>
        <v>0.55400000000000005</v>
      </c>
      <c r="J60" s="14">
        <v>58357.486873354559</v>
      </c>
      <c r="K60" s="14">
        <v>159.55513329800652</v>
      </c>
      <c r="L60" s="14">
        <v>5.9730043847617473</v>
      </c>
    </row>
    <row r="61" spans="1:12">
      <c r="A61" s="32">
        <v>2023</v>
      </c>
      <c r="B61" s="14">
        <v>2366388.0517008239</v>
      </c>
      <c r="C61" s="14">
        <v>25</v>
      </c>
      <c r="D61" s="14">
        <f t="shared" si="9"/>
        <v>75531.78688262873</v>
      </c>
      <c r="E61" s="14">
        <f t="shared" si="11"/>
        <v>29422.167861533351</v>
      </c>
      <c r="F61" s="14">
        <v>215.38609561812504</v>
      </c>
      <c r="G61" s="14">
        <v>164.98905792152738</v>
      </c>
      <c r="H61" s="14">
        <f t="shared" si="10"/>
        <v>50.397037696597664</v>
      </c>
      <c r="I61" s="147">
        <f t="shared" si="12"/>
        <v>0.60599999999999998</v>
      </c>
      <c r="J61" s="14">
        <v>63602.096574962372</v>
      </c>
      <c r="K61" s="14">
        <v>157.63739400479358</v>
      </c>
      <c r="L61" s="14">
        <v>7.3516639167337896</v>
      </c>
    </row>
    <row r="62" spans="1:12">
      <c r="A62" s="32">
        <v>2024</v>
      </c>
      <c r="B62" s="14">
        <v>2395334.9807948931</v>
      </c>
      <c r="C62" s="14">
        <v>25</v>
      </c>
      <c r="D62" s="14">
        <f t="shared" si="9"/>
        <v>75531.78688262873</v>
      </c>
      <c r="E62" s="14">
        <f t="shared" si="11"/>
        <v>28946.929094069172</v>
      </c>
      <c r="F62" s="14">
        <v>218.02081397432403</v>
      </c>
      <c r="G62" s="14">
        <v>164.42128948107896</v>
      </c>
      <c r="H62" s="14">
        <f t="shared" si="10"/>
        <v>53.59952449324507</v>
      </c>
      <c r="I62" s="147">
        <f t="shared" si="12"/>
        <v>0.65799999999999992</v>
      </c>
      <c r="J62" s="14">
        <v>68746.995112667006</v>
      </c>
      <c r="K62" s="14">
        <v>155.57944355446747</v>
      </c>
      <c r="L62" s="14">
        <v>8.8418459266114677</v>
      </c>
    </row>
    <row r="63" spans="1:12">
      <c r="A63" s="32">
        <v>2025</v>
      </c>
      <c r="B63" s="14">
        <v>2425041.4418774704</v>
      </c>
      <c r="C63" s="14">
        <v>25</v>
      </c>
      <c r="D63" s="14">
        <f t="shared" si="9"/>
        <v>75531.78688262873</v>
      </c>
      <c r="E63" s="14">
        <f t="shared" si="11"/>
        <v>29706.46108257724</v>
      </c>
      <c r="F63" s="14">
        <v>220.72466411530553</v>
      </c>
      <c r="G63" s="14">
        <v>163.89937161313838</v>
      </c>
      <c r="H63" s="14">
        <f t="shared" si="10"/>
        <v>56.825292502167144</v>
      </c>
      <c r="I63" s="147">
        <f t="shared" si="12"/>
        <v>0.71</v>
      </c>
      <c r="J63" s="14">
        <v>74719.156055296335</v>
      </c>
      <c r="K63" s="14">
        <v>153.43788919238827</v>
      </c>
      <c r="L63" s="14">
        <v>10.461482420750125</v>
      </c>
    </row>
    <row r="64" spans="1:12">
      <c r="A64" s="32">
        <v>2026</v>
      </c>
      <c r="B64" s="14">
        <v>2455407.0295779621</v>
      </c>
      <c r="C64" s="14">
        <v>25</v>
      </c>
      <c r="D64" s="14">
        <f t="shared" si="9"/>
        <v>75531.78688262873</v>
      </c>
      <c r="E64" s="14">
        <f t="shared" si="11"/>
        <v>30365.587700491771</v>
      </c>
      <c r="F64" s="14">
        <v>223.4885072522153</v>
      </c>
      <c r="G64" s="14">
        <v>163.41724315926305</v>
      </c>
      <c r="H64" s="14">
        <f t="shared" si="10"/>
        <v>60.071264092952248</v>
      </c>
      <c r="I64" s="147">
        <f t="shared" si="12"/>
        <v>0.76200000000000001</v>
      </c>
      <c r="J64" s="14">
        <v>80693.79943233791</v>
      </c>
      <c r="K64" s="14">
        <v>151.20661595006538</v>
      </c>
      <c r="L64" s="14">
        <v>12.210627209197654</v>
      </c>
    </row>
    <row r="65" spans="1:12">
      <c r="A65" s="34"/>
      <c r="B65" s="18"/>
      <c r="C65" s="18"/>
      <c r="D65" s="18"/>
      <c r="E65" s="18"/>
      <c r="F65" s="18"/>
      <c r="G65" s="18"/>
      <c r="H65" s="18"/>
      <c r="I65" s="18"/>
      <c r="J65" s="18"/>
      <c r="K65" s="18"/>
      <c r="L65" s="18"/>
    </row>
    <row r="66" spans="1:12" s="26" customFormat="1" ht="15.6">
      <c r="A66" s="25" t="s">
        <v>41</v>
      </c>
      <c r="B66" s="27"/>
      <c r="C66" s="25"/>
      <c r="D66" s="25"/>
      <c r="E66" s="25"/>
      <c r="F66" s="25"/>
      <c r="G66" s="25"/>
      <c r="H66" s="25"/>
      <c r="I66" s="25"/>
      <c r="J66" s="25"/>
      <c r="K66" s="25"/>
      <c r="L66" s="25"/>
    </row>
    <row r="67" spans="1:12" s="30" customFormat="1" ht="26.4">
      <c r="A67" s="28"/>
      <c r="B67" s="29" t="s">
        <v>47</v>
      </c>
      <c r="C67" s="23"/>
      <c r="D67" s="23"/>
      <c r="E67" s="23"/>
      <c r="F67" s="146" t="s">
        <v>48</v>
      </c>
      <c r="G67" s="146" t="s">
        <v>49</v>
      </c>
      <c r="H67" s="146" t="s">
        <v>59</v>
      </c>
      <c r="I67" s="146" t="s">
        <v>274</v>
      </c>
      <c r="J67" s="146"/>
      <c r="K67" s="146" t="s">
        <v>50</v>
      </c>
      <c r="L67" s="146" t="s">
        <v>59</v>
      </c>
    </row>
    <row r="68" spans="1:12" s="30" customFormat="1" ht="39.6">
      <c r="A68" s="31"/>
      <c r="B68" s="56" t="s">
        <v>4</v>
      </c>
      <c r="C68" s="57" t="s">
        <v>51</v>
      </c>
      <c r="D68" s="57" t="s">
        <v>32</v>
      </c>
      <c r="E68" s="57" t="s">
        <v>32</v>
      </c>
      <c r="F68" s="56" t="s">
        <v>4</v>
      </c>
      <c r="G68" s="56" t="s">
        <v>4</v>
      </c>
      <c r="H68" s="56" t="s">
        <v>24</v>
      </c>
      <c r="I68" s="56" t="s">
        <v>275</v>
      </c>
      <c r="J68" s="56" t="s">
        <v>276</v>
      </c>
      <c r="K68" s="56" t="s">
        <v>4</v>
      </c>
      <c r="L68" s="57" t="s">
        <v>24</v>
      </c>
    </row>
    <row r="69" spans="1:12" s="30" customFormat="1" ht="26.4">
      <c r="A69" s="31"/>
      <c r="B69" s="55" t="s">
        <v>52</v>
      </c>
      <c r="C69" s="55" t="s">
        <v>8</v>
      </c>
      <c r="D69" s="55" t="s">
        <v>53</v>
      </c>
      <c r="E69" s="55" t="s">
        <v>53</v>
      </c>
      <c r="F69" s="55" t="s">
        <v>54</v>
      </c>
      <c r="G69" s="55" t="s">
        <v>54</v>
      </c>
      <c r="H69" s="55" t="s">
        <v>60</v>
      </c>
      <c r="I69" s="55" t="s">
        <v>277</v>
      </c>
      <c r="J69" s="55" t="s">
        <v>53</v>
      </c>
      <c r="K69" s="55" t="s">
        <v>278</v>
      </c>
      <c r="L69" s="55" t="s">
        <v>279</v>
      </c>
    </row>
    <row r="70" spans="1:12" s="30" customFormat="1" ht="26.4">
      <c r="A70" s="31"/>
      <c r="B70" s="55" t="s">
        <v>12</v>
      </c>
      <c r="C70" s="55" t="s">
        <v>15</v>
      </c>
      <c r="D70" s="55" t="s">
        <v>9</v>
      </c>
      <c r="E70" s="55" t="s">
        <v>10</v>
      </c>
      <c r="F70" s="55" t="s">
        <v>55</v>
      </c>
      <c r="G70" s="55" t="s">
        <v>56</v>
      </c>
      <c r="H70" s="55" t="s">
        <v>61</v>
      </c>
      <c r="I70" s="55" t="s">
        <v>281</v>
      </c>
      <c r="J70" s="55" t="s">
        <v>282</v>
      </c>
      <c r="K70" s="55" t="s">
        <v>283</v>
      </c>
      <c r="L70" s="55" t="s">
        <v>284</v>
      </c>
    </row>
    <row r="71" spans="1:12" s="30" customFormat="1" ht="26.4">
      <c r="A71" s="24" t="s">
        <v>17</v>
      </c>
      <c r="B71" s="58" t="s">
        <v>57</v>
      </c>
      <c r="C71" s="58" t="s">
        <v>21</v>
      </c>
      <c r="D71" s="58" t="s">
        <v>58</v>
      </c>
      <c r="E71" s="58" t="s">
        <v>58</v>
      </c>
      <c r="F71" s="58" t="s">
        <v>22</v>
      </c>
      <c r="G71" s="58" t="s">
        <v>22</v>
      </c>
      <c r="H71" s="58" t="s">
        <v>22</v>
      </c>
      <c r="I71" s="58" t="s">
        <v>286</v>
      </c>
      <c r="J71" s="58" t="s">
        <v>287</v>
      </c>
      <c r="K71" s="58" t="s">
        <v>22</v>
      </c>
      <c r="L71" s="58" t="s">
        <v>22</v>
      </c>
    </row>
    <row r="72" spans="1:12">
      <c r="A72" s="32">
        <v>2005</v>
      </c>
      <c r="B72" s="14">
        <v>7395820.7989240633</v>
      </c>
      <c r="C72" s="14">
        <v>25</v>
      </c>
      <c r="D72" s="14">
        <f t="shared" ref="D72:D93" si="13">B$72*(1/C$72)</f>
        <v>295832.83195696253</v>
      </c>
      <c r="E72" s="14">
        <v>0</v>
      </c>
      <c r="F72" s="14">
        <v>673.15965554620254</v>
      </c>
      <c r="G72" s="14">
        <v>673.15965554620254</v>
      </c>
      <c r="H72" s="14">
        <f>F72-G72</f>
        <v>0</v>
      </c>
      <c r="I72" s="14"/>
      <c r="J72" s="14"/>
      <c r="K72" s="14">
        <v>673.15965554620254</v>
      </c>
      <c r="L72" s="14">
        <f>G72-K72</f>
        <v>0</v>
      </c>
    </row>
    <row r="73" spans="1:12">
      <c r="A73" s="32">
        <v>2006</v>
      </c>
      <c r="B73" s="14">
        <v>7542330.1380432807</v>
      </c>
      <c r="C73" s="14">
        <v>25</v>
      </c>
      <c r="D73" s="14">
        <f t="shared" si="13"/>
        <v>295832.83195696253</v>
      </c>
      <c r="E73" s="14">
        <f>B73-B72</f>
        <v>146509.33911921736</v>
      </c>
      <c r="F73" s="14">
        <v>686.49477803458706</v>
      </c>
      <c r="G73" s="14">
        <v>686.49477803458706</v>
      </c>
      <c r="H73" s="14">
        <f t="shared" ref="H73:H93" si="14">F73-G73</f>
        <v>0</v>
      </c>
      <c r="I73" s="14"/>
      <c r="J73" s="14"/>
      <c r="K73" s="14">
        <v>686.49477803458706</v>
      </c>
      <c r="L73" s="14">
        <f t="shared" ref="L73:L93" si="15">G73-K73</f>
        <v>0</v>
      </c>
    </row>
    <row r="74" spans="1:12">
      <c r="A74" s="32">
        <v>2007</v>
      </c>
      <c r="B74" s="14">
        <v>7720054.7845055489</v>
      </c>
      <c r="C74" s="14">
        <v>25</v>
      </c>
      <c r="D74" s="14">
        <f t="shared" si="13"/>
        <v>295832.83195696253</v>
      </c>
      <c r="E74" s="14">
        <f t="shared" ref="E74:E93" si="16">B74-B73</f>
        <v>177724.6464622682</v>
      </c>
      <c r="F74" s="14">
        <v>702.67108422794638</v>
      </c>
      <c r="G74" s="14">
        <v>689.34670956493949</v>
      </c>
      <c r="H74" s="14">
        <f t="shared" si="14"/>
        <v>13.324374663006893</v>
      </c>
      <c r="I74" s="14"/>
      <c r="J74" s="14"/>
      <c r="K74" s="14">
        <v>689.34670956493949</v>
      </c>
      <c r="L74" s="14">
        <f t="shared" si="15"/>
        <v>0</v>
      </c>
    </row>
    <row r="75" spans="1:12">
      <c r="A75" s="32">
        <v>2008</v>
      </c>
      <c r="B75" s="14">
        <v>7754180.9733032025</v>
      </c>
      <c r="C75" s="14">
        <v>25</v>
      </c>
      <c r="D75" s="14">
        <f t="shared" si="13"/>
        <v>295832.83195696253</v>
      </c>
      <c r="E75" s="14">
        <f t="shared" si="16"/>
        <v>34126.188797653653</v>
      </c>
      <c r="F75" s="14">
        <v>705.77721323251535</v>
      </c>
      <c r="G75" s="14">
        <v>683.1688597151375</v>
      </c>
      <c r="H75" s="14">
        <f t="shared" si="14"/>
        <v>22.60835351737785</v>
      </c>
      <c r="I75" s="14"/>
      <c r="J75" s="14"/>
      <c r="K75" s="14">
        <v>683.1688597151375</v>
      </c>
      <c r="L75" s="14">
        <f t="shared" si="15"/>
        <v>0</v>
      </c>
    </row>
    <row r="76" spans="1:12">
      <c r="A76" s="32">
        <v>2009</v>
      </c>
      <c r="B76" s="14">
        <v>7709133.9516216787</v>
      </c>
      <c r="C76" s="14">
        <v>25</v>
      </c>
      <c r="D76" s="14">
        <f t="shared" si="13"/>
        <v>295832.83195696253</v>
      </c>
      <c r="E76" s="14">
        <f t="shared" si="16"/>
        <v>-45047.021681523882</v>
      </c>
      <c r="F76" s="14">
        <v>701.67708176327699</v>
      </c>
      <c r="G76" s="14">
        <v>672.01242727177009</v>
      </c>
      <c r="H76" s="14">
        <f t="shared" si="14"/>
        <v>29.664654491506894</v>
      </c>
      <c r="I76" s="14"/>
      <c r="J76" s="14"/>
      <c r="K76" s="14">
        <v>672.01242727177009</v>
      </c>
      <c r="L76" s="14">
        <f t="shared" si="15"/>
        <v>0</v>
      </c>
    </row>
    <row r="77" spans="1:12">
      <c r="A77" s="32">
        <v>2010</v>
      </c>
      <c r="B77" s="14">
        <v>7728750.9800083088</v>
      </c>
      <c r="C77" s="14">
        <v>25</v>
      </c>
      <c r="D77" s="14">
        <f t="shared" si="13"/>
        <v>295832.83195696253</v>
      </c>
      <c r="E77" s="14">
        <f t="shared" si="16"/>
        <v>19617.028386630118</v>
      </c>
      <c r="F77" s="14">
        <v>703.46260259059409</v>
      </c>
      <c r="G77" s="14">
        <v>664.92221005638589</v>
      </c>
      <c r="H77" s="14">
        <f t="shared" si="14"/>
        <v>38.540392534208195</v>
      </c>
      <c r="I77" s="14"/>
      <c r="J77" s="14"/>
      <c r="K77" s="14">
        <v>664.92221005638589</v>
      </c>
      <c r="L77" s="14">
        <f t="shared" si="15"/>
        <v>0</v>
      </c>
    </row>
    <row r="78" spans="1:12">
      <c r="A78" s="32">
        <v>2011</v>
      </c>
      <c r="B78" s="14">
        <v>7792948.7360265246</v>
      </c>
      <c r="C78" s="14">
        <v>25</v>
      </c>
      <c r="D78" s="14">
        <f t="shared" si="13"/>
        <v>295832.83195696253</v>
      </c>
      <c r="E78" s="14">
        <f t="shared" si="16"/>
        <v>64197.75601821579</v>
      </c>
      <c r="F78" s="14">
        <v>709.30581330418363</v>
      </c>
      <c r="G78" s="14">
        <v>660.63532534768933</v>
      </c>
      <c r="H78" s="14">
        <f t="shared" si="14"/>
        <v>48.670487956494298</v>
      </c>
      <c r="I78" s="14"/>
      <c r="J78" s="14"/>
      <c r="K78" s="14">
        <v>660.63532534768933</v>
      </c>
      <c r="L78" s="14">
        <f t="shared" si="15"/>
        <v>0</v>
      </c>
    </row>
    <row r="79" spans="1:12">
      <c r="A79" s="32">
        <v>2012</v>
      </c>
      <c r="B79" s="14">
        <v>7852282.4543809621</v>
      </c>
      <c r="C79" s="14">
        <v>25</v>
      </c>
      <c r="D79" s="14">
        <f t="shared" si="13"/>
        <v>295832.83195696253</v>
      </c>
      <c r="E79" s="14">
        <f t="shared" si="16"/>
        <v>59333.7183544375</v>
      </c>
      <c r="F79" s="14">
        <v>714.70630454047205</v>
      </c>
      <c r="G79" s="14">
        <v>656.04257943795312</v>
      </c>
      <c r="H79" s="14">
        <f t="shared" si="14"/>
        <v>58.663725102518924</v>
      </c>
      <c r="I79" s="14"/>
      <c r="J79" s="14"/>
      <c r="K79" s="14">
        <v>656.04257943795312</v>
      </c>
      <c r="L79" s="14">
        <f t="shared" si="15"/>
        <v>0</v>
      </c>
    </row>
    <row r="80" spans="1:12">
      <c r="A80" s="32">
        <v>2013</v>
      </c>
      <c r="B80" s="14">
        <v>7933892.7111211391</v>
      </c>
      <c r="C80" s="14">
        <v>25</v>
      </c>
      <c r="D80" s="14">
        <f t="shared" si="13"/>
        <v>295832.83195696253</v>
      </c>
      <c r="E80" s="14">
        <f t="shared" si="16"/>
        <v>81610.25674017705</v>
      </c>
      <c r="F80" s="14">
        <v>722.13438234412115</v>
      </c>
      <c r="G80" s="14">
        <v>652.85063040863781</v>
      </c>
      <c r="H80" s="14">
        <f t="shared" si="14"/>
        <v>69.283751935483338</v>
      </c>
      <c r="I80" s="147">
        <f>I22</f>
        <v>0.01</v>
      </c>
      <c r="J80" s="14">
        <v>3774.4308869713959</v>
      </c>
      <c r="K80" s="14">
        <v>652.75932085408817</v>
      </c>
      <c r="L80" s="14">
        <f t="shared" si="15"/>
        <v>9.130955454963896E-2</v>
      </c>
    </row>
    <row r="81" spans="1:12">
      <c r="A81" s="32">
        <v>2014</v>
      </c>
      <c r="B81" s="14">
        <v>8079660.7721241368</v>
      </c>
      <c r="C81" s="14">
        <v>25</v>
      </c>
      <c r="D81" s="14">
        <f t="shared" si="13"/>
        <v>295832.83195696253</v>
      </c>
      <c r="E81" s="14">
        <f t="shared" si="16"/>
        <v>145768.06100299768</v>
      </c>
      <c r="F81" s="14">
        <v>735.40203449554849</v>
      </c>
      <c r="G81" s="14">
        <v>653.69306277690737</v>
      </c>
      <c r="H81" s="14">
        <f t="shared" si="14"/>
        <v>81.708971718641124</v>
      </c>
      <c r="I81" s="147">
        <f t="shared" ref="I81:I93" si="17">I23</f>
        <v>2.5000000000000001E-2</v>
      </c>
      <c r="J81" s="14">
        <v>11040.022323999006</v>
      </c>
      <c r="K81" s="14">
        <v>653.33467732381587</v>
      </c>
      <c r="L81" s="14">
        <f t="shared" si="15"/>
        <v>0.35838545309150049</v>
      </c>
    </row>
    <row r="82" spans="1:12">
      <c r="A82" s="32">
        <v>2015</v>
      </c>
      <c r="B82" s="14">
        <v>8290157.3013205519</v>
      </c>
      <c r="C82" s="14">
        <v>25</v>
      </c>
      <c r="D82" s="14">
        <f t="shared" si="13"/>
        <v>295832.83195696253</v>
      </c>
      <c r="E82" s="14">
        <f t="shared" si="16"/>
        <v>210496.5291964151</v>
      </c>
      <c r="F82" s="14">
        <v>754.56120221201661</v>
      </c>
      <c r="G82" s="14">
        <v>658.60576112410502</v>
      </c>
      <c r="H82" s="14">
        <f t="shared" si="14"/>
        <v>95.955441087911595</v>
      </c>
      <c r="I82" s="147">
        <f t="shared" si="17"/>
        <v>0.04</v>
      </c>
      <c r="J82" s="14">
        <v>20253.174446135105</v>
      </c>
      <c r="K82" s="14">
        <v>657.75741880274074</v>
      </c>
      <c r="L82" s="14">
        <f t="shared" si="15"/>
        <v>0.8483423213642709</v>
      </c>
    </row>
    <row r="83" spans="1:12">
      <c r="A83" s="32">
        <v>2016</v>
      </c>
      <c r="B83" s="14">
        <v>8429191.1332151163</v>
      </c>
      <c r="C83" s="14">
        <v>25</v>
      </c>
      <c r="D83" s="14">
        <f t="shared" si="13"/>
        <v>295832.83195696253</v>
      </c>
      <c r="E83" s="14">
        <f t="shared" si="16"/>
        <v>139033.83189456444</v>
      </c>
      <c r="F83" s="14">
        <v>767.21591207208098</v>
      </c>
      <c r="G83" s="14">
        <v>659.02473061121304</v>
      </c>
      <c r="H83" s="14">
        <f t="shared" si="14"/>
        <v>108.19118146086794</v>
      </c>
      <c r="I83" s="147">
        <f t="shared" si="17"/>
        <v>0.122</v>
      </c>
      <c r="J83" s="14">
        <v>53053.732989886288</v>
      </c>
      <c r="K83" s="14">
        <v>656.89293314877773</v>
      </c>
      <c r="L83" s="14">
        <f t="shared" si="15"/>
        <v>2.1317974624353155</v>
      </c>
    </row>
    <row r="84" spans="1:12">
      <c r="A84" s="32">
        <v>2017</v>
      </c>
      <c r="B84" s="14">
        <v>8560807.0047539789</v>
      </c>
      <c r="C84" s="14">
        <v>25</v>
      </c>
      <c r="D84" s="14">
        <f t="shared" si="13"/>
        <v>295832.83195696253</v>
      </c>
      <c r="E84" s="14">
        <f t="shared" si="16"/>
        <v>131615.87153886259</v>
      </c>
      <c r="F84" s="14">
        <v>779.19544715795041</v>
      </c>
      <c r="G84" s="14">
        <v>657.90208678540102</v>
      </c>
      <c r="H84" s="14">
        <f t="shared" si="14"/>
        <v>121.29336037254939</v>
      </c>
      <c r="I84" s="147">
        <f t="shared" si="17"/>
        <v>0.20400000000000001</v>
      </c>
      <c r="J84" s="14">
        <v>87199.535513148323</v>
      </c>
      <c r="K84" s="14">
        <v>653.88012410369424</v>
      </c>
      <c r="L84" s="14">
        <f t="shared" si="15"/>
        <v>4.021962681706782</v>
      </c>
    </row>
    <row r="85" spans="1:12">
      <c r="A85" s="32">
        <v>2018</v>
      </c>
      <c r="B85" s="14">
        <v>8683725.0558225159</v>
      </c>
      <c r="C85" s="14">
        <v>25</v>
      </c>
      <c r="D85" s="14">
        <f t="shared" si="13"/>
        <v>295832.83195696253</v>
      </c>
      <c r="E85" s="14">
        <f t="shared" si="16"/>
        <v>122918.05106853694</v>
      </c>
      <c r="F85" s="14">
        <v>790.38331597837202</v>
      </c>
      <c r="G85" s="14">
        <v>656.25438271964026</v>
      </c>
      <c r="H85" s="14">
        <f t="shared" si="14"/>
        <v>134.12893325873176</v>
      </c>
      <c r="I85" s="147">
        <f t="shared" si="17"/>
        <v>0.28599999999999998</v>
      </c>
      <c r="J85" s="14">
        <v>119762.75254529284</v>
      </c>
      <c r="K85" s="14">
        <v>649.63640403746774</v>
      </c>
      <c r="L85" s="14">
        <f t="shared" si="15"/>
        <v>6.6179786821725202</v>
      </c>
    </row>
    <row r="86" spans="1:12">
      <c r="A86" s="32">
        <v>2019</v>
      </c>
      <c r="B86" s="14">
        <v>8803561.1407610364</v>
      </c>
      <c r="C86" s="14">
        <v>25</v>
      </c>
      <c r="D86" s="14">
        <f t="shared" si="13"/>
        <v>295832.83195696253</v>
      </c>
      <c r="E86" s="14">
        <f t="shared" si="16"/>
        <v>119836.08493852057</v>
      </c>
      <c r="F86" s="14">
        <v>801.29066755602992</v>
      </c>
      <c r="G86" s="14">
        <v>654.42062999016434</v>
      </c>
      <c r="H86" s="14">
        <f t="shared" si="14"/>
        <v>146.87003756586557</v>
      </c>
      <c r="I86" s="147">
        <f t="shared" si="17"/>
        <v>0.36799999999999999</v>
      </c>
      <c r="J86" s="14">
        <v>152966.16141753778</v>
      </c>
      <c r="K86" s="14">
        <v>644.48690752179596</v>
      </c>
      <c r="L86" s="14">
        <f t="shared" si="15"/>
        <v>9.9337224683683871</v>
      </c>
    </row>
    <row r="87" spans="1:12">
      <c r="A87" s="32">
        <v>2020</v>
      </c>
      <c r="B87" s="14">
        <v>8920722.9410701431</v>
      </c>
      <c r="C87" s="14">
        <v>25</v>
      </c>
      <c r="D87" s="14">
        <f t="shared" si="13"/>
        <v>295832.83195696253</v>
      </c>
      <c r="E87" s="14">
        <f t="shared" si="16"/>
        <v>117161.80030910671</v>
      </c>
      <c r="F87" s="14">
        <v>811.95460862268271</v>
      </c>
      <c r="G87" s="14">
        <v>652.42543905510547</v>
      </c>
      <c r="H87" s="14">
        <f t="shared" si="14"/>
        <v>159.52916956757724</v>
      </c>
      <c r="I87" s="147">
        <f t="shared" si="17"/>
        <v>0.45</v>
      </c>
      <c r="J87" s="14">
        <v>185847.58451973117</v>
      </c>
      <c r="K87" s="14">
        <v>638.46322448207627</v>
      </c>
      <c r="L87" s="14">
        <f t="shared" si="15"/>
        <v>13.9622145730292</v>
      </c>
    </row>
    <row r="88" spans="1:12">
      <c r="A88" s="32">
        <v>2021</v>
      </c>
      <c r="B88" s="14">
        <v>9036373.7164876163</v>
      </c>
      <c r="C88" s="14">
        <v>25</v>
      </c>
      <c r="D88" s="14">
        <f t="shared" si="13"/>
        <v>295832.83195696253</v>
      </c>
      <c r="E88" s="14">
        <f t="shared" si="16"/>
        <v>115650.77541747317</v>
      </c>
      <c r="F88" s="14">
        <v>822.48101782867684</v>
      </c>
      <c r="G88" s="14">
        <v>650.33903226949235</v>
      </c>
      <c r="H88" s="14">
        <f t="shared" si="14"/>
        <v>172.14198555918449</v>
      </c>
      <c r="I88" s="147">
        <f t="shared" si="17"/>
        <v>0.502</v>
      </c>
      <c r="J88" s="14">
        <v>206564.77090196672</v>
      </c>
      <c r="K88" s="14">
        <v>631.89925318665234</v>
      </c>
      <c r="L88" s="14">
        <f t="shared" si="15"/>
        <v>18.439779082840005</v>
      </c>
    </row>
    <row r="89" spans="1:12">
      <c r="A89" s="32">
        <v>2022</v>
      </c>
      <c r="B89" s="14">
        <v>9153116.3783705551</v>
      </c>
      <c r="C89" s="14">
        <v>25</v>
      </c>
      <c r="D89" s="14">
        <f t="shared" si="13"/>
        <v>295832.83195696253</v>
      </c>
      <c r="E89" s="14">
        <f t="shared" si="16"/>
        <v>116742.66188293882</v>
      </c>
      <c r="F89" s="14">
        <v>833.10680936652739</v>
      </c>
      <c r="G89" s="14">
        <v>648.31853925750909</v>
      </c>
      <c r="H89" s="14">
        <f t="shared" si="14"/>
        <v>184.7882701090183</v>
      </c>
      <c r="I89" s="147">
        <f t="shared" si="17"/>
        <v>0.55400000000000005</v>
      </c>
      <c r="J89" s="14">
        <v>228566.82358730538</v>
      </c>
      <c r="K89" s="14">
        <v>624.92427208385891</v>
      </c>
      <c r="L89" s="14">
        <f t="shared" si="15"/>
        <v>23.394267173650178</v>
      </c>
    </row>
    <row r="90" spans="1:12">
      <c r="A90" s="32">
        <v>2023</v>
      </c>
      <c r="B90" s="14">
        <v>9268353.2024948951</v>
      </c>
      <c r="C90" s="14">
        <v>25</v>
      </c>
      <c r="D90" s="14">
        <f t="shared" si="13"/>
        <v>295832.83195696253</v>
      </c>
      <c r="E90" s="14">
        <f t="shared" si="16"/>
        <v>115236.82412433997</v>
      </c>
      <c r="F90" s="14">
        <v>843.5955411709898</v>
      </c>
      <c r="G90" s="14">
        <v>646.20714352598225</v>
      </c>
      <c r="H90" s="14">
        <f t="shared" si="14"/>
        <v>197.38839764500756</v>
      </c>
      <c r="I90" s="147">
        <f t="shared" si="17"/>
        <v>0.60599999999999998</v>
      </c>
      <c r="J90" s="14">
        <v>249108.21158526931</v>
      </c>
      <c r="K90" s="14">
        <v>617.4131265187749</v>
      </c>
      <c r="L90" s="14">
        <f t="shared" si="15"/>
        <v>28.794017007207344</v>
      </c>
    </row>
    <row r="91" spans="1:12">
      <c r="A91" s="32">
        <v>2024</v>
      </c>
      <c r="B91" s="14">
        <v>9381728.6747799981</v>
      </c>
      <c r="C91" s="14">
        <v>25</v>
      </c>
      <c r="D91" s="14">
        <f t="shared" si="13"/>
        <v>295832.83195696253</v>
      </c>
      <c r="E91" s="14">
        <f t="shared" si="16"/>
        <v>113375.47228510305</v>
      </c>
      <c r="F91" s="14">
        <v>853.91485473276919</v>
      </c>
      <c r="G91" s="14">
        <v>643.98338380089263</v>
      </c>
      <c r="H91" s="14">
        <f t="shared" si="14"/>
        <v>209.93147093187656</v>
      </c>
      <c r="I91" s="147">
        <f t="shared" si="17"/>
        <v>0.65799999999999992</v>
      </c>
      <c r="J91" s="14">
        <v>269259.06419127912</v>
      </c>
      <c r="K91" s="14">
        <v>609.35282058833104</v>
      </c>
      <c r="L91" s="14">
        <f t="shared" si="15"/>
        <v>34.630563212561583</v>
      </c>
    </row>
    <row r="92" spans="1:12">
      <c r="A92" s="32">
        <v>2025</v>
      </c>
      <c r="B92" s="14">
        <v>9498078.9806867596</v>
      </c>
      <c r="C92" s="14">
        <v>25</v>
      </c>
      <c r="D92" s="14">
        <f t="shared" si="13"/>
        <v>295832.83195696253</v>
      </c>
      <c r="E92" s="14">
        <f t="shared" si="16"/>
        <v>116350.30590676144</v>
      </c>
      <c r="F92" s="14">
        <v>864.50493445161339</v>
      </c>
      <c r="G92" s="14">
        <v>641.93920548479207</v>
      </c>
      <c r="H92" s="14">
        <f t="shared" si="14"/>
        <v>222.56572896682133</v>
      </c>
      <c r="I92" s="147">
        <f t="shared" si="17"/>
        <v>0.71</v>
      </c>
      <c r="J92" s="14">
        <v>292650.02788324398</v>
      </c>
      <c r="K92" s="14">
        <v>600.96506600352075</v>
      </c>
      <c r="L92" s="14">
        <f t="shared" si="15"/>
        <v>40.974139481271322</v>
      </c>
    </row>
    <row r="93" spans="1:12">
      <c r="A93" s="32">
        <v>2026</v>
      </c>
      <c r="B93" s="14">
        <v>9617010.8658470195</v>
      </c>
      <c r="C93" s="14">
        <v>25</v>
      </c>
      <c r="D93" s="14">
        <f t="shared" si="13"/>
        <v>295832.83195696253</v>
      </c>
      <c r="E93" s="14">
        <f t="shared" si="16"/>
        <v>118931.8851602599</v>
      </c>
      <c r="F93" s="14">
        <v>875.32998673784334</v>
      </c>
      <c r="G93" s="14">
        <v>640.05086904044697</v>
      </c>
      <c r="H93" s="14">
        <f t="shared" si="14"/>
        <v>235.27911769739637</v>
      </c>
      <c r="I93" s="147">
        <f t="shared" si="17"/>
        <v>0.76200000000000001</v>
      </c>
      <c r="J93" s="14">
        <v>316050.71444332349</v>
      </c>
      <c r="K93" s="14">
        <v>592.22591247108949</v>
      </c>
      <c r="L93" s="14">
        <f t="shared" si="15"/>
        <v>47.824956569357482</v>
      </c>
    </row>
    <row r="94" spans="1:12">
      <c r="A94" s="34"/>
      <c r="B94" s="18"/>
      <c r="C94" s="18"/>
      <c r="D94" s="18"/>
      <c r="E94" s="18"/>
      <c r="F94" s="18"/>
      <c r="G94" s="18"/>
      <c r="H94" s="18"/>
      <c r="I94" s="18"/>
      <c r="J94" s="18"/>
      <c r="K94" s="18"/>
      <c r="L94" s="18"/>
    </row>
    <row r="95" spans="1:12" s="26" customFormat="1" ht="15.6">
      <c r="A95" s="25" t="s">
        <v>42</v>
      </c>
      <c r="B95" s="27"/>
      <c r="C95" s="25"/>
      <c r="D95" s="25"/>
      <c r="E95" s="25"/>
      <c r="F95" s="25"/>
      <c r="G95" s="25"/>
      <c r="H95" s="25"/>
      <c r="I95" s="25"/>
      <c r="J95" s="25"/>
      <c r="K95" s="25"/>
      <c r="L95" s="25"/>
    </row>
    <row r="96" spans="1:12" s="30" customFormat="1" ht="26.4">
      <c r="A96" s="28"/>
      <c r="B96" s="29" t="s">
        <v>47</v>
      </c>
      <c r="C96" s="23"/>
      <c r="D96" s="23"/>
      <c r="E96" s="23"/>
      <c r="F96" s="146" t="s">
        <v>48</v>
      </c>
      <c r="G96" s="146" t="s">
        <v>49</v>
      </c>
      <c r="H96" s="146" t="s">
        <v>59</v>
      </c>
      <c r="I96" s="146" t="s">
        <v>274</v>
      </c>
      <c r="J96" s="146"/>
      <c r="K96" s="146" t="s">
        <v>50</v>
      </c>
      <c r="L96" s="146" t="s">
        <v>59</v>
      </c>
    </row>
    <row r="97" spans="1:14" s="30" customFormat="1" ht="39.6">
      <c r="A97" s="31"/>
      <c r="B97" s="56" t="s">
        <v>4</v>
      </c>
      <c r="C97" s="57" t="s">
        <v>51</v>
      </c>
      <c r="D97" s="57" t="s">
        <v>32</v>
      </c>
      <c r="E97" s="57" t="s">
        <v>32</v>
      </c>
      <c r="F97" s="56" t="s">
        <v>4</v>
      </c>
      <c r="G97" s="56" t="s">
        <v>4</v>
      </c>
      <c r="H97" s="56" t="s">
        <v>24</v>
      </c>
      <c r="I97" s="56" t="s">
        <v>275</v>
      </c>
      <c r="J97" s="56" t="s">
        <v>276</v>
      </c>
      <c r="K97" s="56" t="s">
        <v>4</v>
      </c>
      <c r="L97" s="57" t="s">
        <v>24</v>
      </c>
    </row>
    <row r="98" spans="1:14" s="30" customFormat="1" ht="26.4">
      <c r="A98" s="31"/>
      <c r="B98" s="55" t="s">
        <v>52</v>
      </c>
      <c r="C98" s="55" t="s">
        <v>8</v>
      </c>
      <c r="D98" s="55" t="s">
        <v>53</v>
      </c>
      <c r="E98" s="55" t="s">
        <v>53</v>
      </c>
      <c r="F98" s="55" t="s">
        <v>54</v>
      </c>
      <c r="G98" s="55" t="s">
        <v>54</v>
      </c>
      <c r="H98" s="55" t="s">
        <v>60</v>
      </c>
      <c r="I98" s="55" t="s">
        <v>277</v>
      </c>
      <c r="J98" s="55" t="s">
        <v>53</v>
      </c>
      <c r="K98" s="55" t="s">
        <v>278</v>
      </c>
      <c r="L98" s="55" t="s">
        <v>279</v>
      </c>
    </row>
    <row r="99" spans="1:14" s="30" customFormat="1" ht="26.4">
      <c r="A99" s="31"/>
      <c r="B99" s="55" t="s">
        <v>12</v>
      </c>
      <c r="C99" s="55" t="s">
        <v>15</v>
      </c>
      <c r="D99" s="55" t="s">
        <v>9</v>
      </c>
      <c r="E99" s="55" t="s">
        <v>10</v>
      </c>
      <c r="F99" s="55" t="s">
        <v>55</v>
      </c>
      <c r="G99" s="55" t="s">
        <v>56</v>
      </c>
      <c r="H99" s="55" t="s">
        <v>61</v>
      </c>
      <c r="I99" s="55" t="s">
        <v>281</v>
      </c>
      <c r="J99" s="55" t="s">
        <v>282</v>
      </c>
      <c r="K99" s="55" t="s">
        <v>283</v>
      </c>
      <c r="L99" s="55" t="s">
        <v>284</v>
      </c>
    </row>
    <row r="100" spans="1:14" s="30" customFormat="1" ht="26.4">
      <c r="A100" s="24" t="s">
        <v>17</v>
      </c>
      <c r="B100" s="58" t="s">
        <v>57</v>
      </c>
      <c r="C100" s="58" t="s">
        <v>21</v>
      </c>
      <c r="D100" s="58" t="s">
        <v>58</v>
      </c>
      <c r="E100" s="58" t="s">
        <v>58</v>
      </c>
      <c r="F100" s="58" t="s">
        <v>22</v>
      </c>
      <c r="G100" s="58" t="s">
        <v>22</v>
      </c>
      <c r="H100" s="58" t="s">
        <v>22</v>
      </c>
      <c r="I100" s="58" t="s">
        <v>286</v>
      </c>
      <c r="J100" s="58" t="s">
        <v>287</v>
      </c>
      <c r="K100" s="58" t="s">
        <v>22</v>
      </c>
      <c r="L100" s="58" t="s">
        <v>22</v>
      </c>
    </row>
    <row r="101" spans="1:14">
      <c r="A101" s="32">
        <v>2005</v>
      </c>
      <c r="B101" s="14">
        <v>5507526.1268583452</v>
      </c>
      <c r="C101" s="14">
        <v>25</v>
      </c>
      <c r="D101" s="14">
        <f t="shared" ref="D101:D122" si="18">B$101*(1/C$101)</f>
        <v>220301.04507433382</v>
      </c>
      <c r="E101" s="14">
        <v>0</v>
      </c>
      <c r="F101" s="14">
        <v>501.28910519398062</v>
      </c>
      <c r="G101" s="14">
        <v>501.28910519398062</v>
      </c>
      <c r="H101" s="14">
        <f>F101-G101</f>
        <v>0</v>
      </c>
      <c r="I101" s="14"/>
      <c r="J101" s="14"/>
      <c r="K101" s="14">
        <v>501.28910519398062</v>
      </c>
      <c r="L101" s="14">
        <v>0</v>
      </c>
      <c r="N101" s="38"/>
    </row>
    <row r="102" spans="1:14">
      <c r="A102" s="32">
        <v>2006</v>
      </c>
      <c r="B102" s="14">
        <v>5616628.8262024429</v>
      </c>
      <c r="C102" s="14">
        <v>25</v>
      </c>
      <c r="D102" s="14">
        <f t="shared" si="18"/>
        <v>220301.04507433382</v>
      </c>
      <c r="E102" s="14">
        <f>B102-B101</f>
        <v>109102.69934409764</v>
      </c>
      <c r="F102" s="14">
        <v>511.21951555767117</v>
      </c>
      <c r="G102" s="14">
        <v>511.21951555767117</v>
      </c>
      <c r="H102" s="14">
        <f t="shared" ref="H102:H122" si="19">F102-G102</f>
        <v>0</v>
      </c>
      <c r="I102" s="14"/>
      <c r="J102" s="14"/>
      <c r="K102" s="14">
        <v>511.21951555767117</v>
      </c>
      <c r="L102" s="14">
        <v>0</v>
      </c>
    </row>
    <row r="103" spans="1:14">
      <c r="A103" s="32">
        <v>2007</v>
      </c>
      <c r="B103" s="14">
        <v>5748976.9671849832</v>
      </c>
      <c r="C103" s="14">
        <v>25</v>
      </c>
      <c r="D103" s="14">
        <f t="shared" si="18"/>
        <v>220301.04507433382</v>
      </c>
      <c r="E103" s="14">
        <f t="shared" ref="E103:E122" si="20">B103-B102</f>
        <v>132348.14098254032</v>
      </c>
      <c r="F103" s="14">
        <v>523.26570102081109</v>
      </c>
      <c r="G103" s="14">
        <v>513.34329435686982</v>
      </c>
      <c r="H103" s="14">
        <f t="shared" si="19"/>
        <v>9.922406663941274</v>
      </c>
      <c r="I103" s="14"/>
      <c r="J103" s="14"/>
      <c r="K103" s="14">
        <v>513.34329435686982</v>
      </c>
      <c r="L103" s="14">
        <v>0</v>
      </c>
    </row>
    <row r="104" spans="1:14">
      <c r="A104" s="32">
        <v>2008</v>
      </c>
      <c r="B104" s="14">
        <v>5774390.0865023844</v>
      </c>
      <c r="C104" s="14">
        <v>25</v>
      </c>
      <c r="D104" s="14">
        <f t="shared" si="18"/>
        <v>220301.04507433382</v>
      </c>
      <c r="E104" s="14">
        <f t="shared" si="20"/>
        <v>25413.119317401201</v>
      </c>
      <c r="F104" s="14">
        <v>525.5787758114476</v>
      </c>
      <c r="G104" s="14">
        <v>508.7427678729747</v>
      </c>
      <c r="H104" s="14">
        <f t="shared" si="19"/>
        <v>16.836007938472903</v>
      </c>
      <c r="I104" s="14"/>
      <c r="J104" s="14"/>
      <c r="K104" s="14">
        <v>508.7427678729747</v>
      </c>
      <c r="L104" s="14">
        <v>0</v>
      </c>
    </row>
    <row r="105" spans="1:14">
      <c r="A105" s="32">
        <v>2009</v>
      </c>
      <c r="B105" s="14">
        <v>5740844.4320586966</v>
      </c>
      <c r="C105" s="14">
        <v>25</v>
      </c>
      <c r="D105" s="14">
        <f t="shared" si="18"/>
        <v>220301.04507433382</v>
      </c>
      <c r="E105" s="14">
        <f t="shared" si="20"/>
        <v>-33545.654443687759</v>
      </c>
      <c r="F105" s="14">
        <v>522.52548641946157</v>
      </c>
      <c r="G105" s="14">
        <v>500.43478626621174</v>
      </c>
      <c r="H105" s="14">
        <f t="shared" si="19"/>
        <v>22.090700153249827</v>
      </c>
      <c r="I105" s="14"/>
      <c r="J105" s="14"/>
      <c r="K105" s="14">
        <v>500.43478626621174</v>
      </c>
      <c r="L105" s="14">
        <v>0</v>
      </c>
    </row>
    <row r="106" spans="1:14">
      <c r="A106" s="32">
        <v>2010</v>
      </c>
      <c r="B106" s="14">
        <v>5755452.8574529961</v>
      </c>
      <c r="C106" s="14">
        <v>25</v>
      </c>
      <c r="D106" s="14">
        <f t="shared" si="18"/>
        <v>220301.04507433382</v>
      </c>
      <c r="E106" s="14">
        <f t="shared" si="20"/>
        <v>14608.42539429944</v>
      </c>
      <c r="F106" s="14">
        <v>523.85512958874028</v>
      </c>
      <c r="G106" s="14">
        <v>495.15483727603203</v>
      </c>
      <c r="H106" s="14">
        <f t="shared" si="19"/>
        <v>28.700292312708257</v>
      </c>
      <c r="I106" s="14"/>
      <c r="J106" s="14"/>
      <c r="K106" s="14">
        <v>495.15483727603203</v>
      </c>
      <c r="L106" s="14">
        <v>0</v>
      </c>
    </row>
    <row r="107" spans="1:14">
      <c r="A107" s="32">
        <v>2011</v>
      </c>
      <c r="B107" s="14">
        <v>5803259.6970410291</v>
      </c>
      <c r="C107" s="14">
        <v>25</v>
      </c>
      <c r="D107" s="14">
        <f t="shared" si="18"/>
        <v>220301.04507433382</v>
      </c>
      <c r="E107" s="14">
        <f t="shared" si="20"/>
        <v>47806.839588033035</v>
      </c>
      <c r="F107" s="14">
        <v>528.20645671588136</v>
      </c>
      <c r="G107" s="14">
        <v>491.96247632274736</v>
      </c>
      <c r="H107" s="14">
        <f t="shared" si="19"/>
        <v>36.243980393133995</v>
      </c>
      <c r="I107" s="14"/>
      <c r="J107" s="14"/>
      <c r="K107" s="14">
        <v>491.96247632274736</v>
      </c>
      <c r="L107" s="14">
        <v>0</v>
      </c>
    </row>
    <row r="108" spans="1:14">
      <c r="A108" s="32">
        <v>2012</v>
      </c>
      <c r="B108" s="14">
        <v>5847444.3809219925</v>
      </c>
      <c r="C108" s="14">
        <v>25</v>
      </c>
      <c r="D108" s="14">
        <f t="shared" si="18"/>
        <v>220301.04507433382</v>
      </c>
      <c r="E108" s="14">
        <f t="shared" si="20"/>
        <v>44184.683880963363</v>
      </c>
      <c r="F108" s="14">
        <v>532.22809912588343</v>
      </c>
      <c r="G108" s="14">
        <v>488.54234638996508</v>
      </c>
      <c r="H108" s="14">
        <f t="shared" si="19"/>
        <v>43.685752735918356</v>
      </c>
      <c r="I108" s="14"/>
      <c r="J108" s="14"/>
      <c r="K108" s="14">
        <v>488.54234638996508</v>
      </c>
      <c r="L108" s="14">
        <v>0</v>
      </c>
    </row>
    <row r="109" spans="1:14">
      <c r="A109" s="32">
        <v>2013</v>
      </c>
      <c r="B109" s="14">
        <v>5908217.9763668058</v>
      </c>
      <c r="C109" s="14">
        <v>25</v>
      </c>
      <c r="D109" s="14">
        <f t="shared" si="18"/>
        <v>220301.04507433382</v>
      </c>
      <c r="E109" s="14">
        <f t="shared" si="20"/>
        <v>60773.595444813371</v>
      </c>
      <c r="F109" s="14">
        <v>537.75964642647318</v>
      </c>
      <c r="G109" s="14">
        <v>486.16536307026217</v>
      </c>
      <c r="H109" s="14">
        <f t="shared" si="19"/>
        <v>51.594283356211008</v>
      </c>
      <c r="I109" s="147">
        <f>I22</f>
        <v>0.01</v>
      </c>
      <c r="J109" s="14">
        <v>2810.7464051914649</v>
      </c>
      <c r="K109" s="14">
        <v>486.09736659346987</v>
      </c>
      <c r="L109" s="14">
        <v>6.7996476792284335E-2</v>
      </c>
    </row>
    <row r="110" spans="1:14">
      <c r="A110" s="32">
        <v>2014</v>
      </c>
      <c r="B110" s="14">
        <v>6016768.6600924423</v>
      </c>
      <c r="C110" s="14">
        <v>25</v>
      </c>
      <c r="D110" s="14">
        <f t="shared" si="18"/>
        <v>220301.04507433382</v>
      </c>
      <c r="E110" s="14">
        <f t="shared" si="20"/>
        <v>108550.68372563645</v>
      </c>
      <c r="F110" s="14">
        <v>547.63981292221695</v>
      </c>
      <c r="G110" s="14">
        <v>486.79270632322886</v>
      </c>
      <c r="H110" s="14">
        <f t="shared" si="19"/>
        <v>60.847106598988091</v>
      </c>
      <c r="I110" s="147">
        <f t="shared" ref="I110:I122" si="21">I23</f>
        <v>2.5000000000000001E-2</v>
      </c>
      <c r="J110" s="14">
        <v>8221.2932199992592</v>
      </c>
      <c r="K110" s="14">
        <v>486.52582353901181</v>
      </c>
      <c r="L110" s="14">
        <v>0.26688278421707484</v>
      </c>
    </row>
    <row r="111" spans="1:14">
      <c r="A111" s="32">
        <v>2015</v>
      </c>
      <c r="B111" s="14">
        <v>6173521.3946004109</v>
      </c>
      <c r="C111" s="14">
        <v>25</v>
      </c>
      <c r="D111" s="14">
        <f t="shared" si="18"/>
        <v>220301.04507433382</v>
      </c>
      <c r="E111" s="14">
        <f t="shared" si="20"/>
        <v>156752.73450796865</v>
      </c>
      <c r="F111" s="14">
        <v>561.90727824299108</v>
      </c>
      <c r="G111" s="14">
        <v>490.45109870943986</v>
      </c>
      <c r="H111" s="14">
        <f t="shared" si="19"/>
        <v>71.456179533551222</v>
      </c>
      <c r="I111" s="147">
        <f t="shared" si="21"/>
        <v>0.04</v>
      </c>
      <c r="J111" s="14">
        <v>15082.151183292099</v>
      </c>
      <c r="K111" s="14">
        <v>489.81935442757288</v>
      </c>
      <c r="L111" s="14">
        <v>0.63174428186701026</v>
      </c>
    </row>
    <row r="112" spans="1:14">
      <c r="A112" s="32">
        <v>2016</v>
      </c>
      <c r="B112" s="14">
        <v>6277057.2268623207</v>
      </c>
      <c r="C112" s="14">
        <v>25</v>
      </c>
      <c r="D112" s="14">
        <f t="shared" si="18"/>
        <v>220301.04507433382</v>
      </c>
      <c r="E112" s="14">
        <f t="shared" si="20"/>
        <v>103535.83226190973</v>
      </c>
      <c r="F112" s="14">
        <v>571.33099835154962</v>
      </c>
      <c r="G112" s="14">
        <v>490.76309726366924</v>
      </c>
      <c r="H112" s="14">
        <f t="shared" si="19"/>
        <v>80.567901087880387</v>
      </c>
      <c r="I112" s="147">
        <f t="shared" si="21"/>
        <v>0.122</v>
      </c>
      <c r="J112" s="14">
        <v>39508.099035021703</v>
      </c>
      <c r="K112" s="14">
        <v>489.1755885150472</v>
      </c>
      <c r="L112" s="14">
        <v>1.5875087486220434</v>
      </c>
    </row>
    <row r="113" spans="1:12">
      <c r="A113" s="32">
        <v>2017</v>
      </c>
      <c r="B113" s="14">
        <v>6375069.0460933885</v>
      </c>
      <c r="C113" s="14">
        <v>25</v>
      </c>
      <c r="D113" s="14">
        <f t="shared" si="18"/>
        <v>220301.04507433382</v>
      </c>
      <c r="E113" s="14">
        <f t="shared" si="20"/>
        <v>98011.819231067784</v>
      </c>
      <c r="F113" s="14">
        <v>580.25192873464391</v>
      </c>
      <c r="G113" s="14">
        <v>489.92708590402202</v>
      </c>
      <c r="H113" s="14">
        <f t="shared" si="19"/>
        <v>90.32484283062189</v>
      </c>
      <c r="I113" s="147">
        <f t="shared" si="21"/>
        <v>0.20400000000000001</v>
      </c>
      <c r="J113" s="14">
        <v>64935.824318301937</v>
      </c>
      <c r="K113" s="14">
        <v>486.93200731126166</v>
      </c>
      <c r="L113" s="14">
        <v>2.9950785927603696</v>
      </c>
    </row>
    <row r="114" spans="1:12">
      <c r="A114" s="32">
        <v>2018</v>
      </c>
      <c r="B114" s="14">
        <v>6466603.7649742132</v>
      </c>
      <c r="C114" s="14">
        <v>25</v>
      </c>
      <c r="D114" s="14">
        <f t="shared" si="18"/>
        <v>220301.04507433382</v>
      </c>
      <c r="E114" s="14">
        <f t="shared" si="20"/>
        <v>91534.718880824745</v>
      </c>
      <c r="F114" s="14">
        <v>588.58332040942594</v>
      </c>
      <c r="G114" s="14">
        <v>488.70007223802997</v>
      </c>
      <c r="H114" s="14">
        <f t="shared" si="19"/>
        <v>99.883248171395962</v>
      </c>
      <c r="I114" s="147">
        <f t="shared" si="21"/>
        <v>0.28599999999999998</v>
      </c>
      <c r="J114" s="14">
        <v>89185.028491175515</v>
      </c>
      <c r="K114" s="14">
        <v>483.77179024066743</v>
      </c>
      <c r="L114" s="14">
        <v>4.9282819973625145</v>
      </c>
    </row>
    <row r="115" spans="1:12">
      <c r="A115" s="32">
        <v>2019</v>
      </c>
      <c r="B115" s="14">
        <v>6555843.4026943883</v>
      </c>
      <c r="C115" s="14">
        <v>25</v>
      </c>
      <c r="D115" s="14">
        <f t="shared" si="18"/>
        <v>220301.04507433382</v>
      </c>
      <c r="E115" s="14">
        <f t="shared" si="20"/>
        <v>89239.637720175087</v>
      </c>
      <c r="F115" s="14">
        <v>596.70581626512865</v>
      </c>
      <c r="G115" s="14">
        <v>487.33451169480321</v>
      </c>
      <c r="H115" s="14">
        <f t="shared" si="19"/>
        <v>109.37130457032544</v>
      </c>
      <c r="I115" s="147">
        <f t="shared" si="21"/>
        <v>0.36799999999999999</v>
      </c>
      <c r="J115" s="14">
        <v>113910.97126837919</v>
      </c>
      <c r="K115" s="14">
        <v>479.93705879282675</v>
      </c>
      <c r="L115" s="14">
        <v>7.3974529019764583</v>
      </c>
    </row>
    <row r="116" spans="1:12">
      <c r="A116" s="32">
        <v>2020</v>
      </c>
      <c r="B116" s="14">
        <v>6643091.5518607441</v>
      </c>
      <c r="C116" s="14">
        <v>25</v>
      </c>
      <c r="D116" s="14">
        <f t="shared" si="18"/>
        <v>220301.04507433382</v>
      </c>
      <c r="E116" s="14">
        <f t="shared" si="20"/>
        <v>87248.149166355841</v>
      </c>
      <c r="F116" s="14">
        <v>604.64704897433819</v>
      </c>
      <c r="G116" s="14">
        <v>485.84873121124872</v>
      </c>
      <c r="H116" s="14">
        <f t="shared" si="19"/>
        <v>118.79831776308947</v>
      </c>
      <c r="I116" s="147">
        <f t="shared" si="21"/>
        <v>0.45</v>
      </c>
      <c r="J116" s="14">
        <v>138397.13740831043</v>
      </c>
      <c r="K116" s="14">
        <v>475.45133738026954</v>
      </c>
      <c r="L116" s="14">
        <v>10.39739383097919</v>
      </c>
    </row>
    <row r="117" spans="1:12">
      <c r="A117" s="32">
        <v>2021</v>
      </c>
      <c r="B117" s="14">
        <v>6729214.46972482</v>
      </c>
      <c r="C117" s="14">
        <v>25</v>
      </c>
      <c r="D117" s="14">
        <f t="shared" si="18"/>
        <v>220301.04507433382</v>
      </c>
      <c r="E117" s="14">
        <f t="shared" si="20"/>
        <v>86122.917864075862</v>
      </c>
      <c r="F117" s="14">
        <v>612.48586434050401</v>
      </c>
      <c r="G117" s="14">
        <v>484.29502403047303</v>
      </c>
      <c r="H117" s="14">
        <f t="shared" si="19"/>
        <v>128.19084031003098</v>
      </c>
      <c r="I117" s="147">
        <f t="shared" si="21"/>
        <v>0.502</v>
      </c>
      <c r="J117" s="14">
        <v>153824.82939508159</v>
      </c>
      <c r="K117" s="14">
        <v>470.56327364963471</v>
      </c>
      <c r="L117" s="14">
        <v>13.731750380838301</v>
      </c>
    </row>
    <row r="118" spans="1:12">
      <c r="A118" s="32">
        <v>2022</v>
      </c>
      <c r="B118" s="14">
        <v>6816150.4945312645</v>
      </c>
      <c r="C118" s="14">
        <v>25</v>
      </c>
      <c r="D118" s="14">
        <f t="shared" si="18"/>
        <v>220301.04507433382</v>
      </c>
      <c r="E118" s="14">
        <f t="shared" si="20"/>
        <v>86936.024806444533</v>
      </c>
      <c r="F118" s="14">
        <v>620.39868782613735</v>
      </c>
      <c r="G118" s="14">
        <v>482.79040157474077</v>
      </c>
      <c r="H118" s="14">
        <f t="shared" si="19"/>
        <v>137.60828625139658</v>
      </c>
      <c r="I118" s="147">
        <f t="shared" si="21"/>
        <v>0.55400000000000005</v>
      </c>
      <c r="J118" s="14">
        <v>170209.33671395082</v>
      </c>
      <c r="K118" s="14">
        <v>465.36913878585239</v>
      </c>
      <c r="L118" s="14">
        <v>17.421262788888431</v>
      </c>
    </row>
    <row r="119" spans="1:12">
      <c r="A119" s="32">
        <v>2023</v>
      </c>
      <c r="B119" s="14">
        <v>6901965.1507940702</v>
      </c>
      <c r="C119" s="14">
        <v>25</v>
      </c>
      <c r="D119" s="14">
        <f t="shared" si="18"/>
        <v>220301.04507433382</v>
      </c>
      <c r="E119" s="14">
        <f t="shared" si="20"/>
        <v>85814.656262805685</v>
      </c>
      <c r="F119" s="14">
        <v>628.20944555286474</v>
      </c>
      <c r="G119" s="14">
        <v>481.21808560445481</v>
      </c>
      <c r="H119" s="14">
        <f t="shared" si="19"/>
        <v>146.99135994840992</v>
      </c>
      <c r="I119" s="147">
        <f t="shared" si="21"/>
        <v>0.60599999999999998</v>
      </c>
      <c r="J119" s="14">
        <v>185506.11501030694</v>
      </c>
      <c r="K119" s="14">
        <v>459.77573251398127</v>
      </c>
      <c r="L119" s="14">
        <v>21.442353090473553</v>
      </c>
    </row>
    <row r="120" spans="1:12">
      <c r="A120" s="32">
        <v>2024</v>
      </c>
      <c r="B120" s="14">
        <v>6986393.6939851046</v>
      </c>
      <c r="C120" s="14">
        <v>25</v>
      </c>
      <c r="D120" s="14">
        <f t="shared" si="18"/>
        <v>220301.04507433382</v>
      </c>
      <c r="E120" s="14">
        <f t="shared" si="20"/>
        <v>84428.543191034347</v>
      </c>
      <c r="F120" s="14">
        <v>635.89404075844516</v>
      </c>
      <c r="G120" s="14">
        <v>479.56209431981364</v>
      </c>
      <c r="H120" s="14">
        <f t="shared" si="19"/>
        <v>156.33194643863152</v>
      </c>
      <c r="I120" s="147">
        <f t="shared" si="21"/>
        <v>0.65799999999999992</v>
      </c>
      <c r="J120" s="14">
        <v>200512.06907861211</v>
      </c>
      <c r="K120" s="14">
        <v>453.77337703386354</v>
      </c>
      <c r="L120" s="14">
        <v>25.788717285950113</v>
      </c>
    </row>
    <row r="121" spans="1:12">
      <c r="A121" s="32">
        <v>2025</v>
      </c>
      <c r="B121" s="14">
        <v>7073037.5388092883</v>
      </c>
      <c r="C121" s="14">
        <v>25</v>
      </c>
      <c r="D121" s="14">
        <f t="shared" si="18"/>
        <v>220301.04507433382</v>
      </c>
      <c r="E121" s="14">
        <f t="shared" si="20"/>
        <v>86643.844824183732</v>
      </c>
      <c r="F121" s="14">
        <v>643.78027033630781</v>
      </c>
      <c r="G121" s="14">
        <v>478.03983387165363</v>
      </c>
      <c r="H121" s="14">
        <f t="shared" si="19"/>
        <v>165.74043646465418</v>
      </c>
      <c r="I121" s="147">
        <f t="shared" si="21"/>
        <v>0.71</v>
      </c>
      <c r="J121" s="14">
        <v>217930.87182794765</v>
      </c>
      <c r="K121" s="14">
        <v>447.52717681113245</v>
      </c>
      <c r="L121" s="14">
        <v>30.512657060521196</v>
      </c>
    </row>
    <row r="122" spans="1:12">
      <c r="A122" s="32">
        <v>2026</v>
      </c>
      <c r="B122" s="14">
        <v>7161603.8362690564</v>
      </c>
      <c r="C122" s="14">
        <v>25</v>
      </c>
      <c r="D122" s="14">
        <f t="shared" si="18"/>
        <v>220301.04507433382</v>
      </c>
      <c r="E122" s="14">
        <f t="shared" si="20"/>
        <v>88566.297459768131</v>
      </c>
      <c r="F122" s="14">
        <v>651.84147948562804</v>
      </c>
      <c r="G122" s="14">
        <v>476.63362588118389</v>
      </c>
      <c r="H122" s="14">
        <f t="shared" si="19"/>
        <v>175.20785360444415</v>
      </c>
      <c r="I122" s="147">
        <f t="shared" si="21"/>
        <v>0.76200000000000001</v>
      </c>
      <c r="J122" s="14">
        <v>235356.91501098557</v>
      </c>
      <c r="K122" s="14">
        <v>441.01929652102405</v>
      </c>
      <c r="L122" s="14">
        <v>35.614329360159829</v>
      </c>
    </row>
    <row r="124" spans="1:12">
      <c r="A124" s="33" t="s">
        <v>220</v>
      </c>
    </row>
    <row r="125" spans="1:12">
      <c r="A125" s="33" t="s">
        <v>288</v>
      </c>
    </row>
    <row r="126" spans="1:12">
      <c r="A126" s="33" t="s">
        <v>289</v>
      </c>
    </row>
    <row r="128" spans="1:12">
      <c r="A128" s="33" t="s">
        <v>103</v>
      </c>
      <c r="F128" s="35"/>
      <c r="G128" s="35"/>
      <c r="K128" s="35"/>
    </row>
    <row r="129" spans="1:11">
      <c r="A129" s="33" t="s">
        <v>269</v>
      </c>
      <c r="F129" s="35"/>
      <c r="G129" s="35"/>
      <c r="K129" s="35"/>
    </row>
    <row r="130" spans="1:11">
      <c r="F130" s="35"/>
      <c r="G130" s="35"/>
      <c r="K130" s="35"/>
    </row>
    <row r="131" spans="1:11">
      <c r="F131" s="35"/>
      <c r="G131" s="35"/>
      <c r="K131" s="35"/>
    </row>
    <row r="132" spans="1:11">
      <c r="F132" s="35"/>
      <c r="G132" s="35"/>
      <c r="K132" s="35"/>
    </row>
    <row r="133" spans="1:11">
      <c r="F133" s="35"/>
      <c r="G133" s="35"/>
      <c r="K133" s="35"/>
    </row>
    <row r="134" spans="1:11">
      <c r="F134" s="35"/>
      <c r="G134" s="35"/>
      <c r="K134" s="35"/>
    </row>
    <row r="135" spans="1:11">
      <c r="F135" s="35"/>
      <c r="G135" s="35"/>
      <c r="K135" s="35"/>
    </row>
    <row r="136" spans="1:11">
      <c r="F136" s="35"/>
      <c r="G136" s="35"/>
      <c r="K136" s="35"/>
    </row>
    <row r="137" spans="1:11">
      <c r="F137" s="35"/>
      <c r="G137" s="35"/>
      <c r="K137" s="35"/>
    </row>
  </sheetData>
  <phoneticPr fontId="0" type="noConversion"/>
  <printOptions horizontalCentered="1"/>
  <pageMargins left="0.75" right="0.75" top="0.75" bottom="0.75" header="0.5" footer="0.5"/>
  <pageSetup scale="4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Q134"/>
  <sheetViews>
    <sheetView zoomScale="75" zoomScaleNormal="75" workbookViewId="0">
      <pane xSplit="1" ySplit="10" topLeftCell="B11" activePane="bottomRight" state="frozen"/>
      <selection pane="topRight" activeCell="B1" sqref="B1"/>
      <selection pane="bottomLeft" activeCell="A11" sqref="A11"/>
      <selection pane="bottomRight" activeCell="A2" sqref="A1:A2"/>
    </sheetView>
  </sheetViews>
  <sheetFormatPr defaultColWidth="9.109375" defaultRowHeight="13.2"/>
  <cols>
    <col min="1" max="1" width="13.5546875" style="33" customWidth="1"/>
    <col min="2" max="2" width="17.5546875" style="33" customWidth="1"/>
    <col min="3" max="3" width="21" style="33" customWidth="1"/>
    <col min="4" max="4" width="22.6640625" style="33" customWidth="1"/>
    <col min="5" max="6" width="21" style="33" customWidth="1"/>
    <col min="7" max="7" width="18.6640625" style="33" customWidth="1"/>
    <col min="8" max="8" width="18.88671875" style="33" customWidth="1"/>
    <col min="9" max="9" width="15.44140625" style="33" customWidth="1"/>
    <col min="10" max="10" width="19.109375" style="33" customWidth="1"/>
    <col min="11" max="11" width="21.33203125" style="33" customWidth="1"/>
    <col min="12" max="12" width="23.5546875" style="33" customWidth="1"/>
    <col min="13" max="13" width="9.5546875" style="33" bestFit="1" customWidth="1"/>
    <col min="14" max="14" width="9.109375" style="33" customWidth="1"/>
    <col min="15" max="16384" width="9.109375" style="33"/>
  </cols>
  <sheetData>
    <row r="1" spans="1:17" s="26" customFormat="1" ht="15.6">
      <c r="A1" s="416" t="s">
        <v>402</v>
      </c>
      <c r="B1" s="25"/>
      <c r="C1" s="25"/>
      <c r="D1" s="25"/>
      <c r="E1" s="25"/>
      <c r="F1" s="25"/>
      <c r="G1" s="25"/>
      <c r="H1" s="25"/>
      <c r="I1" s="25"/>
      <c r="J1" s="25"/>
      <c r="K1" s="25"/>
      <c r="L1" s="25"/>
    </row>
    <row r="2" spans="1:17" s="26" customFormat="1" ht="15.6">
      <c r="A2" s="416" t="s">
        <v>380</v>
      </c>
      <c r="B2" s="27"/>
      <c r="C2" s="27"/>
      <c r="D2" s="25"/>
      <c r="E2" s="25"/>
      <c r="F2" s="25"/>
      <c r="G2" s="25"/>
      <c r="H2" s="25"/>
      <c r="I2" s="25"/>
      <c r="J2" s="25"/>
      <c r="K2" s="25"/>
      <c r="L2" s="25"/>
    </row>
    <row r="3" spans="1:17" s="26" customFormat="1" ht="15.6">
      <c r="A3" s="25" t="s">
        <v>272</v>
      </c>
      <c r="B3" s="27"/>
      <c r="C3" s="27"/>
      <c r="D3" s="25"/>
      <c r="E3" s="25"/>
      <c r="F3" s="25"/>
      <c r="G3" s="25"/>
      <c r="H3" s="25"/>
      <c r="I3" s="25"/>
      <c r="J3" s="25"/>
      <c r="K3" s="25"/>
      <c r="L3" s="25"/>
    </row>
    <row r="4" spans="1:17" s="26" customFormat="1" ht="15.6">
      <c r="A4" s="25"/>
      <c r="B4" s="27"/>
      <c r="C4" s="27"/>
      <c r="D4" s="25"/>
      <c r="E4" s="25"/>
      <c r="F4" s="25"/>
      <c r="G4" s="25"/>
      <c r="H4" s="25"/>
      <c r="I4" s="25"/>
      <c r="J4" s="25"/>
      <c r="K4" s="25"/>
      <c r="L4" s="25"/>
    </row>
    <row r="5" spans="1:17" s="26" customFormat="1" ht="15.6">
      <c r="A5" s="25" t="s">
        <v>27</v>
      </c>
      <c r="B5" s="27"/>
      <c r="C5" s="27"/>
      <c r="D5" s="25"/>
      <c r="E5" s="25"/>
      <c r="F5" s="25"/>
      <c r="G5" s="25"/>
      <c r="H5" s="25"/>
      <c r="I5" s="25"/>
      <c r="J5" s="25"/>
      <c r="K5" s="25"/>
      <c r="L5" s="25"/>
    </row>
    <row r="6" spans="1:17" s="30" customFormat="1" ht="26.4">
      <c r="A6" s="201"/>
      <c r="B6" s="192" t="s">
        <v>62</v>
      </c>
      <c r="C6" s="192"/>
      <c r="D6" s="146"/>
      <c r="E6" s="146"/>
      <c r="F6" s="146"/>
      <c r="G6" s="146"/>
      <c r="H6" s="146"/>
      <c r="I6" s="146"/>
      <c r="J6" s="146" t="s">
        <v>2</v>
      </c>
      <c r="K6" s="146" t="s">
        <v>3</v>
      </c>
      <c r="L6" s="146" t="s">
        <v>70</v>
      </c>
      <c r="M6" s="59"/>
      <c r="N6" s="59"/>
      <c r="O6" s="59"/>
      <c r="P6" s="59"/>
    </row>
    <row r="7" spans="1:17" s="30" customFormat="1" ht="26.4">
      <c r="A7" s="31"/>
      <c r="B7" s="56" t="s">
        <v>4</v>
      </c>
      <c r="C7" s="56" t="s">
        <v>4</v>
      </c>
      <c r="D7" s="57" t="s">
        <v>63</v>
      </c>
      <c r="E7" s="57" t="s">
        <v>32</v>
      </c>
      <c r="F7" s="57" t="s">
        <v>32</v>
      </c>
      <c r="G7" s="57" t="s">
        <v>4</v>
      </c>
      <c r="H7" s="57" t="s">
        <v>307</v>
      </c>
      <c r="I7" s="57" t="s">
        <v>307</v>
      </c>
      <c r="J7" s="56" t="s">
        <v>4</v>
      </c>
      <c r="K7" s="56" t="s">
        <v>4</v>
      </c>
      <c r="L7" s="56" t="s">
        <v>24</v>
      </c>
      <c r="M7" s="59"/>
    </row>
    <row r="8" spans="1:17" s="30" customFormat="1" ht="26.4">
      <c r="A8" s="31"/>
      <c r="B8" s="55" t="s">
        <v>52</v>
      </c>
      <c r="C8" s="55" t="s">
        <v>64</v>
      </c>
      <c r="D8" s="55" t="s">
        <v>8</v>
      </c>
      <c r="E8" s="55" t="s">
        <v>65</v>
      </c>
      <c r="F8" s="55" t="s">
        <v>65</v>
      </c>
      <c r="G8" s="55" t="s">
        <v>308</v>
      </c>
      <c r="H8" s="55" t="s">
        <v>309</v>
      </c>
      <c r="I8" s="55" t="s">
        <v>310</v>
      </c>
      <c r="J8" s="55" t="s">
        <v>66</v>
      </c>
      <c r="K8" s="55" t="s">
        <v>66</v>
      </c>
      <c r="L8" s="55" t="s">
        <v>311</v>
      </c>
      <c r="M8" s="59"/>
    </row>
    <row r="9" spans="1:17" s="30" customFormat="1" ht="26.4">
      <c r="A9" s="31"/>
      <c r="B9" s="55" t="s">
        <v>12</v>
      </c>
      <c r="C9" s="55" t="s">
        <v>67</v>
      </c>
      <c r="D9" s="55" t="s">
        <v>15</v>
      </c>
      <c r="E9" s="55" t="s">
        <v>9</v>
      </c>
      <c r="F9" s="55" t="s">
        <v>10</v>
      </c>
      <c r="G9" s="55" t="s">
        <v>179</v>
      </c>
      <c r="H9" s="55" t="s">
        <v>179</v>
      </c>
      <c r="I9" s="55" t="s">
        <v>179</v>
      </c>
      <c r="J9" s="55" t="s">
        <v>68</v>
      </c>
      <c r="K9" s="55" t="s">
        <v>312</v>
      </c>
      <c r="L9" s="55" t="s">
        <v>71</v>
      </c>
      <c r="M9" s="59"/>
    </row>
    <row r="10" spans="1:17" s="30" customFormat="1" ht="26.4">
      <c r="A10" s="24" t="s">
        <v>17</v>
      </c>
      <c r="B10" s="58" t="s">
        <v>18</v>
      </c>
      <c r="C10" s="58" t="s">
        <v>69</v>
      </c>
      <c r="D10" s="58" t="s">
        <v>21</v>
      </c>
      <c r="E10" s="58" t="s">
        <v>69</v>
      </c>
      <c r="F10" s="58" t="s">
        <v>69</v>
      </c>
      <c r="G10" s="58" t="s">
        <v>313</v>
      </c>
      <c r="H10" s="58" t="s">
        <v>313</v>
      </c>
      <c r="I10" s="58" t="s">
        <v>313</v>
      </c>
      <c r="J10" s="58" t="s">
        <v>22</v>
      </c>
      <c r="K10" s="58" t="s">
        <v>22</v>
      </c>
      <c r="L10" s="58" t="s">
        <v>22</v>
      </c>
      <c r="M10" s="59"/>
    </row>
    <row r="11" spans="1:17">
      <c r="A11" s="32">
        <v>2005</v>
      </c>
      <c r="B11" s="14">
        <v>490364.66666666669</v>
      </c>
      <c r="C11" s="14">
        <v>484.66918999705979</v>
      </c>
      <c r="D11" s="14">
        <v>10</v>
      </c>
      <c r="E11" s="14" t="s">
        <v>218</v>
      </c>
      <c r="F11" s="14" t="s">
        <v>218</v>
      </c>
      <c r="G11" s="14">
        <f>C11</f>
        <v>484.66918999705979</v>
      </c>
      <c r="H11" s="14">
        <v>0</v>
      </c>
      <c r="I11" s="14">
        <v>0</v>
      </c>
      <c r="J11" s="14">
        <v>97.776671757425135</v>
      </c>
      <c r="K11" s="14">
        <v>97.776671757425135</v>
      </c>
      <c r="L11" s="112">
        <f>J11-K11</f>
        <v>0</v>
      </c>
      <c r="M11" s="202"/>
      <c r="N11" s="38"/>
      <c r="O11" s="203"/>
      <c r="P11" s="204"/>
      <c r="Q11" s="205"/>
    </row>
    <row r="12" spans="1:17">
      <c r="A12" s="32">
        <v>2006</v>
      </c>
      <c r="B12" s="14">
        <v>500078.66666666669</v>
      </c>
      <c r="C12" s="14">
        <v>494.27036404500933</v>
      </c>
      <c r="D12" s="14">
        <v>10</v>
      </c>
      <c r="E12" s="14" t="s">
        <v>218</v>
      </c>
      <c r="F12" s="14" t="s">
        <v>218</v>
      </c>
      <c r="G12" s="14">
        <f>C12</f>
        <v>494.27036404500933</v>
      </c>
      <c r="H12" s="14">
        <v>0</v>
      </c>
      <c r="I12" s="14">
        <v>0</v>
      </c>
      <c r="J12" s="14">
        <v>99.713602890551158</v>
      </c>
      <c r="K12" s="14">
        <v>99.713602890551158</v>
      </c>
      <c r="L12" s="112">
        <f t="shared" ref="L12:L31" si="0">J12-K12</f>
        <v>0</v>
      </c>
      <c r="M12" s="202"/>
      <c r="N12" s="38"/>
      <c r="O12" s="203"/>
      <c r="P12" s="204"/>
      <c r="Q12" s="205"/>
    </row>
    <row r="13" spans="1:17">
      <c r="A13" s="32">
        <v>2007</v>
      </c>
      <c r="B13" s="14">
        <v>511862.33333333337</v>
      </c>
      <c r="C13" s="14">
        <v>505.9171660410654</v>
      </c>
      <c r="D13" s="14">
        <v>10</v>
      </c>
      <c r="E13" s="14" t="s">
        <v>218</v>
      </c>
      <c r="F13" s="14" t="s">
        <v>218</v>
      </c>
      <c r="G13" s="14">
        <f>C13</f>
        <v>505.9171660410654</v>
      </c>
      <c r="H13" s="14">
        <v>0</v>
      </c>
      <c r="I13" s="14">
        <v>0</v>
      </c>
      <c r="J13" s="14">
        <v>102.06321693513074</v>
      </c>
      <c r="K13" s="14">
        <v>102.06321693513074</v>
      </c>
      <c r="L13" s="112">
        <f t="shared" si="0"/>
        <v>0</v>
      </c>
      <c r="M13" s="202"/>
      <c r="N13" s="38"/>
      <c r="O13" s="203"/>
      <c r="P13" s="204"/>
      <c r="Q13" s="205"/>
    </row>
    <row r="14" spans="1:17">
      <c r="A14" s="32">
        <v>2008</v>
      </c>
      <c r="B14" s="14">
        <v>514125</v>
      </c>
      <c r="C14" s="14">
        <v>508.15355233704645</v>
      </c>
      <c r="D14" s="14">
        <v>10</v>
      </c>
      <c r="E14" s="14" t="s">
        <v>218</v>
      </c>
      <c r="F14" s="14" t="s">
        <v>218</v>
      </c>
      <c r="G14" s="14">
        <f>C14</f>
        <v>508.15355233704645</v>
      </c>
      <c r="H14" s="14">
        <v>0</v>
      </c>
      <c r="I14" s="14">
        <v>0</v>
      </c>
      <c r="J14" s="14">
        <v>102.51438324257906</v>
      </c>
      <c r="K14" s="14">
        <v>102.51438324257906</v>
      </c>
      <c r="L14" s="112">
        <f t="shared" si="0"/>
        <v>0</v>
      </c>
      <c r="M14" s="202"/>
      <c r="N14" s="38"/>
      <c r="O14" s="203"/>
      <c r="P14" s="204"/>
      <c r="Q14" s="205"/>
    </row>
    <row r="15" spans="1:17" ht="13.8" thickBot="1">
      <c r="A15" s="32">
        <v>2009</v>
      </c>
      <c r="B15" s="14">
        <v>511138.25</v>
      </c>
      <c r="C15" s="14">
        <v>505.20149277479476</v>
      </c>
      <c r="D15" s="14">
        <v>10</v>
      </c>
      <c r="E15" s="14" t="s">
        <v>218</v>
      </c>
      <c r="F15" s="14" t="s">
        <v>218</v>
      </c>
      <c r="G15" s="197">
        <f>C15</f>
        <v>505.20149277479476</v>
      </c>
      <c r="H15" s="197">
        <v>0</v>
      </c>
      <c r="I15" s="14">
        <v>0</v>
      </c>
      <c r="J15" s="14">
        <v>101.91883773487224</v>
      </c>
      <c r="K15" s="14">
        <v>101.91883773487224</v>
      </c>
      <c r="L15" s="112">
        <f t="shared" si="0"/>
        <v>0</v>
      </c>
      <c r="M15" s="202"/>
      <c r="N15" s="38"/>
      <c r="O15" s="203"/>
      <c r="P15" s="204"/>
      <c r="Q15" s="205"/>
    </row>
    <row r="16" spans="1:17">
      <c r="A16" s="32">
        <v>2010</v>
      </c>
      <c r="B16" s="14">
        <v>512438.91666666663</v>
      </c>
      <c r="C16" s="14">
        <v>506.48705248706904</v>
      </c>
      <c r="D16" s="14">
        <v>10</v>
      </c>
      <c r="E16" s="14">
        <f t="shared" ref="E16:E25" si="1">C$16*(1/D$16)</f>
        <v>50.648705248706904</v>
      </c>
      <c r="F16" s="14">
        <v>0</v>
      </c>
      <c r="G16" s="39">
        <f>C16-SUM($E$16:E16)-SUM($F$16:F16)</f>
        <v>455.83834723836213</v>
      </c>
      <c r="H16" s="39">
        <f>SUM($E$16:E16)+SUM($F$16:F16)</f>
        <v>50.648705248706904</v>
      </c>
      <c r="I16" s="14">
        <v>0</v>
      </c>
      <c r="J16" s="14">
        <v>102.17818524984916</v>
      </c>
      <c r="K16" s="14">
        <v>97.994535226993023</v>
      </c>
      <c r="L16" s="112">
        <f t="shared" si="0"/>
        <v>4.183650022856142</v>
      </c>
      <c r="M16" s="202"/>
      <c r="N16" s="38"/>
      <c r="O16" s="203"/>
      <c r="P16" s="204"/>
      <c r="Q16" s="205"/>
    </row>
    <row r="17" spans="1:17">
      <c r="A17" s="32">
        <v>2011</v>
      </c>
      <c r="B17" s="14">
        <v>516695.41666666669</v>
      </c>
      <c r="C17" s="14">
        <v>510.6941141851438</v>
      </c>
      <c r="D17" s="14">
        <v>10</v>
      </c>
      <c r="E17" s="14">
        <f t="shared" si="1"/>
        <v>50.648705248706904</v>
      </c>
      <c r="F17" s="14">
        <f>C17-C16</f>
        <v>4.2070616980747673</v>
      </c>
      <c r="G17" s="14">
        <f>C17-SUM($E$16:E17)-SUM($F$16:F17)</f>
        <v>405.18964198965523</v>
      </c>
      <c r="H17" s="14">
        <f>SUM($E$16:E17)+SUM($F$16:F17)</f>
        <v>105.50447219548857</v>
      </c>
      <c r="I17" s="14">
        <v>0</v>
      </c>
      <c r="J17" s="14">
        <v>103.02691361799319</v>
      </c>
      <c r="K17" s="14">
        <v>94.31210471331049</v>
      </c>
      <c r="L17" s="112">
        <f t="shared" si="0"/>
        <v>8.7148089046826982</v>
      </c>
      <c r="M17" s="202"/>
      <c r="N17" s="38"/>
      <c r="O17" s="203"/>
      <c r="P17" s="204"/>
      <c r="Q17" s="205"/>
    </row>
    <row r="18" spans="1:17">
      <c r="A18" s="32">
        <v>2012</v>
      </c>
      <c r="B18" s="14">
        <v>520629.41666666657</v>
      </c>
      <c r="C18" s="14">
        <v>514.58242164907551</v>
      </c>
      <c r="D18" s="14">
        <v>10</v>
      </c>
      <c r="E18" s="14">
        <f t="shared" si="1"/>
        <v>50.648705248706904</v>
      </c>
      <c r="F18" s="14">
        <f>C18-C17</f>
        <v>3.8883074639317101</v>
      </c>
      <c r="G18" s="14">
        <f>C18-SUM($E$16:E18)-SUM($F$16:F18)</f>
        <v>354.54093674094833</v>
      </c>
      <c r="H18" s="14">
        <f>SUM($E$16:E18)+SUM($F$16:F18)</f>
        <v>160.04148490812719</v>
      </c>
      <c r="I18" s="14">
        <v>0</v>
      </c>
      <c r="J18" s="14">
        <v>103.81133682961739</v>
      </c>
      <c r="K18" s="14">
        <v>90.591698564315237</v>
      </c>
      <c r="L18" s="112">
        <f t="shared" si="0"/>
        <v>13.219638265302152</v>
      </c>
      <c r="M18" s="202"/>
      <c r="N18" s="38"/>
      <c r="O18" s="203"/>
      <c r="P18" s="204"/>
      <c r="Q18" s="205"/>
    </row>
    <row r="19" spans="1:17">
      <c r="A19" s="32">
        <v>2013</v>
      </c>
      <c r="B19" s="14">
        <v>526040.41666666663</v>
      </c>
      <c r="C19" s="14">
        <v>519.93057408612049</v>
      </c>
      <c r="D19" s="14">
        <v>10</v>
      </c>
      <c r="E19" s="14">
        <f t="shared" si="1"/>
        <v>50.648705248706904</v>
      </c>
      <c r="F19" s="14">
        <f>C19-C18</f>
        <v>5.3481524370449733</v>
      </c>
      <c r="G19" s="14">
        <f>C19-SUM($E$16:E19)-SUM($F$16:F19)</f>
        <v>303.89223149224142</v>
      </c>
      <c r="H19" s="14">
        <f>SUM($E$16:E19)+SUM($F$16:F19)</f>
        <v>216.03834259387907</v>
      </c>
      <c r="I19" s="14">
        <v>0</v>
      </c>
      <c r="J19" s="14">
        <v>104.8902676883105</v>
      </c>
      <c r="K19" s="14">
        <v>87.045214937356747</v>
      </c>
      <c r="L19" s="112">
        <f t="shared" si="0"/>
        <v>17.845052750953755</v>
      </c>
      <c r="M19" s="202"/>
      <c r="N19" s="38"/>
      <c r="O19" s="203"/>
      <c r="P19" s="204"/>
      <c r="Q19" s="205"/>
    </row>
    <row r="20" spans="1:17">
      <c r="A20" s="32">
        <v>2014</v>
      </c>
      <c r="B20" s="14">
        <v>535705.26774780429</v>
      </c>
      <c r="C20" s="14">
        <v>529.48317006898196</v>
      </c>
      <c r="D20" s="14">
        <v>10</v>
      </c>
      <c r="E20" s="14">
        <f t="shared" si="1"/>
        <v>50.648705248706904</v>
      </c>
      <c r="F20" s="14">
        <f>C20-C19</f>
        <v>9.5525959828614759</v>
      </c>
      <c r="G20" s="14">
        <f>C20-SUM($E$16:E20)-SUM($F$16:F20)</f>
        <v>253.24352624353452</v>
      </c>
      <c r="H20" s="14">
        <f>SUM($E$16:E20)+SUM($F$16:F20)</f>
        <v>276.23964382544744</v>
      </c>
      <c r="I20" s="14">
        <v>0</v>
      </c>
      <c r="J20" s="14">
        <v>106.81739873176141</v>
      </c>
      <c r="K20" s="14">
        <v>83.999638899023964</v>
      </c>
      <c r="L20" s="112">
        <f t="shared" si="0"/>
        <v>22.817759832737451</v>
      </c>
      <c r="M20" s="202"/>
      <c r="N20" s="38"/>
      <c r="O20" s="203"/>
      <c r="P20" s="204"/>
      <c r="Q20" s="205"/>
    </row>
    <row r="21" spans="1:17">
      <c r="A21" s="32">
        <v>2015</v>
      </c>
      <c r="B21" s="14">
        <v>549661.80660673755</v>
      </c>
      <c r="C21" s="14">
        <v>543.27760682949156</v>
      </c>
      <c r="D21" s="14">
        <v>10</v>
      </c>
      <c r="E21" s="14">
        <f t="shared" si="1"/>
        <v>50.648705248706904</v>
      </c>
      <c r="F21" s="14">
        <f t="shared" ref="F21:F32" si="2">C21-C20</f>
        <v>13.794436760509598</v>
      </c>
      <c r="G21" s="14">
        <f>C21-SUM($E$16:E21)-SUM($F$16:F21)</f>
        <v>202.59482099482761</v>
      </c>
      <c r="H21" s="14">
        <f>SUM($E$16:E21)+SUM($F$16:F21)</f>
        <v>340.68278583466395</v>
      </c>
      <c r="I21" s="14">
        <v>0</v>
      </c>
      <c r="J21" s="14">
        <v>109.6002744396625</v>
      </c>
      <c r="K21" s="14">
        <v>81.459425868212179</v>
      </c>
      <c r="L21" s="112">
        <f t="shared" si="0"/>
        <v>28.14084857145032</v>
      </c>
      <c r="M21" s="202"/>
      <c r="N21" s="38"/>
      <c r="O21" s="203"/>
      <c r="P21" s="204"/>
      <c r="Q21" s="205"/>
    </row>
    <row r="22" spans="1:17" ht="13.8" thickBot="1">
      <c r="A22" s="32">
        <v>2016</v>
      </c>
      <c r="B22" s="14">
        <v>558880.1584957242</v>
      </c>
      <c r="C22" s="14">
        <v>552.38888960912971</v>
      </c>
      <c r="D22" s="14">
        <v>10</v>
      </c>
      <c r="E22" s="14">
        <f t="shared" si="1"/>
        <v>50.648705248706904</v>
      </c>
      <c r="F22" s="14">
        <f t="shared" si="2"/>
        <v>9.1112827796381453</v>
      </c>
      <c r="G22" s="14">
        <f>C22-SUM($E$16:E22)-SUM($F$16:F22)</f>
        <v>151.94611574612071</v>
      </c>
      <c r="H22" s="197">
        <f>SUM($E$16:E22)+SUM($F$16:F22)</f>
        <v>400.44277386300899</v>
      </c>
      <c r="I22" s="197">
        <v>0</v>
      </c>
      <c r="J22" s="14">
        <v>111.43837540423826</v>
      </c>
      <c r="K22" s="14">
        <v>78.361272805108726</v>
      </c>
      <c r="L22" s="112">
        <f t="shared" si="0"/>
        <v>33.077102599129532</v>
      </c>
      <c r="M22" s="202"/>
      <c r="N22" s="38"/>
      <c r="O22" s="203"/>
      <c r="P22" s="204"/>
      <c r="Q22" s="205"/>
    </row>
    <row r="23" spans="1:17">
      <c r="A23" s="32">
        <v>2017</v>
      </c>
      <c r="B23" s="14">
        <v>567606.67780032754</v>
      </c>
      <c r="C23" s="14">
        <v>561.01405233059245</v>
      </c>
      <c r="D23" s="14">
        <v>10</v>
      </c>
      <c r="E23" s="14">
        <f t="shared" si="1"/>
        <v>50.648705248706904</v>
      </c>
      <c r="F23" s="14">
        <f t="shared" si="2"/>
        <v>8.6251627214627433</v>
      </c>
      <c r="G23" s="14">
        <f>C23-SUM($E$16:E23)-SUM($F$16:F23)</f>
        <v>101.29741049741381</v>
      </c>
      <c r="H23" s="39">
        <f>H22</f>
        <v>400.44277386300899</v>
      </c>
      <c r="I23" s="39">
        <f>SUM($E$23:E23)+SUM($F$23:F23)</f>
        <v>59.273867970169647</v>
      </c>
      <c r="J23" s="14">
        <v>113.17840700037904</v>
      </c>
      <c r="K23" s="14">
        <v>72.27094860206995</v>
      </c>
      <c r="L23" s="112">
        <f t="shared" si="0"/>
        <v>40.907458398309089</v>
      </c>
      <c r="M23" s="202"/>
      <c r="N23" s="38"/>
      <c r="O23" s="203"/>
      <c r="P23" s="204"/>
      <c r="Q23" s="205"/>
    </row>
    <row r="24" spans="1:17">
      <c r="A24" s="32">
        <v>2018</v>
      </c>
      <c r="B24" s="14">
        <v>575756.50603146979</v>
      </c>
      <c r="C24" s="14">
        <v>569.06922211730125</v>
      </c>
      <c r="D24" s="14">
        <v>10</v>
      </c>
      <c r="E24" s="14">
        <f t="shared" si="1"/>
        <v>50.648705248706904</v>
      </c>
      <c r="F24" s="14">
        <f t="shared" si="2"/>
        <v>8.0551697867088023</v>
      </c>
      <c r="G24" s="14">
        <f>C24-SUM($E$16:E24)-SUM($F$16:F24)</f>
        <v>50.648705248706904</v>
      </c>
      <c r="H24" s="14">
        <f>H23</f>
        <v>400.44277386300899</v>
      </c>
      <c r="I24" s="14">
        <f>SUM($E$23:E24)+SUM($F$23:F24)</f>
        <v>117.97774300558535</v>
      </c>
      <c r="J24" s="14">
        <v>114.80344879886873</v>
      </c>
      <c r="K24" s="14">
        <v>66.140933339845873</v>
      </c>
      <c r="L24" s="112">
        <f t="shared" si="0"/>
        <v>48.662515459022856</v>
      </c>
      <c r="M24" s="202"/>
      <c r="N24" s="38"/>
      <c r="O24" s="203"/>
      <c r="P24" s="204"/>
      <c r="Q24" s="205"/>
    </row>
    <row r="25" spans="1:17" ht="13.8" thickBot="1">
      <c r="A25" s="32">
        <v>2019</v>
      </c>
      <c r="B25" s="14">
        <v>583701.9908455509</v>
      </c>
      <c r="C25" s="14">
        <v>576.92242189034357</v>
      </c>
      <c r="D25" s="14">
        <v>10</v>
      </c>
      <c r="E25" s="197">
        <f t="shared" si="1"/>
        <v>50.648705248706904</v>
      </c>
      <c r="F25" s="14">
        <f t="shared" si="2"/>
        <v>7.85319977304232</v>
      </c>
      <c r="G25" s="197">
        <f>C25-SUM($E$16:E25)-SUM($F$16:F25)</f>
        <v>0</v>
      </c>
      <c r="H25" s="197">
        <f>H24</f>
        <v>400.44277386300899</v>
      </c>
      <c r="I25" s="14">
        <f>SUM($E$23:E25)+SUM($F$23:F25)</f>
        <v>176.47964802733458</v>
      </c>
      <c r="J25" s="14">
        <v>116.38774537125637</v>
      </c>
      <c r="K25" s="14">
        <v>59.996854037039334</v>
      </c>
      <c r="L25" s="112">
        <f t="shared" si="0"/>
        <v>56.390891334217038</v>
      </c>
      <c r="M25" s="202"/>
      <c r="N25" s="38"/>
      <c r="O25" s="203"/>
      <c r="P25" s="204"/>
      <c r="Q25" s="205"/>
    </row>
    <row r="26" spans="1:17">
      <c r="A26" s="32">
        <v>2020</v>
      </c>
      <c r="B26" s="14">
        <v>591470.16272486409</v>
      </c>
      <c r="C26" s="14">
        <v>584.60036817896548</v>
      </c>
      <c r="D26" s="14">
        <v>10</v>
      </c>
      <c r="E26" s="39">
        <f>E16+F16</f>
        <v>50.648705248706904</v>
      </c>
      <c r="F26" s="14">
        <f t="shared" si="2"/>
        <v>7.6779462886219108</v>
      </c>
      <c r="G26" s="39">
        <v>0</v>
      </c>
      <c r="H26" s="39">
        <f>H25-E26</f>
        <v>349.79406861430209</v>
      </c>
      <c r="I26" s="14">
        <f>SUM($E$23:E26)+SUM($F$23:F26)</f>
        <v>234.80629956466339</v>
      </c>
      <c r="J26" s="14">
        <v>117.93668648310688</v>
      </c>
      <c r="K26" s="14">
        <v>58.024221103326852</v>
      </c>
      <c r="L26" s="112">
        <f t="shared" si="0"/>
        <v>59.912465379780031</v>
      </c>
      <c r="M26" s="202"/>
      <c r="N26" s="38"/>
      <c r="O26" s="203"/>
      <c r="P26" s="204"/>
      <c r="Q26" s="205"/>
    </row>
    <row r="27" spans="1:17">
      <c r="A27" s="32">
        <v>2021</v>
      </c>
      <c r="B27" s="14">
        <v>599138.14921063464</v>
      </c>
      <c r="C27" s="14">
        <v>592.17929270513469</v>
      </c>
      <c r="D27" s="14">
        <v>10</v>
      </c>
      <c r="E27" s="14">
        <f t="shared" ref="E27:E32" si="3">E17+F17</f>
        <v>54.855766946781671</v>
      </c>
      <c r="F27" s="14">
        <f t="shared" si="2"/>
        <v>7.5789245261692031</v>
      </c>
      <c r="G27" s="14">
        <v>0</v>
      </c>
      <c r="H27" s="14">
        <f t="shared" ref="H27:H32" si="4">H26-E27</f>
        <v>294.93830166752042</v>
      </c>
      <c r="I27" s="14">
        <f>SUM($E$23:E27)+SUM($F$23:F27)</f>
        <v>297.24099103761426</v>
      </c>
      <c r="J27" s="14">
        <v>119.4656510448403</v>
      </c>
      <c r="K27" s="14">
        <v>55.836429146946251</v>
      </c>
      <c r="L27" s="112">
        <f t="shared" si="0"/>
        <v>63.629221897894048</v>
      </c>
      <c r="M27" s="202"/>
      <c r="N27" s="38"/>
      <c r="O27" s="203"/>
      <c r="P27" s="204"/>
      <c r="Q27" s="205"/>
    </row>
    <row r="28" spans="1:17">
      <c r="A28" s="32">
        <v>2022</v>
      </c>
      <c r="B28" s="14">
        <v>606878.53097980015</v>
      </c>
      <c r="C28" s="14">
        <v>599.82977165956481</v>
      </c>
      <c r="D28" s="14">
        <v>10</v>
      </c>
      <c r="E28" s="14">
        <f t="shared" si="3"/>
        <v>54.537012712638614</v>
      </c>
      <c r="F28" s="14">
        <f t="shared" si="2"/>
        <v>7.6504789544301275</v>
      </c>
      <c r="G28" s="14">
        <v>0</v>
      </c>
      <c r="H28" s="14">
        <f t="shared" si="4"/>
        <v>240.40128895488181</v>
      </c>
      <c r="I28" s="14">
        <f>SUM($E$23:E28)+SUM($F$23:F28)</f>
        <v>359.42848270468301</v>
      </c>
      <c r="J28" s="14">
        <v>121.00905092449622</v>
      </c>
      <c r="K28" s="14">
        <v>53.669399240362438</v>
      </c>
      <c r="L28" s="112">
        <f t="shared" si="0"/>
        <v>67.339651684133784</v>
      </c>
      <c r="M28" s="202"/>
      <c r="N28" s="38"/>
      <c r="O28" s="203"/>
      <c r="P28" s="204"/>
      <c r="Q28" s="205"/>
    </row>
    <row r="29" spans="1:17">
      <c r="A29" s="32">
        <v>2023</v>
      </c>
      <c r="B29" s="14">
        <v>614519.07127759617</v>
      </c>
      <c r="C29" s="14">
        <v>607.3815687791357</v>
      </c>
      <c r="D29" s="14">
        <v>10</v>
      </c>
      <c r="E29" s="14">
        <f t="shared" si="3"/>
        <v>55.996857685751877</v>
      </c>
      <c r="F29" s="14">
        <f t="shared" si="2"/>
        <v>7.5517971195708924</v>
      </c>
      <c r="G29" s="14">
        <v>0</v>
      </c>
      <c r="H29" s="14">
        <f t="shared" si="4"/>
        <v>184.40443126912993</v>
      </c>
      <c r="I29" s="14">
        <f>SUM($E$23:E29)+SUM($F$23:F29)</f>
        <v>422.97713751000578</v>
      </c>
      <c r="J29" s="14">
        <v>122.53254283068368</v>
      </c>
      <c r="K29" s="14">
        <v>51.423230454463038</v>
      </c>
      <c r="L29" s="112">
        <f t="shared" si="0"/>
        <v>71.109312376220643</v>
      </c>
      <c r="M29" s="202"/>
      <c r="N29" s="38"/>
      <c r="O29" s="203"/>
      <c r="P29" s="204"/>
      <c r="Q29" s="205"/>
    </row>
    <row r="30" spans="1:17">
      <c r="A30" s="32">
        <v>2024</v>
      </c>
      <c r="B30" s="14">
        <v>622036.19847507344</v>
      </c>
      <c r="C30" s="14">
        <v>614.81138621413209</v>
      </c>
      <c r="D30" s="14">
        <v>10</v>
      </c>
      <c r="E30" s="14">
        <f t="shared" si="3"/>
        <v>60.20130123156838</v>
      </c>
      <c r="F30" s="14">
        <f t="shared" si="2"/>
        <v>7.4298174349963801</v>
      </c>
      <c r="G30" s="14">
        <v>0</v>
      </c>
      <c r="H30" s="14">
        <f t="shared" si="4"/>
        <v>124.20313003756155</v>
      </c>
      <c r="I30" s="14">
        <f>SUM($E$23:E30)+SUM($F$23:F30)</f>
        <v>490.60825617657053</v>
      </c>
      <c r="J30" s="14">
        <v>124.03142667878562</v>
      </c>
      <c r="K30" s="14">
        <v>48.960433594399611</v>
      </c>
      <c r="L30" s="112">
        <f t="shared" si="0"/>
        <v>75.070993084386004</v>
      </c>
      <c r="M30" s="202"/>
      <c r="N30" s="38"/>
      <c r="O30" s="203"/>
      <c r="P30" s="204"/>
      <c r="Q30" s="205"/>
    </row>
    <row r="31" spans="1:17">
      <c r="A31" s="32">
        <v>2025</v>
      </c>
      <c r="B31" s="14">
        <v>629750.56588928041</v>
      </c>
      <c r="C31" s="14">
        <v>622.43615296455744</v>
      </c>
      <c r="D31" s="14">
        <v>10</v>
      </c>
      <c r="E31" s="14">
        <f t="shared" si="3"/>
        <v>64.443142009216501</v>
      </c>
      <c r="F31" s="14">
        <f t="shared" si="2"/>
        <v>7.6247667504253513</v>
      </c>
      <c r="G31" s="14">
        <v>0</v>
      </c>
      <c r="H31" s="14">
        <f t="shared" si="4"/>
        <v>59.759988028345049</v>
      </c>
      <c r="I31" s="14">
        <f>SUM($E$23:E31)+SUM($F$23:F31)</f>
        <v>562.67616493621244</v>
      </c>
      <c r="J31" s="14">
        <v>125.5696394044342</v>
      </c>
      <c r="K31" s="14">
        <v>46.301226500507312</v>
      </c>
      <c r="L31" s="112">
        <f t="shared" si="0"/>
        <v>79.268412903926887</v>
      </c>
      <c r="M31" s="202"/>
      <c r="N31" s="38"/>
      <c r="O31" s="203"/>
      <c r="P31" s="204"/>
      <c r="Q31" s="205"/>
    </row>
    <row r="32" spans="1:17">
      <c r="A32" s="32">
        <v>2026</v>
      </c>
      <c r="B32" s="14">
        <v>637636.09959922836</v>
      </c>
      <c r="C32" s="14">
        <v>630.23009795222299</v>
      </c>
      <c r="D32" s="14">
        <v>10</v>
      </c>
      <c r="E32" s="14">
        <f t="shared" si="3"/>
        <v>59.759988028345049</v>
      </c>
      <c r="F32" s="14">
        <f t="shared" si="2"/>
        <v>7.7939449876655544</v>
      </c>
      <c r="G32" s="14">
        <v>0</v>
      </c>
      <c r="H32" s="14">
        <f t="shared" si="4"/>
        <v>0</v>
      </c>
      <c r="I32" s="14">
        <f>SUM($E$23:E32)+SUM($F$23:F32)</f>
        <v>630.23009795222299</v>
      </c>
      <c r="J32" s="14">
        <v>127.1419819764038</v>
      </c>
      <c r="K32" s="14">
        <v>43.885631896445318</v>
      </c>
      <c r="L32" s="112">
        <f>J32-K32</f>
        <v>83.25635007995848</v>
      </c>
      <c r="M32" s="202"/>
      <c r="N32" s="38"/>
      <c r="O32" s="203"/>
      <c r="P32" s="204"/>
      <c r="Q32" s="205"/>
    </row>
    <row r="33" spans="1:12">
      <c r="A33" s="34"/>
      <c r="B33" s="18"/>
      <c r="C33" s="18"/>
      <c r="D33" s="18"/>
      <c r="E33" s="18"/>
      <c r="F33" s="18"/>
      <c r="G33" s="18"/>
      <c r="H33" s="18"/>
      <c r="I33" s="18"/>
      <c r="J33" s="18"/>
      <c r="K33" s="18"/>
      <c r="L33" s="18"/>
    </row>
    <row r="34" spans="1:12" s="26" customFormat="1" ht="15.6">
      <c r="A34" s="25" t="s">
        <v>40</v>
      </c>
      <c r="B34" s="27"/>
      <c r="C34" s="27"/>
      <c r="D34" s="25"/>
      <c r="E34" s="25"/>
      <c r="F34" s="25"/>
      <c r="G34" s="25"/>
      <c r="H34" s="25"/>
      <c r="I34" s="25"/>
      <c r="J34" s="25"/>
      <c r="K34" s="25"/>
      <c r="L34" s="25"/>
    </row>
    <row r="35" spans="1:12" s="30" customFormat="1" ht="26.4">
      <c r="A35" s="28"/>
      <c r="B35" s="192" t="s">
        <v>62</v>
      </c>
      <c r="C35" s="192"/>
      <c r="D35" s="146"/>
      <c r="E35" s="146"/>
      <c r="F35" s="146"/>
      <c r="G35" s="146"/>
      <c r="H35" s="146"/>
      <c r="I35" s="146"/>
      <c r="J35" s="146" t="s">
        <v>2</v>
      </c>
      <c r="K35" s="146" t="s">
        <v>3</v>
      </c>
      <c r="L35" s="146" t="s">
        <v>70</v>
      </c>
    </row>
    <row r="36" spans="1:12" s="30" customFormat="1" ht="26.4">
      <c r="A36" s="31"/>
      <c r="B36" s="56" t="s">
        <v>4</v>
      </c>
      <c r="C36" s="56" t="s">
        <v>4</v>
      </c>
      <c r="D36" s="57" t="s">
        <v>63</v>
      </c>
      <c r="E36" s="57" t="s">
        <v>32</v>
      </c>
      <c r="F36" s="57" t="s">
        <v>32</v>
      </c>
      <c r="G36" s="57" t="s">
        <v>4</v>
      </c>
      <c r="H36" s="57" t="s">
        <v>307</v>
      </c>
      <c r="I36" s="57" t="s">
        <v>307</v>
      </c>
      <c r="J36" s="56" t="s">
        <v>4</v>
      </c>
      <c r="K36" s="56" t="s">
        <v>4</v>
      </c>
      <c r="L36" s="56" t="s">
        <v>24</v>
      </c>
    </row>
    <row r="37" spans="1:12" s="30" customFormat="1" ht="26.4">
      <c r="A37" s="31"/>
      <c r="B37" s="55" t="s">
        <v>52</v>
      </c>
      <c r="C37" s="55" t="s">
        <v>64</v>
      </c>
      <c r="D37" s="55" t="s">
        <v>8</v>
      </c>
      <c r="E37" s="55" t="s">
        <v>65</v>
      </c>
      <c r="F37" s="55" t="s">
        <v>65</v>
      </c>
      <c r="G37" s="55" t="s">
        <v>308</v>
      </c>
      <c r="H37" s="55" t="s">
        <v>309</v>
      </c>
      <c r="I37" s="55" t="s">
        <v>310</v>
      </c>
      <c r="J37" s="55" t="s">
        <v>66</v>
      </c>
      <c r="K37" s="55" t="s">
        <v>66</v>
      </c>
      <c r="L37" s="55" t="s">
        <v>311</v>
      </c>
    </row>
    <row r="38" spans="1:12" s="30" customFormat="1" ht="26.4">
      <c r="A38" s="31"/>
      <c r="B38" s="55" t="s">
        <v>12</v>
      </c>
      <c r="C38" s="55" t="s">
        <v>67</v>
      </c>
      <c r="D38" s="55" t="s">
        <v>15</v>
      </c>
      <c r="E38" s="55" t="s">
        <v>9</v>
      </c>
      <c r="F38" s="55" t="s">
        <v>10</v>
      </c>
      <c r="G38" s="55" t="s">
        <v>179</v>
      </c>
      <c r="H38" s="55" t="s">
        <v>179</v>
      </c>
      <c r="I38" s="55" t="s">
        <v>179</v>
      </c>
      <c r="J38" s="55" t="s">
        <v>68</v>
      </c>
      <c r="K38" s="55" t="s">
        <v>312</v>
      </c>
      <c r="L38" s="55" t="s">
        <v>71</v>
      </c>
    </row>
    <row r="39" spans="1:12" s="30" customFormat="1" ht="26.4">
      <c r="A39" s="24" t="s">
        <v>17</v>
      </c>
      <c r="B39" s="58" t="s">
        <v>18</v>
      </c>
      <c r="C39" s="58" t="s">
        <v>69</v>
      </c>
      <c r="D39" s="58" t="s">
        <v>21</v>
      </c>
      <c r="E39" s="58" t="s">
        <v>69</v>
      </c>
      <c r="F39" s="58" t="s">
        <v>69</v>
      </c>
      <c r="G39" s="58" t="s">
        <v>313</v>
      </c>
      <c r="H39" s="58" t="s">
        <v>313</v>
      </c>
      <c r="I39" s="58" t="s">
        <v>313</v>
      </c>
      <c r="J39" s="58" t="s">
        <v>22</v>
      </c>
      <c r="K39" s="58" t="s">
        <v>22</v>
      </c>
      <c r="L39" s="58" t="s">
        <v>22</v>
      </c>
    </row>
    <row r="40" spans="1:12">
      <c r="A40" s="32">
        <v>2005</v>
      </c>
      <c r="B40" s="14" t="s">
        <v>218</v>
      </c>
      <c r="C40" s="14">
        <v>61.872662552816138</v>
      </c>
      <c r="D40" s="14">
        <v>10</v>
      </c>
      <c r="E40" s="14" t="s">
        <v>218</v>
      </c>
      <c r="F40" s="14" t="s">
        <v>218</v>
      </c>
      <c r="G40" s="14">
        <v>61.872662552816138</v>
      </c>
      <c r="H40" s="14">
        <v>0</v>
      </c>
      <c r="I40" s="14">
        <v>0</v>
      </c>
      <c r="J40" s="14">
        <v>12.482128309458528</v>
      </c>
      <c r="K40" s="14">
        <v>12.482128309458528</v>
      </c>
      <c r="L40" s="14">
        <f>J40-K40</f>
        <v>0</v>
      </c>
    </row>
    <row r="41" spans="1:12">
      <c r="A41" s="32">
        <v>2006</v>
      </c>
      <c r="B41" s="14" t="s">
        <v>218</v>
      </c>
      <c r="C41" s="14">
        <v>63.098344346171402</v>
      </c>
      <c r="D41" s="14">
        <v>10</v>
      </c>
      <c r="E41" s="14" t="s">
        <v>218</v>
      </c>
      <c r="F41" s="14" t="s">
        <v>218</v>
      </c>
      <c r="G41" s="14">
        <v>63.098344346171402</v>
      </c>
      <c r="H41" s="14">
        <v>0</v>
      </c>
      <c r="I41" s="14">
        <v>0</v>
      </c>
      <c r="J41" s="14">
        <v>12.729396113687381</v>
      </c>
      <c r="K41" s="14">
        <v>12.729396113687381</v>
      </c>
      <c r="L41" s="14">
        <f t="shared" ref="L41:L61" si="5">J41-K41</f>
        <v>0</v>
      </c>
    </row>
    <row r="42" spans="1:12">
      <c r="A42" s="32">
        <v>2007</v>
      </c>
      <c r="B42" s="14" t="s">
        <v>218</v>
      </c>
      <c r="C42" s="14">
        <v>64.585170132901965</v>
      </c>
      <c r="D42" s="14">
        <v>10</v>
      </c>
      <c r="E42" s="14" t="s">
        <v>218</v>
      </c>
      <c r="F42" s="14" t="s">
        <v>218</v>
      </c>
      <c r="G42" s="14">
        <v>64.585170132901965</v>
      </c>
      <c r="H42" s="14">
        <v>0</v>
      </c>
      <c r="I42" s="14">
        <v>0</v>
      </c>
      <c r="J42" s="14">
        <v>13.029346842782646</v>
      </c>
      <c r="K42" s="14">
        <v>13.029346842782646</v>
      </c>
      <c r="L42" s="14">
        <f t="shared" si="5"/>
        <v>0</v>
      </c>
    </row>
    <row r="43" spans="1:12">
      <c r="A43" s="32">
        <v>2008</v>
      </c>
      <c r="B43" s="14" t="s">
        <v>218</v>
      </c>
      <c r="C43" s="14">
        <v>64.870666255793154</v>
      </c>
      <c r="D43" s="14">
        <v>10</v>
      </c>
      <c r="E43" s="14" t="s">
        <v>218</v>
      </c>
      <c r="F43" s="14" t="s">
        <v>218</v>
      </c>
      <c r="G43" s="14">
        <v>64.870666255793154</v>
      </c>
      <c r="H43" s="14">
        <v>0</v>
      </c>
      <c r="I43" s="14">
        <v>0</v>
      </c>
      <c r="J43" s="14">
        <v>13.086942541605836</v>
      </c>
      <c r="K43" s="14">
        <v>13.086942541605836</v>
      </c>
      <c r="L43" s="14">
        <f t="shared" si="5"/>
        <v>0</v>
      </c>
    </row>
    <row r="44" spans="1:12">
      <c r="A44" s="32">
        <v>2009</v>
      </c>
      <c r="B44" s="14" t="s">
        <v>218</v>
      </c>
      <c r="C44" s="14">
        <v>64.493807588271665</v>
      </c>
      <c r="D44" s="14">
        <v>10</v>
      </c>
      <c r="E44" s="14" t="s">
        <v>218</v>
      </c>
      <c r="F44" s="14" t="s">
        <v>218</v>
      </c>
      <c r="G44" s="14">
        <v>64.493807588271665</v>
      </c>
      <c r="H44" s="14">
        <v>0</v>
      </c>
      <c r="I44" s="14">
        <v>0</v>
      </c>
      <c r="J44" s="14">
        <v>13.010915455515605</v>
      </c>
      <c r="K44" s="14">
        <v>13.010915455515605</v>
      </c>
      <c r="L44" s="14">
        <f t="shared" si="5"/>
        <v>0</v>
      </c>
    </row>
    <row r="45" spans="1:12">
      <c r="A45" s="32">
        <v>2010</v>
      </c>
      <c r="B45" s="14" t="s">
        <v>218</v>
      </c>
      <c r="C45" s="14">
        <v>64.657921594093921</v>
      </c>
      <c r="D45" s="14">
        <v>10</v>
      </c>
      <c r="E45" s="14">
        <v>6.465792159409391</v>
      </c>
      <c r="F45" s="14">
        <v>0</v>
      </c>
      <c r="G45" s="14">
        <v>58.192129434684524</v>
      </c>
      <c r="H45" s="14">
        <v>6.465792159409391</v>
      </c>
      <c r="I45" s="14">
        <v>0</v>
      </c>
      <c r="J45" s="14">
        <v>13.044023648916914</v>
      </c>
      <c r="K45" s="14">
        <v>12.509940667275703</v>
      </c>
      <c r="L45" s="14">
        <f t="shared" si="5"/>
        <v>0.53408298164121071</v>
      </c>
    </row>
    <row r="46" spans="1:12">
      <c r="A46" s="32">
        <v>2011</v>
      </c>
      <c r="B46" s="14" t="s">
        <v>218</v>
      </c>
      <c r="C46" s="14">
        <v>65.194993300231118</v>
      </c>
      <c r="D46" s="14">
        <v>10</v>
      </c>
      <c r="E46" s="14">
        <v>6.465792159409391</v>
      </c>
      <c r="F46" s="14">
        <v>0.53707170613720434</v>
      </c>
      <c r="G46" s="14">
        <v>51.726337275275128</v>
      </c>
      <c r="H46" s="14">
        <v>13.468656024955987</v>
      </c>
      <c r="I46" s="14">
        <v>0</v>
      </c>
      <c r="J46" s="14">
        <v>13.152371951233173</v>
      </c>
      <c r="K46" s="14">
        <v>12.039843154890701</v>
      </c>
      <c r="L46" s="14">
        <f t="shared" si="5"/>
        <v>1.1125287963424721</v>
      </c>
    </row>
    <row r="47" spans="1:12">
      <c r="A47" s="32">
        <v>2012</v>
      </c>
      <c r="B47" s="14" t="s">
        <v>218</v>
      </c>
      <c r="C47" s="14">
        <v>65.691372976477723</v>
      </c>
      <c r="D47" s="14">
        <v>10</v>
      </c>
      <c r="E47" s="14">
        <v>6.465792159409391</v>
      </c>
      <c r="F47" s="14">
        <v>0.49637967624660123</v>
      </c>
      <c r="G47" s="14">
        <v>45.260545115865739</v>
      </c>
      <c r="H47" s="14">
        <v>20.430827860611981</v>
      </c>
      <c r="I47" s="14">
        <v>0</v>
      </c>
      <c r="J47" s="14">
        <v>13.252511084632006</v>
      </c>
      <c r="K47" s="14">
        <v>11.564897689061519</v>
      </c>
      <c r="L47" s="14">
        <f t="shared" si="5"/>
        <v>1.6876133955704873</v>
      </c>
    </row>
    <row r="48" spans="1:12">
      <c r="A48" s="32">
        <v>2013</v>
      </c>
      <c r="B48" s="14" t="s">
        <v>218</v>
      </c>
      <c r="C48" s="14">
        <v>66.374115840781329</v>
      </c>
      <c r="D48" s="14">
        <v>10</v>
      </c>
      <c r="E48" s="14">
        <v>6.465792159409391</v>
      </c>
      <c r="F48" s="14">
        <v>0.68274286430361353</v>
      </c>
      <c r="G48" s="14">
        <v>38.79475295645635</v>
      </c>
      <c r="H48" s="14">
        <v>27.579362884324986</v>
      </c>
      <c r="I48" s="14">
        <v>0</v>
      </c>
      <c r="J48" s="14">
        <v>13.390246938933254</v>
      </c>
      <c r="K48" s="14">
        <v>11.112155098385967</v>
      </c>
      <c r="L48" s="14">
        <f t="shared" si="5"/>
        <v>2.2780918405472868</v>
      </c>
    </row>
    <row r="49" spans="1:13">
      <c r="A49" s="32">
        <v>2014</v>
      </c>
      <c r="B49" s="14" t="s">
        <v>218</v>
      </c>
      <c r="C49" s="14">
        <v>67.593596179018974</v>
      </c>
      <c r="D49" s="14">
        <v>10</v>
      </c>
      <c r="E49" s="14">
        <v>6.465792159409391</v>
      </c>
      <c r="F49" s="14">
        <v>1.2194803382376351</v>
      </c>
      <c r="G49" s="14">
        <v>32.32896079704696</v>
      </c>
      <c r="H49" s="14">
        <v>35.264635381972013</v>
      </c>
      <c r="I49" s="14">
        <v>0</v>
      </c>
      <c r="J49" s="14">
        <v>13.636263667884435</v>
      </c>
      <c r="K49" s="14">
        <v>10.723358157322208</v>
      </c>
      <c r="L49" s="14">
        <f t="shared" si="5"/>
        <v>2.9129055105622275</v>
      </c>
    </row>
    <row r="50" spans="1:13">
      <c r="A50" s="32">
        <v>2015</v>
      </c>
      <c r="B50" s="14" t="s">
        <v>218</v>
      </c>
      <c r="C50" s="14">
        <v>69.354588105892532</v>
      </c>
      <c r="D50" s="14">
        <v>10</v>
      </c>
      <c r="E50" s="14">
        <v>6.465792159409391</v>
      </c>
      <c r="F50" s="14">
        <v>1.7609919268735654</v>
      </c>
      <c r="G50" s="14">
        <v>25.863168637637564</v>
      </c>
      <c r="H50" s="14">
        <v>43.491419468254968</v>
      </c>
      <c r="I50" s="14">
        <v>0</v>
      </c>
      <c r="J50" s="14">
        <v>13.991524396552659</v>
      </c>
      <c r="K50" s="14">
        <v>10.399075642750491</v>
      </c>
      <c r="L50" s="14">
        <f t="shared" si="5"/>
        <v>3.5924487538021683</v>
      </c>
    </row>
    <row r="51" spans="1:13">
      <c r="A51" s="32">
        <v>2016</v>
      </c>
      <c r="B51" s="14" t="s">
        <v>218</v>
      </c>
      <c r="C51" s="14">
        <v>70.51773058839953</v>
      </c>
      <c r="D51" s="14">
        <v>10</v>
      </c>
      <c r="E51" s="14">
        <v>6.465792159409391</v>
      </c>
      <c r="F51" s="14">
        <v>1.1631424825069971</v>
      </c>
      <c r="G51" s="14">
        <v>19.397376478228175</v>
      </c>
      <c r="H51" s="14">
        <v>51.120354110171355</v>
      </c>
      <c r="I51" s="14">
        <v>0</v>
      </c>
      <c r="J51" s="14">
        <v>14.226175583519776</v>
      </c>
      <c r="K51" s="14">
        <v>10.003566741077709</v>
      </c>
      <c r="L51" s="14">
        <f t="shared" si="5"/>
        <v>4.2226088424420674</v>
      </c>
    </row>
    <row r="52" spans="1:13">
      <c r="A52" s="32">
        <v>2017</v>
      </c>
      <c r="B52" s="14" t="s">
        <v>218</v>
      </c>
      <c r="C52" s="14">
        <v>71.618815191139461</v>
      </c>
      <c r="D52" s="14">
        <v>10</v>
      </c>
      <c r="E52" s="14">
        <v>6.465792159409391</v>
      </c>
      <c r="F52" s="14">
        <v>1.1010846027399246</v>
      </c>
      <c r="G52" s="14">
        <v>12.931584318818782</v>
      </c>
      <c r="H52" s="14">
        <v>51.120354110171355</v>
      </c>
      <c r="I52" s="14">
        <v>7.5668767621493158</v>
      </c>
      <c r="J52" s="14">
        <v>14.448307276644131</v>
      </c>
      <c r="K52" s="14">
        <v>9.2260785449450999</v>
      </c>
      <c r="L52" s="14">
        <f t="shared" si="5"/>
        <v>5.2222287316990315</v>
      </c>
    </row>
    <row r="53" spans="1:13">
      <c r="A53" s="32">
        <v>2018</v>
      </c>
      <c r="B53" s="14" t="s">
        <v>218</v>
      </c>
      <c r="C53" s="14">
        <v>72.647134738378881</v>
      </c>
      <c r="D53" s="14">
        <v>10</v>
      </c>
      <c r="E53" s="14">
        <v>6.465792159409391</v>
      </c>
      <c r="F53" s="14">
        <v>1.0283195472394215</v>
      </c>
      <c r="G53" s="14">
        <v>6.465792159409391</v>
      </c>
      <c r="H53" s="14">
        <v>51.120354110171355</v>
      </c>
      <c r="I53" s="14">
        <v>15.060988468798129</v>
      </c>
      <c r="J53" s="14">
        <v>14.655759421132178</v>
      </c>
      <c r="K53" s="14">
        <v>8.4435234050867063</v>
      </c>
      <c r="L53" s="14">
        <f t="shared" si="5"/>
        <v>6.2122360160454715</v>
      </c>
    </row>
    <row r="54" spans="1:13">
      <c r="A54" s="32">
        <v>2019</v>
      </c>
      <c r="B54" s="14" t="s">
        <v>218</v>
      </c>
      <c r="C54" s="14">
        <v>73.649670879618327</v>
      </c>
      <c r="D54" s="14">
        <v>10</v>
      </c>
      <c r="E54" s="14">
        <v>6.465792159409391</v>
      </c>
      <c r="F54" s="14">
        <v>1.0025361412394451</v>
      </c>
      <c r="G54" s="14">
        <v>0</v>
      </c>
      <c r="H54" s="14">
        <v>51.120354110171355</v>
      </c>
      <c r="I54" s="14">
        <v>22.529316769446964</v>
      </c>
      <c r="J54" s="14">
        <v>14.85801004739443</v>
      </c>
      <c r="K54" s="14">
        <v>7.6591728557922547</v>
      </c>
      <c r="L54" s="14">
        <f t="shared" si="5"/>
        <v>7.1988371916021752</v>
      </c>
    </row>
    <row r="55" spans="1:13">
      <c r="A55" s="32">
        <v>2020</v>
      </c>
      <c r="B55" s="14" t="s">
        <v>218</v>
      </c>
      <c r="C55" s="14">
        <v>74.629834235612606</v>
      </c>
      <c r="D55" s="14">
        <v>10</v>
      </c>
      <c r="E55" s="14">
        <v>6.465792159409391</v>
      </c>
      <c r="F55" s="14">
        <v>0.98016335599428639</v>
      </c>
      <c r="G55" s="14">
        <v>0</v>
      </c>
      <c r="H55" s="14">
        <v>44.654561950761966</v>
      </c>
      <c r="I55" s="14">
        <v>29.975272284850643</v>
      </c>
      <c r="J55" s="14">
        <v>15.055747210609388</v>
      </c>
      <c r="K55" s="14">
        <v>7.4073473748927894</v>
      </c>
      <c r="L55" s="14">
        <f t="shared" si="5"/>
        <v>7.6483998357165985</v>
      </c>
    </row>
    <row r="56" spans="1:13">
      <c r="A56" s="32">
        <v>2021</v>
      </c>
      <c r="B56" s="14" t="s">
        <v>218</v>
      </c>
      <c r="C56" s="14">
        <v>75.597356515549109</v>
      </c>
      <c r="D56" s="14">
        <v>10</v>
      </c>
      <c r="E56" s="14">
        <v>7.0028638655465958</v>
      </c>
      <c r="F56" s="14">
        <v>0.96752227993649398</v>
      </c>
      <c r="G56" s="14">
        <v>0</v>
      </c>
      <c r="H56" s="14">
        <v>37.651698085215372</v>
      </c>
      <c r="I56" s="14">
        <v>37.945658430333729</v>
      </c>
      <c r="J56" s="14">
        <v>15.250934175937058</v>
      </c>
      <c r="K56" s="14">
        <v>7.1280547847165421</v>
      </c>
      <c r="L56" s="14">
        <f t="shared" si="5"/>
        <v>8.1228793912205148</v>
      </c>
    </row>
    <row r="57" spans="1:13">
      <c r="A57" s="32">
        <v>2022</v>
      </c>
      <c r="B57" s="14" t="s">
        <v>218</v>
      </c>
      <c r="C57" s="14">
        <v>76.574013403348687</v>
      </c>
      <c r="D57" s="14">
        <v>10</v>
      </c>
      <c r="E57" s="14">
        <v>6.962171835655993</v>
      </c>
      <c r="F57" s="14">
        <v>0.9766568877995907</v>
      </c>
      <c r="G57" s="14">
        <v>0</v>
      </c>
      <c r="H57" s="14">
        <v>30.689526249559378</v>
      </c>
      <c r="I57" s="14">
        <v>45.884487153789316</v>
      </c>
      <c r="J57" s="14">
        <v>15.447963947808027</v>
      </c>
      <c r="K57" s="14">
        <v>6.8514126689824382</v>
      </c>
      <c r="L57" s="14">
        <f t="shared" si="5"/>
        <v>8.59655127882559</v>
      </c>
    </row>
    <row r="58" spans="1:13">
      <c r="A58" s="32">
        <v>2023</v>
      </c>
      <c r="B58" s="14" t="s">
        <v>218</v>
      </c>
      <c r="C58" s="14">
        <v>77.538072610102418</v>
      </c>
      <c r="D58" s="14">
        <v>10</v>
      </c>
      <c r="E58" s="14">
        <v>7.1485350237130048</v>
      </c>
      <c r="F58" s="14">
        <v>0.96405920675373091</v>
      </c>
      <c r="G58" s="14">
        <v>0</v>
      </c>
      <c r="H58" s="14">
        <v>23.540991225846373</v>
      </c>
      <c r="I58" s="14">
        <v>53.997081384256049</v>
      </c>
      <c r="J58" s="14">
        <v>15.64245227625749</v>
      </c>
      <c r="K58" s="14">
        <v>6.5646677175910257</v>
      </c>
      <c r="L58" s="14">
        <f t="shared" si="5"/>
        <v>9.0777845586664654</v>
      </c>
    </row>
    <row r="59" spans="1:13">
      <c r="A59" s="32">
        <v>2024</v>
      </c>
      <c r="B59" s="14" t="s">
        <v>218</v>
      </c>
      <c r="C59" s="14">
        <v>78.486559942229619</v>
      </c>
      <c r="D59" s="14">
        <v>10</v>
      </c>
      <c r="E59" s="14">
        <v>7.6852724976470261</v>
      </c>
      <c r="F59" s="14">
        <v>0.94848733212719738</v>
      </c>
      <c r="G59" s="14">
        <v>0</v>
      </c>
      <c r="H59" s="14">
        <v>15.855718728199346</v>
      </c>
      <c r="I59" s="14">
        <v>62.630841214030276</v>
      </c>
      <c r="J59" s="14">
        <v>15.833799150483269</v>
      </c>
      <c r="K59" s="14">
        <v>6.2502681184339925</v>
      </c>
      <c r="L59" s="14">
        <f t="shared" si="5"/>
        <v>9.5835310320492759</v>
      </c>
    </row>
    <row r="60" spans="1:13">
      <c r="A60" s="32">
        <v>2025</v>
      </c>
      <c r="B60" s="14" t="s">
        <v>218</v>
      </c>
      <c r="C60" s="14">
        <v>79.459934421007333</v>
      </c>
      <c r="D60" s="14">
        <v>10</v>
      </c>
      <c r="E60" s="14">
        <v>8.2267840862829562</v>
      </c>
      <c r="F60" s="14">
        <v>0.97337447877770433</v>
      </c>
      <c r="G60" s="14">
        <v>0</v>
      </c>
      <c r="H60" s="14">
        <v>7.6289346419163886</v>
      </c>
      <c r="I60" s="14">
        <v>71.830999779090945</v>
      </c>
      <c r="J60" s="14">
        <v>16.030166732480961</v>
      </c>
      <c r="K60" s="14">
        <v>5.9107948724051882</v>
      </c>
      <c r="L60" s="14">
        <f t="shared" si="5"/>
        <v>10.119371860075773</v>
      </c>
    </row>
    <row r="61" spans="1:13">
      <c r="A61" s="32">
        <v>2026</v>
      </c>
      <c r="B61" s="14" t="s">
        <v>218</v>
      </c>
      <c r="C61" s="14">
        <v>80.45490612156037</v>
      </c>
      <c r="D61" s="14">
        <v>10</v>
      </c>
      <c r="E61" s="14">
        <v>7.6289346419163886</v>
      </c>
      <c r="F61" s="14">
        <v>0.9949717005530494</v>
      </c>
      <c r="G61" s="14">
        <v>0</v>
      </c>
      <c r="H61" s="14">
        <v>0</v>
      </c>
      <c r="I61" s="14">
        <v>80.45490612156037</v>
      </c>
      <c r="J61" s="14">
        <v>16.230891316136653</v>
      </c>
      <c r="K61" s="14">
        <v>5.6024210931632314</v>
      </c>
      <c r="L61" s="14">
        <f t="shared" si="5"/>
        <v>10.628470222973421</v>
      </c>
    </row>
    <row r="62" spans="1:13">
      <c r="A62" s="34"/>
      <c r="B62" s="18"/>
      <c r="C62" s="18"/>
      <c r="D62" s="18"/>
      <c r="E62" s="18"/>
      <c r="F62" s="18"/>
      <c r="G62" s="18"/>
      <c r="H62" s="18"/>
      <c r="I62" s="18"/>
      <c r="J62" s="18"/>
      <c r="K62" s="18"/>
      <c r="L62" s="18"/>
    </row>
    <row r="63" spans="1:13" s="26" customFormat="1" ht="15.6">
      <c r="A63" s="25" t="s">
        <v>41</v>
      </c>
      <c r="B63" s="27"/>
      <c r="C63" s="27"/>
      <c r="D63" s="25"/>
      <c r="E63" s="25"/>
      <c r="F63" s="25"/>
      <c r="G63" s="25"/>
      <c r="H63" s="25"/>
      <c r="I63" s="25"/>
      <c r="J63" s="25"/>
      <c r="K63" s="25"/>
      <c r="L63" s="25"/>
    </row>
    <row r="64" spans="1:13" s="30" customFormat="1" ht="26.4">
      <c r="A64" s="28"/>
      <c r="B64" s="192" t="s">
        <v>62</v>
      </c>
      <c r="C64" s="192"/>
      <c r="D64" s="146"/>
      <c r="E64" s="146"/>
      <c r="F64" s="146"/>
      <c r="G64" s="146"/>
      <c r="H64" s="146"/>
      <c r="I64" s="146"/>
      <c r="J64" s="146" t="s">
        <v>2</v>
      </c>
      <c r="K64" s="146" t="s">
        <v>3</v>
      </c>
      <c r="L64" s="146" t="s">
        <v>70</v>
      </c>
      <c r="M64" s="59"/>
    </row>
    <row r="65" spans="1:13" s="30" customFormat="1" ht="26.4">
      <c r="A65" s="31"/>
      <c r="B65" s="56" t="s">
        <v>4</v>
      </c>
      <c r="C65" s="56" t="s">
        <v>4</v>
      </c>
      <c r="D65" s="57" t="s">
        <v>63</v>
      </c>
      <c r="E65" s="57" t="s">
        <v>32</v>
      </c>
      <c r="F65" s="57" t="s">
        <v>32</v>
      </c>
      <c r="G65" s="57" t="s">
        <v>4</v>
      </c>
      <c r="H65" s="57" t="s">
        <v>307</v>
      </c>
      <c r="I65" s="57" t="s">
        <v>307</v>
      </c>
      <c r="J65" s="56" t="s">
        <v>4</v>
      </c>
      <c r="K65" s="56" t="s">
        <v>4</v>
      </c>
      <c r="L65" s="56" t="s">
        <v>24</v>
      </c>
      <c r="M65" s="59"/>
    </row>
    <row r="66" spans="1:13" s="30" customFormat="1" ht="26.4">
      <c r="A66" s="31"/>
      <c r="B66" s="55" t="s">
        <v>52</v>
      </c>
      <c r="C66" s="55" t="s">
        <v>64</v>
      </c>
      <c r="D66" s="55" t="s">
        <v>8</v>
      </c>
      <c r="E66" s="55" t="s">
        <v>65</v>
      </c>
      <c r="F66" s="55" t="s">
        <v>65</v>
      </c>
      <c r="G66" s="55" t="s">
        <v>308</v>
      </c>
      <c r="H66" s="55" t="s">
        <v>309</v>
      </c>
      <c r="I66" s="55" t="s">
        <v>310</v>
      </c>
      <c r="J66" s="55" t="s">
        <v>66</v>
      </c>
      <c r="K66" s="55" t="s">
        <v>66</v>
      </c>
      <c r="L66" s="55" t="s">
        <v>311</v>
      </c>
      <c r="M66" s="59"/>
    </row>
    <row r="67" spans="1:13" s="30" customFormat="1" ht="26.4">
      <c r="A67" s="31"/>
      <c r="B67" s="55" t="s">
        <v>12</v>
      </c>
      <c r="C67" s="55" t="s">
        <v>67</v>
      </c>
      <c r="D67" s="55" t="s">
        <v>15</v>
      </c>
      <c r="E67" s="55" t="s">
        <v>9</v>
      </c>
      <c r="F67" s="55" t="s">
        <v>10</v>
      </c>
      <c r="G67" s="55" t="s">
        <v>179</v>
      </c>
      <c r="H67" s="55" t="s">
        <v>179</v>
      </c>
      <c r="I67" s="55" t="s">
        <v>179</v>
      </c>
      <c r="J67" s="55" t="s">
        <v>68</v>
      </c>
      <c r="K67" s="55" t="s">
        <v>312</v>
      </c>
      <c r="L67" s="55" t="s">
        <v>71</v>
      </c>
      <c r="M67" s="59"/>
    </row>
    <row r="68" spans="1:13" s="30" customFormat="1" ht="26.4">
      <c r="A68" s="24" t="s">
        <v>17</v>
      </c>
      <c r="B68" s="58" t="s">
        <v>18</v>
      </c>
      <c r="C68" s="58" t="s">
        <v>69</v>
      </c>
      <c r="D68" s="58" t="s">
        <v>21</v>
      </c>
      <c r="E68" s="58" t="s">
        <v>69</v>
      </c>
      <c r="F68" s="58" t="s">
        <v>69</v>
      </c>
      <c r="G68" s="58" t="s">
        <v>313</v>
      </c>
      <c r="H68" s="58" t="s">
        <v>313</v>
      </c>
      <c r="I68" s="58" t="s">
        <v>313</v>
      </c>
      <c r="J68" s="58" t="s">
        <v>22</v>
      </c>
      <c r="K68" s="58" t="s">
        <v>22</v>
      </c>
      <c r="L68" s="58" t="s">
        <v>22</v>
      </c>
      <c r="M68" s="59"/>
    </row>
    <row r="69" spans="1:13">
      <c r="A69" s="32">
        <v>2005</v>
      </c>
      <c r="B69" s="14" t="s">
        <v>218</v>
      </c>
      <c r="C69" s="14">
        <v>242.33459499852989</v>
      </c>
      <c r="D69" s="14">
        <v>10</v>
      </c>
      <c r="E69" s="14" t="s">
        <v>218</v>
      </c>
      <c r="F69" s="14" t="s">
        <v>218</v>
      </c>
      <c r="G69" s="14">
        <v>242.33459499852989</v>
      </c>
      <c r="H69" s="14">
        <v>0</v>
      </c>
      <c r="I69" s="14">
        <v>0</v>
      </c>
      <c r="J69" s="14">
        <v>48.888335878712567</v>
      </c>
      <c r="K69" s="14">
        <v>48.888335878712567</v>
      </c>
      <c r="L69" s="14">
        <f>J69-K69</f>
        <v>0</v>
      </c>
    </row>
    <row r="70" spans="1:13">
      <c r="A70" s="32">
        <v>2006</v>
      </c>
      <c r="B70" s="14" t="s">
        <v>218</v>
      </c>
      <c r="C70" s="14">
        <v>247.13518202250467</v>
      </c>
      <c r="D70" s="14">
        <v>10</v>
      </c>
      <c r="E70" s="14" t="s">
        <v>218</v>
      </c>
      <c r="F70" s="14" t="s">
        <v>218</v>
      </c>
      <c r="G70" s="14">
        <v>247.13518202250467</v>
      </c>
      <c r="H70" s="14">
        <v>0</v>
      </c>
      <c r="I70" s="14">
        <v>0</v>
      </c>
      <c r="J70" s="14">
        <v>49.856801445275579</v>
      </c>
      <c r="K70" s="14">
        <v>49.856801445275579</v>
      </c>
      <c r="L70" s="14">
        <f t="shared" ref="L70:L90" si="6">J70-K70</f>
        <v>0</v>
      </c>
    </row>
    <row r="71" spans="1:13">
      <c r="A71" s="32">
        <v>2007</v>
      </c>
      <c r="B71" s="14" t="s">
        <v>218</v>
      </c>
      <c r="C71" s="14">
        <v>252.9585830205327</v>
      </c>
      <c r="D71" s="14">
        <v>10</v>
      </c>
      <c r="E71" s="14" t="s">
        <v>218</v>
      </c>
      <c r="F71" s="14" t="s">
        <v>218</v>
      </c>
      <c r="G71" s="14">
        <v>252.9585830205327</v>
      </c>
      <c r="H71" s="14">
        <v>0</v>
      </c>
      <c r="I71" s="14">
        <v>0</v>
      </c>
      <c r="J71" s="14">
        <v>51.03160846756537</v>
      </c>
      <c r="K71" s="14">
        <v>51.03160846756537</v>
      </c>
      <c r="L71" s="14">
        <f t="shared" si="6"/>
        <v>0</v>
      </c>
    </row>
    <row r="72" spans="1:13">
      <c r="A72" s="32">
        <v>2008</v>
      </c>
      <c r="B72" s="14" t="s">
        <v>218</v>
      </c>
      <c r="C72" s="14">
        <v>254.07677616852322</v>
      </c>
      <c r="D72" s="14">
        <v>10</v>
      </c>
      <c r="E72" s="14" t="s">
        <v>218</v>
      </c>
      <c r="F72" s="14" t="s">
        <v>218</v>
      </c>
      <c r="G72" s="14">
        <v>254.07677616852322</v>
      </c>
      <c r="H72" s="14">
        <v>0</v>
      </c>
      <c r="I72" s="14">
        <v>0</v>
      </c>
      <c r="J72" s="14">
        <v>51.257191621289529</v>
      </c>
      <c r="K72" s="14">
        <v>51.257191621289529</v>
      </c>
      <c r="L72" s="14">
        <f t="shared" si="6"/>
        <v>0</v>
      </c>
    </row>
    <row r="73" spans="1:13">
      <c r="A73" s="32">
        <v>2009</v>
      </c>
      <c r="B73" s="14" t="s">
        <v>218</v>
      </c>
      <c r="C73" s="14">
        <v>252.60074638739738</v>
      </c>
      <c r="D73" s="14">
        <v>10</v>
      </c>
      <c r="E73" s="14" t="s">
        <v>218</v>
      </c>
      <c r="F73" s="14" t="s">
        <v>218</v>
      </c>
      <c r="G73" s="14">
        <v>252.60074638739738</v>
      </c>
      <c r="H73" s="14">
        <v>0</v>
      </c>
      <c r="I73" s="14">
        <v>0</v>
      </c>
      <c r="J73" s="14">
        <v>50.959418867436121</v>
      </c>
      <c r="K73" s="14">
        <v>50.959418867436121</v>
      </c>
      <c r="L73" s="14">
        <f t="shared" si="6"/>
        <v>0</v>
      </c>
    </row>
    <row r="74" spans="1:13">
      <c r="A74" s="32">
        <v>2010</v>
      </c>
      <c r="B74" s="14" t="s">
        <v>218</v>
      </c>
      <c r="C74" s="14">
        <v>253.24352624353452</v>
      </c>
      <c r="D74" s="14">
        <v>10</v>
      </c>
      <c r="E74" s="14">
        <v>25.324352624353452</v>
      </c>
      <c r="F74" s="14">
        <v>0</v>
      </c>
      <c r="G74" s="14">
        <v>227.91917361918107</v>
      </c>
      <c r="H74" s="14">
        <v>25.324352624353452</v>
      </c>
      <c r="I74" s="14">
        <v>0</v>
      </c>
      <c r="J74" s="14">
        <v>51.089092624924582</v>
      </c>
      <c r="K74" s="14">
        <v>48.997267613496511</v>
      </c>
      <c r="L74" s="14">
        <f t="shared" si="6"/>
        <v>2.091825011428071</v>
      </c>
    </row>
    <row r="75" spans="1:13">
      <c r="A75" s="32">
        <v>2011</v>
      </c>
      <c r="B75" s="14" t="s">
        <v>218</v>
      </c>
      <c r="C75" s="14">
        <v>255.3470570925719</v>
      </c>
      <c r="D75" s="14">
        <v>10</v>
      </c>
      <c r="E75" s="14">
        <v>25.324352624353452</v>
      </c>
      <c r="F75" s="14">
        <v>2.1035308490373836</v>
      </c>
      <c r="G75" s="14">
        <v>202.59482099482761</v>
      </c>
      <c r="H75" s="14">
        <v>52.752236097744287</v>
      </c>
      <c r="I75" s="14">
        <v>0</v>
      </c>
      <c r="J75" s="14">
        <v>51.513456808996594</v>
      </c>
      <c r="K75" s="14">
        <v>47.156052356655245</v>
      </c>
      <c r="L75" s="14">
        <f t="shared" si="6"/>
        <v>4.3574044523413491</v>
      </c>
    </row>
    <row r="76" spans="1:13">
      <c r="A76" s="32">
        <v>2012</v>
      </c>
      <c r="B76" s="14" t="s">
        <v>218</v>
      </c>
      <c r="C76" s="14">
        <v>257.29121082453776</v>
      </c>
      <c r="D76" s="14">
        <v>10</v>
      </c>
      <c r="E76" s="14">
        <v>25.324352624353452</v>
      </c>
      <c r="F76" s="14">
        <v>1.9441537319658551</v>
      </c>
      <c r="G76" s="14">
        <v>177.27046837047416</v>
      </c>
      <c r="H76" s="14">
        <v>80.020742454063594</v>
      </c>
      <c r="I76" s="14">
        <v>0</v>
      </c>
      <c r="J76" s="14">
        <v>51.905668414808694</v>
      </c>
      <c r="K76" s="14">
        <v>45.295849282157619</v>
      </c>
      <c r="L76" s="14">
        <f t="shared" si="6"/>
        <v>6.6098191326510758</v>
      </c>
    </row>
    <row r="77" spans="1:13">
      <c r="A77" s="32">
        <v>2013</v>
      </c>
      <c r="B77" s="14" t="s">
        <v>218</v>
      </c>
      <c r="C77" s="14">
        <v>259.96528704306024</v>
      </c>
      <c r="D77" s="14">
        <v>10</v>
      </c>
      <c r="E77" s="14">
        <v>25.324352624353452</v>
      </c>
      <c r="F77" s="14">
        <v>2.6740762185224867</v>
      </c>
      <c r="G77" s="14">
        <v>151.94611574612071</v>
      </c>
      <c r="H77" s="14">
        <v>108.01917129693953</v>
      </c>
      <c r="I77" s="14">
        <v>0</v>
      </c>
      <c r="J77" s="14">
        <v>52.445133844155251</v>
      </c>
      <c r="K77" s="14">
        <v>43.522607468678373</v>
      </c>
      <c r="L77" s="14">
        <f t="shared" si="6"/>
        <v>8.9225263754768775</v>
      </c>
    </row>
    <row r="78" spans="1:13">
      <c r="A78" s="32">
        <v>2014</v>
      </c>
      <c r="B78" s="14" t="s">
        <v>218</v>
      </c>
      <c r="C78" s="14">
        <v>264.74158503449098</v>
      </c>
      <c r="D78" s="14">
        <v>10</v>
      </c>
      <c r="E78" s="14">
        <v>25.324352624353452</v>
      </c>
      <c r="F78" s="14">
        <v>4.776297991430738</v>
      </c>
      <c r="G78" s="14">
        <v>126.62176312176726</v>
      </c>
      <c r="H78" s="14">
        <v>138.11982191272372</v>
      </c>
      <c r="I78" s="14">
        <v>0</v>
      </c>
      <c r="J78" s="14">
        <v>53.408699365880707</v>
      </c>
      <c r="K78" s="14">
        <v>41.999819449511982</v>
      </c>
      <c r="L78" s="14">
        <f t="shared" si="6"/>
        <v>11.408879916368726</v>
      </c>
    </row>
    <row r="79" spans="1:13">
      <c r="A79" s="32">
        <v>2015</v>
      </c>
      <c r="B79" s="14" t="s">
        <v>218</v>
      </c>
      <c r="C79" s="14">
        <v>271.63880341474578</v>
      </c>
      <c r="D79" s="14">
        <v>10</v>
      </c>
      <c r="E79" s="14">
        <v>25.324352624353452</v>
      </c>
      <c r="F79" s="14">
        <v>6.8972183802547988</v>
      </c>
      <c r="G79" s="14">
        <v>101.29741049741381</v>
      </c>
      <c r="H79" s="14">
        <v>170.34139291733197</v>
      </c>
      <c r="I79" s="14">
        <v>0</v>
      </c>
      <c r="J79" s="14">
        <v>54.80013721983125</v>
      </c>
      <c r="K79" s="14">
        <v>40.72971293410609</v>
      </c>
      <c r="L79" s="14">
        <f t="shared" si="6"/>
        <v>14.07042428572516</v>
      </c>
    </row>
    <row r="80" spans="1:13">
      <c r="A80" s="32">
        <v>2016</v>
      </c>
      <c r="B80" s="14" t="s">
        <v>218</v>
      </c>
      <c r="C80" s="14">
        <v>276.19444480456485</v>
      </c>
      <c r="D80" s="14">
        <v>10</v>
      </c>
      <c r="E80" s="14">
        <v>25.324352624353452</v>
      </c>
      <c r="F80" s="14">
        <v>4.5556413898190726</v>
      </c>
      <c r="G80" s="14">
        <v>75.973057873060355</v>
      </c>
      <c r="H80" s="14">
        <v>200.2213869315045</v>
      </c>
      <c r="I80" s="14">
        <v>0</v>
      </c>
      <c r="J80" s="14">
        <v>55.719187702119129</v>
      </c>
      <c r="K80" s="14">
        <v>39.180636402554363</v>
      </c>
      <c r="L80" s="14">
        <f t="shared" si="6"/>
        <v>16.538551299564766</v>
      </c>
    </row>
    <row r="81" spans="1:13">
      <c r="A81" s="32">
        <v>2017</v>
      </c>
      <c r="B81" s="14" t="s">
        <v>218</v>
      </c>
      <c r="C81" s="14">
        <v>280.50702616529622</v>
      </c>
      <c r="D81" s="14">
        <v>10</v>
      </c>
      <c r="E81" s="14">
        <v>25.324352624353452</v>
      </c>
      <c r="F81" s="14">
        <v>4.3125813607313717</v>
      </c>
      <c r="G81" s="14">
        <v>50.648705248706904</v>
      </c>
      <c r="H81" s="14">
        <v>200.2213869315045</v>
      </c>
      <c r="I81" s="14">
        <v>29.636933985084823</v>
      </c>
      <c r="J81" s="14">
        <v>56.58920350018952</v>
      </c>
      <c r="K81" s="14">
        <v>36.135474301034975</v>
      </c>
      <c r="L81" s="14">
        <f t="shared" si="6"/>
        <v>20.453729199154544</v>
      </c>
    </row>
    <row r="82" spans="1:13">
      <c r="A82" s="32">
        <v>2018</v>
      </c>
      <c r="B82" s="14" t="s">
        <v>218</v>
      </c>
      <c r="C82" s="14">
        <v>284.53461105865063</v>
      </c>
      <c r="D82" s="14">
        <v>10</v>
      </c>
      <c r="E82" s="14">
        <v>25.324352624353452</v>
      </c>
      <c r="F82" s="14">
        <v>4.0275848933544012</v>
      </c>
      <c r="G82" s="14">
        <v>25.324352624353452</v>
      </c>
      <c r="H82" s="14">
        <v>200.2213869315045</v>
      </c>
      <c r="I82" s="14">
        <v>58.988871502792676</v>
      </c>
      <c r="J82" s="14">
        <v>57.401724399434364</v>
      </c>
      <c r="K82" s="14">
        <v>33.070466669922936</v>
      </c>
      <c r="L82" s="14">
        <f t="shared" si="6"/>
        <v>24.331257729511428</v>
      </c>
    </row>
    <row r="83" spans="1:13">
      <c r="A83" s="32">
        <v>2019</v>
      </c>
      <c r="B83" s="14" t="s">
        <v>218</v>
      </c>
      <c r="C83" s="14">
        <v>288.46121094517179</v>
      </c>
      <c r="D83" s="14">
        <v>10</v>
      </c>
      <c r="E83" s="14">
        <v>25.324352624353452</v>
      </c>
      <c r="F83" s="14">
        <v>3.92659988652116</v>
      </c>
      <c r="G83" s="14">
        <v>0</v>
      </c>
      <c r="H83" s="14">
        <v>200.2213869315045</v>
      </c>
      <c r="I83" s="14">
        <v>88.239824013667288</v>
      </c>
      <c r="J83" s="14">
        <v>58.193872685628186</v>
      </c>
      <c r="K83" s="14">
        <v>29.998427018519667</v>
      </c>
      <c r="L83" s="14">
        <f t="shared" si="6"/>
        <v>28.195445667108519</v>
      </c>
    </row>
    <row r="84" spans="1:13">
      <c r="A84" s="32">
        <v>2020</v>
      </c>
      <c r="B84" s="14" t="s">
        <v>218</v>
      </c>
      <c r="C84" s="14">
        <v>292.30018408948274</v>
      </c>
      <c r="D84" s="14">
        <v>10</v>
      </c>
      <c r="E84" s="14">
        <v>25.324352624353452</v>
      </c>
      <c r="F84" s="14">
        <v>3.8389731443109554</v>
      </c>
      <c r="G84" s="14">
        <v>0</v>
      </c>
      <c r="H84" s="14">
        <v>174.89703430715105</v>
      </c>
      <c r="I84" s="14">
        <v>117.4031497823317</v>
      </c>
      <c r="J84" s="14">
        <v>58.968343241553441</v>
      </c>
      <c r="K84" s="14">
        <v>29.012110551663426</v>
      </c>
      <c r="L84" s="14">
        <f t="shared" si="6"/>
        <v>29.956232689890015</v>
      </c>
    </row>
    <row r="85" spans="1:13">
      <c r="A85" s="32">
        <v>2021</v>
      </c>
      <c r="B85" s="14" t="s">
        <v>218</v>
      </c>
      <c r="C85" s="14">
        <v>296.08964635256734</v>
      </c>
      <c r="D85" s="14">
        <v>10</v>
      </c>
      <c r="E85" s="14">
        <v>27.427883473390835</v>
      </c>
      <c r="F85" s="14">
        <v>3.7894622630846015</v>
      </c>
      <c r="G85" s="14">
        <v>0</v>
      </c>
      <c r="H85" s="14">
        <v>147.46915083376021</v>
      </c>
      <c r="I85" s="14">
        <v>148.62049551880713</v>
      </c>
      <c r="J85" s="14">
        <v>59.73282552242015</v>
      </c>
      <c r="K85" s="14">
        <v>27.918214573473126</v>
      </c>
      <c r="L85" s="14">
        <f t="shared" si="6"/>
        <v>31.814610948947024</v>
      </c>
    </row>
    <row r="86" spans="1:13">
      <c r="A86" s="32">
        <v>2022</v>
      </c>
      <c r="B86" s="14" t="s">
        <v>218</v>
      </c>
      <c r="C86" s="14">
        <v>299.91488582978241</v>
      </c>
      <c r="D86" s="14">
        <v>10</v>
      </c>
      <c r="E86" s="14">
        <v>27.268506356319307</v>
      </c>
      <c r="F86" s="14">
        <v>3.8252394772150637</v>
      </c>
      <c r="G86" s="14">
        <v>0</v>
      </c>
      <c r="H86" s="14">
        <v>120.2006444774409</v>
      </c>
      <c r="I86" s="14">
        <v>179.7142413523415</v>
      </c>
      <c r="J86" s="14">
        <v>60.504525462248111</v>
      </c>
      <c r="K86" s="14">
        <v>26.834699620181219</v>
      </c>
      <c r="L86" s="14">
        <f t="shared" si="6"/>
        <v>33.669825842066892</v>
      </c>
    </row>
    <row r="87" spans="1:13">
      <c r="A87" s="32">
        <v>2023</v>
      </c>
      <c r="B87" s="14" t="s">
        <v>218</v>
      </c>
      <c r="C87" s="14">
        <v>303.69078438956785</v>
      </c>
      <c r="D87" s="14">
        <v>10</v>
      </c>
      <c r="E87" s="14">
        <v>27.998428842875938</v>
      </c>
      <c r="F87" s="14">
        <v>3.7758985597854462</v>
      </c>
      <c r="G87" s="14">
        <v>0</v>
      </c>
      <c r="H87" s="14">
        <v>92.202215634564965</v>
      </c>
      <c r="I87" s="14">
        <v>211.48856875500289</v>
      </c>
      <c r="J87" s="14">
        <v>61.266271415341841</v>
      </c>
      <c r="K87" s="14">
        <v>25.711615227231519</v>
      </c>
      <c r="L87" s="14">
        <f t="shared" si="6"/>
        <v>35.554656188110322</v>
      </c>
    </row>
    <row r="88" spans="1:13">
      <c r="A88" s="32">
        <v>2024</v>
      </c>
      <c r="B88" s="14" t="s">
        <v>218</v>
      </c>
      <c r="C88" s="14">
        <v>307.40569310706604</v>
      </c>
      <c r="D88" s="14">
        <v>10</v>
      </c>
      <c r="E88" s="14">
        <v>30.10065061578419</v>
      </c>
      <c r="F88" s="14">
        <v>3.7149087174981901</v>
      </c>
      <c r="G88" s="14">
        <v>0</v>
      </c>
      <c r="H88" s="14">
        <v>62.101565018780775</v>
      </c>
      <c r="I88" s="14">
        <v>245.30412808828527</v>
      </c>
      <c r="J88" s="14">
        <v>62.015713339392811</v>
      </c>
      <c r="K88" s="14">
        <v>24.480216797199805</v>
      </c>
      <c r="L88" s="14">
        <f t="shared" si="6"/>
        <v>37.535496542193002</v>
      </c>
    </row>
    <row r="89" spans="1:13">
      <c r="A89" s="32">
        <v>2025</v>
      </c>
      <c r="B89" s="14" t="s">
        <v>218</v>
      </c>
      <c r="C89" s="14">
        <v>311.21807648227872</v>
      </c>
      <c r="D89" s="14">
        <v>10</v>
      </c>
      <c r="E89" s="14">
        <v>32.221571004608251</v>
      </c>
      <c r="F89" s="14">
        <v>3.8123833752126757</v>
      </c>
      <c r="G89" s="14">
        <v>0</v>
      </c>
      <c r="H89" s="14">
        <v>29.879994014172524</v>
      </c>
      <c r="I89" s="14">
        <v>281.33808246810622</v>
      </c>
      <c r="J89" s="14">
        <v>62.784819702217099</v>
      </c>
      <c r="K89" s="14">
        <v>23.150613250253656</v>
      </c>
      <c r="L89" s="14">
        <f t="shared" si="6"/>
        <v>39.634206451963443</v>
      </c>
    </row>
    <row r="90" spans="1:13">
      <c r="A90" s="32">
        <v>2026</v>
      </c>
      <c r="B90" s="14" t="s">
        <v>218</v>
      </c>
      <c r="C90" s="14">
        <v>315.1150489761115</v>
      </c>
      <c r="D90" s="14">
        <v>10</v>
      </c>
      <c r="E90" s="14">
        <v>29.879994014172524</v>
      </c>
      <c r="F90" s="14">
        <v>3.8969724938327772</v>
      </c>
      <c r="G90" s="14">
        <v>0</v>
      </c>
      <c r="H90" s="14">
        <v>0</v>
      </c>
      <c r="I90" s="14">
        <v>315.1150489761115</v>
      </c>
      <c r="J90" s="14">
        <v>63.570990988201899</v>
      </c>
      <c r="K90" s="14">
        <v>21.942815948222659</v>
      </c>
      <c r="L90" s="14">
        <f t="shared" si="6"/>
        <v>41.62817503997924</v>
      </c>
    </row>
    <row r="91" spans="1:13">
      <c r="A91" s="34"/>
      <c r="B91" s="18"/>
      <c r="C91" s="18"/>
      <c r="D91" s="18"/>
      <c r="E91" s="18"/>
      <c r="F91" s="18"/>
      <c r="G91" s="18"/>
      <c r="H91" s="18"/>
      <c r="I91" s="18"/>
      <c r="J91" s="18"/>
      <c r="K91" s="18"/>
      <c r="L91" s="18"/>
    </row>
    <row r="92" spans="1:13" s="26" customFormat="1" ht="15.6">
      <c r="A92" s="25" t="s">
        <v>42</v>
      </c>
      <c r="B92" s="27"/>
      <c r="C92" s="27"/>
      <c r="D92" s="25"/>
      <c r="E92" s="25"/>
      <c r="F92" s="25"/>
      <c r="G92" s="25"/>
      <c r="H92" s="25"/>
      <c r="I92" s="25"/>
      <c r="J92" s="25"/>
      <c r="K92" s="25"/>
      <c r="L92" s="25"/>
    </row>
    <row r="93" spans="1:13" s="30" customFormat="1" ht="26.4">
      <c r="A93" s="28"/>
      <c r="B93" s="192" t="s">
        <v>62</v>
      </c>
      <c r="C93" s="192"/>
      <c r="D93" s="146"/>
      <c r="E93" s="146"/>
      <c r="F93" s="146"/>
      <c r="G93" s="146"/>
      <c r="H93" s="146"/>
      <c r="I93" s="146"/>
      <c r="J93" s="146" t="s">
        <v>2</v>
      </c>
      <c r="K93" s="146" t="s">
        <v>3</v>
      </c>
      <c r="L93" s="146" t="s">
        <v>70</v>
      </c>
      <c r="M93" s="59"/>
    </row>
    <row r="94" spans="1:13" s="30" customFormat="1" ht="26.4">
      <c r="A94" s="31"/>
      <c r="B94" s="56" t="s">
        <v>4</v>
      </c>
      <c r="C94" s="56" t="s">
        <v>4</v>
      </c>
      <c r="D94" s="57" t="s">
        <v>63</v>
      </c>
      <c r="E94" s="57" t="s">
        <v>32</v>
      </c>
      <c r="F94" s="57" t="s">
        <v>32</v>
      </c>
      <c r="G94" s="57" t="s">
        <v>4</v>
      </c>
      <c r="H94" s="57" t="s">
        <v>307</v>
      </c>
      <c r="I94" s="57" t="s">
        <v>307</v>
      </c>
      <c r="J94" s="56" t="s">
        <v>4</v>
      </c>
      <c r="K94" s="56" t="s">
        <v>4</v>
      </c>
      <c r="L94" s="56" t="s">
        <v>24</v>
      </c>
      <c r="M94" s="59"/>
    </row>
    <row r="95" spans="1:13" s="30" customFormat="1" ht="26.4">
      <c r="A95" s="31"/>
      <c r="B95" s="55" t="s">
        <v>52</v>
      </c>
      <c r="C95" s="55" t="s">
        <v>64</v>
      </c>
      <c r="D95" s="55" t="s">
        <v>8</v>
      </c>
      <c r="E95" s="55" t="s">
        <v>65</v>
      </c>
      <c r="F95" s="55" t="s">
        <v>65</v>
      </c>
      <c r="G95" s="55" t="s">
        <v>308</v>
      </c>
      <c r="H95" s="55" t="s">
        <v>309</v>
      </c>
      <c r="I95" s="55" t="s">
        <v>310</v>
      </c>
      <c r="J95" s="55" t="s">
        <v>66</v>
      </c>
      <c r="K95" s="55" t="s">
        <v>66</v>
      </c>
      <c r="L95" s="55" t="s">
        <v>311</v>
      </c>
      <c r="M95" s="59"/>
    </row>
    <row r="96" spans="1:13" s="30" customFormat="1" ht="26.4">
      <c r="A96" s="31"/>
      <c r="B96" s="55" t="s">
        <v>12</v>
      </c>
      <c r="C96" s="55" t="s">
        <v>67</v>
      </c>
      <c r="D96" s="55" t="s">
        <v>15</v>
      </c>
      <c r="E96" s="55" t="s">
        <v>9</v>
      </c>
      <c r="F96" s="55" t="s">
        <v>10</v>
      </c>
      <c r="G96" s="55" t="s">
        <v>179</v>
      </c>
      <c r="H96" s="55" t="s">
        <v>179</v>
      </c>
      <c r="I96" s="55" t="s">
        <v>179</v>
      </c>
      <c r="J96" s="55" t="s">
        <v>68</v>
      </c>
      <c r="K96" s="55" t="s">
        <v>312</v>
      </c>
      <c r="L96" s="55" t="s">
        <v>71</v>
      </c>
      <c r="M96" s="59"/>
    </row>
    <row r="97" spans="1:14" s="30" customFormat="1" ht="26.4">
      <c r="A97" s="24" t="s">
        <v>17</v>
      </c>
      <c r="B97" s="58" t="s">
        <v>18</v>
      </c>
      <c r="C97" s="58" t="s">
        <v>69</v>
      </c>
      <c r="D97" s="58" t="s">
        <v>21</v>
      </c>
      <c r="E97" s="58" t="s">
        <v>69</v>
      </c>
      <c r="F97" s="58" t="s">
        <v>69</v>
      </c>
      <c r="G97" s="58" t="s">
        <v>313</v>
      </c>
      <c r="H97" s="58" t="s">
        <v>313</v>
      </c>
      <c r="I97" s="58" t="s">
        <v>313</v>
      </c>
      <c r="J97" s="58" t="s">
        <v>22</v>
      </c>
      <c r="K97" s="58" t="s">
        <v>22</v>
      </c>
      <c r="L97" s="58" t="s">
        <v>22</v>
      </c>
      <c r="M97" s="59"/>
    </row>
    <row r="98" spans="1:14">
      <c r="A98" s="32">
        <v>2005</v>
      </c>
      <c r="B98" s="14" t="s">
        <v>218</v>
      </c>
      <c r="C98" s="14">
        <v>180.46193244571376</v>
      </c>
      <c r="D98" s="14">
        <v>10</v>
      </c>
      <c r="E98" s="14" t="s">
        <v>218</v>
      </c>
      <c r="F98" s="14" t="s">
        <v>218</v>
      </c>
      <c r="G98" s="14">
        <v>180.46193244571376</v>
      </c>
      <c r="H98" s="14">
        <v>0</v>
      </c>
      <c r="I98" s="14">
        <v>0</v>
      </c>
      <c r="J98" s="14">
        <v>36.406207569254036</v>
      </c>
      <c r="K98" s="14">
        <v>36.406207569254036</v>
      </c>
      <c r="L98" s="14">
        <f>J98-K98</f>
        <v>0</v>
      </c>
      <c r="N98" s="38"/>
    </row>
    <row r="99" spans="1:14">
      <c r="A99" s="32">
        <v>2006</v>
      </c>
      <c r="B99" s="14" t="s">
        <v>218</v>
      </c>
      <c r="C99" s="14">
        <v>184.03683767633325</v>
      </c>
      <c r="D99" s="14">
        <v>10</v>
      </c>
      <c r="E99" s="14" t="s">
        <v>218</v>
      </c>
      <c r="F99" s="14" t="s">
        <v>218</v>
      </c>
      <c r="G99" s="14">
        <v>184.03683767633325</v>
      </c>
      <c r="H99" s="14">
        <v>0</v>
      </c>
      <c r="I99" s="14">
        <v>0</v>
      </c>
      <c r="J99" s="14">
        <v>37.127405331588193</v>
      </c>
      <c r="K99" s="14">
        <v>37.127405331588193</v>
      </c>
      <c r="L99" s="14">
        <f t="shared" ref="L99:L119" si="7">J99-K99</f>
        <v>0</v>
      </c>
    </row>
    <row r="100" spans="1:14">
      <c r="A100" s="32">
        <v>2007</v>
      </c>
      <c r="B100" s="14" t="s">
        <v>218</v>
      </c>
      <c r="C100" s="14">
        <v>188.37341288763074</v>
      </c>
      <c r="D100" s="14">
        <v>10</v>
      </c>
      <c r="E100" s="14" t="s">
        <v>218</v>
      </c>
      <c r="F100" s="14" t="s">
        <v>218</v>
      </c>
      <c r="G100" s="14">
        <v>188.37341288763074</v>
      </c>
      <c r="H100" s="14">
        <v>0</v>
      </c>
      <c r="I100" s="14">
        <v>0</v>
      </c>
      <c r="J100" s="14">
        <v>38.002261624782719</v>
      </c>
      <c r="K100" s="14">
        <v>38.002261624782719</v>
      </c>
      <c r="L100" s="14">
        <f t="shared" si="7"/>
        <v>0</v>
      </c>
    </row>
    <row r="101" spans="1:14">
      <c r="A101" s="32">
        <v>2008</v>
      </c>
      <c r="B101" s="14" t="s">
        <v>218</v>
      </c>
      <c r="C101" s="14">
        <v>189.20610991273006</v>
      </c>
      <c r="D101" s="14">
        <v>10</v>
      </c>
      <c r="E101" s="14" t="s">
        <v>218</v>
      </c>
      <c r="F101" s="14" t="s">
        <v>218</v>
      </c>
      <c r="G101" s="14">
        <v>189.20610991273006</v>
      </c>
      <c r="H101" s="14">
        <v>0</v>
      </c>
      <c r="I101" s="14">
        <v>0</v>
      </c>
      <c r="J101" s="14">
        <v>38.170249079683693</v>
      </c>
      <c r="K101" s="14">
        <v>38.170249079683693</v>
      </c>
      <c r="L101" s="14">
        <f t="shared" si="7"/>
        <v>0</v>
      </c>
    </row>
    <row r="102" spans="1:14">
      <c r="A102" s="32">
        <v>2009</v>
      </c>
      <c r="B102" s="14" t="s">
        <v>218</v>
      </c>
      <c r="C102" s="14">
        <v>188.10693879912569</v>
      </c>
      <c r="D102" s="14">
        <v>10</v>
      </c>
      <c r="E102" s="14" t="s">
        <v>218</v>
      </c>
      <c r="F102" s="14" t="s">
        <v>218</v>
      </c>
      <c r="G102" s="14">
        <v>188.10693879912569</v>
      </c>
      <c r="H102" s="14">
        <v>0</v>
      </c>
      <c r="I102" s="14">
        <v>0</v>
      </c>
      <c r="J102" s="14">
        <v>37.948503411920512</v>
      </c>
      <c r="K102" s="14">
        <v>37.948503411920512</v>
      </c>
      <c r="L102" s="14">
        <f t="shared" si="7"/>
        <v>0</v>
      </c>
    </row>
    <row r="103" spans="1:14">
      <c r="A103" s="32">
        <v>2010</v>
      </c>
      <c r="B103" s="14" t="s">
        <v>218</v>
      </c>
      <c r="C103" s="14">
        <v>188.5856046494406</v>
      </c>
      <c r="D103" s="14">
        <v>10</v>
      </c>
      <c r="E103" s="14">
        <v>18.858560464944059</v>
      </c>
      <c r="F103" s="14">
        <v>0</v>
      </c>
      <c r="G103" s="14">
        <v>169.72704418449652</v>
      </c>
      <c r="H103" s="14">
        <v>18.858560464944059</v>
      </c>
      <c r="I103" s="14">
        <v>0</v>
      </c>
      <c r="J103" s="14">
        <v>38.045068976007663</v>
      </c>
      <c r="K103" s="14">
        <v>36.487326946220804</v>
      </c>
      <c r="L103" s="14">
        <f t="shared" si="7"/>
        <v>1.5577420297868585</v>
      </c>
    </row>
    <row r="104" spans="1:14">
      <c r="A104" s="32">
        <v>2011</v>
      </c>
      <c r="B104" s="14" t="s">
        <v>218</v>
      </c>
      <c r="C104" s="14">
        <v>190.15206379234075</v>
      </c>
      <c r="D104" s="14">
        <v>10</v>
      </c>
      <c r="E104" s="14">
        <v>18.858560464944059</v>
      </c>
      <c r="F104" s="14">
        <v>1.5664591429001793</v>
      </c>
      <c r="G104" s="14">
        <v>150.86848371955247</v>
      </c>
      <c r="H104" s="14">
        <v>39.283580072788297</v>
      </c>
      <c r="I104" s="14">
        <v>0</v>
      </c>
      <c r="J104" s="14">
        <v>38.361084857763416</v>
      </c>
      <c r="K104" s="14">
        <v>35.116209201764541</v>
      </c>
      <c r="L104" s="14">
        <f t="shared" si="7"/>
        <v>3.2448756559988752</v>
      </c>
    </row>
    <row r="105" spans="1:14">
      <c r="A105" s="32">
        <v>2012</v>
      </c>
      <c r="B105" s="14" t="s">
        <v>218</v>
      </c>
      <c r="C105" s="14">
        <v>191.59983784806002</v>
      </c>
      <c r="D105" s="14">
        <v>10</v>
      </c>
      <c r="E105" s="14">
        <v>18.858560464944059</v>
      </c>
      <c r="F105" s="14">
        <v>1.4477740557192538</v>
      </c>
      <c r="G105" s="14">
        <v>132.00992325460842</v>
      </c>
      <c r="H105" s="14">
        <v>59.58991459345161</v>
      </c>
      <c r="I105" s="14">
        <v>0</v>
      </c>
      <c r="J105" s="14">
        <v>38.653157330176683</v>
      </c>
      <c r="K105" s="14">
        <v>33.730951593096094</v>
      </c>
      <c r="L105" s="14">
        <f t="shared" si="7"/>
        <v>4.9222057370805885</v>
      </c>
    </row>
    <row r="106" spans="1:14">
      <c r="A106" s="32">
        <v>2013</v>
      </c>
      <c r="B106" s="14" t="s">
        <v>218</v>
      </c>
      <c r="C106" s="14">
        <v>193.5911712022789</v>
      </c>
      <c r="D106" s="14">
        <v>10</v>
      </c>
      <c r="E106" s="14">
        <v>18.858560464944059</v>
      </c>
      <c r="F106" s="14">
        <v>1.9913333542188729</v>
      </c>
      <c r="G106" s="14">
        <v>113.15136278966435</v>
      </c>
      <c r="H106" s="14">
        <v>80.439808412614539</v>
      </c>
      <c r="I106" s="14">
        <v>0</v>
      </c>
      <c r="J106" s="14">
        <v>39.054886905221991</v>
      </c>
      <c r="K106" s="14">
        <v>32.410452370292404</v>
      </c>
      <c r="L106" s="14">
        <f t="shared" si="7"/>
        <v>6.6444345349295872</v>
      </c>
    </row>
    <row r="107" spans="1:14">
      <c r="A107" s="32">
        <v>2014</v>
      </c>
      <c r="B107" s="14" t="s">
        <v>218</v>
      </c>
      <c r="C107" s="14">
        <v>197.14798885547199</v>
      </c>
      <c r="D107" s="14">
        <v>10</v>
      </c>
      <c r="E107" s="14">
        <v>18.858560464944059</v>
      </c>
      <c r="F107" s="14">
        <v>3.5568176531931024</v>
      </c>
      <c r="G107" s="14">
        <v>94.292802324720299</v>
      </c>
      <c r="H107" s="14">
        <v>102.85518653075171</v>
      </c>
      <c r="I107" s="14">
        <v>0</v>
      </c>
      <c r="J107" s="14">
        <v>39.772435697996272</v>
      </c>
      <c r="K107" s="14">
        <v>31.276461292189772</v>
      </c>
      <c r="L107" s="14">
        <f t="shared" si="7"/>
        <v>8.4959744058064999</v>
      </c>
    </row>
    <row r="108" spans="1:14">
      <c r="A108" s="32">
        <v>2015</v>
      </c>
      <c r="B108" s="14" t="s">
        <v>218</v>
      </c>
      <c r="C108" s="14">
        <v>202.28421530885322</v>
      </c>
      <c r="D108" s="14">
        <v>10</v>
      </c>
      <c r="E108" s="14">
        <v>18.858560464944059</v>
      </c>
      <c r="F108" s="14">
        <v>5.1362264533812327</v>
      </c>
      <c r="G108" s="14">
        <v>75.434241859776236</v>
      </c>
      <c r="H108" s="14">
        <v>126.849973449077</v>
      </c>
      <c r="I108" s="14">
        <v>0</v>
      </c>
      <c r="J108" s="14">
        <v>40.808612823278587</v>
      </c>
      <c r="K108" s="14">
        <v>30.330637291355597</v>
      </c>
      <c r="L108" s="14">
        <f t="shared" si="7"/>
        <v>10.47797553192299</v>
      </c>
    </row>
    <row r="109" spans="1:14">
      <c r="A109" s="32">
        <v>2016</v>
      </c>
      <c r="B109" s="14" t="s">
        <v>218</v>
      </c>
      <c r="C109" s="14">
        <v>205.67671421616529</v>
      </c>
      <c r="D109" s="14">
        <v>10</v>
      </c>
      <c r="E109" s="14">
        <v>18.858560464944059</v>
      </c>
      <c r="F109" s="14">
        <v>3.392498907312075</v>
      </c>
      <c r="G109" s="14">
        <v>56.575681394832174</v>
      </c>
      <c r="H109" s="14">
        <v>149.10103282133312</v>
      </c>
      <c r="I109" s="14">
        <v>0</v>
      </c>
      <c r="J109" s="14">
        <v>41.493012118599353</v>
      </c>
      <c r="K109" s="14">
        <v>29.177069661476651</v>
      </c>
      <c r="L109" s="14">
        <f t="shared" si="7"/>
        <v>12.315942457122702</v>
      </c>
    </row>
    <row r="110" spans="1:14">
      <c r="A110" s="32">
        <v>2017</v>
      </c>
      <c r="B110" s="14" t="s">
        <v>218</v>
      </c>
      <c r="C110" s="14">
        <v>208.88821097415675</v>
      </c>
      <c r="D110" s="14">
        <v>10</v>
      </c>
      <c r="E110" s="14">
        <v>18.858560464944059</v>
      </c>
      <c r="F110" s="14">
        <v>3.2114967579914468</v>
      </c>
      <c r="G110" s="14">
        <v>37.717120929888118</v>
      </c>
      <c r="H110" s="14">
        <v>149.10103282133312</v>
      </c>
      <c r="I110" s="14">
        <v>22.070057222935507</v>
      </c>
      <c r="J110" s="14">
        <v>42.140896223545383</v>
      </c>
      <c r="K110" s="14">
        <v>26.909395756089875</v>
      </c>
      <c r="L110" s="14">
        <f t="shared" si="7"/>
        <v>15.231500467455508</v>
      </c>
    </row>
    <row r="111" spans="1:14">
      <c r="A111" s="32">
        <v>2018</v>
      </c>
      <c r="B111" s="14" t="s">
        <v>218</v>
      </c>
      <c r="C111" s="14">
        <v>211.88747632027173</v>
      </c>
      <c r="D111" s="14">
        <v>10</v>
      </c>
      <c r="E111" s="14">
        <v>18.858560464944059</v>
      </c>
      <c r="F111" s="14">
        <v>2.9992653461149796</v>
      </c>
      <c r="G111" s="14">
        <v>18.858560464944059</v>
      </c>
      <c r="H111" s="14">
        <v>149.10103282133312</v>
      </c>
      <c r="I111" s="14">
        <v>43.927883033994547</v>
      </c>
      <c r="J111" s="14">
        <v>42.745964978302183</v>
      </c>
      <c r="K111" s="14">
        <v>24.626943264836228</v>
      </c>
      <c r="L111" s="14">
        <f t="shared" si="7"/>
        <v>18.119021713465955</v>
      </c>
    </row>
    <row r="112" spans="1:14">
      <c r="A112" s="32">
        <v>2019</v>
      </c>
      <c r="B112" s="14" t="s">
        <v>218</v>
      </c>
      <c r="C112" s="14">
        <v>214.81154006555346</v>
      </c>
      <c r="D112" s="14">
        <v>10</v>
      </c>
      <c r="E112" s="14">
        <v>18.858560464944059</v>
      </c>
      <c r="F112" s="14">
        <v>2.9240637452817149</v>
      </c>
      <c r="G112" s="14">
        <v>0</v>
      </c>
      <c r="H112" s="14">
        <v>149.10103282133312</v>
      </c>
      <c r="I112" s="14">
        <v>65.710507244220324</v>
      </c>
      <c r="J112" s="14">
        <v>43.335862638233756</v>
      </c>
      <c r="K112" s="14">
        <v>22.339254162727411</v>
      </c>
      <c r="L112" s="14">
        <f t="shared" si="7"/>
        <v>20.996608475506346</v>
      </c>
    </row>
    <row r="113" spans="1:12">
      <c r="A113" s="32">
        <v>2020</v>
      </c>
      <c r="B113" s="14" t="s">
        <v>218</v>
      </c>
      <c r="C113" s="14">
        <v>217.67034985387011</v>
      </c>
      <c r="D113" s="14">
        <v>10</v>
      </c>
      <c r="E113" s="14">
        <v>18.858560464944059</v>
      </c>
      <c r="F113" s="14">
        <v>2.8588097883166688</v>
      </c>
      <c r="G113" s="14">
        <v>0</v>
      </c>
      <c r="H113" s="14">
        <v>130.24247235638907</v>
      </c>
      <c r="I113" s="14">
        <v>87.427877497481049</v>
      </c>
      <c r="J113" s="14">
        <v>43.912596030944052</v>
      </c>
      <c r="K113" s="14">
        <v>21.604763176770636</v>
      </c>
      <c r="L113" s="14">
        <f t="shared" si="7"/>
        <v>22.307832854173416</v>
      </c>
    </row>
    <row r="114" spans="1:12">
      <c r="A114" s="32">
        <v>2021</v>
      </c>
      <c r="B114" s="14" t="s">
        <v>218</v>
      </c>
      <c r="C114" s="14">
        <v>220.49228983701823</v>
      </c>
      <c r="D114" s="14">
        <v>10</v>
      </c>
      <c r="E114" s="14">
        <v>20.425019607844238</v>
      </c>
      <c r="F114" s="14">
        <v>2.8219399831481073</v>
      </c>
      <c r="G114" s="14">
        <v>0</v>
      </c>
      <c r="H114" s="14">
        <v>109.81745274854484</v>
      </c>
      <c r="I114" s="14">
        <v>110.6748370884734</v>
      </c>
      <c r="J114" s="14">
        <v>44.481891346483089</v>
      </c>
      <c r="K114" s="14">
        <v>20.790159788756583</v>
      </c>
      <c r="L114" s="14">
        <f t="shared" si="7"/>
        <v>23.691731557726506</v>
      </c>
    </row>
    <row r="115" spans="1:12">
      <c r="A115" s="32">
        <v>2022</v>
      </c>
      <c r="B115" s="14" t="s">
        <v>218</v>
      </c>
      <c r="C115" s="14">
        <v>223.34087242643369</v>
      </c>
      <c r="D115" s="14">
        <v>10</v>
      </c>
      <c r="E115" s="14">
        <v>20.306334520663313</v>
      </c>
      <c r="F115" s="14">
        <v>2.8485825894154728</v>
      </c>
      <c r="G115" s="14">
        <v>0</v>
      </c>
      <c r="H115" s="14">
        <v>89.511118227881525</v>
      </c>
      <c r="I115" s="14">
        <v>133.82975419855217</v>
      </c>
      <c r="J115" s="14">
        <v>45.056561514440084</v>
      </c>
      <c r="K115" s="14">
        <v>19.983286951198778</v>
      </c>
      <c r="L115" s="14">
        <f t="shared" si="7"/>
        <v>25.073274563241306</v>
      </c>
    </row>
    <row r="116" spans="1:12">
      <c r="A116" s="32">
        <v>2023</v>
      </c>
      <c r="B116" s="14" t="s">
        <v>218</v>
      </c>
      <c r="C116" s="14">
        <v>226.15271177946542</v>
      </c>
      <c r="D116" s="14">
        <v>10</v>
      </c>
      <c r="E116" s="14">
        <v>20.849893819162933</v>
      </c>
      <c r="F116" s="14">
        <v>2.8118393530317149</v>
      </c>
      <c r="G116" s="14">
        <v>0</v>
      </c>
      <c r="H116" s="14">
        <v>68.661224408718581</v>
      </c>
      <c r="I116" s="14">
        <v>157.49148737074682</v>
      </c>
      <c r="J116" s="14">
        <v>45.623819139084347</v>
      </c>
      <c r="K116" s="14">
        <v>19.146947509640491</v>
      </c>
      <c r="L116" s="14">
        <f t="shared" si="7"/>
        <v>26.476871629443856</v>
      </c>
    </row>
    <row r="117" spans="1:12">
      <c r="A117" s="32">
        <v>2024</v>
      </c>
      <c r="B117" s="14" t="s">
        <v>218</v>
      </c>
      <c r="C117" s="14">
        <v>228.91913316483641</v>
      </c>
      <c r="D117" s="14">
        <v>10</v>
      </c>
      <c r="E117" s="14">
        <v>22.415378118137163</v>
      </c>
      <c r="F117" s="14">
        <v>2.7664213853709927</v>
      </c>
      <c r="G117" s="14">
        <v>0</v>
      </c>
      <c r="H117" s="14">
        <v>46.245846290581426</v>
      </c>
      <c r="I117" s="14">
        <v>182.67328687425498</v>
      </c>
      <c r="J117" s="14">
        <v>46.181914188909538</v>
      </c>
      <c r="K117" s="14">
        <v>18.229948678765812</v>
      </c>
      <c r="L117" s="14">
        <f t="shared" si="7"/>
        <v>27.951965510143726</v>
      </c>
    </row>
    <row r="118" spans="1:12">
      <c r="A118" s="32">
        <v>2025</v>
      </c>
      <c r="B118" s="14" t="s">
        <v>218</v>
      </c>
      <c r="C118" s="14">
        <v>231.75814206127137</v>
      </c>
      <c r="D118" s="14">
        <v>10</v>
      </c>
      <c r="E118" s="14">
        <v>23.994786918325293</v>
      </c>
      <c r="F118" s="14">
        <v>2.8390088964349709</v>
      </c>
      <c r="G118" s="14">
        <v>0</v>
      </c>
      <c r="H118" s="14">
        <v>22.251059372256133</v>
      </c>
      <c r="I118" s="14">
        <v>209.50708268901525</v>
      </c>
      <c r="J118" s="14">
        <v>46.754652969736135</v>
      </c>
      <c r="K118" s="14">
        <v>17.239818377848465</v>
      </c>
      <c r="L118" s="14">
        <f t="shared" si="7"/>
        <v>29.51483459188767</v>
      </c>
    </row>
    <row r="119" spans="1:12">
      <c r="A119" s="32">
        <v>2026</v>
      </c>
      <c r="B119" s="14" t="s">
        <v>218</v>
      </c>
      <c r="C119" s="14">
        <v>234.66014285455111</v>
      </c>
      <c r="D119" s="14">
        <v>10</v>
      </c>
      <c r="E119" s="14">
        <v>22.251059372256133</v>
      </c>
      <c r="F119" s="14">
        <v>2.9020007932797274</v>
      </c>
      <c r="G119" s="14">
        <v>0</v>
      </c>
      <c r="H119" s="14">
        <v>0</v>
      </c>
      <c r="I119" s="14">
        <v>234.66014285455111</v>
      </c>
      <c r="J119" s="14">
        <v>47.340099672065243</v>
      </c>
      <c r="K119" s="14">
        <v>16.340394855059426</v>
      </c>
      <c r="L119" s="14">
        <f t="shared" si="7"/>
        <v>30.999704817005817</v>
      </c>
    </row>
    <row r="121" spans="1:12">
      <c r="A121" s="33" t="s">
        <v>219</v>
      </c>
    </row>
    <row r="122" spans="1:12">
      <c r="A122" s="33" t="s">
        <v>314</v>
      </c>
    </row>
    <row r="124" spans="1:12">
      <c r="A124" s="33" t="s">
        <v>103</v>
      </c>
    </row>
    <row r="125" spans="1:12">
      <c r="A125" s="33" t="s">
        <v>315</v>
      </c>
      <c r="J125" s="35"/>
      <c r="K125" s="35"/>
      <c r="L125" s="35"/>
    </row>
    <row r="126" spans="1:12">
      <c r="J126" s="35"/>
      <c r="K126" s="35"/>
      <c r="L126" s="35"/>
    </row>
    <row r="127" spans="1:12">
      <c r="J127" s="35"/>
      <c r="K127" s="35"/>
      <c r="L127" s="35"/>
    </row>
    <row r="128" spans="1:12">
      <c r="J128" s="35"/>
      <c r="K128" s="35"/>
      <c r="L128" s="35"/>
    </row>
    <row r="129" spans="10:12">
      <c r="J129" s="35"/>
      <c r="K129" s="35"/>
      <c r="L129" s="35"/>
    </row>
    <row r="130" spans="10:12">
      <c r="J130" s="35"/>
      <c r="K130" s="35"/>
      <c r="L130" s="35"/>
    </row>
    <row r="131" spans="10:12">
      <c r="J131" s="35"/>
      <c r="K131" s="35"/>
      <c r="L131" s="35"/>
    </row>
    <row r="132" spans="10:12">
      <c r="J132" s="35"/>
      <c r="K132" s="35"/>
      <c r="L132" s="35"/>
    </row>
    <row r="133" spans="10:12">
      <c r="J133" s="35"/>
      <c r="K133" s="35"/>
      <c r="L133" s="35"/>
    </row>
    <row r="134" spans="10:12">
      <c r="J134" s="35"/>
      <c r="K134" s="35"/>
      <c r="L134" s="35"/>
    </row>
  </sheetData>
  <phoneticPr fontId="0" type="noConversion"/>
  <printOptions horizontalCentered="1"/>
  <pageMargins left="0.75" right="0.75" top="0.75" bottom="0.75" header="0.5" footer="0.5"/>
  <pageSetup scale="3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I49"/>
  <sheetViews>
    <sheetView zoomScale="75" zoomScaleNormal="75" workbookViewId="0">
      <selection activeCell="A2" sqref="A1:A2"/>
    </sheetView>
  </sheetViews>
  <sheetFormatPr defaultColWidth="9.109375" defaultRowHeight="13.2"/>
  <cols>
    <col min="1" max="1" width="14.109375" style="183" customWidth="1"/>
    <col min="2" max="2" width="21.5546875" style="183" customWidth="1"/>
    <col min="3" max="5" width="24.5546875" style="183" customWidth="1"/>
    <col min="6" max="6" width="20" style="183" customWidth="1"/>
    <col min="7" max="7" width="22.88671875" style="183" customWidth="1"/>
    <col min="8" max="8" width="29.109375" style="183" customWidth="1"/>
    <col min="9" max="9" width="24.44140625" style="183" customWidth="1"/>
    <col min="10" max="16384" width="9.109375" style="183"/>
  </cols>
  <sheetData>
    <row r="1" spans="1:9">
      <c r="A1" s="416" t="s">
        <v>403</v>
      </c>
    </row>
    <row r="2" spans="1:9">
      <c r="A2" s="416" t="s">
        <v>380</v>
      </c>
    </row>
    <row r="3" spans="1:9" s="169" customFormat="1" ht="15.6">
      <c r="A3" s="168" t="s">
        <v>0</v>
      </c>
      <c r="B3" s="168"/>
      <c r="C3" s="168"/>
      <c r="D3" s="168"/>
      <c r="E3" s="168"/>
      <c r="F3" s="168"/>
      <c r="G3" s="168"/>
      <c r="H3" s="168"/>
      <c r="I3" s="168"/>
    </row>
    <row r="4" spans="1:9" s="169" customFormat="1" ht="15.6">
      <c r="A4" s="168" t="s">
        <v>72</v>
      </c>
      <c r="B4" s="170"/>
      <c r="C4" s="170"/>
      <c r="D4" s="168"/>
      <c r="E4" s="168"/>
      <c r="F4" s="168"/>
      <c r="G4" s="168"/>
      <c r="H4" s="168"/>
      <c r="I4" s="168"/>
    </row>
    <row r="5" spans="1:9" s="169" customFormat="1" ht="15.6">
      <c r="A5" s="168" t="s">
        <v>272</v>
      </c>
      <c r="B5" s="170"/>
      <c r="C5" s="170"/>
      <c r="D5" s="168"/>
      <c r="E5" s="168"/>
      <c r="F5" s="168"/>
      <c r="G5" s="168"/>
      <c r="H5" s="168"/>
      <c r="I5" s="168"/>
    </row>
    <row r="6" spans="1:9" s="169" customFormat="1" ht="15.6">
      <c r="A6" s="168"/>
      <c r="B6" s="170"/>
      <c r="C6" s="170"/>
      <c r="D6" s="168"/>
      <c r="E6" s="168"/>
      <c r="F6" s="168"/>
      <c r="G6" s="168"/>
      <c r="H6" s="168"/>
      <c r="I6" s="168"/>
    </row>
    <row r="7" spans="1:9" s="169" customFormat="1" ht="15.6">
      <c r="A7" s="168" t="s">
        <v>73</v>
      </c>
      <c r="B7" s="170"/>
      <c r="C7" s="170"/>
      <c r="D7" s="168"/>
      <c r="E7" s="168"/>
      <c r="F7" s="168"/>
      <c r="G7" s="168"/>
      <c r="H7" s="168"/>
      <c r="I7" s="168"/>
    </row>
    <row r="8" spans="1:9" s="174" customFormat="1">
      <c r="A8" s="171"/>
      <c r="B8" s="172" t="s">
        <v>74</v>
      </c>
      <c r="C8" s="172"/>
      <c r="D8" s="173"/>
      <c r="E8" s="173"/>
      <c r="F8" s="173"/>
      <c r="G8" s="173" t="s">
        <v>2</v>
      </c>
      <c r="H8" s="173" t="s">
        <v>75</v>
      </c>
      <c r="I8" s="173" t="s">
        <v>3</v>
      </c>
    </row>
    <row r="9" spans="1:9" s="174" customFormat="1">
      <c r="A9" s="175"/>
      <c r="B9" s="176"/>
      <c r="C9" s="177" t="s">
        <v>76</v>
      </c>
      <c r="D9" s="177" t="s">
        <v>77</v>
      </c>
      <c r="E9" s="177"/>
      <c r="F9" s="177" t="s">
        <v>76</v>
      </c>
      <c r="G9" s="177" t="s">
        <v>77</v>
      </c>
      <c r="H9" s="177" t="s">
        <v>77</v>
      </c>
      <c r="I9" s="177" t="s">
        <v>77</v>
      </c>
    </row>
    <row r="10" spans="1:9" s="174" customFormat="1">
      <c r="A10" s="175"/>
      <c r="B10" s="178" t="s">
        <v>4</v>
      </c>
      <c r="C10" s="53" t="s">
        <v>78</v>
      </c>
      <c r="D10" s="53" t="s">
        <v>79</v>
      </c>
      <c r="E10" s="53" t="s">
        <v>80</v>
      </c>
      <c r="F10" s="53" t="s">
        <v>81</v>
      </c>
      <c r="G10" s="53" t="s">
        <v>81</v>
      </c>
      <c r="H10" s="53" t="s">
        <v>81</v>
      </c>
      <c r="I10" s="53" t="s">
        <v>81</v>
      </c>
    </row>
    <row r="11" spans="1:9" s="174" customFormat="1" ht="26.4">
      <c r="A11" s="175"/>
      <c r="B11" s="178" t="s">
        <v>82</v>
      </c>
      <c r="C11" s="53" t="s">
        <v>83</v>
      </c>
      <c r="D11" s="53" t="s">
        <v>84</v>
      </c>
      <c r="E11" s="53" t="s">
        <v>85</v>
      </c>
      <c r="F11" s="53" t="s">
        <v>86</v>
      </c>
      <c r="G11" s="53" t="s">
        <v>86</v>
      </c>
      <c r="H11" s="53" t="s">
        <v>86</v>
      </c>
      <c r="I11" s="53" t="s">
        <v>86</v>
      </c>
    </row>
    <row r="12" spans="1:9" s="174" customFormat="1">
      <c r="A12" s="22" t="s">
        <v>17</v>
      </c>
      <c r="B12" s="179" t="s">
        <v>18</v>
      </c>
      <c r="C12" s="180" t="s">
        <v>87</v>
      </c>
      <c r="D12" s="180" t="s">
        <v>88</v>
      </c>
      <c r="E12" s="180" t="s">
        <v>88</v>
      </c>
      <c r="F12" s="180" t="s">
        <v>87</v>
      </c>
      <c r="G12" s="180" t="s">
        <v>87</v>
      </c>
      <c r="H12" s="180" t="s">
        <v>87</v>
      </c>
      <c r="I12" s="180" t="s">
        <v>87</v>
      </c>
    </row>
    <row r="13" spans="1:9">
      <c r="A13" s="181">
        <v>2005</v>
      </c>
      <c r="B13" s="21">
        <v>490364.66666666669</v>
      </c>
      <c r="C13" s="21">
        <f>C14-(C$18)/5</f>
        <v>0</v>
      </c>
      <c r="D13" s="182">
        <v>0.45394128658363836</v>
      </c>
      <c r="E13" s="182">
        <v>4.3160053468518658E-2</v>
      </c>
      <c r="F13" s="21">
        <v>14054.23866406344</v>
      </c>
      <c r="G13" s="21">
        <f>F13*E13*D13</f>
        <v>275.35247377548484</v>
      </c>
      <c r="H13" s="21">
        <f>C13*D13*E13</f>
        <v>0</v>
      </c>
      <c r="I13" s="21">
        <f>G13-H13</f>
        <v>275.35247377548484</v>
      </c>
    </row>
    <row r="14" spans="1:9">
      <c r="A14" s="181">
        <v>2006</v>
      </c>
      <c r="B14" s="21">
        <v>500078.66666666669</v>
      </c>
      <c r="C14" s="21">
        <f>C15-(C$18)/5</f>
        <v>18.850000000000001</v>
      </c>
      <c r="D14" s="182">
        <v>0.45394128658363836</v>
      </c>
      <c r="E14" s="182">
        <v>4.3160053468518658E-2</v>
      </c>
      <c r="F14" s="21">
        <v>14273.734207988133</v>
      </c>
      <c r="G14" s="21">
        <f t="shared" ref="G14:G34" si="0">F14*E14*D14</f>
        <v>279.65285905049092</v>
      </c>
      <c r="H14" s="21">
        <f t="shared" ref="H14:H34" si="1">C14*D14*E14</f>
        <v>0.36931165427976398</v>
      </c>
      <c r="I14" s="21">
        <f t="shared" ref="I14:I34" si="2">G14-H14</f>
        <v>279.28354739621113</v>
      </c>
    </row>
    <row r="15" spans="1:9">
      <c r="A15" s="181">
        <v>2007</v>
      </c>
      <c r="B15" s="21">
        <v>511862.33333333337</v>
      </c>
      <c r="C15" s="21">
        <f>C16-(C$18)/5</f>
        <v>37.700000000000003</v>
      </c>
      <c r="D15" s="182">
        <v>0.45394128658363836</v>
      </c>
      <c r="E15" s="182">
        <v>4.3160053468518658E-2</v>
      </c>
      <c r="F15" s="21">
        <v>14496.657777788463</v>
      </c>
      <c r="G15" s="21">
        <f t="shared" si="0"/>
        <v>284.02040665478324</v>
      </c>
      <c r="H15" s="21">
        <f t="shared" si="1"/>
        <v>0.73862330855952796</v>
      </c>
      <c r="I15" s="21">
        <f t="shared" si="2"/>
        <v>283.28178334622373</v>
      </c>
    </row>
    <row r="16" spans="1:9">
      <c r="A16" s="181">
        <v>2008</v>
      </c>
      <c r="B16" s="21">
        <v>514125</v>
      </c>
      <c r="C16" s="21">
        <f>C17-(C$18)/5</f>
        <v>56.550000000000004</v>
      </c>
      <c r="D16" s="182">
        <v>0.45394128658363836</v>
      </c>
      <c r="E16" s="182">
        <v>4.3160053468518658E-2</v>
      </c>
      <c r="F16" s="21">
        <v>14723.062911505313</v>
      </c>
      <c r="G16" s="21">
        <f t="shared" si="0"/>
        <v>288.45616551262947</v>
      </c>
      <c r="H16" s="21">
        <f t="shared" si="1"/>
        <v>1.107934962839292</v>
      </c>
      <c r="I16" s="21">
        <f t="shared" si="2"/>
        <v>287.34823054979017</v>
      </c>
    </row>
    <row r="17" spans="1:9">
      <c r="A17" s="181">
        <v>2009</v>
      </c>
      <c r="B17" s="21">
        <v>511138.25</v>
      </c>
      <c r="C17" s="21">
        <f>C18-(C$18)/5</f>
        <v>75.400000000000006</v>
      </c>
      <c r="D17" s="182">
        <v>0.45394128658363836</v>
      </c>
      <c r="E17" s="182">
        <v>4.3160053468518658E-2</v>
      </c>
      <c r="F17" s="21">
        <v>14953.003983323142</v>
      </c>
      <c r="G17" s="21">
        <f t="shared" si="0"/>
        <v>292.96120093013104</v>
      </c>
      <c r="H17" s="21">
        <f t="shared" si="1"/>
        <v>1.4772466171190559</v>
      </c>
      <c r="I17" s="21">
        <f t="shared" si="2"/>
        <v>291.48395431301196</v>
      </c>
    </row>
    <row r="18" spans="1:9">
      <c r="A18" s="181">
        <v>2010</v>
      </c>
      <c r="B18" s="21">
        <v>512438.91666666663</v>
      </c>
      <c r="C18" s="184">
        <v>94.25</v>
      </c>
      <c r="D18" s="182">
        <v>0.45394128658363836</v>
      </c>
      <c r="E18" s="182">
        <v>4.3160053468518658E-2</v>
      </c>
      <c r="F18" s="21">
        <v>15186.536216628669</v>
      </c>
      <c r="G18" s="21">
        <f t="shared" si="0"/>
        <v>297.53659485107067</v>
      </c>
      <c r="H18" s="21">
        <f t="shared" si="1"/>
        <v>1.84655827139882</v>
      </c>
      <c r="I18" s="21">
        <f t="shared" si="2"/>
        <v>295.69003657967187</v>
      </c>
    </row>
    <row r="19" spans="1:9">
      <c r="A19" s="181">
        <v>2011</v>
      </c>
      <c r="B19" s="21">
        <v>516695.41666666669</v>
      </c>
      <c r="C19" s="21">
        <f t="shared" ref="C19:C27" si="3">(C$28-C$18)/10+C18</f>
        <v>109.27500000000001</v>
      </c>
      <c r="D19" s="182">
        <v>0.45394128658363836</v>
      </c>
      <c r="E19" s="182">
        <v>4.3160053468518658E-2</v>
      </c>
      <c r="F19" s="21">
        <v>15423.715697273492</v>
      </c>
      <c r="G19" s="21">
        <f t="shared" si="0"/>
        <v>302.18344611675525</v>
      </c>
      <c r="H19" s="21">
        <f t="shared" si="1"/>
        <v>2.1409300276616028</v>
      </c>
      <c r="I19" s="21">
        <f t="shared" si="2"/>
        <v>300.04251608909362</v>
      </c>
    </row>
    <row r="20" spans="1:9">
      <c r="A20" s="181">
        <v>2012</v>
      </c>
      <c r="B20" s="21">
        <v>520629.41666666663</v>
      </c>
      <c r="C20" s="21">
        <f t="shared" si="3"/>
        <v>124.30000000000001</v>
      </c>
      <c r="D20" s="182">
        <v>0.45394128658363836</v>
      </c>
      <c r="E20" s="182">
        <v>4.3160053468518658E-2</v>
      </c>
      <c r="F20" s="21">
        <v>15664.599387043852</v>
      </c>
      <c r="G20" s="21">
        <f t="shared" si="0"/>
        <v>306.90287072991737</v>
      </c>
      <c r="H20" s="21">
        <f t="shared" si="1"/>
        <v>2.4353017839243853</v>
      </c>
      <c r="I20" s="21">
        <f t="shared" si="2"/>
        <v>304.46756894599298</v>
      </c>
    </row>
    <row r="21" spans="1:9">
      <c r="A21" s="181">
        <v>2013</v>
      </c>
      <c r="B21" s="21">
        <v>526040.41666666663</v>
      </c>
      <c r="C21" s="21">
        <f t="shared" si="3"/>
        <v>139.32500000000002</v>
      </c>
      <c r="D21" s="182">
        <v>0.45394128658363836</v>
      </c>
      <c r="E21" s="182">
        <v>4.3160053468518658E-2</v>
      </c>
      <c r="F21" s="21">
        <v>15909.245137340758</v>
      </c>
      <c r="G21" s="21">
        <f>F21*E21*D21</f>
        <v>311.69600212273775</v>
      </c>
      <c r="H21" s="21">
        <f t="shared" si="1"/>
        <v>2.7296735401871683</v>
      </c>
      <c r="I21" s="21">
        <f t="shared" si="2"/>
        <v>308.9663285825506</v>
      </c>
    </row>
    <row r="22" spans="1:9">
      <c r="A22" s="181">
        <v>2014</v>
      </c>
      <c r="B22" s="21">
        <v>535705.26774780429</v>
      </c>
      <c r="C22" s="21">
        <f t="shared" si="3"/>
        <v>154.35000000000002</v>
      </c>
      <c r="D22" s="182">
        <v>0.45394128658363836</v>
      </c>
      <c r="E22" s="182">
        <v>4.3160053468518658E-2</v>
      </c>
      <c r="F22" s="21">
        <v>16157.711703073765</v>
      </c>
      <c r="G22" s="21">
        <f t="shared" si="0"/>
        <v>316.56399142905434</v>
      </c>
      <c r="H22" s="21">
        <f t="shared" si="1"/>
        <v>3.0240452964499513</v>
      </c>
      <c r="I22" s="21">
        <f t="shared" si="2"/>
        <v>313.53994613260437</v>
      </c>
    </row>
    <row r="23" spans="1:9">
      <c r="A23" s="181">
        <f>A22+1</f>
        <v>2015</v>
      </c>
      <c r="B23" s="21">
        <v>549661.80660673755</v>
      </c>
      <c r="C23" s="21">
        <f t="shared" si="3"/>
        <v>169.37500000000003</v>
      </c>
      <c r="D23" s="182">
        <v>0.45394128658363836</v>
      </c>
      <c r="E23" s="182">
        <v>4.3160053468518658E-2</v>
      </c>
      <c r="F23" s="21">
        <v>16410.058756771738</v>
      </c>
      <c r="G23" s="21">
        <f t="shared" si="0"/>
        <v>321.50800776082218</v>
      </c>
      <c r="H23" s="21">
        <f t="shared" si="1"/>
        <v>3.3184170527127339</v>
      </c>
      <c r="I23" s="21">
        <f t="shared" si="2"/>
        <v>318.18959070810945</v>
      </c>
    </row>
    <row r="24" spans="1:9">
      <c r="A24" s="181">
        <f>A23+1</f>
        <v>2016</v>
      </c>
      <c r="B24" s="21">
        <v>558880.15849572408</v>
      </c>
      <c r="C24" s="21">
        <f t="shared" si="3"/>
        <v>184.40000000000003</v>
      </c>
      <c r="D24" s="182">
        <v>0.45394128658363836</v>
      </c>
      <c r="E24" s="182">
        <v>4.3160053468518658E-2</v>
      </c>
      <c r="F24" s="21">
        <v>16666.346902914003</v>
      </c>
      <c r="G24" s="21">
        <f t="shared" si="0"/>
        <v>326.52923848889077</v>
      </c>
      <c r="H24" s="21">
        <f t="shared" si="1"/>
        <v>3.6127888089755169</v>
      </c>
      <c r="I24" s="21">
        <f t="shared" si="2"/>
        <v>322.91644967991527</v>
      </c>
    </row>
    <row r="25" spans="1:9">
      <c r="A25" s="181">
        <f>A24+1</f>
        <v>2017</v>
      </c>
      <c r="B25" s="21">
        <v>567606.67780032731</v>
      </c>
      <c r="C25" s="21">
        <f t="shared" si="3"/>
        <v>199.42500000000004</v>
      </c>
      <c r="D25" s="182">
        <v>0.45394128658363836</v>
      </c>
      <c r="E25" s="182">
        <v>4.3160053468518658E-2</v>
      </c>
      <c r="F25" s="21">
        <v>16926.637692485314</v>
      </c>
      <c r="G25" s="21">
        <f t="shared" si="0"/>
        <v>331.62888952816758</v>
      </c>
      <c r="H25" s="21">
        <f t="shared" si="1"/>
        <v>3.9071605652382999</v>
      </c>
      <c r="I25" s="21">
        <f t="shared" si="2"/>
        <v>327.72172896292926</v>
      </c>
    </row>
    <row r="26" spans="1:9">
      <c r="A26" s="181">
        <f>A25+1</f>
        <v>2018</v>
      </c>
      <c r="B26" s="21">
        <v>575756.50603146944</v>
      </c>
      <c r="C26" s="21">
        <f t="shared" si="3"/>
        <v>214.45000000000005</v>
      </c>
      <c r="D26" s="182">
        <v>0.45394128658363836</v>
      </c>
      <c r="E26" s="182">
        <v>4.3160053468518658E-2</v>
      </c>
      <c r="F26" s="21">
        <v>17190.993637758133</v>
      </c>
      <c r="G26" s="21">
        <f t="shared" si="0"/>
        <v>336.80818562723357</v>
      </c>
      <c r="H26" s="21">
        <f t="shared" si="1"/>
        <v>4.201532321501082</v>
      </c>
      <c r="I26" s="21">
        <f t="shared" si="2"/>
        <v>332.60665330573249</v>
      </c>
    </row>
    <row r="27" spans="1:9">
      <c r="A27" s="181">
        <f>A26+1</f>
        <v>2019</v>
      </c>
      <c r="B27" s="21">
        <v>583701.99084555055</v>
      </c>
      <c r="C27" s="21">
        <f t="shared" si="3"/>
        <v>229.47500000000005</v>
      </c>
      <c r="D27" s="182">
        <v>0.45394128658363836</v>
      </c>
      <c r="E27" s="182">
        <v>4.3160053468518658E-2</v>
      </c>
      <c r="F27" s="21">
        <v>17459.478227305772</v>
      </c>
      <c r="G27" s="21">
        <f t="shared" si="0"/>
        <v>342.06837066248357</v>
      </c>
      <c r="H27" s="21">
        <f t="shared" si="1"/>
        <v>4.495904077763865</v>
      </c>
      <c r="I27" s="21">
        <f t="shared" si="2"/>
        <v>337.57246658471973</v>
      </c>
    </row>
    <row r="28" spans="1:9">
      <c r="A28" s="181">
        <v>2020</v>
      </c>
      <c r="B28" s="21">
        <v>591470.16272486374</v>
      </c>
      <c r="C28" s="184">
        <v>244.5</v>
      </c>
      <c r="D28" s="182">
        <v>0.45394128658363836</v>
      </c>
      <c r="E28" s="182">
        <v>4.3160053468518658E-2</v>
      </c>
      <c r="F28" s="21">
        <v>17732.155941250028</v>
      </c>
      <c r="G28" s="21">
        <f t="shared" si="0"/>
        <v>347.41070793685907</v>
      </c>
      <c r="H28" s="21">
        <f t="shared" si="1"/>
        <v>4.7902758340266463</v>
      </c>
      <c r="I28" s="21">
        <f t="shared" si="2"/>
        <v>342.62043210283241</v>
      </c>
    </row>
    <row r="29" spans="1:9">
      <c r="A29" s="181">
        <v>2021</v>
      </c>
      <c r="B29" s="21">
        <v>599138.14921063429</v>
      </c>
      <c r="C29" s="21">
        <f t="shared" ref="C29:C34" si="4">C28+(C$28-C$18)/10</f>
        <v>259.52499999999998</v>
      </c>
      <c r="D29" s="182">
        <v>0.45394128658363836</v>
      </c>
      <c r="E29" s="182">
        <v>4.3160053468518658E-2</v>
      </c>
      <c r="F29" s="21">
        <v>18009.092266746924</v>
      </c>
      <c r="G29" s="21">
        <f t="shared" si="0"/>
        <v>352.83648048324727</v>
      </c>
      <c r="H29" s="21">
        <f t="shared" si="1"/>
        <v>5.0846475902894293</v>
      </c>
      <c r="I29" s="21">
        <f t="shared" si="2"/>
        <v>347.75183289295785</v>
      </c>
    </row>
    <row r="30" spans="1:9">
      <c r="A30" s="181">
        <v>2022</v>
      </c>
      <c r="B30" s="21">
        <v>606878.53097979981</v>
      </c>
      <c r="C30" s="21">
        <f t="shared" si="4"/>
        <v>274.54999999999995</v>
      </c>
      <c r="D30" s="182">
        <v>0.45394128658363836</v>
      </c>
      <c r="E30" s="182">
        <v>4.3160053468518658E-2</v>
      </c>
      <c r="F30" s="21">
        <v>18290.353713714318</v>
      </c>
      <c r="G30" s="21">
        <f t="shared" si="0"/>
        <v>358.3469913726185</v>
      </c>
      <c r="H30" s="21">
        <f t="shared" si="1"/>
        <v>5.3790193465522114</v>
      </c>
      <c r="I30" s="21">
        <f t="shared" si="2"/>
        <v>352.96797202606632</v>
      </c>
    </row>
    <row r="31" spans="1:9" s="188" customFormat="1">
      <c r="A31" s="185">
        <f>A30+1</f>
        <v>2023</v>
      </c>
      <c r="B31" s="186">
        <v>614519.07127759582</v>
      </c>
      <c r="C31" s="186">
        <f t="shared" si="4"/>
        <v>289.57499999999993</v>
      </c>
      <c r="D31" s="187">
        <v>0.45394128658363836</v>
      </c>
      <c r="E31" s="187">
        <v>4.3160053468518658E-2</v>
      </c>
      <c r="F31" s="186">
        <v>18576.007830805142</v>
      </c>
      <c r="G31" s="186">
        <f t="shared" si="0"/>
        <v>363.94356402697593</v>
      </c>
      <c r="H31" s="186">
        <f t="shared" si="1"/>
        <v>5.6733911028149944</v>
      </c>
      <c r="I31" s="186">
        <f t="shared" si="2"/>
        <v>358.27017292416093</v>
      </c>
    </row>
    <row r="32" spans="1:9" s="188" customFormat="1">
      <c r="A32" s="185">
        <v>2024</v>
      </c>
      <c r="B32" s="186">
        <v>622036.19847507309</v>
      </c>
      <c r="C32" s="186">
        <f t="shared" si="4"/>
        <v>304.59999999999991</v>
      </c>
      <c r="D32" s="187">
        <v>0.45394128658363836</v>
      </c>
      <c r="E32" s="187">
        <v>4.3160053468518658E-2</v>
      </c>
      <c r="F32" s="186">
        <v>18866.123221630092</v>
      </c>
      <c r="G32" s="186">
        <f t="shared" si="0"/>
        <v>369.62754253719254</v>
      </c>
      <c r="H32" s="186">
        <f t="shared" si="1"/>
        <v>5.9677628590777756</v>
      </c>
      <c r="I32" s="186">
        <f t="shared" si="2"/>
        <v>363.65977967811477</v>
      </c>
    </row>
    <row r="33" spans="1:9" s="188" customFormat="1">
      <c r="A33" s="185">
        <v>2025</v>
      </c>
      <c r="B33" s="186">
        <v>629750.56588928006</v>
      </c>
      <c r="C33" s="186">
        <f t="shared" si="4"/>
        <v>319.62499999999989</v>
      </c>
      <c r="D33" s="187">
        <v>0.45394128658363836</v>
      </c>
      <c r="E33" s="187">
        <v>4.3160053468518658E-2</v>
      </c>
      <c r="F33" s="186">
        <v>19160.769561233712</v>
      </c>
      <c r="G33" s="186">
        <f t="shared" si="0"/>
        <v>375.40029198581271</v>
      </c>
      <c r="H33" s="186">
        <f t="shared" si="1"/>
        <v>6.2621346153405586</v>
      </c>
      <c r="I33" s="186">
        <f t="shared" si="2"/>
        <v>369.13815737047213</v>
      </c>
    </row>
    <row r="34" spans="1:9" s="188" customFormat="1">
      <c r="A34" s="185">
        <v>2026</v>
      </c>
      <c r="B34" s="186">
        <v>637636.09959922789</v>
      </c>
      <c r="C34" s="186">
        <f t="shared" si="4"/>
        <v>334.64999999999986</v>
      </c>
      <c r="D34" s="187">
        <v>0.45394128658363836</v>
      </c>
      <c r="E34" s="187">
        <v>4.3160053468518658E-2</v>
      </c>
      <c r="F34" s="186">
        <v>19460.017612827756</v>
      </c>
      <c r="G34" s="186">
        <f t="shared" si="0"/>
        <v>381.26319877489453</v>
      </c>
      <c r="H34" s="186">
        <f t="shared" si="1"/>
        <v>6.5565063716033398</v>
      </c>
      <c r="I34" s="186">
        <f t="shared" si="2"/>
        <v>374.70669240329119</v>
      </c>
    </row>
    <row r="35" spans="1:9">
      <c r="C35" s="189"/>
      <c r="E35" s="190"/>
    </row>
    <row r="36" spans="1:9">
      <c r="A36" s="183" t="s">
        <v>216</v>
      </c>
    </row>
    <row r="37" spans="1:9">
      <c r="A37" s="183" t="s">
        <v>217</v>
      </c>
    </row>
    <row r="39" spans="1:9">
      <c r="A39" s="33" t="s">
        <v>103</v>
      </c>
    </row>
    <row r="40" spans="1:9">
      <c r="A40" s="33" t="s">
        <v>301</v>
      </c>
      <c r="G40" s="191"/>
      <c r="H40" s="191"/>
      <c r="I40" s="191"/>
    </row>
    <row r="41" spans="1:9">
      <c r="G41" s="191"/>
      <c r="H41" s="191"/>
      <c r="I41" s="191"/>
    </row>
    <row r="42" spans="1:9">
      <c r="G42" s="191"/>
      <c r="H42" s="191"/>
      <c r="I42" s="191"/>
    </row>
    <row r="43" spans="1:9">
      <c r="G43" s="191"/>
      <c r="H43" s="191"/>
      <c r="I43" s="191"/>
    </row>
    <row r="44" spans="1:9">
      <c r="G44" s="191"/>
      <c r="H44" s="191"/>
      <c r="I44" s="191"/>
    </row>
    <row r="45" spans="1:9">
      <c r="G45" s="191"/>
      <c r="H45" s="191"/>
      <c r="I45" s="191"/>
    </row>
    <row r="46" spans="1:9">
      <c r="G46" s="191"/>
      <c r="H46" s="191"/>
      <c r="I46" s="191"/>
    </row>
    <row r="47" spans="1:9">
      <c r="G47" s="191"/>
      <c r="H47" s="191"/>
      <c r="I47" s="191"/>
    </row>
    <row r="48" spans="1:9">
      <c r="G48" s="191"/>
      <c r="H48" s="191"/>
      <c r="I48" s="191"/>
    </row>
    <row r="49" spans="7:9">
      <c r="G49" s="191"/>
      <c r="H49" s="191"/>
      <c r="I49" s="191"/>
    </row>
  </sheetData>
  <phoneticPr fontId="1" type="noConversion"/>
  <printOptions horizontalCentered="1"/>
  <pageMargins left="0.75" right="0.75" top="0.75" bottom="0.75" header="0.5" footer="0.5"/>
  <pageSetup scale="6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U53"/>
  <sheetViews>
    <sheetView zoomScale="75" zoomScaleNormal="75" workbookViewId="0">
      <pane xSplit="1" ySplit="11" topLeftCell="G12" activePane="bottomRight" state="frozen"/>
      <selection pane="topRight" activeCell="B1" sqref="B1"/>
      <selection pane="bottomLeft" activeCell="A12" sqref="A12"/>
      <selection pane="bottomRight" activeCell="A2" sqref="A1:A2"/>
    </sheetView>
  </sheetViews>
  <sheetFormatPr defaultColWidth="9.109375" defaultRowHeight="13.2"/>
  <cols>
    <col min="1" max="1" width="13.5546875" style="33" customWidth="1"/>
    <col min="2" max="2" width="16.6640625" style="33" customWidth="1"/>
    <col min="3" max="3" width="18.44140625" style="33" customWidth="1"/>
    <col min="4" max="4" width="16.6640625" style="33" customWidth="1"/>
    <col min="5" max="5" width="17.44140625" style="33" customWidth="1"/>
    <col min="6" max="6" width="18.44140625" style="33" customWidth="1"/>
    <col min="7" max="7" width="16.44140625" style="33" customWidth="1"/>
    <col min="8" max="8" width="15.88671875" style="33" customWidth="1"/>
    <col min="9" max="9" width="16.44140625" style="33" customWidth="1"/>
    <col min="10" max="10" width="18" style="33" customWidth="1"/>
    <col min="11" max="11" width="23.109375" style="33" customWidth="1"/>
    <col min="12" max="13" width="17.33203125" style="33" customWidth="1"/>
    <col min="14" max="14" width="21.88671875" style="33" customWidth="1"/>
    <col min="15" max="16" width="17.33203125" style="33" customWidth="1"/>
    <col min="17" max="17" width="22.33203125" style="33" customWidth="1"/>
    <col min="18" max="18" width="9.109375" style="33"/>
    <col min="19" max="19" width="11.33203125" style="33" bestFit="1" customWidth="1"/>
    <col min="20" max="16384" width="9.109375" style="33"/>
  </cols>
  <sheetData>
    <row r="1" spans="1:21" s="26" customFormat="1" ht="15.6">
      <c r="A1" s="416" t="s">
        <v>404</v>
      </c>
      <c r="B1" s="25"/>
      <c r="C1" s="25"/>
      <c r="D1" s="25"/>
      <c r="E1" s="25"/>
      <c r="F1" s="25"/>
      <c r="G1" s="25"/>
      <c r="H1" s="25"/>
      <c r="I1" s="25"/>
      <c r="J1" s="25"/>
      <c r="K1" s="25"/>
      <c r="L1" s="25"/>
      <c r="M1" s="25"/>
      <c r="N1" s="25"/>
      <c r="O1" s="25"/>
      <c r="P1" s="25"/>
      <c r="Q1" s="25"/>
    </row>
    <row r="2" spans="1:21" s="26" customFormat="1" ht="15.6">
      <c r="A2" s="416" t="s">
        <v>380</v>
      </c>
      <c r="B2" s="27"/>
      <c r="C2" s="25"/>
      <c r="D2" s="27"/>
      <c r="E2" s="27"/>
      <c r="F2" s="27"/>
      <c r="G2" s="27"/>
      <c r="H2" s="27"/>
      <c r="I2" s="27"/>
      <c r="J2" s="27"/>
      <c r="K2" s="25"/>
      <c r="L2" s="25"/>
      <c r="M2" s="25"/>
      <c r="N2" s="25"/>
      <c r="O2" s="25"/>
      <c r="P2" s="25"/>
      <c r="Q2" s="25"/>
    </row>
    <row r="3" spans="1:21" s="26" customFormat="1" ht="15.6">
      <c r="A3" s="25" t="s">
        <v>113</v>
      </c>
      <c r="B3" s="27"/>
      <c r="C3" s="25"/>
      <c r="D3" s="27"/>
      <c r="E3" s="27"/>
      <c r="F3" s="27"/>
      <c r="G3" s="27"/>
      <c r="H3" s="27"/>
      <c r="I3" s="27"/>
      <c r="J3" s="27"/>
      <c r="K3" s="25"/>
      <c r="L3" s="25"/>
      <c r="M3" s="25"/>
      <c r="N3" s="25"/>
      <c r="O3" s="25"/>
      <c r="P3" s="25"/>
      <c r="Q3" s="25"/>
    </row>
    <row r="4" spans="1:21" s="26" customFormat="1" ht="15.6">
      <c r="A4" s="25" t="s">
        <v>290</v>
      </c>
      <c r="B4" s="27"/>
      <c r="C4" s="25"/>
      <c r="D4" s="27"/>
      <c r="E4" s="27"/>
      <c r="F4" s="27"/>
      <c r="G4" s="27"/>
      <c r="H4" s="27"/>
      <c r="I4" s="27"/>
      <c r="J4" s="27"/>
      <c r="K4" s="25"/>
      <c r="L4" s="25"/>
      <c r="M4" s="25"/>
      <c r="N4" s="25"/>
      <c r="O4" s="25"/>
      <c r="P4" s="25"/>
      <c r="Q4" s="25"/>
    </row>
    <row r="5" spans="1:21" s="26" customFormat="1" ht="15.6">
      <c r="A5" s="25"/>
      <c r="B5" s="27"/>
      <c r="C5" s="25"/>
      <c r="D5" s="27"/>
      <c r="E5" s="27"/>
      <c r="F5" s="27"/>
      <c r="G5" s="27"/>
      <c r="H5" s="27"/>
      <c r="I5" s="27"/>
      <c r="J5" s="27"/>
      <c r="K5" s="25"/>
      <c r="L5" s="25"/>
      <c r="M5" s="25"/>
      <c r="N5" s="25"/>
      <c r="O5" s="25"/>
      <c r="P5" s="25"/>
      <c r="Q5" s="25"/>
    </row>
    <row r="6" spans="1:21" s="26" customFormat="1" ht="15.6">
      <c r="A6" s="25" t="s">
        <v>27</v>
      </c>
      <c r="B6" s="27"/>
      <c r="C6" s="25"/>
      <c r="D6" s="27"/>
      <c r="E6" s="27"/>
      <c r="F6" s="27"/>
      <c r="G6" s="27"/>
      <c r="H6" s="27"/>
      <c r="I6" s="27"/>
      <c r="J6" s="27"/>
      <c r="K6" s="25"/>
      <c r="L6" s="25"/>
      <c r="M6" s="25"/>
      <c r="N6" s="25"/>
      <c r="O6" s="25"/>
      <c r="P6" s="25"/>
      <c r="Q6" s="25"/>
    </row>
    <row r="7" spans="1:21" s="30" customFormat="1" ht="26.4">
      <c r="A7" s="28"/>
      <c r="B7" s="192" t="s">
        <v>114</v>
      </c>
      <c r="C7" s="146"/>
      <c r="D7" s="192"/>
      <c r="E7" s="192"/>
      <c r="F7" s="192"/>
      <c r="G7" s="192"/>
      <c r="H7" s="192"/>
      <c r="I7" s="146" t="s">
        <v>2</v>
      </c>
      <c r="J7" s="146" t="s">
        <v>3</v>
      </c>
      <c r="K7" s="146" t="s">
        <v>70</v>
      </c>
      <c r="L7" s="146" t="s">
        <v>2</v>
      </c>
      <c r="M7" s="146" t="s">
        <v>3</v>
      </c>
      <c r="N7" s="146" t="s">
        <v>70</v>
      </c>
      <c r="O7" s="146" t="s">
        <v>2</v>
      </c>
      <c r="P7" s="146" t="s">
        <v>3</v>
      </c>
      <c r="Q7" s="146" t="s">
        <v>70</v>
      </c>
      <c r="R7" s="59"/>
      <c r="S7" s="59"/>
      <c r="T7" s="59"/>
      <c r="U7" s="59"/>
    </row>
    <row r="8" spans="1:21" s="30" customFormat="1" ht="26.4">
      <c r="A8" s="31"/>
      <c r="B8" s="56" t="s">
        <v>115</v>
      </c>
      <c r="C8" s="57" t="s">
        <v>116</v>
      </c>
      <c r="D8" s="56" t="s">
        <v>117</v>
      </c>
      <c r="E8" s="56" t="s">
        <v>118</v>
      </c>
      <c r="F8" s="193" t="s">
        <v>4</v>
      </c>
      <c r="G8" s="193" t="s">
        <v>4</v>
      </c>
      <c r="H8" s="193" t="s">
        <v>4</v>
      </c>
      <c r="I8" s="56" t="s">
        <v>115</v>
      </c>
      <c r="J8" s="56" t="s">
        <v>115</v>
      </c>
      <c r="K8" s="56" t="s">
        <v>24</v>
      </c>
      <c r="L8" s="56" t="s">
        <v>115</v>
      </c>
      <c r="M8" s="56" t="s">
        <v>115</v>
      </c>
      <c r="N8" s="56" t="s">
        <v>24</v>
      </c>
      <c r="O8" s="56" t="s">
        <v>115</v>
      </c>
      <c r="P8" s="56" t="s">
        <v>115</v>
      </c>
      <c r="Q8" s="56" t="s">
        <v>24</v>
      </c>
    </row>
    <row r="9" spans="1:21" s="30" customFormat="1" ht="26.4">
      <c r="A9" s="31"/>
      <c r="B9" s="55" t="s">
        <v>65</v>
      </c>
      <c r="C9" s="55" t="s">
        <v>65</v>
      </c>
      <c r="D9" s="55" t="s">
        <v>65</v>
      </c>
      <c r="E9" s="55" t="s">
        <v>65</v>
      </c>
      <c r="F9" s="194" t="s">
        <v>123</v>
      </c>
      <c r="G9" s="194" t="s">
        <v>207</v>
      </c>
      <c r="H9" s="194" t="s">
        <v>302</v>
      </c>
      <c r="I9" s="55" t="s">
        <v>65</v>
      </c>
      <c r="J9" s="55" t="s">
        <v>65</v>
      </c>
      <c r="K9" s="55" t="s">
        <v>303</v>
      </c>
      <c r="L9" s="55" t="s">
        <v>65</v>
      </c>
      <c r="M9" s="55" t="s">
        <v>65</v>
      </c>
      <c r="N9" s="55" t="s">
        <v>303</v>
      </c>
      <c r="O9" s="55" t="s">
        <v>65</v>
      </c>
      <c r="P9" s="55" t="s">
        <v>65</v>
      </c>
      <c r="Q9" s="55" t="s">
        <v>303</v>
      </c>
    </row>
    <row r="10" spans="1:21" s="30" customFormat="1" ht="39.6">
      <c r="A10" s="31"/>
      <c r="B10" s="55" t="s">
        <v>120</v>
      </c>
      <c r="C10" s="55" t="s">
        <v>121</v>
      </c>
      <c r="D10" s="55" t="s">
        <v>122</v>
      </c>
      <c r="E10" s="55" t="s">
        <v>10</v>
      </c>
      <c r="F10" s="194" t="s">
        <v>304</v>
      </c>
      <c r="G10" s="194" t="s">
        <v>304</v>
      </c>
      <c r="H10" s="194" t="s">
        <v>304</v>
      </c>
      <c r="I10" s="55" t="s">
        <v>123</v>
      </c>
      <c r="J10" s="55" t="s">
        <v>305</v>
      </c>
      <c r="K10" s="55" t="s">
        <v>71</v>
      </c>
      <c r="L10" s="55" t="s">
        <v>123</v>
      </c>
      <c r="M10" s="55" t="s">
        <v>305</v>
      </c>
      <c r="N10" s="55" t="s">
        <v>71</v>
      </c>
      <c r="O10" s="55" t="s">
        <v>123</v>
      </c>
      <c r="P10" s="55" t="s">
        <v>305</v>
      </c>
      <c r="Q10" s="55" t="s">
        <v>71</v>
      </c>
    </row>
    <row r="11" spans="1:21" s="30" customFormat="1">
      <c r="A11" s="24" t="s">
        <v>17</v>
      </c>
      <c r="B11" s="58" t="s">
        <v>124</v>
      </c>
      <c r="C11" s="58" t="s">
        <v>125</v>
      </c>
      <c r="D11" s="58" t="s">
        <v>124</v>
      </c>
      <c r="E11" s="58" t="s">
        <v>124</v>
      </c>
      <c r="F11" s="195" t="s">
        <v>124</v>
      </c>
      <c r="G11" s="195" t="s">
        <v>124</v>
      </c>
      <c r="H11" s="195" t="s">
        <v>124</v>
      </c>
      <c r="I11" s="58" t="s">
        <v>102</v>
      </c>
      <c r="J11" s="58" t="s">
        <v>102</v>
      </c>
      <c r="K11" s="58" t="s">
        <v>126</v>
      </c>
      <c r="L11" s="58" t="s">
        <v>22</v>
      </c>
      <c r="M11" s="58" t="s">
        <v>22</v>
      </c>
      <c r="N11" s="58" t="s">
        <v>127</v>
      </c>
      <c r="O11" s="58" t="s">
        <v>112</v>
      </c>
      <c r="P11" s="58" t="s">
        <v>112</v>
      </c>
      <c r="Q11" s="58" t="s">
        <v>128</v>
      </c>
    </row>
    <row r="12" spans="1:21">
      <c r="A12" s="32">
        <v>2008</v>
      </c>
      <c r="B12" s="14">
        <v>8827176.8745826092</v>
      </c>
      <c r="C12" s="14">
        <v>12</v>
      </c>
      <c r="D12" s="14">
        <v>0</v>
      </c>
      <c r="E12" s="14">
        <v>0</v>
      </c>
      <c r="F12" s="14">
        <f>B12-SUM($D$12:D12)-SUM($E$12:E12)</f>
        <v>8827176.8745826092</v>
      </c>
      <c r="G12" s="14">
        <f>SUM($D$12:D12)+SUM($E$12:E12)</f>
        <v>0</v>
      </c>
      <c r="H12" s="14">
        <v>0</v>
      </c>
      <c r="I12" s="14">
        <v>824699.91887676122</v>
      </c>
      <c r="J12" s="14">
        <f t="shared" ref="J12:J30" si="0">I12-K12</f>
        <v>824699.91887676122</v>
      </c>
      <c r="K12" s="112">
        <v>0</v>
      </c>
      <c r="L12" s="14">
        <v>102.44365991361029</v>
      </c>
      <c r="M12" s="14">
        <v>102.44365991361029</v>
      </c>
      <c r="N12" s="112">
        <v>0</v>
      </c>
      <c r="O12" s="14">
        <v>84.10890678180489</v>
      </c>
      <c r="P12" s="14">
        <v>84.10890678180489</v>
      </c>
      <c r="Q12" s="112">
        <v>0</v>
      </c>
      <c r="S12" s="196"/>
    </row>
    <row r="13" spans="1:21">
      <c r="A13" s="32">
        <v>2009</v>
      </c>
      <c r="B13" s="14">
        <v>8775896.4067388736</v>
      </c>
      <c r="C13" s="14">
        <v>12</v>
      </c>
      <c r="D13" s="14">
        <f>B$13/C$13</f>
        <v>731324.7005615728</v>
      </c>
      <c r="E13" s="14">
        <v>0</v>
      </c>
      <c r="F13" s="14">
        <f>B13-SUM($D$12:D13)-SUM($E$12:E13)</f>
        <v>8044571.7061773008</v>
      </c>
      <c r="G13" s="14">
        <f>SUM($D$12:D13)+SUM($E$12:E13)</f>
        <v>731324.7005615728</v>
      </c>
      <c r="H13" s="14">
        <v>0</v>
      </c>
      <c r="I13" s="14">
        <v>819908.91963979497</v>
      </c>
      <c r="J13" s="14">
        <f t="shared" si="0"/>
        <v>785746.04798813688</v>
      </c>
      <c r="K13" s="112">
        <v>34162.871651658126</v>
      </c>
      <c r="L13" s="14">
        <v>101.84852526494122</v>
      </c>
      <c r="M13" s="14">
        <v>97.604836712235354</v>
      </c>
      <c r="N13" s="112">
        <v>4.2436885527058843</v>
      </c>
      <c r="O13" s="14">
        <v>83.62028577070727</v>
      </c>
      <c r="P13" s="14">
        <v>80.136107196927824</v>
      </c>
      <c r="Q13" s="112">
        <v>3.4841785737794702</v>
      </c>
      <c r="S13" s="196"/>
    </row>
    <row r="14" spans="1:21">
      <c r="A14" s="32">
        <v>2010</v>
      </c>
      <c r="B14" s="14">
        <v>8798227.9695330206</v>
      </c>
      <c r="C14" s="14">
        <v>12</v>
      </c>
      <c r="D14" s="14">
        <f t="shared" ref="D14:D24" si="1">B$13/C$13</f>
        <v>731324.7005615728</v>
      </c>
      <c r="E14" s="14">
        <f t="shared" ref="E14:E30" si="2">B14-B13</f>
        <v>22331.562794147059</v>
      </c>
      <c r="F14" s="14">
        <f>B14-SUM($D$12:D14)-SUM($E$12:E14)</f>
        <v>7313247.005615728</v>
      </c>
      <c r="G14" s="14">
        <f>SUM($D$12:D14)+SUM($E$12:E14)</f>
        <v>1484980.9639172927</v>
      </c>
      <c r="H14" s="14">
        <v>0</v>
      </c>
      <c r="I14" s="14">
        <v>821995.29881701001</v>
      </c>
      <c r="J14" s="14">
        <f t="shared" si="0"/>
        <v>752626.3659250862</v>
      </c>
      <c r="K14" s="112">
        <v>69368.932891923832</v>
      </c>
      <c r="L14" s="14">
        <v>102.10769385946777</v>
      </c>
      <c r="M14" s="14">
        <v>93.490732456792728</v>
      </c>
      <c r="N14" s="112">
        <v>8.6169614026750558</v>
      </c>
      <c r="O14" s="14">
        <v>83.833069921294907</v>
      </c>
      <c r="P14" s="14">
        <v>76.758320698442162</v>
      </c>
      <c r="Q14" s="112">
        <v>7.0747492228527618</v>
      </c>
      <c r="S14" s="196"/>
    </row>
    <row r="15" spans="1:21">
      <c r="A15" s="32">
        <v>2011</v>
      </c>
      <c r="B15" s="14">
        <v>8871309.1820137631</v>
      </c>
      <c r="C15" s="14">
        <v>12</v>
      </c>
      <c r="D15" s="14">
        <f t="shared" si="1"/>
        <v>731324.7005615728</v>
      </c>
      <c r="E15" s="14">
        <f t="shared" si="2"/>
        <v>73081.212480742484</v>
      </c>
      <c r="F15" s="14">
        <f>B15-SUM($D$12:D15)-SUM($E$12:E15)</f>
        <v>6581922.3050541552</v>
      </c>
      <c r="G15" s="14">
        <f>SUM($D$12:D15)+SUM($E$12:E15)</f>
        <v>2289386.8769596079</v>
      </c>
      <c r="H15" s="14">
        <v>0</v>
      </c>
      <c r="I15" s="14">
        <v>828823.08428688417</v>
      </c>
      <c r="J15" s="14">
        <f t="shared" si="0"/>
        <v>721877.38700836524</v>
      </c>
      <c r="K15" s="112">
        <v>106945.69727851899</v>
      </c>
      <c r="L15" s="14">
        <v>102.95583670103802</v>
      </c>
      <c r="M15" s="14">
        <v>89.671115324871963</v>
      </c>
      <c r="N15" s="112">
        <v>13.284721376166051</v>
      </c>
      <c r="O15" s="14">
        <v>84.529417233168019</v>
      </c>
      <c r="P15" s="14">
        <v>73.622315780599237</v>
      </c>
      <c r="Q15" s="112">
        <v>10.907101452568783</v>
      </c>
      <c r="S15" s="196"/>
    </row>
    <row r="16" spans="1:21">
      <c r="A16" s="32">
        <v>2012</v>
      </c>
      <c r="B16" s="14">
        <v>8938853.2886504903</v>
      </c>
      <c r="C16" s="14">
        <v>12</v>
      </c>
      <c r="D16" s="14">
        <f t="shared" si="1"/>
        <v>731324.7005615728</v>
      </c>
      <c r="E16" s="14">
        <f t="shared" si="2"/>
        <v>67544.106636727229</v>
      </c>
      <c r="F16" s="14">
        <f>B16-SUM($D$12:D16)-SUM($E$12:E16)</f>
        <v>5850597.6044925824</v>
      </c>
      <c r="G16" s="14">
        <f>SUM($D$12:D16)+SUM($E$12:E16)</f>
        <v>3088255.684157908</v>
      </c>
      <c r="H16" s="14">
        <v>0</v>
      </c>
      <c r="I16" s="14">
        <v>835133.55252099293</v>
      </c>
      <c r="J16" s="14">
        <f t="shared" si="0"/>
        <v>690869.74947376153</v>
      </c>
      <c r="K16" s="112">
        <v>144263.80304723146</v>
      </c>
      <c r="L16" s="14">
        <v>103.73971874937284</v>
      </c>
      <c r="M16" s="14">
        <v>85.819367796333509</v>
      </c>
      <c r="N16" s="112">
        <v>17.920350953039343</v>
      </c>
      <c r="O16" s="14">
        <v>85.173004763981766</v>
      </c>
      <c r="P16" s="14">
        <v>70.459930972226672</v>
      </c>
      <c r="Q16" s="112">
        <v>14.713073791755125</v>
      </c>
      <c r="S16" s="196"/>
    </row>
    <row r="17" spans="1:19">
      <c r="A17" s="32">
        <v>2013</v>
      </c>
      <c r="B17" s="14">
        <v>9031756.4815867711</v>
      </c>
      <c r="C17" s="14">
        <v>12</v>
      </c>
      <c r="D17" s="14">
        <f t="shared" si="1"/>
        <v>731324.7005615728</v>
      </c>
      <c r="E17" s="14">
        <f t="shared" si="2"/>
        <v>92903.192936280742</v>
      </c>
      <c r="F17" s="14">
        <f>B17-SUM($D$12:D17)-SUM($E$12:E17)</f>
        <v>5119272.9039310096</v>
      </c>
      <c r="G17" s="14">
        <f>SUM($D$12:D17)+SUM($E$12:E17)</f>
        <v>3912483.5776557615</v>
      </c>
      <c r="H17" s="14">
        <v>0</v>
      </c>
      <c r="I17" s="14">
        <v>843813.25349068316</v>
      </c>
      <c r="J17" s="14">
        <f t="shared" si="0"/>
        <v>661046.72830694844</v>
      </c>
      <c r="K17" s="112">
        <v>182766.52518373475</v>
      </c>
      <c r="L17" s="14">
        <v>104.81790526781199</v>
      </c>
      <c r="M17" s="14">
        <v>82.114772502847174</v>
      </c>
      <c r="N17" s="112">
        <v>22.703132764964806</v>
      </c>
      <c r="O17" s="14">
        <v>86.058223912236258</v>
      </c>
      <c r="P17" s="14">
        <v>67.418361972574402</v>
      </c>
      <c r="Q17" s="112">
        <v>18.639861939661834</v>
      </c>
      <c r="S17" s="196"/>
    </row>
    <row r="18" spans="1:19">
      <c r="A18" s="32">
        <v>2014</v>
      </c>
      <c r="B18" s="14">
        <v>9197695.4068670105</v>
      </c>
      <c r="C18" s="14">
        <v>12</v>
      </c>
      <c r="D18" s="14">
        <f t="shared" si="1"/>
        <v>731324.7005615728</v>
      </c>
      <c r="E18" s="14">
        <f t="shared" si="2"/>
        <v>165938.92528023943</v>
      </c>
      <c r="F18" s="14">
        <f>B18-SUM($D$12:D18)-SUM($E$12:E18)</f>
        <v>4387948.2033694368</v>
      </c>
      <c r="G18" s="14">
        <f>SUM($D$12:D18)+SUM($E$12:E18)</f>
        <v>4809747.2034975737</v>
      </c>
      <c r="H18" s="14">
        <v>0</v>
      </c>
      <c r="I18" s="14">
        <v>859316.49084068614</v>
      </c>
      <c r="J18" s="14">
        <f t="shared" si="0"/>
        <v>634635.4753302919</v>
      </c>
      <c r="K18" s="112">
        <v>224681.01551039427</v>
      </c>
      <c r="L18" s="14">
        <v>106.74370680882198</v>
      </c>
      <c r="M18" s="14">
        <v>78.833984720646299</v>
      </c>
      <c r="N18" s="112">
        <v>27.909722088175673</v>
      </c>
      <c r="O18" s="14">
        <v>87.639357019249999</v>
      </c>
      <c r="P18" s="14">
        <v>64.724749952301821</v>
      </c>
      <c r="Q18" s="112">
        <v>22.914607066948165</v>
      </c>
      <c r="S18" s="196"/>
    </row>
    <row r="19" spans="1:19">
      <c r="A19" s="32">
        <v>2015</v>
      </c>
      <c r="B19" s="14">
        <v>9437319.6948607657</v>
      </c>
      <c r="C19" s="14">
        <v>12</v>
      </c>
      <c r="D19" s="14">
        <f t="shared" si="1"/>
        <v>731324.7005615728</v>
      </c>
      <c r="E19" s="14">
        <f t="shared" si="2"/>
        <v>239624.28799375519</v>
      </c>
      <c r="F19" s="14">
        <f>B19-SUM($D$12:D19)-SUM($E$12:E19)</f>
        <v>3656623.502807864</v>
      </c>
      <c r="G19" s="14">
        <f>SUM($D$12:D19)+SUM($E$12:E19)</f>
        <v>5780696.1920529017</v>
      </c>
      <c r="H19" s="14">
        <v>0</v>
      </c>
      <c r="I19" s="14">
        <v>881703.95782782463</v>
      </c>
      <c r="J19" s="14">
        <f t="shared" si="0"/>
        <v>611666.337172203</v>
      </c>
      <c r="K19" s="112">
        <v>270037.62065562169</v>
      </c>
      <c r="L19" s="14">
        <v>109.52466264725746</v>
      </c>
      <c r="M19" s="14">
        <v>75.980774087158167</v>
      </c>
      <c r="N19" s="112">
        <v>33.543888560099305</v>
      </c>
      <c r="O19" s="14">
        <v>89.922594025586278</v>
      </c>
      <c r="P19" s="14">
        <v>62.382189881690508</v>
      </c>
      <c r="Q19" s="112">
        <v>27.540404143895792</v>
      </c>
      <c r="S19" s="196"/>
    </row>
    <row r="20" spans="1:19" ht="13.8" thickBot="1">
      <c r="A20" s="32">
        <v>2016</v>
      </c>
      <c r="B20" s="14">
        <v>9595592.5324318372</v>
      </c>
      <c r="C20" s="14">
        <v>12</v>
      </c>
      <c r="D20" s="14">
        <f t="shared" si="1"/>
        <v>731324.7005615728</v>
      </c>
      <c r="E20" s="14">
        <f t="shared" si="2"/>
        <v>158272.83757107146</v>
      </c>
      <c r="F20" s="14">
        <f>B20-SUM($D$12:D20)-SUM($E$12:E20)</f>
        <v>2925298.8022462912</v>
      </c>
      <c r="G20" s="197">
        <f>SUM($D$12:D20)+SUM($E$12:E20)</f>
        <v>6670293.730185546</v>
      </c>
      <c r="H20" s="197">
        <v>0</v>
      </c>
      <c r="I20" s="14">
        <v>896490.972765874</v>
      </c>
      <c r="J20" s="14">
        <f t="shared" si="0"/>
        <v>584896.97298956942</v>
      </c>
      <c r="K20" s="112">
        <v>311593.99977630452</v>
      </c>
      <c r="L20" s="14">
        <v>111.36149553007647</v>
      </c>
      <c r="M20" s="14">
        <v>72.655501975861753</v>
      </c>
      <c r="N20" s="112">
        <v>38.705993554214693</v>
      </c>
      <c r="O20" s="14">
        <v>91.430681552379667</v>
      </c>
      <c r="P20" s="14">
        <v>59.652055071307693</v>
      </c>
      <c r="Q20" s="112">
        <v>31.778626481071949</v>
      </c>
      <c r="S20" s="196"/>
    </row>
    <row r="21" spans="1:19" ht="13.8" thickBot="1">
      <c r="A21" s="32">
        <v>2017</v>
      </c>
      <c r="B21" s="14">
        <v>9745420.9387555756</v>
      </c>
      <c r="C21" s="14">
        <v>12</v>
      </c>
      <c r="D21" s="14">
        <f t="shared" si="1"/>
        <v>731324.7005615728</v>
      </c>
      <c r="E21" s="14">
        <f t="shared" si="2"/>
        <v>149828.4063237384</v>
      </c>
      <c r="F21" s="14">
        <f>B21-SUM($D$12:D21)-SUM($E$12:E21)</f>
        <v>2193974.1016847184</v>
      </c>
      <c r="G21" s="198">
        <f>G20+(D21+E21)/2</f>
        <v>7110870.2836282011</v>
      </c>
      <c r="H21" s="198">
        <f>(D21+E21)/2</f>
        <v>440576.5534426556</v>
      </c>
      <c r="I21" s="14">
        <v>910489.04670233454</v>
      </c>
      <c r="J21" s="14">
        <f t="shared" si="0"/>
        <v>552587.89972865558</v>
      </c>
      <c r="K21" s="112">
        <v>357901.1469736789</v>
      </c>
      <c r="L21" s="14">
        <v>113.10032670123198</v>
      </c>
      <c r="M21" s="14">
        <v>68.642090991448185</v>
      </c>
      <c r="N21" s="112">
        <v>44.458235709783786</v>
      </c>
      <c r="O21" s="14">
        <v>92.858307127328345</v>
      </c>
      <c r="P21" s="14">
        <v>56.356940364845855</v>
      </c>
      <c r="Q21" s="112">
        <v>36.50136676248249</v>
      </c>
      <c r="S21" s="196"/>
    </row>
    <row r="22" spans="1:19">
      <c r="A22" s="32">
        <v>2018</v>
      </c>
      <c r="B22" s="14">
        <v>9885347.9512403961</v>
      </c>
      <c r="C22" s="14">
        <v>12</v>
      </c>
      <c r="D22" s="14">
        <f t="shared" si="1"/>
        <v>731324.7005615728</v>
      </c>
      <c r="E22" s="14">
        <f t="shared" si="2"/>
        <v>139927.01248482056</v>
      </c>
      <c r="F22" s="14">
        <f>B22-SUM($D$12:D22)-SUM($E$12:E22)</f>
        <v>1462649.4011231456</v>
      </c>
      <c r="G22" s="39">
        <f>G21</f>
        <v>7110870.2836282011</v>
      </c>
      <c r="H22" s="39">
        <f t="shared" ref="H22:H30" si="3">H21+D22+E22</f>
        <v>1311828.266489049</v>
      </c>
      <c r="I22" s="14">
        <v>923562.0594542576</v>
      </c>
      <c r="J22" s="14">
        <f t="shared" si="0"/>
        <v>514786.68994605413</v>
      </c>
      <c r="K22" s="112">
        <v>408775.36950820347</v>
      </c>
      <c r="L22" s="14">
        <v>114.72424740469022</v>
      </c>
      <c r="M22" s="14">
        <v>63.946450564362671</v>
      </c>
      <c r="N22" s="112">
        <v>50.777796840327539</v>
      </c>
      <c r="O22" s="14">
        <v>94.191588222355549</v>
      </c>
      <c r="P22" s="14">
        <v>52.501697558256716</v>
      </c>
      <c r="Q22" s="112">
        <v>41.689890664098826</v>
      </c>
      <c r="S22" s="196"/>
    </row>
    <row r="23" spans="1:19">
      <c r="A23" s="32">
        <v>2019</v>
      </c>
      <c r="B23" s="14">
        <v>10021766.526116554</v>
      </c>
      <c r="C23" s="14">
        <v>12</v>
      </c>
      <c r="D23" s="14">
        <f t="shared" si="1"/>
        <v>731324.7005615728</v>
      </c>
      <c r="E23" s="14">
        <f t="shared" si="2"/>
        <v>136418.57487615757</v>
      </c>
      <c r="F23" s="14">
        <f>B23-SUM($D$12:D23)-SUM($E$12:E23)</f>
        <v>731324.7005615728</v>
      </c>
      <c r="G23" s="14">
        <f>G22</f>
        <v>7110870.2836282011</v>
      </c>
      <c r="H23" s="14">
        <f t="shared" si="3"/>
        <v>2179571.5419267793</v>
      </c>
      <c r="I23" s="14">
        <v>936307.28810800775</v>
      </c>
      <c r="J23" s="14">
        <f t="shared" si="0"/>
        <v>476862.5611266378</v>
      </c>
      <c r="K23" s="112">
        <v>459444.72698136995</v>
      </c>
      <c r="L23" s="14">
        <v>116.30745099164375</v>
      </c>
      <c r="M23" s="14">
        <v>59.235541218587898</v>
      </c>
      <c r="N23" s="112">
        <v>57.07190977305585</v>
      </c>
      <c r="O23" s="14">
        <v>95.491439506700402</v>
      </c>
      <c r="P23" s="14">
        <v>48.633918572661706</v>
      </c>
      <c r="Q23" s="112">
        <v>46.857520934038696</v>
      </c>
      <c r="S23" s="196"/>
    </row>
    <row r="24" spans="1:19" ht="13.8" thickBot="1">
      <c r="A24" s="32">
        <v>2020</v>
      </c>
      <c r="B24" s="14">
        <v>10155140.758396361</v>
      </c>
      <c r="C24" s="14">
        <v>12</v>
      </c>
      <c r="D24" s="197">
        <f t="shared" si="1"/>
        <v>731324.7005615728</v>
      </c>
      <c r="E24" s="14">
        <f t="shared" si="2"/>
        <v>133374.23227980733</v>
      </c>
      <c r="F24" s="197">
        <f>B24-SUM($D$12:D24)-SUM($E$12:E24)</f>
        <v>0</v>
      </c>
      <c r="G24" s="197">
        <f>G23</f>
        <v>7110870.2836282011</v>
      </c>
      <c r="H24" s="14">
        <f t="shared" si="3"/>
        <v>3044270.4747681594</v>
      </c>
      <c r="I24" s="14">
        <v>948768.09183996066</v>
      </c>
      <c r="J24" s="14">
        <f t="shared" si="0"/>
        <v>438831.77296154748</v>
      </c>
      <c r="K24" s="112">
        <v>509936.31887841318</v>
      </c>
      <c r="L24" s="14">
        <v>117.8553235093288</v>
      </c>
      <c r="M24" s="14">
        <v>54.511382721837435</v>
      </c>
      <c r="N24" s="112">
        <v>63.343940787491363</v>
      </c>
      <c r="O24" s="14">
        <v>96.762283065099993</v>
      </c>
      <c r="P24" s="14">
        <v>44.755261689837212</v>
      </c>
      <c r="Q24" s="112">
        <v>52.007021375262767</v>
      </c>
      <c r="S24" s="196"/>
    </row>
    <row r="25" spans="1:19">
      <c r="A25" s="32">
        <v>2021</v>
      </c>
      <c r="B25" s="14">
        <v>10286794.875550373</v>
      </c>
      <c r="C25" s="14">
        <v>12</v>
      </c>
      <c r="D25" s="39">
        <f t="shared" ref="D25:D30" si="4">D13+E13</f>
        <v>731324.7005615728</v>
      </c>
      <c r="E25" s="14">
        <f t="shared" si="2"/>
        <v>131654.1171540115</v>
      </c>
      <c r="F25" s="39">
        <v>0</v>
      </c>
      <c r="G25" s="39">
        <f t="shared" ref="G25:G30" si="5">G24-D25</f>
        <v>6379545.5830666283</v>
      </c>
      <c r="H25" s="14">
        <f t="shared" si="3"/>
        <v>3907249.2924837437</v>
      </c>
      <c r="I25" s="14">
        <v>961068.18973981601</v>
      </c>
      <c r="J25" s="14">
        <f t="shared" si="0"/>
        <v>434903.5917610788</v>
      </c>
      <c r="K25" s="112">
        <v>526164.59797873721</v>
      </c>
      <c r="L25" s="14">
        <v>119.38323325845683</v>
      </c>
      <c r="M25" s="14">
        <v>54.023426739583989</v>
      </c>
      <c r="N25" s="112">
        <v>65.359806518872844</v>
      </c>
      <c r="O25" s="14">
        <v>98.016736671782837</v>
      </c>
      <c r="P25" s="14">
        <v>44.354637148898433</v>
      </c>
      <c r="Q25" s="112">
        <v>53.662099522884418</v>
      </c>
      <c r="S25" s="196"/>
    </row>
    <row r="26" spans="1:19">
      <c r="A26" s="32">
        <v>2022</v>
      </c>
      <c r="B26" s="14">
        <v>10419691.97052381</v>
      </c>
      <c r="C26" s="14">
        <v>12</v>
      </c>
      <c r="D26" s="14">
        <f t="shared" si="4"/>
        <v>753656.26335571986</v>
      </c>
      <c r="E26" s="14">
        <f t="shared" si="2"/>
        <v>132897.09497343749</v>
      </c>
      <c r="F26" s="14">
        <v>0</v>
      </c>
      <c r="G26" s="14">
        <f t="shared" si="5"/>
        <v>5625889.3197109085</v>
      </c>
      <c r="H26" s="14">
        <f t="shared" si="3"/>
        <v>4793802.6508129016</v>
      </c>
      <c r="I26" s="14">
        <v>973484.41578816215</v>
      </c>
      <c r="J26" s="14">
        <f t="shared" si="0"/>
        <v>430758.16121914203</v>
      </c>
      <c r="K26" s="112">
        <v>542726.25456902012</v>
      </c>
      <c r="L26" s="14">
        <v>120.92556836677075</v>
      </c>
      <c r="M26" s="14">
        <v>53.508484192709403</v>
      </c>
      <c r="N26" s="112">
        <v>67.417084174061358</v>
      </c>
      <c r="O26" s="14">
        <v>99.283033873199457</v>
      </c>
      <c r="P26" s="14">
        <v>43.93185593716133</v>
      </c>
      <c r="Q26" s="112">
        <v>55.351177936038141</v>
      </c>
      <c r="S26" s="196"/>
    </row>
    <row r="27" spans="1:19">
      <c r="A27" s="32">
        <v>2023</v>
      </c>
      <c r="B27" s="14">
        <v>10550874.85528145</v>
      </c>
      <c r="C27" s="14">
        <v>12</v>
      </c>
      <c r="D27" s="14">
        <f t="shared" si="4"/>
        <v>804405.91304231528</v>
      </c>
      <c r="E27" s="14">
        <f t="shared" si="2"/>
        <v>131182.88475763984</v>
      </c>
      <c r="F27" s="14">
        <v>0</v>
      </c>
      <c r="G27" s="14">
        <f t="shared" si="5"/>
        <v>4821483.4066685932</v>
      </c>
      <c r="H27" s="14">
        <f t="shared" si="3"/>
        <v>5729391.4486128567</v>
      </c>
      <c r="I27" s="14">
        <v>985740.48768462113</v>
      </c>
      <c r="J27" s="14">
        <f t="shared" si="0"/>
        <v>425959.99708366545</v>
      </c>
      <c r="K27" s="112">
        <v>559780.49060095567</v>
      </c>
      <c r="L27" s="14">
        <v>122.44800923586611</v>
      </c>
      <c r="M27" s="14">
        <v>52.912459525247421</v>
      </c>
      <c r="N27" s="112">
        <v>69.535549710618696</v>
      </c>
      <c r="O27" s="14">
        <v>100.53299738726695</v>
      </c>
      <c r="P27" s="14">
        <v>43.442504197507638</v>
      </c>
      <c r="Q27" s="112">
        <v>57.090493189759322</v>
      </c>
      <c r="S27" s="196"/>
    </row>
    <row r="28" spans="1:19">
      <c r="A28" s="32">
        <v>2024</v>
      </c>
      <c r="B28" s="14">
        <v>10679938.820972415</v>
      </c>
      <c r="C28" s="14">
        <v>12</v>
      </c>
      <c r="D28" s="14">
        <f t="shared" si="4"/>
        <v>798868.80719830003</v>
      </c>
      <c r="E28" s="14">
        <f t="shared" si="2"/>
        <v>129063.96569096483</v>
      </c>
      <c r="F28" s="14">
        <v>0</v>
      </c>
      <c r="G28" s="14">
        <f t="shared" si="5"/>
        <v>4022614.5994702931</v>
      </c>
      <c r="H28" s="14">
        <f t="shared" si="3"/>
        <v>6657324.2215021215</v>
      </c>
      <c r="I28" s="14">
        <v>997798.59454568755</v>
      </c>
      <c r="J28" s="14">
        <f t="shared" si="0"/>
        <v>421152.26071438717</v>
      </c>
      <c r="K28" s="112">
        <v>576646.33383130038</v>
      </c>
      <c r="L28" s="14">
        <v>123.94585902365256</v>
      </c>
      <c r="M28" s="14">
        <v>52.315245801449009</v>
      </c>
      <c r="N28" s="112">
        <v>71.63061322220355</v>
      </c>
      <c r="O28" s="14">
        <v>101.76277098458196</v>
      </c>
      <c r="P28" s="14">
        <v>42.952176211704177</v>
      </c>
      <c r="Q28" s="112">
        <v>58.810594772877799</v>
      </c>
      <c r="S28" s="196"/>
    </row>
    <row r="29" spans="1:19">
      <c r="A29" s="32">
        <v>2025</v>
      </c>
      <c r="B29" s="14">
        <v>10812389.267149359</v>
      </c>
      <c r="C29" s="14">
        <v>12</v>
      </c>
      <c r="D29" s="14">
        <f t="shared" si="4"/>
        <v>824227.89349785354</v>
      </c>
      <c r="E29" s="14">
        <f t="shared" si="2"/>
        <v>132450.4461769443</v>
      </c>
      <c r="F29" s="14">
        <v>0</v>
      </c>
      <c r="G29" s="14">
        <f t="shared" si="5"/>
        <v>3198386.7059724396</v>
      </c>
      <c r="H29" s="14">
        <f t="shared" si="3"/>
        <v>7614002.5611769194</v>
      </c>
      <c r="I29" s="14">
        <v>1010173.0913717163</v>
      </c>
      <c r="J29" s="14">
        <f t="shared" si="0"/>
        <v>416167.01649002219</v>
      </c>
      <c r="K29" s="112">
        <v>594006.07488169416</v>
      </c>
      <c r="L29" s="14">
        <v>125.4830105565087</v>
      </c>
      <c r="M29" s="14">
        <v>51.695982173288698</v>
      </c>
      <c r="N29" s="112">
        <v>73.787028383220004</v>
      </c>
      <c r="O29" s="14">
        <v>103.02481233585283</v>
      </c>
      <c r="P29" s="14">
        <v>42.443744681454078</v>
      </c>
      <c r="Q29" s="112">
        <v>60.581067654398758</v>
      </c>
      <c r="S29" s="196"/>
    </row>
    <row r="30" spans="1:19">
      <c r="A30" s="32">
        <v>2026</v>
      </c>
      <c r="B30" s="14">
        <v>10947778.522307528</v>
      </c>
      <c r="C30" s="14">
        <v>12</v>
      </c>
      <c r="D30" s="14">
        <f t="shared" si="4"/>
        <v>897263.62584181223</v>
      </c>
      <c r="E30" s="14">
        <f t="shared" si="2"/>
        <v>135389.2551581692</v>
      </c>
      <c r="F30" s="14">
        <v>0</v>
      </c>
      <c r="G30" s="14">
        <f t="shared" si="5"/>
        <v>2301123.0801306274</v>
      </c>
      <c r="H30" s="14">
        <f t="shared" si="3"/>
        <v>8646655.4421769008</v>
      </c>
      <c r="I30" s="14">
        <v>1022822.1533914469</v>
      </c>
      <c r="J30" s="14">
        <f t="shared" si="0"/>
        <v>410431.79216575623</v>
      </c>
      <c r="K30" s="112">
        <v>612390.36122569069</v>
      </c>
      <c r="L30" s="14">
        <v>127.05426838995233</v>
      </c>
      <c r="M30" s="14">
        <v>50.983556530027336</v>
      </c>
      <c r="N30" s="112">
        <v>76.070711859924998</v>
      </c>
      <c r="O30" s="14">
        <v>104.31485584615632</v>
      </c>
      <c r="P30" s="14">
        <v>41.858824715996299</v>
      </c>
      <c r="Q30" s="112">
        <v>62.456031130160028</v>
      </c>
      <c r="S30" s="196"/>
    </row>
    <row r="31" spans="1:19">
      <c r="A31" s="34"/>
      <c r="B31" s="18"/>
      <c r="C31" s="18"/>
      <c r="D31" s="18"/>
      <c r="E31" s="18"/>
      <c r="F31" s="18"/>
      <c r="G31" s="18"/>
      <c r="H31" s="18"/>
      <c r="I31" s="18"/>
      <c r="J31" s="18"/>
      <c r="K31" s="18"/>
      <c r="L31" s="18"/>
      <c r="M31" s="18"/>
      <c r="N31" s="18"/>
      <c r="O31" s="18"/>
      <c r="P31" s="18"/>
      <c r="Q31" s="18"/>
    </row>
    <row r="32" spans="1:19">
      <c r="A32" s="33" t="s">
        <v>103</v>
      </c>
    </row>
    <row r="33" spans="1:17">
      <c r="A33" s="33" t="s">
        <v>306</v>
      </c>
    </row>
    <row r="36" spans="1:17">
      <c r="K36" s="35"/>
      <c r="L36" s="35"/>
      <c r="M36" s="35"/>
      <c r="N36" s="35"/>
      <c r="O36" s="35"/>
      <c r="P36" s="35"/>
      <c r="Q36" s="35"/>
    </row>
    <row r="37" spans="1:17">
      <c r="K37" s="35"/>
      <c r="L37" s="35"/>
      <c r="M37" s="35"/>
      <c r="N37" s="35"/>
      <c r="O37" s="35"/>
      <c r="P37" s="35"/>
      <c r="Q37" s="35"/>
    </row>
    <row r="38" spans="1:17">
      <c r="K38" s="35"/>
      <c r="L38" s="35"/>
      <c r="M38" s="35"/>
      <c r="N38" s="35"/>
      <c r="O38" s="35"/>
      <c r="P38" s="35"/>
      <c r="Q38" s="35"/>
    </row>
    <row r="39" spans="1:17">
      <c r="K39" s="35"/>
      <c r="L39" s="35"/>
      <c r="M39" s="35"/>
      <c r="N39" s="35"/>
      <c r="O39" s="35"/>
      <c r="P39" s="35"/>
      <c r="Q39" s="35"/>
    </row>
    <row r="40" spans="1:17">
      <c r="D40" s="199"/>
      <c r="E40" s="199"/>
      <c r="F40" s="199"/>
      <c r="G40" s="199"/>
      <c r="H40" s="199"/>
      <c r="I40" s="199"/>
      <c r="J40" s="199"/>
      <c r="K40" s="35"/>
      <c r="L40" s="35"/>
      <c r="M40" s="35"/>
      <c r="N40" s="35"/>
      <c r="O40" s="35"/>
      <c r="P40" s="35"/>
      <c r="Q40" s="35"/>
    </row>
    <row r="41" spans="1:17">
      <c r="D41" s="199"/>
      <c r="E41" s="199"/>
      <c r="F41" s="199"/>
      <c r="G41" s="199"/>
      <c r="H41" s="199"/>
      <c r="I41" s="199"/>
      <c r="J41" s="199"/>
      <c r="K41" s="35"/>
      <c r="L41" s="35"/>
      <c r="M41" s="35"/>
      <c r="N41" s="35"/>
      <c r="O41" s="35"/>
      <c r="P41" s="35"/>
      <c r="Q41" s="35"/>
    </row>
    <row r="42" spans="1:17">
      <c r="D42" s="199"/>
      <c r="E42" s="199"/>
      <c r="F42" s="199"/>
      <c r="G42" s="199"/>
      <c r="H42" s="199"/>
      <c r="I42" s="199"/>
      <c r="J42" s="199"/>
      <c r="K42" s="35"/>
      <c r="L42" s="35"/>
      <c r="M42" s="35"/>
      <c r="N42" s="35"/>
      <c r="O42" s="35"/>
      <c r="P42" s="35"/>
      <c r="Q42" s="35"/>
    </row>
    <row r="43" spans="1:17">
      <c r="D43" s="199"/>
      <c r="E43" s="199"/>
      <c r="F43" s="199"/>
      <c r="G43" s="199"/>
      <c r="H43" s="199"/>
      <c r="I43" s="199"/>
      <c r="J43" s="199"/>
      <c r="K43" s="35"/>
      <c r="L43" s="35"/>
      <c r="M43" s="35"/>
      <c r="N43" s="35"/>
      <c r="O43" s="35"/>
      <c r="P43" s="35"/>
      <c r="Q43" s="35"/>
    </row>
    <row r="44" spans="1:17">
      <c r="D44" s="199"/>
      <c r="E44" s="199"/>
      <c r="F44" s="199"/>
      <c r="G44" s="199"/>
      <c r="H44" s="199"/>
      <c r="I44" s="199"/>
      <c r="J44" s="199"/>
      <c r="K44" s="35"/>
      <c r="L44" s="35"/>
      <c r="M44" s="35"/>
      <c r="N44" s="35"/>
      <c r="O44" s="35"/>
      <c r="P44" s="35"/>
      <c r="Q44" s="35"/>
    </row>
    <row r="45" spans="1:17">
      <c r="D45" s="199"/>
      <c r="E45" s="199"/>
      <c r="F45" s="199"/>
      <c r="G45" s="199"/>
      <c r="H45" s="199"/>
      <c r="I45" s="199"/>
      <c r="J45" s="199"/>
      <c r="K45" s="35"/>
      <c r="L45" s="35"/>
      <c r="M45" s="35"/>
      <c r="N45" s="35"/>
      <c r="O45" s="35"/>
      <c r="P45" s="35"/>
      <c r="Q45" s="35"/>
    </row>
    <row r="46" spans="1:17">
      <c r="D46" s="199"/>
      <c r="E46" s="199"/>
      <c r="F46" s="199"/>
      <c r="G46" s="199"/>
      <c r="H46" s="199"/>
      <c r="I46" s="199"/>
      <c r="J46" s="199"/>
      <c r="K46" s="35"/>
      <c r="L46" s="35"/>
      <c r="M46" s="35"/>
      <c r="O46" s="35"/>
      <c r="P46" s="35"/>
    </row>
    <row r="47" spans="1:17">
      <c r="D47" s="199"/>
      <c r="E47" s="199"/>
      <c r="F47" s="199"/>
      <c r="G47" s="199"/>
      <c r="H47" s="199"/>
      <c r="I47" s="199"/>
      <c r="J47" s="199"/>
      <c r="K47" s="35"/>
      <c r="L47" s="35"/>
      <c r="M47" s="35"/>
      <c r="O47" s="35"/>
      <c r="P47" s="35"/>
    </row>
    <row r="48" spans="1:17">
      <c r="D48" s="199"/>
      <c r="E48" s="199"/>
      <c r="F48" s="199"/>
      <c r="G48" s="199"/>
      <c r="H48" s="199"/>
      <c r="I48" s="199"/>
      <c r="J48" s="199"/>
      <c r="K48" s="35"/>
      <c r="L48" s="35"/>
      <c r="M48" s="35"/>
      <c r="O48" s="35"/>
      <c r="P48" s="35"/>
    </row>
    <row r="49" spans="4:16">
      <c r="D49" s="199"/>
      <c r="E49" s="199"/>
      <c r="F49" s="199"/>
      <c r="G49" s="199"/>
      <c r="H49" s="199"/>
      <c r="I49" s="199"/>
      <c r="J49" s="199"/>
      <c r="K49" s="35"/>
      <c r="L49" s="35"/>
      <c r="M49" s="35"/>
      <c r="O49" s="35"/>
      <c r="P49" s="35"/>
    </row>
    <row r="50" spans="4:16">
      <c r="D50" s="199"/>
      <c r="E50" s="199"/>
      <c r="F50" s="199"/>
      <c r="G50" s="199"/>
      <c r="H50" s="199"/>
      <c r="I50" s="199"/>
      <c r="J50" s="199"/>
      <c r="K50" s="35"/>
      <c r="L50" s="35"/>
      <c r="M50" s="35"/>
      <c r="O50" s="35"/>
      <c r="P50" s="35"/>
    </row>
    <row r="51" spans="4:16">
      <c r="D51" s="199"/>
      <c r="E51" s="199"/>
      <c r="F51" s="199"/>
      <c r="G51" s="199"/>
      <c r="H51" s="199"/>
      <c r="I51" s="199"/>
      <c r="J51" s="199"/>
      <c r="K51" s="35"/>
      <c r="L51" s="35"/>
      <c r="M51" s="35"/>
      <c r="O51" s="35"/>
      <c r="P51" s="35"/>
    </row>
    <row r="52" spans="4:16">
      <c r="D52" s="199"/>
      <c r="E52" s="199"/>
      <c r="F52" s="199"/>
      <c r="G52" s="199"/>
      <c r="H52" s="199"/>
      <c r="I52" s="199"/>
      <c r="J52" s="199"/>
    </row>
    <row r="53" spans="4:16">
      <c r="D53" s="200"/>
      <c r="E53" s="200"/>
      <c r="F53" s="200"/>
      <c r="G53" s="200"/>
      <c r="H53" s="200"/>
      <c r="I53" s="200"/>
      <c r="J53" s="200"/>
    </row>
  </sheetData>
  <printOptions horizontalCentered="1"/>
  <pageMargins left="0.75" right="0.75" top="0.75" bottom="0.75" header="0.5" footer="0.5"/>
  <pageSetup scale="4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T298"/>
  <sheetViews>
    <sheetView zoomScale="75" zoomScaleNormal="75" workbookViewId="0">
      <pane xSplit="2" ySplit="4" topLeftCell="N5" activePane="bottomRight" state="frozen"/>
      <selection activeCell="I91" sqref="I91"/>
      <selection pane="topRight" activeCell="I91" sqref="I91"/>
      <selection pane="bottomLeft" activeCell="I91" sqref="I91"/>
      <selection pane="bottomRight" activeCell="A2" sqref="A1:A2"/>
    </sheetView>
  </sheetViews>
  <sheetFormatPr defaultColWidth="9.109375" defaultRowHeight="13.2"/>
  <cols>
    <col min="1" max="1" width="17.6640625" style="361" customWidth="1"/>
    <col min="2" max="2" width="9.109375" style="361"/>
    <col min="3" max="3" width="17.109375" style="361" customWidth="1"/>
    <col min="4" max="4" width="13.44140625" style="361" customWidth="1"/>
    <col min="5" max="5" width="19.5546875" style="361" customWidth="1"/>
    <col min="6" max="6" width="19.6640625" style="361" customWidth="1"/>
    <col min="7" max="8" width="19.5546875" style="361" customWidth="1"/>
    <col min="9" max="9" width="20.88671875" style="361" customWidth="1"/>
    <col min="10" max="10" width="19.5546875" style="361" customWidth="1"/>
    <col min="11" max="11" width="15.6640625" style="361" bestFit="1" customWidth="1"/>
    <col min="12" max="12" width="16" style="361" customWidth="1"/>
    <col min="13" max="13" width="17.33203125" style="361" customWidth="1"/>
    <col min="14" max="14" width="19.6640625" style="361" customWidth="1"/>
    <col min="15" max="15" width="18.44140625" style="361" customWidth="1"/>
    <col min="16" max="16" width="19" style="361" customWidth="1"/>
    <col min="17" max="19" width="15.6640625" style="361" customWidth="1"/>
    <col min="20" max="24" width="19.6640625" style="361" customWidth="1"/>
    <col min="25" max="25" width="13" style="361" customWidth="1"/>
    <col min="26" max="29" width="15.44140625" style="361" customWidth="1"/>
    <col min="30" max="30" width="16.5546875" style="361" customWidth="1"/>
    <col min="31" max="32" width="17.5546875" style="361" customWidth="1"/>
    <col min="33" max="33" width="19.33203125" style="361" customWidth="1"/>
    <col min="34" max="34" width="19.44140625" style="393" customWidth="1"/>
    <col min="35" max="36" width="17.88671875" style="393" customWidth="1"/>
    <col min="37" max="37" width="9.109375" style="361"/>
    <col min="38" max="38" width="12.88671875" style="361" customWidth="1"/>
    <col min="39" max="40" width="15.44140625" style="361" customWidth="1"/>
    <col min="41" max="41" width="17.5546875" style="361" customWidth="1"/>
    <col min="42" max="42" width="10.6640625" style="361" bestFit="1" customWidth="1"/>
    <col min="43" max="43" width="22.33203125" style="361" customWidth="1"/>
    <col min="44" max="44" width="20.6640625" style="361" customWidth="1"/>
    <col min="45" max="45" width="9.109375" style="361"/>
    <col min="46" max="46" width="15" style="382" customWidth="1"/>
    <col min="47" max="16384" width="9.109375" style="361"/>
  </cols>
  <sheetData>
    <row r="1" spans="1:46">
      <c r="A1" s="416" t="s">
        <v>382</v>
      </c>
    </row>
    <row r="2" spans="1:46">
      <c r="A2" s="416" t="s">
        <v>380</v>
      </c>
    </row>
    <row r="3" spans="1:46" s="338" customFormat="1" ht="52.8">
      <c r="C3" s="339" t="s">
        <v>248</v>
      </c>
      <c r="D3" s="340"/>
      <c r="E3" s="341" t="s">
        <v>23</v>
      </c>
      <c r="F3" s="342" t="s">
        <v>169</v>
      </c>
      <c r="G3" s="341" t="s">
        <v>43</v>
      </c>
      <c r="H3" s="341" t="s">
        <v>187</v>
      </c>
      <c r="I3" s="341" t="s">
        <v>95</v>
      </c>
      <c r="J3" s="339" t="s">
        <v>228</v>
      </c>
      <c r="K3" s="343" t="s">
        <v>247</v>
      </c>
      <c r="L3" s="343" t="s">
        <v>375</v>
      </c>
      <c r="M3" s="341" t="s">
        <v>59</v>
      </c>
      <c r="N3" s="341" t="s">
        <v>353</v>
      </c>
      <c r="O3" s="341" t="s">
        <v>70</v>
      </c>
      <c r="P3" s="342" t="s">
        <v>89</v>
      </c>
      <c r="Q3" s="342" t="s">
        <v>129</v>
      </c>
      <c r="R3" s="342" t="s">
        <v>327</v>
      </c>
      <c r="S3" s="342" t="s">
        <v>146</v>
      </c>
      <c r="T3" s="342" t="s">
        <v>147</v>
      </c>
      <c r="U3" s="342" t="s">
        <v>261</v>
      </c>
      <c r="V3" s="342" t="s">
        <v>212</v>
      </c>
      <c r="W3" s="342" t="s">
        <v>214</v>
      </c>
      <c r="X3" s="339" t="s">
        <v>229</v>
      </c>
      <c r="Y3" s="344" t="s">
        <v>230</v>
      </c>
      <c r="Z3" s="344" t="s">
        <v>230</v>
      </c>
      <c r="AA3" s="344"/>
      <c r="AB3" s="345" t="s">
        <v>256</v>
      </c>
      <c r="AC3" s="346" t="s">
        <v>228</v>
      </c>
      <c r="AD3" s="347" t="s">
        <v>228</v>
      </c>
      <c r="AE3" s="345" t="s">
        <v>229</v>
      </c>
      <c r="AF3" s="348" t="s">
        <v>229</v>
      </c>
      <c r="AG3" s="347" t="s">
        <v>230</v>
      </c>
      <c r="AH3" s="349" t="s">
        <v>230</v>
      </c>
      <c r="AI3" s="349"/>
      <c r="AJ3" s="350" t="s">
        <v>230</v>
      </c>
      <c r="AL3" s="351" t="s">
        <v>231</v>
      </c>
      <c r="AM3" s="352"/>
      <c r="AN3" s="351" t="s">
        <v>231</v>
      </c>
      <c r="AO3" s="353"/>
      <c r="AQ3" s="348" t="s">
        <v>250</v>
      </c>
      <c r="AR3" s="348" t="s">
        <v>232</v>
      </c>
      <c r="AT3" s="354" t="s">
        <v>259</v>
      </c>
    </row>
    <row r="4" spans="1:46" s="338" customFormat="1" ht="39.6">
      <c r="C4" s="343"/>
      <c r="D4" s="343" t="s">
        <v>233</v>
      </c>
      <c r="E4" s="343" t="s">
        <v>234</v>
      </c>
      <c r="F4" s="343" t="s">
        <v>234</v>
      </c>
      <c r="G4" s="343" t="s">
        <v>234</v>
      </c>
      <c r="H4" s="343" t="s">
        <v>235</v>
      </c>
      <c r="I4" s="343" t="s">
        <v>234</v>
      </c>
      <c r="J4" s="343" t="s">
        <v>234</v>
      </c>
      <c r="L4" s="343" t="s">
        <v>233</v>
      </c>
      <c r="M4" s="343" t="s">
        <v>234</v>
      </c>
      <c r="N4" s="343"/>
      <c r="O4" s="343" t="s">
        <v>234</v>
      </c>
      <c r="P4" s="343" t="s">
        <v>234</v>
      </c>
      <c r="Q4" s="343" t="s">
        <v>234</v>
      </c>
      <c r="R4" s="343"/>
      <c r="S4" s="343" t="s">
        <v>234</v>
      </c>
      <c r="T4" s="343" t="s">
        <v>234</v>
      </c>
      <c r="U4" s="343"/>
      <c r="V4" s="343" t="s">
        <v>234</v>
      </c>
      <c r="W4" s="343" t="s">
        <v>234</v>
      </c>
      <c r="X4" s="355" t="s">
        <v>234</v>
      </c>
      <c r="Y4" s="339" t="s">
        <v>236</v>
      </c>
      <c r="Z4" s="339" t="s">
        <v>237</v>
      </c>
      <c r="AA4" s="339" t="s">
        <v>246</v>
      </c>
      <c r="AB4" s="356" t="s">
        <v>238</v>
      </c>
      <c r="AC4" s="356" t="s">
        <v>238</v>
      </c>
      <c r="AD4" s="348" t="s">
        <v>239</v>
      </c>
      <c r="AE4" s="356" t="s">
        <v>238</v>
      </c>
      <c r="AF4" s="348" t="s">
        <v>239</v>
      </c>
      <c r="AG4" s="348" t="s">
        <v>239</v>
      </c>
      <c r="AH4" s="357" t="s">
        <v>239</v>
      </c>
      <c r="AI4" s="357"/>
      <c r="AJ4" s="358" t="s">
        <v>240</v>
      </c>
      <c r="AL4" s="352" t="s">
        <v>241</v>
      </c>
      <c r="AM4" s="352" t="s">
        <v>104</v>
      </c>
      <c r="AN4" s="352" t="s">
        <v>238</v>
      </c>
      <c r="AO4" s="359" t="s">
        <v>239</v>
      </c>
      <c r="AQ4" s="348" t="s">
        <v>239</v>
      </c>
      <c r="AR4" s="348" t="s">
        <v>234</v>
      </c>
      <c r="AT4" s="360" t="s">
        <v>258</v>
      </c>
    </row>
    <row r="5" spans="1:46">
      <c r="A5" s="361">
        <v>2005</v>
      </c>
      <c r="B5" s="361">
        <v>1</v>
      </c>
      <c r="C5" s="362">
        <v>26.112829868525239</v>
      </c>
      <c r="D5" s="363">
        <f t="shared" ref="D5:D16" si="0">C5/(SUM(C$5:C$16))</f>
        <v>1.3280829182176284E-2</v>
      </c>
      <c r="E5" s="361">
        <v>0</v>
      </c>
      <c r="F5" s="364">
        <v>0</v>
      </c>
      <c r="G5" s="364">
        <v>771.55365860638869</v>
      </c>
      <c r="H5" s="364">
        <v>0</v>
      </c>
      <c r="I5" s="364">
        <v>616.41172461781036</v>
      </c>
      <c r="J5" s="365">
        <f>SUM(E5:I5)</f>
        <v>1387.9653832241991</v>
      </c>
      <c r="K5" s="366">
        <v>31</v>
      </c>
      <c r="L5" s="367">
        <f>+D5</f>
        <v>1.3280829182176284E-2</v>
      </c>
      <c r="M5" s="364">
        <v>0</v>
      </c>
      <c r="N5" s="364">
        <v>0</v>
      </c>
      <c r="O5" s="364">
        <v>0</v>
      </c>
      <c r="P5" s="364">
        <v>0</v>
      </c>
      <c r="Q5" s="364">
        <v>0</v>
      </c>
      <c r="R5" s="364">
        <v>0</v>
      </c>
      <c r="S5" s="364">
        <f>$L5*'MWh Impact Summary'!$L$11</f>
        <v>0</v>
      </c>
      <c r="T5" s="364">
        <f>$L5*'MWh Impact Summary'!$M$11</f>
        <v>0</v>
      </c>
      <c r="U5" s="364">
        <v>0</v>
      </c>
      <c r="V5" s="364">
        <v>0</v>
      </c>
      <c r="W5" s="364">
        <v>0</v>
      </c>
      <c r="X5" s="368">
        <f t="shared" ref="X5:X68" si="1">SUM(M5:W5)</f>
        <v>0</v>
      </c>
      <c r="Y5" s="364">
        <f t="shared" ref="Y5:Y68" si="2">X5+J5</f>
        <v>1387.9653832241991</v>
      </c>
      <c r="Z5" s="364"/>
      <c r="AA5" s="364">
        <v>4272459</v>
      </c>
      <c r="AB5" s="369">
        <f>+Y5*1000/AA5</f>
        <v>0.32486335930296795</v>
      </c>
      <c r="AC5" s="370">
        <f t="shared" ref="AC5:AC68" si="3">+J5*1000/AA5</f>
        <v>0.32486335930296795</v>
      </c>
      <c r="AD5" s="371">
        <f t="shared" ref="AD5:AD68" si="4">+AC5/K5/1000</f>
        <v>1.0479463203321547E-5</v>
      </c>
      <c r="AE5" s="370">
        <f>+X5*1000/AA5</f>
        <v>0</v>
      </c>
      <c r="AF5" s="371">
        <f t="shared" ref="AF5:AF68" si="5">+AE5/K5/1000</f>
        <v>0</v>
      </c>
      <c r="AG5" s="372">
        <f>AD5+AF5</f>
        <v>1.0479463203321547E-5</v>
      </c>
      <c r="AH5" s="373">
        <f t="shared" ref="AH5:AH68" si="6">+AB5/K5/1000</f>
        <v>1.0479463203321547E-5</v>
      </c>
      <c r="AI5" s="374" t="b">
        <f>AG5=AH5</f>
        <v>1</v>
      </c>
      <c r="AJ5" s="375">
        <f t="shared" ref="AJ5:AJ16" si="7">AH5</f>
        <v>1.0479463203321547E-5</v>
      </c>
      <c r="AL5" s="376">
        <f t="shared" ref="AL5:AL68" si="8">+V5</f>
        <v>0</v>
      </c>
      <c r="AM5" s="377"/>
      <c r="AN5" s="378"/>
      <c r="AO5" s="379"/>
      <c r="AQ5" s="380">
        <f t="shared" ref="AQ5:AQ68" si="9">AH5</f>
        <v>1.0479463203321547E-5</v>
      </c>
      <c r="AR5" s="381">
        <v>1374.7828602320258</v>
      </c>
      <c r="AT5" s="382">
        <v>0.32486335930296795</v>
      </c>
    </row>
    <row r="6" spans="1:46">
      <c r="A6" s="361">
        <v>2005</v>
      </c>
      <c r="B6" s="361">
        <v>2</v>
      </c>
      <c r="C6" s="362">
        <v>35.042184420393127</v>
      </c>
      <c r="D6" s="363">
        <f t="shared" si="0"/>
        <v>1.7822245532205266E-2</v>
      </c>
      <c r="E6" s="361">
        <v>0</v>
      </c>
      <c r="F6" s="364">
        <v>0</v>
      </c>
      <c r="G6" s="364">
        <v>1035.388570723341</v>
      </c>
      <c r="H6" s="364">
        <v>0</v>
      </c>
      <c r="I6" s="364">
        <v>827.19542239218094</v>
      </c>
      <c r="J6" s="365">
        <f t="shared" ref="J6:J69" si="10">SUM(E6:I6)</f>
        <v>1862.5839931155219</v>
      </c>
      <c r="K6" s="366">
        <v>28</v>
      </c>
      <c r="L6" s="367">
        <f t="shared" ref="L6:L69" si="11">+D6</f>
        <v>1.7822245532205266E-2</v>
      </c>
      <c r="M6" s="364">
        <v>0</v>
      </c>
      <c r="N6" s="364">
        <v>0</v>
      </c>
      <c r="O6" s="364">
        <v>0</v>
      </c>
      <c r="P6" s="364">
        <v>0</v>
      </c>
      <c r="Q6" s="364">
        <v>0</v>
      </c>
      <c r="R6" s="364">
        <v>0</v>
      </c>
      <c r="S6" s="364">
        <f>$L6*'MWh Impact Summary'!$L$11</f>
        <v>0</v>
      </c>
      <c r="T6" s="364">
        <f>$L6*'MWh Impact Summary'!$M$11</f>
        <v>0</v>
      </c>
      <c r="U6" s="364">
        <v>0</v>
      </c>
      <c r="V6" s="364">
        <v>0</v>
      </c>
      <c r="W6" s="364">
        <v>0</v>
      </c>
      <c r="X6" s="368">
        <f t="shared" si="1"/>
        <v>0</v>
      </c>
      <c r="Y6" s="364">
        <f t="shared" si="2"/>
        <v>1862.5839931155219</v>
      </c>
      <c r="Z6" s="364"/>
      <c r="AA6" s="364">
        <v>4287988</v>
      </c>
      <c r="AB6" s="369">
        <f t="shared" ref="AB6:AB69" si="12">+Y6*1000/AA6</f>
        <v>0.43437248264582878</v>
      </c>
      <c r="AC6" s="370">
        <f t="shared" si="3"/>
        <v>0.43437248264582878</v>
      </c>
      <c r="AD6" s="371">
        <f t="shared" si="4"/>
        <v>1.5513302951636744E-5</v>
      </c>
      <c r="AE6" s="370">
        <f t="shared" ref="AE6:AE69" si="13">+X6*1000/AA6</f>
        <v>0</v>
      </c>
      <c r="AF6" s="371">
        <f t="shared" si="5"/>
        <v>0</v>
      </c>
      <c r="AG6" s="372">
        <f t="shared" ref="AG6:AG69" si="14">AD6+AF6</f>
        <v>1.5513302951636744E-5</v>
      </c>
      <c r="AH6" s="373">
        <f t="shared" si="6"/>
        <v>1.5513302951636744E-5</v>
      </c>
      <c r="AI6" s="374" t="b">
        <f t="shared" ref="AI6:AI69" si="15">AG6=AH6</f>
        <v>1</v>
      </c>
      <c r="AJ6" s="375">
        <f t="shared" si="7"/>
        <v>1.5513302951636744E-5</v>
      </c>
      <c r="AL6" s="376">
        <f t="shared" si="8"/>
        <v>0</v>
      </c>
      <c r="AM6" s="377"/>
      <c r="AN6" s="383"/>
      <c r="AO6" s="379"/>
      <c r="AQ6" s="380">
        <f t="shared" si="9"/>
        <v>1.5513302951636744E-5</v>
      </c>
      <c r="AR6" s="381">
        <v>1609.5466669451559</v>
      </c>
      <c r="AT6" s="382">
        <v>0.43437248264582878</v>
      </c>
    </row>
    <row r="7" spans="1:46">
      <c r="A7" s="361">
        <v>2005</v>
      </c>
      <c r="B7" s="361">
        <v>3</v>
      </c>
      <c r="C7" s="362">
        <v>64.582270600115152</v>
      </c>
      <c r="D7" s="363">
        <f t="shared" si="0"/>
        <v>3.2846156787895278E-2</v>
      </c>
      <c r="E7" s="361">
        <v>0</v>
      </c>
      <c r="F7" s="364">
        <v>0</v>
      </c>
      <c r="G7" s="364">
        <v>1908.2070925865844</v>
      </c>
      <c r="H7" s="364">
        <v>0</v>
      </c>
      <c r="I7" s="364">
        <v>1524.5099439925002</v>
      </c>
      <c r="J7" s="365">
        <f t="shared" si="10"/>
        <v>3432.7170365790844</v>
      </c>
      <c r="K7" s="366">
        <v>31</v>
      </c>
      <c r="L7" s="367">
        <f t="shared" si="11"/>
        <v>3.2846156787895278E-2</v>
      </c>
      <c r="M7" s="364">
        <v>0</v>
      </c>
      <c r="N7" s="364">
        <v>0</v>
      </c>
      <c r="O7" s="364">
        <v>0</v>
      </c>
      <c r="P7" s="364">
        <v>0</v>
      </c>
      <c r="Q7" s="364">
        <v>0</v>
      </c>
      <c r="R7" s="364">
        <v>0</v>
      </c>
      <c r="S7" s="364">
        <f>$L7*'MWh Impact Summary'!$L$11</f>
        <v>0</v>
      </c>
      <c r="T7" s="364">
        <f>$L7*'MWh Impact Summary'!$M$11</f>
        <v>0</v>
      </c>
      <c r="U7" s="364">
        <v>0</v>
      </c>
      <c r="V7" s="364">
        <v>0</v>
      </c>
      <c r="W7" s="364">
        <v>0</v>
      </c>
      <c r="X7" s="368">
        <f t="shared" si="1"/>
        <v>0</v>
      </c>
      <c r="Y7" s="364">
        <f t="shared" si="2"/>
        <v>3432.7170365790844</v>
      </c>
      <c r="Z7" s="364"/>
      <c r="AA7" s="364">
        <v>4299864</v>
      </c>
      <c r="AB7" s="369">
        <f t="shared" si="12"/>
        <v>0.79833153713212435</v>
      </c>
      <c r="AC7" s="370">
        <f t="shared" si="3"/>
        <v>0.79833153713212435</v>
      </c>
      <c r="AD7" s="371">
        <f t="shared" si="4"/>
        <v>2.5752630230068528E-5</v>
      </c>
      <c r="AE7" s="370">
        <f t="shared" si="13"/>
        <v>0</v>
      </c>
      <c r="AF7" s="371">
        <f t="shared" si="5"/>
        <v>0</v>
      </c>
      <c r="AG7" s="372">
        <f t="shared" si="14"/>
        <v>2.5752630230068528E-5</v>
      </c>
      <c r="AH7" s="373">
        <f t="shared" si="6"/>
        <v>2.5752630230068528E-5</v>
      </c>
      <c r="AI7" s="374" t="b">
        <f t="shared" si="15"/>
        <v>1</v>
      </c>
      <c r="AJ7" s="375">
        <f t="shared" si="7"/>
        <v>2.5752630230068528E-5</v>
      </c>
      <c r="AL7" s="376">
        <f t="shared" si="8"/>
        <v>0</v>
      </c>
      <c r="AM7" s="377"/>
      <c r="AN7" s="383"/>
      <c r="AO7" s="379"/>
      <c r="AQ7" s="380">
        <f t="shared" si="9"/>
        <v>2.5752630230068528E-5</v>
      </c>
      <c r="AR7" s="381">
        <v>3159.7166533048885</v>
      </c>
      <c r="AT7" s="382">
        <v>0.79833153713212435</v>
      </c>
    </row>
    <row r="8" spans="1:46">
      <c r="A8" s="361">
        <v>2005</v>
      </c>
      <c r="B8" s="361">
        <v>4</v>
      </c>
      <c r="C8" s="362">
        <v>114.03392869270741</v>
      </c>
      <c r="D8" s="363">
        <f t="shared" si="0"/>
        <v>5.7996974497419709E-2</v>
      </c>
      <c r="E8" s="361">
        <v>0</v>
      </c>
      <c r="F8" s="364">
        <v>0</v>
      </c>
      <c r="G8" s="364">
        <v>3369.3512090073382</v>
      </c>
      <c r="H8" s="364">
        <v>0</v>
      </c>
      <c r="I8" s="364">
        <v>2691.8511323486068</v>
      </c>
      <c r="J8" s="365">
        <f t="shared" si="10"/>
        <v>6061.2023413559455</v>
      </c>
      <c r="K8" s="366">
        <v>30</v>
      </c>
      <c r="L8" s="367">
        <f t="shared" si="11"/>
        <v>5.7996974497419709E-2</v>
      </c>
      <c r="M8" s="364">
        <v>0</v>
      </c>
      <c r="N8" s="364">
        <v>0</v>
      </c>
      <c r="O8" s="364">
        <v>0</v>
      </c>
      <c r="P8" s="364">
        <v>0</v>
      </c>
      <c r="Q8" s="364">
        <v>0</v>
      </c>
      <c r="R8" s="364">
        <v>0</v>
      </c>
      <c r="S8" s="364">
        <f>$L8*'MWh Impact Summary'!$L$11</f>
        <v>0</v>
      </c>
      <c r="T8" s="364">
        <f>$L8*'MWh Impact Summary'!$M$11</f>
        <v>0</v>
      </c>
      <c r="U8" s="364">
        <v>0</v>
      </c>
      <c r="V8" s="364">
        <v>0</v>
      </c>
      <c r="W8" s="364">
        <v>0</v>
      </c>
      <c r="X8" s="368">
        <f t="shared" si="1"/>
        <v>0</v>
      </c>
      <c r="Y8" s="364">
        <f t="shared" si="2"/>
        <v>6061.2023413559455</v>
      </c>
      <c r="Z8" s="364"/>
      <c r="AA8" s="364">
        <v>4310180</v>
      </c>
      <c r="AB8" s="369">
        <f t="shared" si="12"/>
        <v>1.4062527182985272</v>
      </c>
      <c r="AC8" s="370">
        <f t="shared" si="3"/>
        <v>1.4062527182985272</v>
      </c>
      <c r="AD8" s="371">
        <f t="shared" si="4"/>
        <v>4.6875090609950906E-5</v>
      </c>
      <c r="AE8" s="370">
        <f t="shared" si="13"/>
        <v>0</v>
      </c>
      <c r="AF8" s="371">
        <f t="shared" si="5"/>
        <v>0</v>
      </c>
      <c r="AG8" s="372">
        <f t="shared" si="14"/>
        <v>4.6875090609950906E-5</v>
      </c>
      <c r="AH8" s="373">
        <f t="shared" si="6"/>
        <v>4.6875090609950906E-5</v>
      </c>
      <c r="AI8" s="374" t="b">
        <f t="shared" si="15"/>
        <v>1</v>
      </c>
      <c r="AJ8" s="375">
        <f t="shared" si="7"/>
        <v>4.6875090609950906E-5</v>
      </c>
      <c r="AL8" s="376">
        <f t="shared" si="8"/>
        <v>0</v>
      </c>
      <c r="AM8" s="377"/>
      <c r="AN8" s="383"/>
      <c r="AO8" s="379"/>
      <c r="AQ8" s="380">
        <f t="shared" si="9"/>
        <v>4.6875090609950906E-5</v>
      </c>
      <c r="AR8" s="381">
        <v>5970.3384166432006</v>
      </c>
      <c r="AT8" s="382">
        <v>1.4062527182985272</v>
      </c>
    </row>
    <row r="9" spans="1:46">
      <c r="A9" s="361">
        <v>2005</v>
      </c>
      <c r="B9" s="361">
        <v>5</v>
      </c>
      <c r="C9" s="362">
        <v>208.47875842628665</v>
      </c>
      <c r="D9" s="363">
        <f t="shared" si="0"/>
        <v>0.10603105035770212</v>
      </c>
      <c r="E9" s="361">
        <v>0</v>
      </c>
      <c r="F9" s="364">
        <v>0</v>
      </c>
      <c r="G9" s="364">
        <v>6159.9049055728929</v>
      </c>
      <c r="H9" s="364">
        <v>0</v>
      </c>
      <c r="I9" s="364">
        <v>4921.2877989383906</v>
      </c>
      <c r="J9" s="365">
        <f>SUM(E9:I9)</f>
        <v>11081.192704511282</v>
      </c>
      <c r="K9" s="366">
        <v>31</v>
      </c>
      <c r="L9" s="367">
        <f t="shared" si="11"/>
        <v>0.10603105035770212</v>
      </c>
      <c r="M9" s="364">
        <v>0</v>
      </c>
      <c r="N9" s="364">
        <v>0</v>
      </c>
      <c r="O9" s="364">
        <v>0</v>
      </c>
      <c r="P9" s="364">
        <v>0</v>
      </c>
      <c r="Q9" s="364">
        <v>0</v>
      </c>
      <c r="R9" s="364">
        <v>0</v>
      </c>
      <c r="S9" s="364">
        <f>$L9*'MWh Impact Summary'!$L$11</f>
        <v>0</v>
      </c>
      <c r="T9" s="364">
        <f>$L9*'MWh Impact Summary'!$M$11</f>
        <v>0</v>
      </c>
      <c r="U9" s="364">
        <v>0</v>
      </c>
      <c r="V9" s="364">
        <v>0</v>
      </c>
      <c r="W9" s="364">
        <v>0</v>
      </c>
      <c r="X9" s="368">
        <f t="shared" si="1"/>
        <v>0</v>
      </c>
      <c r="Y9" s="364">
        <f t="shared" si="2"/>
        <v>11081.192704511282</v>
      </c>
      <c r="Z9" s="364"/>
      <c r="AA9" s="364">
        <v>4313996</v>
      </c>
      <c r="AB9" s="369">
        <f t="shared" si="12"/>
        <v>2.5686608667488988</v>
      </c>
      <c r="AC9" s="370">
        <f t="shared" si="3"/>
        <v>2.5686608667488988</v>
      </c>
      <c r="AD9" s="371">
        <f t="shared" si="4"/>
        <v>8.2860027959641902E-5</v>
      </c>
      <c r="AE9" s="370">
        <f t="shared" si="13"/>
        <v>0</v>
      </c>
      <c r="AF9" s="371">
        <f t="shared" si="5"/>
        <v>0</v>
      </c>
      <c r="AG9" s="372">
        <f t="shared" si="14"/>
        <v>8.2860027959641902E-5</v>
      </c>
      <c r="AH9" s="373">
        <f t="shared" si="6"/>
        <v>8.2860027959641902E-5</v>
      </c>
      <c r="AI9" s="374" t="b">
        <f t="shared" si="15"/>
        <v>1</v>
      </c>
      <c r="AJ9" s="375">
        <f t="shared" si="7"/>
        <v>8.2860027959641902E-5</v>
      </c>
      <c r="AL9" s="376">
        <f t="shared" si="8"/>
        <v>0</v>
      </c>
      <c r="AM9" s="377"/>
      <c r="AN9" s="383"/>
      <c r="AO9" s="379"/>
      <c r="AQ9" s="380">
        <f t="shared" si="9"/>
        <v>8.2860027959641902E-5</v>
      </c>
      <c r="AR9" s="381">
        <v>10211.168855045597</v>
      </c>
      <c r="AT9" s="382">
        <v>2.5686608667488988</v>
      </c>
    </row>
    <row r="10" spans="1:46">
      <c r="A10" s="361">
        <v>2005</v>
      </c>
      <c r="B10" s="361">
        <v>6</v>
      </c>
      <c r="C10" s="362">
        <v>271.66325293295364</v>
      </c>
      <c r="D10" s="363">
        <f t="shared" si="0"/>
        <v>0.13816630657965029</v>
      </c>
      <c r="E10" s="361">
        <v>0</v>
      </c>
      <c r="F10" s="364">
        <v>0</v>
      </c>
      <c r="G10" s="364">
        <v>8026.812021701835</v>
      </c>
      <c r="H10" s="364">
        <v>0</v>
      </c>
      <c r="I10" s="364">
        <v>6412.8022546314596</v>
      </c>
      <c r="J10" s="365">
        <f>SUM(E10:I10)</f>
        <v>14439.614276333294</v>
      </c>
      <c r="K10" s="366">
        <v>30</v>
      </c>
      <c r="L10" s="367">
        <f t="shared" si="11"/>
        <v>0.13816630657965029</v>
      </c>
      <c r="M10" s="364">
        <v>0</v>
      </c>
      <c r="N10" s="364">
        <v>0</v>
      </c>
      <c r="O10" s="364">
        <v>0</v>
      </c>
      <c r="P10" s="364">
        <v>0</v>
      </c>
      <c r="Q10" s="364">
        <v>0</v>
      </c>
      <c r="R10" s="364">
        <v>0</v>
      </c>
      <c r="S10" s="364">
        <f>$L10*'MWh Impact Summary'!$L$11</f>
        <v>0</v>
      </c>
      <c r="T10" s="364">
        <f>$L10*'MWh Impact Summary'!$M$11</f>
        <v>0</v>
      </c>
      <c r="U10" s="364">
        <v>0</v>
      </c>
      <c r="V10" s="364">
        <v>0</v>
      </c>
      <c r="W10" s="364">
        <v>0</v>
      </c>
      <c r="X10" s="368">
        <f t="shared" si="1"/>
        <v>0</v>
      </c>
      <c r="Y10" s="364">
        <f t="shared" si="2"/>
        <v>14439.614276333294</v>
      </c>
      <c r="Z10" s="364"/>
      <c r="AA10" s="364">
        <v>4320906</v>
      </c>
      <c r="AB10" s="369">
        <f t="shared" si="12"/>
        <v>3.3418024544698017</v>
      </c>
      <c r="AC10" s="370">
        <f t="shared" si="3"/>
        <v>3.3418024544698017</v>
      </c>
      <c r="AD10" s="371">
        <f t="shared" si="4"/>
        <v>1.113934151489934E-4</v>
      </c>
      <c r="AE10" s="370">
        <f t="shared" si="13"/>
        <v>0</v>
      </c>
      <c r="AF10" s="371">
        <f t="shared" si="5"/>
        <v>0</v>
      </c>
      <c r="AG10" s="372">
        <f t="shared" si="14"/>
        <v>1.113934151489934E-4</v>
      </c>
      <c r="AH10" s="373">
        <f t="shared" si="6"/>
        <v>1.113934151489934E-4</v>
      </c>
      <c r="AI10" s="374" t="b">
        <f t="shared" si="15"/>
        <v>1</v>
      </c>
      <c r="AJ10" s="375">
        <f t="shared" si="7"/>
        <v>1.113934151489934E-4</v>
      </c>
      <c r="AL10" s="376">
        <f t="shared" si="8"/>
        <v>0</v>
      </c>
      <c r="AM10" s="377"/>
      <c r="AN10" s="383"/>
      <c r="AO10" s="379"/>
      <c r="AQ10" s="380">
        <f t="shared" si="9"/>
        <v>1.113934151489934E-4</v>
      </c>
      <c r="AR10" s="381">
        <v>14808.878014280665</v>
      </c>
      <c r="AT10" s="382">
        <v>3.3418024544698017</v>
      </c>
    </row>
    <row r="11" spans="1:46">
      <c r="A11" s="361">
        <v>2005</v>
      </c>
      <c r="B11" s="361">
        <v>7</v>
      </c>
      <c r="C11" s="362">
        <v>322.31916585708109</v>
      </c>
      <c r="D11" s="363">
        <f t="shared" si="0"/>
        <v>0.16392960109808263</v>
      </c>
      <c r="E11" s="361">
        <v>0</v>
      </c>
      <c r="F11" s="364">
        <v>0</v>
      </c>
      <c r="G11" s="364">
        <v>9523.5381576066338</v>
      </c>
      <c r="H11" s="364">
        <v>0</v>
      </c>
      <c r="I11" s="364">
        <v>7608.5707257188296</v>
      </c>
      <c r="J11" s="365">
        <f t="shared" si="10"/>
        <v>17132.108883325462</v>
      </c>
      <c r="K11" s="366">
        <v>31</v>
      </c>
      <c r="L11" s="367">
        <f t="shared" si="11"/>
        <v>0.16392960109808263</v>
      </c>
      <c r="M11" s="364">
        <v>0</v>
      </c>
      <c r="N11" s="364">
        <v>0</v>
      </c>
      <c r="O11" s="364">
        <v>0</v>
      </c>
      <c r="P11" s="364">
        <v>0</v>
      </c>
      <c r="Q11" s="364">
        <v>0</v>
      </c>
      <c r="R11" s="364">
        <v>0</v>
      </c>
      <c r="S11" s="364">
        <f>$L11*'MWh Impact Summary'!$L$11</f>
        <v>0</v>
      </c>
      <c r="T11" s="364">
        <f>$L11*'MWh Impact Summary'!$M$11</f>
        <v>0</v>
      </c>
      <c r="U11" s="364">
        <v>0</v>
      </c>
      <c r="V11" s="364">
        <v>0</v>
      </c>
      <c r="W11" s="364">
        <v>0</v>
      </c>
      <c r="X11" s="368">
        <f t="shared" si="1"/>
        <v>0</v>
      </c>
      <c r="Y11" s="364">
        <f t="shared" si="2"/>
        <v>17132.108883325462</v>
      </c>
      <c r="Z11" s="364"/>
      <c r="AA11" s="364">
        <v>4327794</v>
      </c>
      <c r="AB11" s="369">
        <f t="shared" si="12"/>
        <v>3.9586239278776811</v>
      </c>
      <c r="AC11" s="370">
        <f t="shared" si="3"/>
        <v>3.9586239278776811</v>
      </c>
      <c r="AD11" s="371">
        <f t="shared" si="4"/>
        <v>1.2769754606057034E-4</v>
      </c>
      <c r="AE11" s="370">
        <f t="shared" si="13"/>
        <v>0</v>
      </c>
      <c r="AF11" s="371">
        <f t="shared" si="5"/>
        <v>0</v>
      </c>
      <c r="AG11" s="372">
        <f t="shared" si="14"/>
        <v>1.2769754606057034E-4</v>
      </c>
      <c r="AH11" s="373">
        <f t="shared" si="6"/>
        <v>1.2769754606057034E-4</v>
      </c>
      <c r="AI11" s="374" t="b">
        <f t="shared" si="15"/>
        <v>1</v>
      </c>
      <c r="AJ11" s="375">
        <f t="shared" si="7"/>
        <v>1.2769754606057034E-4</v>
      </c>
      <c r="AL11" s="376">
        <f t="shared" si="8"/>
        <v>0</v>
      </c>
      <c r="AM11" s="377"/>
      <c r="AN11" s="383"/>
      <c r="AO11" s="379"/>
      <c r="AQ11" s="380">
        <f t="shared" si="9"/>
        <v>1.2769754606057034E-4</v>
      </c>
      <c r="AR11" s="381">
        <v>16664.117811051237</v>
      </c>
      <c r="AT11" s="382">
        <v>3.9586239278776811</v>
      </c>
    </row>
    <row r="12" spans="1:46">
      <c r="A12" s="361">
        <v>2005</v>
      </c>
      <c r="B12" s="361">
        <v>8</v>
      </c>
      <c r="C12" s="362">
        <v>326.45437890907908</v>
      </c>
      <c r="D12" s="363">
        <f t="shared" si="0"/>
        <v>0.16603274573816959</v>
      </c>
      <c r="E12" s="361">
        <v>0</v>
      </c>
      <c r="F12" s="364">
        <v>0</v>
      </c>
      <c r="G12" s="364">
        <v>9645.7209610580376</v>
      </c>
      <c r="H12" s="364">
        <v>0</v>
      </c>
      <c r="I12" s="364">
        <v>7706.1853397563755</v>
      </c>
      <c r="J12" s="365">
        <f t="shared" si="10"/>
        <v>17351.906300814415</v>
      </c>
      <c r="K12" s="366">
        <v>31</v>
      </c>
      <c r="L12" s="367">
        <f t="shared" si="11"/>
        <v>0.16603274573816959</v>
      </c>
      <c r="M12" s="364">
        <v>0</v>
      </c>
      <c r="N12" s="364">
        <v>0</v>
      </c>
      <c r="O12" s="364">
        <v>0</v>
      </c>
      <c r="P12" s="364">
        <v>0</v>
      </c>
      <c r="Q12" s="364">
        <v>0</v>
      </c>
      <c r="R12" s="364">
        <v>0</v>
      </c>
      <c r="S12" s="364">
        <f>$L12*'MWh Impact Summary'!$L$11</f>
        <v>0</v>
      </c>
      <c r="T12" s="364">
        <f>$L12*'MWh Impact Summary'!$M$11</f>
        <v>0</v>
      </c>
      <c r="U12" s="364">
        <v>0</v>
      </c>
      <c r="V12" s="364">
        <v>0</v>
      </c>
      <c r="W12" s="364">
        <v>0</v>
      </c>
      <c r="X12" s="368">
        <f t="shared" si="1"/>
        <v>0</v>
      </c>
      <c r="Y12" s="364">
        <f t="shared" si="2"/>
        <v>17351.906300814415</v>
      </c>
      <c r="Z12" s="364"/>
      <c r="AA12" s="364">
        <v>4340306</v>
      </c>
      <c r="AB12" s="369">
        <f t="shared" si="12"/>
        <v>3.9978532160668894</v>
      </c>
      <c r="AC12" s="370">
        <f t="shared" si="3"/>
        <v>3.9978532160668894</v>
      </c>
      <c r="AD12" s="371">
        <f t="shared" si="4"/>
        <v>1.2896300696989965E-4</v>
      </c>
      <c r="AE12" s="370">
        <f t="shared" si="13"/>
        <v>0</v>
      </c>
      <c r="AF12" s="371">
        <f t="shared" si="5"/>
        <v>0</v>
      </c>
      <c r="AG12" s="372">
        <f t="shared" si="14"/>
        <v>1.2896300696989965E-4</v>
      </c>
      <c r="AH12" s="373">
        <f t="shared" si="6"/>
        <v>1.2896300696989965E-4</v>
      </c>
      <c r="AI12" s="374" t="b">
        <f t="shared" si="15"/>
        <v>1</v>
      </c>
      <c r="AJ12" s="375">
        <f t="shared" si="7"/>
        <v>1.2896300696989965E-4</v>
      </c>
      <c r="AL12" s="376">
        <f t="shared" si="8"/>
        <v>0</v>
      </c>
      <c r="AM12" s="377"/>
      <c r="AN12" s="383"/>
      <c r="AO12" s="379"/>
      <c r="AQ12" s="380">
        <f t="shared" si="9"/>
        <v>1.2896300696989965E-4</v>
      </c>
      <c r="AR12" s="381">
        <v>17403.825127899949</v>
      </c>
      <c r="AT12" s="382">
        <v>3.9978532160668894</v>
      </c>
    </row>
    <row r="13" spans="1:46">
      <c r="A13" s="361">
        <v>2005</v>
      </c>
      <c r="B13" s="361">
        <v>9</v>
      </c>
      <c r="C13" s="362">
        <v>277.87653293728147</v>
      </c>
      <c r="D13" s="363">
        <f t="shared" si="0"/>
        <v>0.14132634365008559</v>
      </c>
      <c r="E13" s="361">
        <v>0</v>
      </c>
      <c r="F13" s="364">
        <v>0</v>
      </c>
      <c r="G13" s="364">
        <v>8210.395300244285</v>
      </c>
      <c r="H13" s="364">
        <v>0</v>
      </c>
      <c r="I13" s="364">
        <v>6559.4711014123086</v>
      </c>
      <c r="J13" s="365">
        <f t="shared" si="10"/>
        <v>14769.866401656593</v>
      </c>
      <c r="K13" s="366">
        <v>30</v>
      </c>
      <c r="L13" s="367">
        <f t="shared" si="11"/>
        <v>0.14132634365008559</v>
      </c>
      <c r="M13" s="364">
        <v>0</v>
      </c>
      <c r="N13" s="364">
        <v>0</v>
      </c>
      <c r="O13" s="364">
        <v>0</v>
      </c>
      <c r="P13" s="364">
        <v>0</v>
      </c>
      <c r="Q13" s="364">
        <v>0</v>
      </c>
      <c r="R13" s="364">
        <v>0</v>
      </c>
      <c r="S13" s="364">
        <f>$L13*'MWh Impact Summary'!$L$11</f>
        <v>0</v>
      </c>
      <c r="T13" s="364">
        <f>$L13*'MWh Impact Summary'!$M$11</f>
        <v>0</v>
      </c>
      <c r="U13" s="364">
        <v>0</v>
      </c>
      <c r="V13" s="364">
        <v>0</v>
      </c>
      <c r="W13" s="364">
        <v>0</v>
      </c>
      <c r="X13" s="368">
        <f t="shared" si="1"/>
        <v>0</v>
      </c>
      <c r="Y13" s="364">
        <f t="shared" si="2"/>
        <v>14769.866401656593</v>
      </c>
      <c r="Z13" s="364"/>
      <c r="AA13" s="364">
        <v>4343095</v>
      </c>
      <c r="AB13" s="369">
        <f t="shared" si="12"/>
        <v>3.4007698200607153</v>
      </c>
      <c r="AC13" s="370">
        <f t="shared" si="3"/>
        <v>3.4007698200607153</v>
      </c>
      <c r="AD13" s="371">
        <f t="shared" si="4"/>
        <v>1.1335899400202385E-4</v>
      </c>
      <c r="AE13" s="370">
        <f t="shared" si="13"/>
        <v>0</v>
      </c>
      <c r="AF13" s="371">
        <f t="shared" si="5"/>
        <v>0</v>
      </c>
      <c r="AG13" s="372">
        <f t="shared" si="14"/>
        <v>1.1335899400202385E-4</v>
      </c>
      <c r="AH13" s="373">
        <f t="shared" si="6"/>
        <v>1.1335899400202385E-4</v>
      </c>
      <c r="AI13" s="374" t="b">
        <f t="shared" si="15"/>
        <v>1</v>
      </c>
      <c r="AJ13" s="375">
        <f t="shared" si="7"/>
        <v>1.1335899400202385E-4</v>
      </c>
      <c r="AL13" s="376">
        <f t="shared" si="8"/>
        <v>0</v>
      </c>
      <c r="AM13" s="377"/>
      <c r="AN13" s="383"/>
      <c r="AO13" s="379"/>
      <c r="AQ13" s="380">
        <f t="shared" si="9"/>
        <v>1.1335899400202385E-4</v>
      </c>
      <c r="AR13" s="381">
        <v>15722.431837506771</v>
      </c>
      <c r="AT13" s="382">
        <v>3.4007698200607153</v>
      </c>
    </row>
    <row r="14" spans="1:46">
      <c r="A14" s="361">
        <v>2005</v>
      </c>
      <c r="B14" s="361">
        <v>10</v>
      </c>
      <c r="C14" s="362">
        <v>198.89039579254836</v>
      </c>
      <c r="D14" s="363">
        <f t="shared" si="0"/>
        <v>0.10115446643644242</v>
      </c>
      <c r="E14" s="361">
        <v>0</v>
      </c>
      <c r="F14" s="364">
        <v>0</v>
      </c>
      <c r="G14" s="364">
        <v>5876.5983353025222</v>
      </c>
      <c r="H14" s="364">
        <v>0</v>
      </c>
      <c r="I14" s="364">
        <v>4694.9477516481656</v>
      </c>
      <c r="J14" s="365">
        <f t="shared" si="10"/>
        <v>10571.546086950688</v>
      </c>
      <c r="K14" s="366">
        <v>31</v>
      </c>
      <c r="L14" s="367">
        <f t="shared" si="11"/>
        <v>0.10115446643644242</v>
      </c>
      <c r="M14" s="364">
        <v>0</v>
      </c>
      <c r="N14" s="364">
        <v>0</v>
      </c>
      <c r="O14" s="364">
        <v>0</v>
      </c>
      <c r="P14" s="364">
        <v>0</v>
      </c>
      <c r="Q14" s="364">
        <v>0</v>
      </c>
      <c r="R14" s="364">
        <v>0</v>
      </c>
      <c r="S14" s="364">
        <f>$L14*'MWh Impact Summary'!$L$11</f>
        <v>0</v>
      </c>
      <c r="T14" s="364">
        <f>$L14*'MWh Impact Summary'!$M$11</f>
        <v>0</v>
      </c>
      <c r="U14" s="364">
        <v>0</v>
      </c>
      <c r="V14" s="364">
        <v>0</v>
      </c>
      <c r="W14" s="364">
        <v>0</v>
      </c>
      <c r="X14" s="368">
        <f t="shared" si="1"/>
        <v>0</v>
      </c>
      <c r="Y14" s="364">
        <f t="shared" si="2"/>
        <v>10571.546086950688</v>
      </c>
      <c r="Z14" s="364"/>
      <c r="AA14" s="364">
        <v>4344668</v>
      </c>
      <c r="AB14" s="369">
        <f t="shared" si="12"/>
        <v>2.4332229958539267</v>
      </c>
      <c r="AC14" s="370">
        <f t="shared" si="3"/>
        <v>2.4332229958539267</v>
      </c>
      <c r="AD14" s="371">
        <f t="shared" si="4"/>
        <v>7.8491064382384736E-5</v>
      </c>
      <c r="AE14" s="370">
        <f t="shared" si="13"/>
        <v>0</v>
      </c>
      <c r="AF14" s="371">
        <f t="shared" si="5"/>
        <v>0</v>
      </c>
      <c r="AG14" s="372">
        <f t="shared" si="14"/>
        <v>7.8491064382384736E-5</v>
      </c>
      <c r="AH14" s="373">
        <f t="shared" si="6"/>
        <v>7.8491064382384736E-5</v>
      </c>
      <c r="AI14" s="374" t="b">
        <f t="shared" si="15"/>
        <v>1</v>
      </c>
      <c r="AJ14" s="375">
        <f t="shared" si="7"/>
        <v>7.8491064382384736E-5</v>
      </c>
      <c r="AL14" s="376">
        <f t="shared" si="8"/>
        <v>0</v>
      </c>
      <c r="AM14" s="377"/>
      <c r="AN14" s="383"/>
      <c r="AO14" s="379"/>
      <c r="AQ14" s="380">
        <f t="shared" si="9"/>
        <v>7.8491064382384736E-5</v>
      </c>
      <c r="AR14" s="381">
        <v>10562.607614854458</v>
      </c>
      <c r="AT14" s="382">
        <v>2.4332229958539267</v>
      </c>
    </row>
    <row r="15" spans="1:46">
      <c r="A15" s="361">
        <v>2005</v>
      </c>
      <c r="B15" s="361">
        <v>11</v>
      </c>
      <c r="C15" s="362">
        <v>78.117279066674627</v>
      </c>
      <c r="D15" s="363">
        <f t="shared" si="0"/>
        <v>3.9729981188725644E-2</v>
      </c>
      <c r="E15" s="361">
        <v>0</v>
      </c>
      <c r="F15" s="364">
        <v>0</v>
      </c>
      <c r="G15" s="364">
        <v>2308.1248860322394</v>
      </c>
      <c r="H15" s="364">
        <v>0</v>
      </c>
      <c r="I15" s="364">
        <v>1844.0133434170443</v>
      </c>
      <c r="J15" s="365">
        <f t="shared" si="10"/>
        <v>4152.1382294492832</v>
      </c>
      <c r="K15" s="366">
        <v>30</v>
      </c>
      <c r="L15" s="367">
        <f t="shared" si="11"/>
        <v>3.9729981188725644E-2</v>
      </c>
      <c r="M15" s="364">
        <v>0</v>
      </c>
      <c r="N15" s="364">
        <v>0</v>
      </c>
      <c r="O15" s="364">
        <v>0</v>
      </c>
      <c r="P15" s="364">
        <v>0</v>
      </c>
      <c r="Q15" s="364">
        <v>0</v>
      </c>
      <c r="R15" s="364">
        <v>0</v>
      </c>
      <c r="S15" s="364">
        <f>$L15*'MWh Impact Summary'!$L$11</f>
        <v>0</v>
      </c>
      <c r="T15" s="364">
        <f>$L15*'MWh Impact Summary'!$M$11</f>
        <v>0</v>
      </c>
      <c r="U15" s="364">
        <v>0</v>
      </c>
      <c r="V15" s="364">
        <v>0</v>
      </c>
      <c r="W15" s="364">
        <v>0</v>
      </c>
      <c r="X15" s="368">
        <f t="shared" si="1"/>
        <v>0</v>
      </c>
      <c r="Y15" s="364">
        <f t="shared" si="2"/>
        <v>4152.1382294492832</v>
      </c>
      <c r="Z15" s="364"/>
      <c r="AA15" s="364">
        <v>4345746</v>
      </c>
      <c r="AB15" s="369">
        <f t="shared" si="12"/>
        <v>0.95544889863542037</v>
      </c>
      <c r="AC15" s="370">
        <f t="shared" si="3"/>
        <v>0.95544889863542037</v>
      </c>
      <c r="AD15" s="371">
        <f t="shared" si="4"/>
        <v>3.1848296621180679E-5</v>
      </c>
      <c r="AE15" s="370">
        <f t="shared" si="13"/>
        <v>0</v>
      </c>
      <c r="AF15" s="371">
        <f t="shared" si="5"/>
        <v>0</v>
      </c>
      <c r="AG15" s="372">
        <f t="shared" si="14"/>
        <v>3.1848296621180679E-5</v>
      </c>
      <c r="AH15" s="373">
        <f t="shared" si="6"/>
        <v>3.1848296621180679E-5</v>
      </c>
      <c r="AI15" s="374" t="b">
        <f t="shared" si="15"/>
        <v>1</v>
      </c>
      <c r="AJ15" s="375">
        <f t="shared" si="7"/>
        <v>3.1848296621180679E-5</v>
      </c>
      <c r="AL15" s="376">
        <f t="shared" si="8"/>
        <v>0</v>
      </c>
      <c r="AM15" s="377"/>
      <c r="AN15" s="383"/>
      <c r="AO15" s="379"/>
      <c r="AQ15" s="380">
        <f t="shared" si="9"/>
        <v>3.1848296621180679E-5</v>
      </c>
      <c r="AR15" s="381">
        <v>4865.4451527342171</v>
      </c>
      <c r="AT15" s="382">
        <v>0.95544889863542037</v>
      </c>
    </row>
    <row r="16" spans="1:46">
      <c r="A16" s="361">
        <v>2005</v>
      </c>
      <c r="B16" s="361">
        <v>12</v>
      </c>
      <c r="C16" s="362">
        <v>42.633806123140985</v>
      </c>
      <c r="D16" s="363">
        <f t="shared" si="0"/>
        <v>2.1683298951445065E-2</v>
      </c>
      <c r="E16" s="361">
        <v>0</v>
      </c>
      <c r="F16" s="364">
        <v>0</v>
      </c>
      <c r="G16" s="364">
        <v>1259.6975992354458</v>
      </c>
      <c r="H16" s="364">
        <v>0</v>
      </c>
      <c r="I16" s="364">
        <v>1006.4009949018558</v>
      </c>
      <c r="J16" s="365">
        <f t="shared" si="10"/>
        <v>2266.0985941373015</v>
      </c>
      <c r="K16" s="366">
        <v>31</v>
      </c>
      <c r="L16" s="367">
        <f t="shared" si="11"/>
        <v>2.1683298951445065E-2</v>
      </c>
      <c r="M16" s="364">
        <v>0</v>
      </c>
      <c r="N16" s="364">
        <v>0</v>
      </c>
      <c r="O16" s="364">
        <v>0</v>
      </c>
      <c r="P16" s="364">
        <v>0</v>
      </c>
      <c r="Q16" s="364">
        <v>0</v>
      </c>
      <c r="R16" s="364">
        <v>0</v>
      </c>
      <c r="S16" s="364">
        <f>$L16*'MWh Impact Summary'!$L$11</f>
        <v>0</v>
      </c>
      <c r="T16" s="364">
        <f>$L16*'MWh Impact Summary'!$M$11</f>
        <v>0</v>
      </c>
      <c r="U16" s="364">
        <v>0</v>
      </c>
      <c r="V16" s="364">
        <v>0</v>
      </c>
      <c r="W16" s="364">
        <v>0</v>
      </c>
      <c r="X16" s="368">
        <f t="shared" si="1"/>
        <v>0</v>
      </c>
      <c r="Y16" s="364">
        <f t="shared" si="2"/>
        <v>2266.0985941373015</v>
      </c>
      <c r="Z16" s="364">
        <f>SUM(Y5:Y16)</f>
        <v>104508.94023145307</v>
      </c>
      <c r="AA16" s="364">
        <v>4355740</v>
      </c>
      <c r="AB16" s="369">
        <f t="shared" si="12"/>
        <v>0.52025570721330971</v>
      </c>
      <c r="AC16" s="370">
        <f t="shared" si="3"/>
        <v>0.52025570721330971</v>
      </c>
      <c r="AD16" s="371">
        <f t="shared" si="4"/>
        <v>1.6782442168171282E-5</v>
      </c>
      <c r="AE16" s="370">
        <f t="shared" si="13"/>
        <v>0</v>
      </c>
      <c r="AF16" s="371">
        <f t="shared" si="5"/>
        <v>0</v>
      </c>
      <c r="AG16" s="372">
        <f t="shared" si="14"/>
        <v>1.6782442168171282E-5</v>
      </c>
      <c r="AH16" s="373">
        <f t="shared" si="6"/>
        <v>1.6782442168171282E-5</v>
      </c>
      <c r="AI16" s="374" t="b">
        <f t="shared" si="15"/>
        <v>1</v>
      </c>
      <c r="AJ16" s="375">
        <f t="shared" si="7"/>
        <v>1.6782442168171282E-5</v>
      </c>
      <c r="AL16" s="376">
        <f t="shared" si="8"/>
        <v>0</v>
      </c>
      <c r="AM16" s="377">
        <f>SUM(AL5:AL16)</f>
        <v>0</v>
      </c>
      <c r="AN16" s="383"/>
      <c r="AO16" s="379"/>
      <c r="AQ16" s="380">
        <f t="shared" si="9"/>
        <v>1.6782442168171282E-5</v>
      </c>
      <c r="AR16" s="381">
        <v>2156.0812209549281</v>
      </c>
      <c r="AT16" s="382">
        <v>0.52025570721330971</v>
      </c>
    </row>
    <row r="17" spans="1:46">
      <c r="A17" s="361">
        <v>2006</v>
      </c>
      <c r="B17" s="361">
        <v>1</v>
      </c>
      <c r="C17" s="362">
        <f>+C5</f>
        <v>26.112829868525239</v>
      </c>
      <c r="D17" s="363">
        <f t="shared" ref="D17:D28" si="16">C17/(SUM(C$17:C$28))</f>
        <v>1.3280829182176284E-2</v>
      </c>
      <c r="E17" s="365">
        <v>2904.9799644588265</v>
      </c>
      <c r="F17" s="368">
        <v>0</v>
      </c>
      <c r="G17" s="368">
        <v>2638.1203832080691</v>
      </c>
      <c r="H17" s="368">
        <v>0</v>
      </c>
      <c r="I17" s="368">
        <v>1415.9878542173815</v>
      </c>
      <c r="J17" s="365">
        <f t="shared" si="10"/>
        <v>6959.0882018842767</v>
      </c>
      <c r="K17" s="366">
        <v>31</v>
      </c>
      <c r="L17" s="367">
        <f t="shared" si="11"/>
        <v>1.3280829182176284E-2</v>
      </c>
      <c r="M17" s="368">
        <v>0</v>
      </c>
      <c r="N17" s="368">
        <v>0</v>
      </c>
      <c r="O17" s="368">
        <v>0</v>
      </c>
      <c r="P17" s="368">
        <v>18.165796279542548</v>
      </c>
      <c r="Q17" s="368">
        <v>0</v>
      </c>
      <c r="R17" s="368">
        <v>0</v>
      </c>
      <c r="S17" s="364">
        <f>$L17*'MWh Impact Summary'!$L$12</f>
        <v>0</v>
      </c>
      <c r="T17" s="364">
        <f>$L17*'MWh Impact Summary'!$M$12</f>
        <v>0</v>
      </c>
      <c r="U17" s="368">
        <v>0</v>
      </c>
      <c r="V17" s="368">
        <v>0</v>
      </c>
      <c r="W17" s="368">
        <v>0</v>
      </c>
      <c r="X17" s="368">
        <f t="shared" si="1"/>
        <v>18.165796279542548</v>
      </c>
      <c r="Y17" s="364">
        <f t="shared" si="2"/>
        <v>6977.2539981638192</v>
      </c>
      <c r="Z17" s="364"/>
      <c r="AA17" s="364">
        <v>4369236</v>
      </c>
      <c r="AB17" s="369">
        <f t="shared" si="12"/>
        <v>1.5969048131444077</v>
      </c>
      <c r="AC17" s="370">
        <f t="shared" si="3"/>
        <v>1.5927471534804432</v>
      </c>
      <c r="AD17" s="371">
        <f t="shared" si="4"/>
        <v>5.1378940434853006E-5</v>
      </c>
      <c r="AE17" s="370">
        <f t="shared" si="13"/>
        <v>4.1576596639647176E-3</v>
      </c>
      <c r="AF17" s="371">
        <f t="shared" si="5"/>
        <v>1.3411805367628121E-7</v>
      </c>
      <c r="AG17" s="372">
        <f t="shared" si="14"/>
        <v>5.1513058488529286E-5</v>
      </c>
      <c r="AH17" s="373">
        <f t="shared" si="6"/>
        <v>5.151305848852928E-5</v>
      </c>
      <c r="AI17" s="374" t="b">
        <f t="shared" si="15"/>
        <v>1</v>
      </c>
      <c r="AJ17" s="375">
        <f>AH17-AH5</f>
        <v>4.1033595285207736E-5</v>
      </c>
      <c r="AL17" s="376">
        <f t="shared" si="8"/>
        <v>0</v>
      </c>
      <c r="AM17" s="377"/>
      <c r="AN17" s="383"/>
      <c r="AO17" s="379"/>
      <c r="AQ17" s="380">
        <f t="shared" si="9"/>
        <v>5.151305848852928E-5</v>
      </c>
      <c r="AR17" s="381">
        <v>7009.1637420817888</v>
      </c>
      <c r="AT17" s="382">
        <v>1.5969048131444077</v>
      </c>
    </row>
    <row r="18" spans="1:46">
      <c r="A18" s="361">
        <v>2006</v>
      </c>
      <c r="B18" s="361">
        <v>2</v>
      </c>
      <c r="C18" s="362">
        <f t="shared" ref="C18:C81" si="17">+C6</f>
        <v>35.042184420393127</v>
      </c>
      <c r="D18" s="363">
        <f t="shared" si="16"/>
        <v>1.7822245532205266E-2</v>
      </c>
      <c r="E18" s="365">
        <v>3898.345915193695</v>
      </c>
      <c r="F18" s="368">
        <v>0</v>
      </c>
      <c r="G18" s="368">
        <v>3540.2329604652823</v>
      </c>
      <c r="H18" s="368">
        <v>0</v>
      </c>
      <c r="I18" s="368">
        <v>1900.1888257362029</v>
      </c>
      <c r="J18" s="365">
        <f t="shared" si="10"/>
        <v>9338.7677013951798</v>
      </c>
      <c r="K18" s="366">
        <v>28</v>
      </c>
      <c r="L18" s="367">
        <f t="shared" si="11"/>
        <v>1.7822245532205266E-2</v>
      </c>
      <c r="M18" s="368">
        <v>0</v>
      </c>
      <c r="N18" s="368">
        <v>0</v>
      </c>
      <c r="O18" s="368">
        <v>0</v>
      </c>
      <c r="P18" s="368">
        <v>24.377640668440218</v>
      </c>
      <c r="Q18" s="368">
        <v>0</v>
      </c>
      <c r="R18" s="368">
        <v>0</v>
      </c>
      <c r="S18" s="364">
        <f>$L18*'MWh Impact Summary'!$L$12</f>
        <v>0</v>
      </c>
      <c r="T18" s="364">
        <f>$L18*'MWh Impact Summary'!$M$12</f>
        <v>0</v>
      </c>
      <c r="U18" s="368">
        <v>0</v>
      </c>
      <c r="V18" s="368">
        <v>0</v>
      </c>
      <c r="W18" s="368">
        <v>0</v>
      </c>
      <c r="X18" s="368">
        <f t="shared" si="1"/>
        <v>24.377640668440218</v>
      </c>
      <c r="Y18" s="364">
        <f t="shared" si="2"/>
        <v>9363.1453420636208</v>
      </c>
      <c r="Z18" s="364"/>
      <c r="AA18" s="364">
        <v>4377958</v>
      </c>
      <c r="AB18" s="369">
        <f t="shared" si="12"/>
        <v>2.1387015001202889</v>
      </c>
      <c r="AC18" s="370">
        <f t="shared" si="3"/>
        <v>2.1331332327526167</v>
      </c>
      <c r="AD18" s="371">
        <f t="shared" si="4"/>
        <v>7.6183329741164887E-5</v>
      </c>
      <c r="AE18" s="370">
        <f t="shared" si="13"/>
        <v>5.5682673676723752E-3</v>
      </c>
      <c r="AF18" s="371">
        <f t="shared" si="5"/>
        <v>1.9886669170258481E-7</v>
      </c>
      <c r="AG18" s="372">
        <f t="shared" si="14"/>
        <v>7.6382196432867478E-5</v>
      </c>
      <c r="AH18" s="373">
        <f t="shared" si="6"/>
        <v>7.6382196432867464E-5</v>
      </c>
      <c r="AI18" s="374" t="b">
        <f t="shared" si="15"/>
        <v>1</v>
      </c>
      <c r="AJ18" s="375">
        <f>AH18-AH6</f>
        <v>6.086889348123072E-5</v>
      </c>
      <c r="AL18" s="376">
        <f t="shared" si="8"/>
        <v>0</v>
      </c>
      <c r="AM18" s="377"/>
      <c r="AN18" s="383"/>
      <c r="AO18" s="379"/>
      <c r="AQ18" s="380">
        <f t="shared" si="9"/>
        <v>7.6382196432867464E-5</v>
      </c>
      <c r="AR18" s="381">
        <v>8174.9983119916897</v>
      </c>
      <c r="AT18" s="382">
        <v>2.1387015001202889</v>
      </c>
    </row>
    <row r="19" spans="1:46">
      <c r="A19" s="361">
        <v>2006</v>
      </c>
      <c r="B19" s="361">
        <v>3</v>
      </c>
      <c r="C19" s="362">
        <f t="shared" si="17"/>
        <v>64.582270600115152</v>
      </c>
      <c r="D19" s="363">
        <f t="shared" si="16"/>
        <v>3.2846156787895278E-2</v>
      </c>
      <c r="E19" s="365">
        <v>7184.5986473770272</v>
      </c>
      <c r="F19" s="368">
        <v>0</v>
      </c>
      <c r="G19" s="368">
        <v>6524.6013289958782</v>
      </c>
      <c r="H19" s="368">
        <v>0</v>
      </c>
      <c r="I19" s="368">
        <v>3502.0222330544366</v>
      </c>
      <c r="J19" s="365">
        <f t="shared" si="10"/>
        <v>17211.222209427342</v>
      </c>
      <c r="K19" s="366">
        <v>31</v>
      </c>
      <c r="L19" s="367">
        <f t="shared" si="11"/>
        <v>3.2846156787895278E-2</v>
      </c>
      <c r="M19" s="368">
        <v>0</v>
      </c>
      <c r="N19" s="368">
        <v>0</v>
      </c>
      <c r="O19" s="368">
        <v>0</v>
      </c>
      <c r="P19" s="368">
        <v>44.927661111370753</v>
      </c>
      <c r="Q19" s="368">
        <v>0</v>
      </c>
      <c r="R19" s="368">
        <v>0</v>
      </c>
      <c r="S19" s="364">
        <f>$L19*'MWh Impact Summary'!$L$12</f>
        <v>0</v>
      </c>
      <c r="T19" s="364">
        <f>$L19*'MWh Impact Summary'!$M$12</f>
        <v>0</v>
      </c>
      <c r="U19" s="368">
        <v>0</v>
      </c>
      <c r="V19" s="368">
        <v>0</v>
      </c>
      <c r="W19" s="368">
        <v>0</v>
      </c>
      <c r="X19" s="368">
        <f t="shared" si="1"/>
        <v>44.927661111370753</v>
      </c>
      <c r="Y19" s="364">
        <f t="shared" si="2"/>
        <v>17256.149870538713</v>
      </c>
      <c r="Z19" s="364"/>
      <c r="AA19" s="364">
        <v>4390093</v>
      </c>
      <c r="AB19" s="369">
        <f t="shared" si="12"/>
        <v>3.9307025774940785</v>
      </c>
      <c r="AC19" s="370">
        <f t="shared" si="3"/>
        <v>3.9204687029243668</v>
      </c>
      <c r="AD19" s="371">
        <f t="shared" si="4"/>
        <v>1.2646673235239893E-4</v>
      </c>
      <c r="AE19" s="370">
        <f t="shared" si="13"/>
        <v>1.0233874569712021E-2</v>
      </c>
      <c r="AF19" s="371">
        <f t="shared" si="5"/>
        <v>3.3012498611974259E-7</v>
      </c>
      <c r="AG19" s="372">
        <f t="shared" si="14"/>
        <v>1.2679685733851868E-4</v>
      </c>
      <c r="AH19" s="373">
        <f t="shared" si="6"/>
        <v>1.2679685733851868E-4</v>
      </c>
      <c r="AI19" s="374" t="b">
        <f t="shared" si="15"/>
        <v>1</v>
      </c>
      <c r="AJ19" s="375">
        <f>AH19-AH7</f>
        <v>1.0104422710845016E-4</v>
      </c>
      <c r="AL19" s="376">
        <f t="shared" si="8"/>
        <v>0</v>
      </c>
      <c r="AM19" s="377"/>
      <c r="AN19" s="383"/>
      <c r="AO19" s="379"/>
      <c r="AQ19" s="380">
        <f t="shared" si="9"/>
        <v>1.2679685733851868E-4</v>
      </c>
      <c r="AR19" s="381">
        <v>15958.602864016615</v>
      </c>
      <c r="AT19" s="382">
        <v>3.9307025774940785</v>
      </c>
    </row>
    <row r="20" spans="1:46">
      <c r="A20" s="361">
        <v>2006</v>
      </c>
      <c r="B20" s="361">
        <v>4</v>
      </c>
      <c r="C20" s="362">
        <f t="shared" si="17"/>
        <v>114.03392869270741</v>
      </c>
      <c r="D20" s="363">
        <f t="shared" si="16"/>
        <v>5.7996974497419709E-2</v>
      </c>
      <c r="E20" s="365">
        <v>12685.958580082086</v>
      </c>
      <c r="F20" s="368">
        <v>0</v>
      </c>
      <c r="G20" s="368">
        <v>11520.590957632468</v>
      </c>
      <c r="H20" s="368">
        <v>0</v>
      </c>
      <c r="I20" s="368">
        <v>6183.5756143837634</v>
      </c>
      <c r="J20" s="365">
        <f t="shared" si="10"/>
        <v>30390.125152098321</v>
      </c>
      <c r="K20" s="366">
        <v>30</v>
      </c>
      <c r="L20" s="367">
        <f t="shared" si="11"/>
        <v>5.7996974497419709E-2</v>
      </c>
      <c r="M20" s="368">
        <v>0</v>
      </c>
      <c r="N20" s="368">
        <v>0</v>
      </c>
      <c r="O20" s="368">
        <v>0</v>
      </c>
      <c r="P20" s="368">
        <v>79.329476277271681</v>
      </c>
      <c r="Q20" s="368">
        <v>0</v>
      </c>
      <c r="R20" s="368">
        <v>0</v>
      </c>
      <c r="S20" s="364">
        <f>$L20*'MWh Impact Summary'!$L$12</f>
        <v>0</v>
      </c>
      <c r="T20" s="364">
        <f>$L20*'MWh Impact Summary'!$M$12</f>
        <v>0</v>
      </c>
      <c r="U20" s="368">
        <v>0</v>
      </c>
      <c r="V20" s="368">
        <v>0</v>
      </c>
      <c r="W20" s="368">
        <v>0</v>
      </c>
      <c r="X20" s="368">
        <f t="shared" si="1"/>
        <v>79.329476277271681</v>
      </c>
      <c r="Y20" s="364">
        <f t="shared" si="2"/>
        <v>30469.454628375592</v>
      </c>
      <c r="Z20" s="364"/>
      <c r="AA20" s="364">
        <v>4398215</v>
      </c>
      <c r="AB20" s="369">
        <f t="shared" si="12"/>
        <v>6.927686488353932</v>
      </c>
      <c r="AC20" s="370">
        <f t="shared" si="3"/>
        <v>6.9096497447483403</v>
      </c>
      <c r="AD20" s="371">
        <f t="shared" si="4"/>
        <v>2.3032165815827801E-4</v>
      </c>
      <c r="AE20" s="370">
        <f t="shared" si="13"/>
        <v>1.803674360559265E-2</v>
      </c>
      <c r="AF20" s="371">
        <f t="shared" si="5"/>
        <v>6.0122478685308836E-7</v>
      </c>
      <c r="AG20" s="372">
        <f t="shared" si="14"/>
        <v>2.3092288294513109E-4</v>
      </c>
      <c r="AH20" s="373">
        <f t="shared" si="6"/>
        <v>2.3092288294513104E-4</v>
      </c>
      <c r="AI20" s="374" t="b">
        <f t="shared" si="15"/>
        <v>1</v>
      </c>
      <c r="AJ20" s="375">
        <f>AH20-AH8</f>
        <v>1.8404779233518014E-4</v>
      </c>
      <c r="AL20" s="376">
        <f t="shared" si="8"/>
        <v>0</v>
      </c>
      <c r="AM20" s="377"/>
      <c r="AN20" s="383"/>
      <c r="AO20" s="379"/>
      <c r="AQ20" s="380">
        <f t="shared" si="9"/>
        <v>2.3092288294513104E-4</v>
      </c>
      <c r="AR20" s="381">
        <v>30050.715671449223</v>
      </c>
      <c r="AT20" s="382">
        <v>6.927686488353932</v>
      </c>
    </row>
    <row r="21" spans="1:46">
      <c r="A21" s="361">
        <v>2006</v>
      </c>
      <c r="B21" s="361">
        <v>5</v>
      </c>
      <c r="C21" s="362">
        <f t="shared" si="17"/>
        <v>208.47875842628665</v>
      </c>
      <c r="D21" s="363">
        <f t="shared" si="16"/>
        <v>0.10603105035770212</v>
      </c>
      <c r="E21" s="365">
        <v>23192.684182176621</v>
      </c>
      <c r="F21" s="368">
        <v>0</v>
      </c>
      <c r="G21" s="368">
        <v>21062.139371314315</v>
      </c>
      <c r="H21" s="368">
        <v>0</v>
      </c>
      <c r="I21" s="368">
        <v>11304.91759339194</v>
      </c>
      <c r="J21" s="365">
        <f t="shared" si="10"/>
        <v>55559.741146882872</v>
      </c>
      <c r="K21" s="366">
        <v>31</v>
      </c>
      <c r="L21" s="367">
        <f t="shared" si="11"/>
        <v>0.10603105035770212</v>
      </c>
      <c r="M21" s="368">
        <v>0</v>
      </c>
      <c r="N21" s="368">
        <v>0</v>
      </c>
      <c r="O21" s="368">
        <v>0</v>
      </c>
      <c r="P21" s="368">
        <v>145.03149115786638</v>
      </c>
      <c r="Q21" s="368">
        <v>0</v>
      </c>
      <c r="R21" s="368">
        <v>0</v>
      </c>
      <c r="S21" s="364">
        <f>$L21*'MWh Impact Summary'!$L$12</f>
        <v>0</v>
      </c>
      <c r="T21" s="364">
        <f>$L21*'MWh Impact Summary'!$M$12</f>
        <v>0</v>
      </c>
      <c r="U21" s="368">
        <v>0</v>
      </c>
      <c r="V21" s="368">
        <v>0</v>
      </c>
      <c r="W21" s="368">
        <v>0</v>
      </c>
      <c r="X21" s="368">
        <f t="shared" si="1"/>
        <v>145.03149115786638</v>
      </c>
      <c r="Y21" s="364">
        <f t="shared" si="2"/>
        <v>55704.77263804074</v>
      </c>
      <c r="Z21" s="364"/>
      <c r="AA21" s="364">
        <v>4397210</v>
      </c>
      <c r="AB21" s="369">
        <f t="shared" si="12"/>
        <v>12.668208395332664</v>
      </c>
      <c r="AC21" s="370">
        <f t="shared" si="3"/>
        <v>12.635225778819494</v>
      </c>
      <c r="AD21" s="371">
        <f t="shared" si="4"/>
        <v>4.0758792834901599E-4</v>
      </c>
      <c r="AE21" s="370">
        <f t="shared" si="13"/>
        <v>3.2982616513167751E-2</v>
      </c>
      <c r="AF21" s="371">
        <f t="shared" si="5"/>
        <v>1.063955371392508E-6</v>
      </c>
      <c r="AG21" s="372">
        <f t="shared" si="14"/>
        <v>4.0865188372040848E-4</v>
      </c>
      <c r="AH21" s="373">
        <f t="shared" si="6"/>
        <v>4.0865188372040848E-4</v>
      </c>
      <c r="AI21" s="374" t="b">
        <f t="shared" si="15"/>
        <v>1</v>
      </c>
      <c r="AJ21" s="375">
        <f>AH21-AH9</f>
        <v>3.2579185576076658E-4</v>
      </c>
      <c r="AL21" s="376">
        <f t="shared" si="8"/>
        <v>0</v>
      </c>
      <c r="AM21" s="377"/>
      <c r="AN21" s="383"/>
      <c r="AO21" s="379"/>
      <c r="AQ21" s="380">
        <f t="shared" si="9"/>
        <v>4.0865188372040848E-4</v>
      </c>
      <c r="AR21" s="381">
        <v>51309.971910408989</v>
      </c>
      <c r="AT21" s="382">
        <v>12.668208395332664</v>
      </c>
    </row>
    <row r="22" spans="1:46">
      <c r="A22" s="361">
        <v>2006</v>
      </c>
      <c r="B22" s="361">
        <v>6</v>
      </c>
      <c r="C22" s="362">
        <f t="shared" si="17"/>
        <v>271.66325293295364</v>
      </c>
      <c r="D22" s="363">
        <f t="shared" si="16"/>
        <v>0.13816630657965029</v>
      </c>
      <c r="E22" s="365">
        <v>30221.784112382407</v>
      </c>
      <c r="F22" s="368">
        <v>0</v>
      </c>
      <c r="G22" s="368">
        <v>27445.526530040148</v>
      </c>
      <c r="H22" s="368">
        <v>0</v>
      </c>
      <c r="I22" s="368">
        <v>14731.144365701475</v>
      </c>
      <c r="J22" s="365">
        <f t="shared" si="10"/>
        <v>72398.45500812403</v>
      </c>
      <c r="K22" s="366">
        <v>30</v>
      </c>
      <c r="L22" s="367">
        <f t="shared" si="11"/>
        <v>0.13816630657965029</v>
      </c>
      <c r="M22" s="368">
        <v>0</v>
      </c>
      <c r="N22" s="368">
        <v>0</v>
      </c>
      <c r="O22" s="368">
        <v>0</v>
      </c>
      <c r="P22" s="368">
        <v>188.98676758761363</v>
      </c>
      <c r="Q22" s="368">
        <v>0</v>
      </c>
      <c r="R22" s="368">
        <v>0</v>
      </c>
      <c r="S22" s="364">
        <f>$L22*'MWh Impact Summary'!$L$12</f>
        <v>0</v>
      </c>
      <c r="T22" s="364">
        <f>$L22*'MWh Impact Summary'!$M$12</f>
        <v>0</v>
      </c>
      <c r="U22" s="368">
        <v>0</v>
      </c>
      <c r="V22" s="368">
        <v>0</v>
      </c>
      <c r="W22" s="368">
        <v>0</v>
      </c>
      <c r="X22" s="368">
        <f t="shared" si="1"/>
        <v>188.98676758761363</v>
      </c>
      <c r="Y22" s="364">
        <f t="shared" si="2"/>
        <v>72587.441775711646</v>
      </c>
      <c r="Z22" s="364"/>
      <c r="AA22" s="364">
        <v>4403628</v>
      </c>
      <c r="AB22" s="369">
        <f t="shared" si="12"/>
        <v>16.483554418245966</v>
      </c>
      <c r="AC22" s="370">
        <f t="shared" si="3"/>
        <v>16.440638266475737</v>
      </c>
      <c r="AD22" s="371">
        <f t="shared" si="4"/>
        <v>5.480212755491912E-4</v>
      </c>
      <c r="AE22" s="370">
        <f t="shared" si="13"/>
        <v>4.2916151770225286E-2</v>
      </c>
      <c r="AF22" s="371">
        <f t="shared" si="5"/>
        <v>1.4305383923408429E-6</v>
      </c>
      <c r="AG22" s="372">
        <f t="shared" si="14"/>
        <v>5.4945181394153208E-4</v>
      </c>
      <c r="AH22" s="373">
        <f t="shared" si="6"/>
        <v>5.4945181394153218E-4</v>
      </c>
      <c r="AI22" s="374" t="b">
        <f t="shared" si="15"/>
        <v>1</v>
      </c>
      <c r="AJ22" s="375">
        <f t="shared" ref="AJ22:AJ85" si="18">AH22-AH10</f>
        <v>4.3805839879253877E-4</v>
      </c>
      <c r="AL22" s="376">
        <f t="shared" si="8"/>
        <v>0</v>
      </c>
      <c r="AM22" s="377"/>
      <c r="AN22" s="383"/>
      <c r="AO22" s="379"/>
      <c r="AQ22" s="380">
        <f t="shared" si="9"/>
        <v>5.4945181394153218E-4</v>
      </c>
      <c r="AR22" s="381">
        <v>74366.069194837764</v>
      </c>
      <c r="AT22" s="382">
        <v>16.483554418245966</v>
      </c>
    </row>
    <row r="23" spans="1:46">
      <c r="A23" s="361">
        <v>2006</v>
      </c>
      <c r="B23" s="361">
        <v>7</v>
      </c>
      <c r="C23" s="362">
        <f t="shared" si="17"/>
        <v>322.31916585708109</v>
      </c>
      <c r="D23" s="363">
        <f t="shared" si="16"/>
        <v>0.16392960109808263</v>
      </c>
      <c r="E23" s="365">
        <v>35857.114058116545</v>
      </c>
      <c r="F23" s="368">
        <v>0</v>
      </c>
      <c r="G23" s="368">
        <v>32563.17931175687</v>
      </c>
      <c r="H23" s="368">
        <v>0</v>
      </c>
      <c r="I23" s="368">
        <v>17477.999371688948</v>
      </c>
      <c r="J23" s="365">
        <f t="shared" si="10"/>
        <v>85898.292741562356</v>
      </c>
      <c r="K23" s="366">
        <v>31</v>
      </c>
      <c r="L23" s="367">
        <f t="shared" si="11"/>
        <v>0.16392960109808263</v>
      </c>
      <c r="M23" s="368">
        <v>0</v>
      </c>
      <c r="N23" s="368">
        <v>0</v>
      </c>
      <c r="O23" s="368">
        <v>0</v>
      </c>
      <c r="P23" s="368">
        <v>224.22634135909149</v>
      </c>
      <c r="Q23" s="368">
        <v>0</v>
      </c>
      <c r="R23" s="368">
        <v>0</v>
      </c>
      <c r="S23" s="364">
        <f>$L23*'MWh Impact Summary'!$L$12</f>
        <v>0</v>
      </c>
      <c r="T23" s="364">
        <f>$L23*'MWh Impact Summary'!$M$12</f>
        <v>0</v>
      </c>
      <c r="U23" s="368">
        <v>0</v>
      </c>
      <c r="V23" s="368">
        <v>0</v>
      </c>
      <c r="W23" s="368">
        <v>0</v>
      </c>
      <c r="X23" s="368">
        <f t="shared" si="1"/>
        <v>224.22634135909149</v>
      </c>
      <c r="Y23" s="364">
        <f t="shared" si="2"/>
        <v>86122.519082921441</v>
      </c>
      <c r="Z23" s="364"/>
      <c r="AA23" s="364">
        <v>4406505</v>
      </c>
      <c r="AB23" s="369">
        <f t="shared" si="12"/>
        <v>19.544405165300265</v>
      </c>
      <c r="AC23" s="370">
        <f t="shared" si="3"/>
        <v>19.493519862467501</v>
      </c>
      <c r="AD23" s="371">
        <f t="shared" si="4"/>
        <v>6.2882322136991939E-4</v>
      </c>
      <c r="AE23" s="370">
        <f t="shared" si="13"/>
        <v>5.0885302832764628E-2</v>
      </c>
      <c r="AF23" s="371">
        <f t="shared" si="5"/>
        <v>1.6414613817020847E-6</v>
      </c>
      <c r="AG23" s="372">
        <f t="shared" si="14"/>
        <v>6.3046468275162147E-4</v>
      </c>
      <c r="AH23" s="373">
        <f t="shared" si="6"/>
        <v>6.3046468275162147E-4</v>
      </c>
      <c r="AI23" s="374" t="b">
        <f t="shared" si="15"/>
        <v>1</v>
      </c>
      <c r="AJ23" s="375">
        <f t="shared" si="18"/>
        <v>5.0276713669105116E-4</v>
      </c>
      <c r="AL23" s="376">
        <f t="shared" si="8"/>
        <v>0</v>
      </c>
      <c r="AM23" s="377"/>
      <c r="AN23" s="383"/>
      <c r="AO23" s="379"/>
      <c r="AQ23" s="380">
        <f t="shared" si="9"/>
        <v>6.3046468275162147E-4</v>
      </c>
      <c r="AR23" s="381">
        <v>83664.266541867051</v>
      </c>
      <c r="AT23" s="382">
        <v>19.544405165300265</v>
      </c>
    </row>
    <row r="24" spans="1:46">
      <c r="A24" s="361">
        <v>2006</v>
      </c>
      <c r="B24" s="361">
        <v>8</v>
      </c>
      <c r="C24" s="362">
        <f t="shared" si="17"/>
        <v>326.45437890907908</v>
      </c>
      <c r="D24" s="363">
        <f t="shared" si="16"/>
        <v>0.16603274573816959</v>
      </c>
      <c r="E24" s="365">
        <v>36317.145051513486</v>
      </c>
      <c r="F24" s="368">
        <v>0</v>
      </c>
      <c r="G24" s="368">
        <v>32980.950571950059</v>
      </c>
      <c r="H24" s="368">
        <v>0</v>
      </c>
      <c r="I24" s="368">
        <v>17702.234411924404</v>
      </c>
      <c r="J24" s="365">
        <f t="shared" si="10"/>
        <v>87000.330035387946</v>
      </c>
      <c r="K24" s="366">
        <v>31</v>
      </c>
      <c r="L24" s="367">
        <f t="shared" si="11"/>
        <v>0.16603274573816959</v>
      </c>
      <c r="M24" s="368">
        <v>0</v>
      </c>
      <c r="N24" s="368">
        <v>0</v>
      </c>
      <c r="O24" s="368">
        <v>0</v>
      </c>
      <c r="P24" s="368">
        <v>227.1030666413883</v>
      </c>
      <c r="Q24" s="368">
        <v>0</v>
      </c>
      <c r="R24" s="368">
        <v>0</v>
      </c>
      <c r="S24" s="364">
        <f>$L24*'MWh Impact Summary'!$L$12</f>
        <v>0</v>
      </c>
      <c r="T24" s="364">
        <f>$L24*'MWh Impact Summary'!$M$12</f>
        <v>0</v>
      </c>
      <c r="U24" s="368">
        <v>0</v>
      </c>
      <c r="V24" s="368">
        <v>0</v>
      </c>
      <c r="W24" s="368">
        <v>0</v>
      </c>
      <c r="X24" s="368">
        <f t="shared" si="1"/>
        <v>227.1030666413883</v>
      </c>
      <c r="Y24" s="364">
        <f t="shared" si="2"/>
        <v>87227.433102029332</v>
      </c>
      <c r="Z24" s="364"/>
      <c r="AA24" s="364">
        <v>4416127</v>
      </c>
      <c r="AB24" s="369">
        <f t="shared" si="12"/>
        <v>19.752020968153619</v>
      </c>
      <c r="AC24" s="370">
        <f t="shared" si="3"/>
        <v>19.700595122239001</v>
      </c>
      <c r="AD24" s="371">
        <f t="shared" si="4"/>
        <v>6.3550306845932257E-4</v>
      </c>
      <c r="AE24" s="370">
        <f t="shared" si="13"/>
        <v>5.1425845914618913E-2</v>
      </c>
      <c r="AF24" s="371">
        <f t="shared" si="5"/>
        <v>1.6588982553102875E-6</v>
      </c>
      <c r="AG24" s="372">
        <f t="shared" si="14"/>
        <v>6.3716196671463284E-4</v>
      </c>
      <c r="AH24" s="373">
        <f t="shared" si="6"/>
        <v>6.3716196671463284E-4</v>
      </c>
      <c r="AI24" s="374" t="b">
        <f t="shared" si="15"/>
        <v>1</v>
      </c>
      <c r="AJ24" s="375">
        <f t="shared" si="18"/>
        <v>5.0819895974473319E-4</v>
      </c>
      <c r="AL24" s="376">
        <f t="shared" si="8"/>
        <v>0</v>
      </c>
      <c r="AM24" s="377"/>
      <c r="AN24" s="383"/>
      <c r="AO24" s="379"/>
      <c r="AQ24" s="380">
        <f t="shared" si="9"/>
        <v>6.3716196671463284E-4</v>
      </c>
      <c r="AR24" s="381">
        <v>87376.815760398633</v>
      </c>
      <c r="AT24" s="382">
        <v>19.752020968153619</v>
      </c>
    </row>
    <row r="25" spans="1:46">
      <c r="A25" s="361">
        <v>2006</v>
      </c>
      <c r="B25" s="361">
        <v>9</v>
      </c>
      <c r="C25" s="362">
        <f t="shared" si="17"/>
        <v>277.87653293728147</v>
      </c>
      <c r="D25" s="363">
        <f t="shared" si="16"/>
        <v>0.14132634365008559</v>
      </c>
      <c r="E25" s="365">
        <v>30912.994295921373</v>
      </c>
      <c r="F25" s="368">
        <v>0</v>
      </c>
      <c r="G25" s="368">
        <v>28073.240213640318</v>
      </c>
      <c r="H25" s="368">
        <v>0</v>
      </c>
      <c r="I25" s="368">
        <v>15068.064150545801</v>
      </c>
      <c r="J25" s="365">
        <f t="shared" si="10"/>
        <v>74054.298660107495</v>
      </c>
      <c r="K25" s="366">
        <v>30</v>
      </c>
      <c r="L25" s="367">
        <f t="shared" si="11"/>
        <v>0.14132634365008559</v>
      </c>
      <c r="M25" s="368">
        <v>0</v>
      </c>
      <c r="N25" s="368">
        <v>0</v>
      </c>
      <c r="O25" s="368">
        <v>0</v>
      </c>
      <c r="P25" s="368">
        <v>193.30913246934637</v>
      </c>
      <c r="Q25" s="368">
        <v>0</v>
      </c>
      <c r="R25" s="368">
        <v>0</v>
      </c>
      <c r="S25" s="364">
        <f>$L25*'MWh Impact Summary'!$L$12</f>
        <v>0</v>
      </c>
      <c r="T25" s="364">
        <f>$L25*'MWh Impact Summary'!$M$12</f>
        <v>0</v>
      </c>
      <c r="U25" s="368">
        <v>0</v>
      </c>
      <c r="V25" s="368">
        <v>0</v>
      </c>
      <c r="W25" s="368">
        <v>0</v>
      </c>
      <c r="X25" s="368">
        <f t="shared" si="1"/>
        <v>193.30913246934637</v>
      </c>
      <c r="Y25" s="364">
        <f t="shared" si="2"/>
        <v>74247.607792576848</v>
      </c>
      <c r="Z25" s="364"/>
      <c r="AA25" s="364">
        <v>4425222</v>
      </c>
      <c r="AB25" s="369">
        <f t="shared" si="12"/>
        <v>16.778278647393702</v>
      </c>
      <c r="AC25" s="370">
        <f t="shared" si="3"/>
        <v>16.734595159317994</v>
      </c>
      <c r="AD25" s="371">
        <f t="shared" si="4"/>
        <v>5.5781983864393314E-4</v>
      </c>
      <c r="AE25" s="370">
        <f t="shared" si="13"/>
        <v>4.3683488075704761E-2</v>
      </c>
      <c r="AF25" s="371">
        <f t="shared" si="5"/>
        <v>1.4561162691901589E-6</v>
      </c>
      <c r="AG25" s="372">
        <f t="shared" si="14"/>
        <v>5.5927595491312332E-4</v>
      </c>
      <c r="AH25" s="373">
        <f t="shared" si="6"/>
        <v>5.5927595491312343E-4</v>
      </c>
      <c r="AI25" s="374" t="b">
        <f t="shared" si="15"/>
        <v>1</v>
      </c>
      <c r="AJ25" s="375">
        <f t="shared" si="18"/>
        <v>4.4591696091109958E-4</v>
      </c>
      <c r="AL25" s="376">
        <f t="shared" si="8"/>
        <v>0</v>
      </c>
      <c r="AM25" s="377"/>
      <c r="AN25" s="383"/>
      <c r="AO25" s="379"/>
      <c r="AQ25" s="380">
        <f t="shared" si="9"/>
        <v>5.5927595491312343E-4</v>
      </c>
      <c r="AR25" s="381">
        <v>78946.516019981806</v>
      </c>
      <c r="AT25" s="382">
        <v>16.778278647393702</v>
      </c>
    </row>
    <row r="26" spans="1:46">
      <c r="A26" s="361">
        <v>2006</v>
      </c>
      <c r="B26" s="361">
        <v>10</v>
      </c>
      <c r="C26" s="362">
        <f t="shared" si="17"/>
        <v>198.89039579254836</v>
      </c>
      <c r="D26" s="363">
        <f t="shared" si="16"/>
        <v>0.10115446643644242</v>
      </c>
      <c r="E26" s="365">
        <v>22126.005408439083</v>
      </c>
      <c r="F26" s="368">
        <v>0</v>
      </c>
      <c r="G26" s="368">
        <v>20093.448691942758</v>
      </c>
      <c r="H26" s="368">
        <v>0</v>
      </c>
      <c r="I26" s="368">
        <v>10784.981412611698</v>
      </c>
      <c r="J26" s="365">
        <f t="shared" si="10"/>
        <v>53004.435512993543</v>
      </c>
      <c r="K26" s="366">
        <v>31</v>
      </c>
      <c r="L26" s="367">
        <f t="shared" si="11"/>
        <v>0.10115446643644242</v>
      </c>
      <c r="M26" s="368">
        <v>0</v>
      </c>
      <c r="N26" s="368">
        <v>0</v>
      </c>
      <c r="O26" s="368">
        <v>0</v>
      </c>
      <c r="P26" s="368">
        <v>138.36119754603484</v>
      </c>
      <c r="Q26" s="368">
        <v>0</v>
      </c>
      <c r="R26" s="368">
        <v>0</v>
      </c>
      <c r="S26" s="364">
        <f>$L26*'MWh Impact Summary'!$L$12</f>
        <v>0</v>
      </c>
      <c r="T26" s="364">
        <f>$L26*'MWh Impact Summary'!$M$12</f>
        <v>0</v>
      </c>
      <c r="U26" s="368">
        <v>0</v>
      </c>
      <c r="V26" s="368">
        <v>0</v>
      </c>
      <c r="W26" s="368">
        <v>0</v>
      </c>
      <c r="X26" s="368">
        <f t="shared" si="1"/>
        <v>138.36119754603484</v>
      </c>
      <c r="Y26" s="364">
        <f t="shared" si="2"/>
        <v>53142.79671053958</v>
      </c>
      <c r="Z26" s="364"/>
      <c r="AA26" s="364">
        <v>4429977</v>
      </c>
      <c r="AB26" s="369">
        <f t="shared" si="12"/>
        <v>11.996178921592501</v>
      </c>
      <c r="AC26" s="370">
        <f t="shared" si="3"/>
        <v>11.964945983465274</v>
      </c>
      <c r="AD26" s="371">
        <f t="shared" si="4"/>
        <v>3.8596599946662176E-4</v>
      </c>
      <c r="AE26" s="370">
        <f t="shared" si="13"/>
        <v>3.1232938127226134E-2</v>
      </c>
      <c r="AF26" s="371">
        <f t="shared" si="5"/>
        <v>1.007514133136327E-6</v>
      </c>
      <c r="AG26" s="372">
        <f t="shared" si="14"/>
        <v>3.8697351359975808E-4</v>
      </c>
      <c r="AH26" s="373">
        <f t="shared" si="6"/>
        <v>3.8697351359975808E-4</v>
      </c>
      <c r="AI26" s="374" t="b">
        <f t="shared" si="15"/>
        <v>1</v>
      </c>
      <c r="AJ26" s="375">
        <f t="shared" si="18"/>
        <v>3.0848244921737337E-4</v>
      </c>
      <c r="AL26" s="376">
        <f t="shared" si="8"/>
        <v>0</v>
      </c>
      <c r="AM26" s="377"/>
      <c r="AN26" s="383"/>
      <c r="AO26" s="379"/>
      <c r="AQ26" s="380">
        <f t="shared" si="9"/>
        <v>3.8697351359975808E-4</v>
      </c>
      <c r="AR26" s="381">
        <v>53072.042749228778</v>
      </c>
      <c r="AT26" s="382">
        <v>11.996178921592501</v>
      </c>
    </row>
    <row r="27" spans="1:46">
      <c r="A27" s="361">
        <v>2006</v>
      </c>
      <c r="B27" s="361">
        <v>11</v>
      </c>
      <c r="C27" s="362">
        <f t="shared" si="17"/>
        <v>78.117279066674627</v>
      </c>
      <c r="D27" s="363">
        <f t="shared" si="16"/>
        <v>3.9729981188725644E-2</v>
      </c>
      <c r="E27" s="365">
        <v>8690.3308338961288</v>
      </c>
      <c r="F27" s="368">
        <v>0</v>
      </c>
      <c r="G27" s="368">
        <v>7892.0127471494989</v>
      </c>
      <c r="H27" s="368">
        <v>0</v>
      </c>
      <c r="I27" s="368">
        <v>4235.9682546795539</v>
      </c>
      <c r="J27" s="365">
        <f t="shared" si="10"/>
        <v>20818.311835725181</v>
      </c>
      <c r="K27" s="366">
        <v>30</v>
      </c>
      <c r="L27" s="367">
        <f t="shared" si="11"/>
        <v>3.9729981188725644E-2</v>
      </c>
      <c r="M27" s="368">
        <v>0</v>
      </c>
      <c r="N27" s="368">
        <v>0</v>
      </c>
      <c r="O27" s="368">
        <v>0</v>
      </c>
      <c r="P27" s="368">
        <v>54.343500286341367</v>
      </c>
      <c r="Q27" s="368">
        <v>0</v>
      </c>
      <c r="R27" s="368">
        <v>0</v>
      </c>
      <c r="S27" s="364">
        <f>$L27*'MWh Impact Summary'!$L$12</f>
        <v>0</v>
      </c>
      <c r="T27" s="364">
        <f>$L27*'MWh Impact Summary'!$M$12</f>
        <v>0</v>
      </c>
      <c r="U27" s="368">
        <v>0</v>
      </c>
      <c r="V27" s="368">
        <v>0</v>
      </c>
      <c r="W27" s="368">
        <v>0</v>
      </c>
      <c r="X27" s="368">
        <f t="shared" si="1"/>
        <v>54.343500286341367</v>
      </c>
      <c r="Y27" s="364">
        <f t="shared" si="2"/>
        <v>20872.655336011521</v>
      </c>
      <c r="Z27" s="364"/>
      <c r="AA27" s="364">
        <v>4443418</v>
      </c>
      <c r="AB27" s="369">
        <f t="shared" si="12"/>
        <v>4.6974323225974963</v>
      </c>
      <c r="AC27" s="370">
        <f t="shared" si="3"/>
        <v>4.6852022104886784</v>
      </c>
      <c r="AD27" s="371">
        <f t="shared" si="4"/>
        <v>1.5617340701628928E-4</v>
      </c>
      <c r="AE27" s="370">
        <f t="shared" si="13"/>
        <v>1.2230112108818339E-2</v>
      </c>
      <c r="AF27" s="371">
        <f t="shared" si="5"/>
        <v>4.0767040362727801E-7</v>
      </c>
      <c r="AG27" s="372">
        <f t="shared" si="14"/>
        <v>1.5658107741991657E-4</v>
      </c>
      <c r="AH27" s="373">
        <f t="shared" si="6"/>
        <v>1.5658107741991654E-4</v>
      </c>
      <c r="AI27" s="374" t="b">
        <f t="shared" si="15"/>
        <v>1</v>
      </c>
      <c r="AJ27" s="375">
        <f t="shared" si="18"/>
        <v>1.2473278079873587E-4</v>
      </c>
      <c r="AL27" s="376">
        <f t="shared" si="8"/>
        <v>0</v>
      </c>
      <c r="AM27" s="377"/>
      <c r="AN27" s="383"/>
      <c r="AO27" s="379"/>
      <c r="AQ27" s="380">
        <f t="shared" si="9"/>
        <v>1.5658107741991654E-4</v>
      </c>
      <c r="AR27" s="381">
        <v>24510.91635790365</v>
      </c>
      <c r="AT27" s="382">
        <v>4.6974323225974963</v>
      </c>
    </row>
    <row r="28" spans="1:46">
      <c r="A28" s="361">
        <v>2006</v>
      </c>
      <c r="B28" s="361">
        <v>12</v>
      </c>
      <c r="C28" s="362">
        <f t="shared" si="17"/>
        <v>42.633806123140985</v>
      </c>
      <c r="D28" s="363">
        <f t="shared" si="16"/>
        <v>2.1683298951445065E-2</v>
      </c>
      <c r="E28" s="365">
        <v>4742.8927933095456</v>
      </c>
      <c r="F28" s="368">
        <v>0</v>
      </c>
      <c r="G28" s="368">
        <v>4307.197401181219</v>
      </c>
      <c r="H28" s="368">
        <v>0</v>
      </c>
      <c r="I28" s="368">
        <v>2311.8502266271489</v>
      </c>
      <c r="J28" s="365">
        <f t="shared" si="10"/>
        <v>11361.940421117914</v>
      </c>
      <c r="K28" s="366">
        <v>31</v>
      </c>
      <c r="L28" s="367">
        <f t="shared" si="11"/>
        <v>2.1683298951445065E-2</v>
      </c>
      <c r="M28" s="368">
        <v>0</v>
      </c>
      <c r="N28" s="368">
        <v>0</v>
      </c>
      <c r="O28" s="368">
        <v>0</v>
      </c>
      <c r="P28" s="368">
        <v>29.658870392595734</v>
      </c>
      <c r="Q28" s="368">
        <v>0</v>
      </c>
      <c r="R28" s="368">
        <v>0</v>
      </c>
      <c r="S28" s="364">
        <f>$L28*'MWh Impact Summary'!$L$12</f>
        <v>0</v>
      </c>
      <c r="T28" s="364">
        <f>$L28*'MWh Impact Summary'!$M$12</f>
        <v>0</v>
      </c>
      <c r="U28" s="368">
        <v>0</v>
      </c>
      <c r="V28" s="368">
        <v>0</v>
      </c>
      <c r="W28" s="368">
        <v>0</v>
      </c>
      <c r="X28" s="368">
        <f t="shared" si="1"/>
        <v>29.658870392595734</v>
      </c>
      <c r="Y28" s="364">
        <f t="shared" si="2"/>
        <v>11391.599291510509</v>
      </c>
      <c r="Z28" s="364">
        <f>SUM(Y17:Y28)</f>
        <v>525362.8295684834</v>
      </c>
      <c r="AA28" s="364">
        <v>4457161</v>
      </c>
      <c r="AB28" s="369">
        <f t="shared" si="12"/>
        <v>2.5557971299467326</v>
      </c>
      <c r="AC28" s="370">
        <f t="shared" si="3"/>
        <v>2.5491429232908378</v>
      </c>
      <c r="AD28" s="371">
        <f t="shared" si="4"/>
        <v>8.2230416880349608E-5</v>
      </c>
      <c r="AE28" s="370">
        <f t="shared" si="13"/>
        <v>6.6542066558950268E-3</v>
      </c>
      <c r="AF28" s="371">
        <f t="shared" si="5"/>
        <v>2.1465182760951701E-7</v>
      </c>
      <c r="AG28" s="372">
        <f t="shared" si="14"/>
        <v>8.2445068707959123E-5</v>
      </c>
      <c r="AH28" s="373">
        <f t="shared" si="6"/>
        <v>8.2445068707959123E-5</v>
      </c>
      <c r="AI28" s="374" t="b">
        <f t="shared" si="15"/>
        <v>1</v>
      </c>
      <c r="AJ28" s="375">
        <f t="shared" si="18"/>
        <v>6.5662626539787848E-5</v>
      </c>
      <c r="AL28" s="376">
        <f t="shared" si="8"/>
        <v>0</v>
      </c>
      <c r="AM28" s="377">
        <f>SUM(AL17:AL28)</f>
        <v>0</v>
      </c>
      <c r="AN28" s="383"/>
      <c r="AO28" s="379"/>
      <c r="AQ28" s="380">
        <f t="shared" si="9"/>
        <v>8.2445068707959123E-5</v>
      </c>
      <c r="AR28" s="381">
        <v>10922.750444317473</v>
      </c>
      <c r="AT28" s="382">
        <v>2.5557971299467326</v>
      </c>
    </row>
    <row r="29" spans="1:46">
      <c r="A29" s="361">
        <v>2007</v>
      </c>
      <c r="B29" s="361">
        <v>1</v>
      </c>
      <c r="C29" s="362">
        <f t="shared" si="17"/>
        <v>26.112829868525239</v>
      </c>
      <c r="D29" s="363">
        <f t="shared" ref="D29:D40" si="19">C29/(SUM(C$29:C$40))</f>
        <v>1.3280829182176284E-2</v>
      </c>
      <c r="E29" s="365">
        <v>5627.9493354226015</v>
      </c>
      <c r="F29" s="368">
        <v>0</v>
      </c>
      <c r="G29" s="368">
        <v>4595.7889343750658</v>
      </c>
      <c r="H29" s="368">
        <v>0</v>
      </c>
      <c r="I29" s="368">
        <v>2254.5890263854044</v>
      </c>
      <c r="J29" s="365">
        <f t="shared" si="10"/>
        <v>12478.327296183073</v>
      </c>
      <c r="K29" s="366">
        <v>31</v>
      </c>
      <c r="L29" s="367">
        <f t="shared" si="11"/>
        <v>1.3280829182176284E-2</v>
      </c>
      <c r="M29" s="368">
        <v>1770.6137993015027</v>
      </c>
      <c r="N29" s="368">
        <v>0</v>
      </c>
      <c r="O29" s="368">
        <v>0</v>
      </c>
      <c r="P29" s="368">
        <v>36.331592559085095</v>
      </c>
      <c r="Q29" s="368">
        <v>0</v>
      </c>
      <c r="R29" s="368">
        <v>0</v>
      </c>
      <c r="S29" s="364">
        <f>$L29*'MWh Impact Summary'!$L$13</f>
        <v>0</v>
      </c>
      <c r="T29" s="364">
        <f>$L29*'MWh Impact Summary'!$M$13</f>
        <v>0</v>
      </c>
      <c r="U29" s="368">
        <v>0</v>
      </c>
      <c r="V29" s="368">
        <v>0</v>
      </c>
      <c r="W29" s="368">
        <v>0</v>
      </c>
      <c r="X29" s="368">
        <f t="shared" si="1"/>
        <v>1806.9453918605877</v>
      </c>
      <c r="Y29" s="364">
        <f t="shared" si="2"/>
        <v>14285.27268804366</v>
      </c>
      <c r="Z29" s="364"/>
      <c r="AA29" s="364">
        <v>4465732</v>
      </c>
      <c r="AB29" s="369">
        <f>+Y29*1000/AA29</f>
        <v>3.1988647523057048</v>
      </c>
      <c r="AC29" s="370">
        <f t="shared" si="3"/>
        <v>2.7942400699780179</v>
      </c>
      <c r="AD29" s="371">
        <f t="shared" si="4"/>
        <v>9.0136776450903808E-5</v>
      </c>
      <c r="AE29" s="370">
        <f t="shared" si="13"/>
        <v>0.40462468232768734</v>
      </c>
      <c r="AF29" s="371">
        <f t="shared" si="5"/>
        <v>1.3052409107344752E-5</v>
      </c>
      <c r="AG29" s="372">
        <f t="shared" si="14"/>
        <v>1.0318918555824857E-4</v>
      </c>
      <c r="AH29" s="373">
        <f t="shared" si="6"/>
        <v>1.0318918555824855E-4</v>
      </c>
      <c r="AI29" s="374" t="b">
        <f t="shared" si="15"/>
        <v>1</v>
      </c>
      <c r="AJ29" s="375">
        <f t="shared" si="18"/>
        <v>5.1676127069719274E-5</v>
      </c>
      <c r="AL29" s="376">
        <f t="shared" si="8"/>
        <v>0</v>
      </c>
      <c r="AM29" s="377"/>
      <c r="AN29" s="383"/>
      <c r="AO29" s="379"/>
      <c r="AQ29" s="380">
        <f t="shared" si="9"/>
        <v>1.0318918555824855E-4</v>
      </c>
      <c r="AR29" s="381">
        <v>23915.309480274562</v>
      </c>
      <c r="AT29" s="382">
        <v>3.1988647523057048</v>
      </c>
    </row>
    <row r="30" spans="1:46">
      <c r="A30" s="361">
        <v>2007</v>
      </c>
      <c r="B30" s="361">
        <v>2</v>
      </c>
      <c r="C30" s="362">
        <f t="shared" si="17"/>
        <v>35.042184420393127</v>
      </c>
      <c r="D30" s="363">
        <f t="shared" si="19"/>
        <v>1.7822245532205266E-2</v>
      </c>
      <c r="E30" s="365">
        <v>7552.4422099582198</v>
      </c>
      <c r="F30" s="368">
        <v>0</v>
      </c>
      <c r="G30" s="368">
        <v>6167.3316988783499</v>
      </c>
      <c r="H30" s="368">
        <v>0</v>
      </c>
      <c r="I30" s="368">
        <v>3025.5519931227541</v>
      </c>
      <c r="J30" s="365">
        <f t="shared" si="10"/>
        <v>16745.325901959324</v>
      </c>
      <c r="K30" s="366">
        <v>28</v>
      </c>
      <c r="L30" s="367">
        <f t="shared" si="11"/>
        <v>1.7822245532205266E-2</v>
      </c>
      <c r="M30" s="368">
        <v>2376.0800956775183</v>
      </c>
      <c r="N30" s="368">
        <v>0</v>
      </c>
      <c r="O30" s="368">
        <v>0</v>
      </c>
      <c r="P30" s="368">
        <v>48.755281336880437</v>
      </c>
      <c r="Q30" s="368">
        <v>0</v>
      </c>
      <c r="R30" s="368">
        <v>0</v>
      </c>
      <c r="S30" s="364">
        <f>$L30*'MWh Impact Summary'!$L$13</f>
        <v>0</v>
      </c>
      <c r="T30" s="364">
        <f>$L30*'MWh Impact Summary'!$M$13</f>
        <v>0</v>
      </c>
      <c r="U30" s="368">
        <v>0</v>
      </c>
      <c r="V30" s="368">
        <v>0</v>
      </c>
      <c r="W30" s="368">
        <v>0</v>
      </c>
      <c r="X30" s="368">
        <f t="shared" si="1"/>
        <v>2424.8353770143985</v>
      </c>
      <c r="Y30" s="364">
        <f t="shared" si="2"/>
        <v>19170.161278973723</v>
      </c>
      <c r="Z30" s="364"/>
      <c r="AA30" s="364">
        <v>4476835</v>
      </c>
      <c r="AB30" s="369">
        <f t="shared" si="12"/>
        <v>4.2820790310506691</v>
      </c>
      <c r="AC30" s="370">
        <f t="shared" si="3"/>
        <v>3.7404384798544785</v>
      </c>
      <c r="AD30" s="371">
        <f t="shared" si="4"/>
        <v>1.335870885662314E-4</v>
      </c>
      <c r="AE30" s="370">
        <f t="shared" si="13"/>
        <v>0.5416405511961907</v>
      </c>
      <c r="AF30" s="371">
        <f t="shared" si="5"/>
        <v>1.9344305399863954E-5</v>
      </c>
      <c r="AG30" s="372">
        <f t="shared" si="14"/>
        <v>1.5293139396609535E-4</v>
      </c>
      <c r="AH30" s="373">
        <f t="shared" si="6"/>
        <v>1.5293139396609532E-4</v>
      </c>
      <c r="AI30" s="374" t="b">
        <f t="shared" si="15"/>
        <v>1</v>
      </c>
      <c r="AJ30" s="375">
        <f t="shared" si="18"/>
        <v>7.6549197533227854E-5</v>
      </c>
      <c r="AL30" s="376">
        <f t="shared" si="8"/>
        <v>0</v>
      </c>
      <c r="AM30" s="377"/>
      <c r="AN30" s="383"/>
      <c r="AO30" s="379"/>
      <c r="AQ30" s="380">
        <f t="shared" si="9"/>
        <v>1.5293139396609532E-4</v>
      </c>
      <c r="AR30" s="381">
        <v>24907.649804064211</v>
      </c>
      <c r="AT30" s="382">
        <v>4.2820790310506691</v>
      </c>
    </row>
    <row r="31" spans="1:46">
      <c r="A31" s="361">
        <v>2007</v>
      </c>
      <c r="B31" s="361">
        <v>3</v>
      </c>
      <c r="C31" s="362">
        <f t="shared" si="17"/>
        <v>64.582270600115152</v>
      </c>
      <c r="D31" s="363">
        <f t="shared" si="19"/>
        <v>3.2846156787895278E-2</v>
      </c>
      <c r="E31" s="365">
        <v>13919.048557127064</v>
      </c>
      <c r="F31" s="368">
        <v>0</v>
      </c>
      <c r="G31" s="368">
        <v>11366.308671837105</v>
      </c>
      <c r="H31" s="368">
        <v>0</v>
      </c>
      <c r="I31" s="368">
        <v>5576.0512869414142</v>
      </c>
      <c r="J31" s="365">
        <f t="shared" si="10"/>
        <v>30861.408515905583</v>
      </c>
      <c r="K31" s="366">
        <v>31</v>
      </c>
      <c r="L31" s="367">
        <f t="shared" si="11"/>
        <v>3.2846156787895278E-2</v>
      </c>
      <c r="M31" s="368">
        <v>4379.0833889136711</v>
      </c>
      <c r="N31" s="368">
        <v>0</v>
      </c>
      <c r="O31" s="368">
        <v>0</v>
      </c>
      <c r="P31" s="368">
        <v>89.855322222741506</v>
      </c>
      <c r="Q31" s="368">
        <v>0</v>
      </c>
      <c r="R31" s="368">
        <v>0</v>
      </c>
      <c r="S31" s="364">
        <f>$L31*'MWh Impact Summary'!$L$13</f>
        <v>0</v>
      </c>
      <c r="T31" s="364">
        <f>$L31*'MWh Impact Summary'!$M$13</f>
        <v>0</v>
      </c>
      <c r="U31" s="368">
        <v>0</v>
      </c>
      <c r="V31" s="368">
        <v>0</v>
      </c>
      <c r="W31" s="368">
        <v>0</v>
      </c>
      <c r="X31" s="368">
        <f t="shared" si="1"/>
        <v>4468.9387111364122</v>
      </c>
      <c r="Y31" s="364">
        <f t="shared" si="2"/>
        <v>35330.347227041995</v>
      </c>
      <c r="Z31" s="364"/>
      <c r="AA31" s="364">
        <v>4488392</v>
      </c>
      <c r="AB31" s="369">
        <f t="shared" si="12"/>
        <v>7.8714932267596049</v>
      </c>
      <c r="AC31" s="370">
        <f t="shared" si="3"/>
        <v>6.8758273599778228</v>
      </c>
      <c r="AD31" s="371">
        <f t="shared" si="4"/>
        <v>2.2180088257992976E-4</v>
      </c>
      <c r="AE31" s="370">
        <f t="shared" si="13"/>
        <v>0.99566586678178104</v>
      </c>
      <c r="AF31" s="371">
        <f t="shared" si="5"/>
        <v>3.2118253767154229E-5</v>
      </c>
      <c r="AG31" s="372">
        <f t="shared" si="14"/>
        <v>2.5391913634708398E-4</v>
      </c>
      <c r="AH31" s="373">
        <f t="shared" si="6"/>
        <v>2.5391913634708403E-4</v>
      </c>
      <c r="AI31" s="374" t="b">
        <f t="shared" si="15"/>
        <v>1</v>
      </c>
      <c r="AJ31" s="375">
        <f t="shared" si="18"/>
        <v>1.2712227900856535E-4</v>
      </c>
      <c r="AL31" s="376">
        <f t="shared" si="8"/>
        <v>0</v>
      </c>
      <c r="AM31" s="377"/>
      <c r="AN31" s="383"/>
      <c r="AO31" s="379"/>
      <c r="AQ31" s="380">
        <f t="shared" si="9"/>
        <v>2.5391913634708403E-4</v>
      </c>
      <c r="AR31" s="381">
        <v>39962.531076133993</v>
      </c>
      <c r="AT31" s="382">
        <v>7.8714932267596049</v>
      </c>
    </row>
    <row r="32" spans="1:46">
      <c r="A32" s="361">
        <v>2007</v>
      </c>
      <c r="B32" s="361">
        <v>4</v>
      </c>
      <c r="C32" s="362">
        <f t="shared" si="17"/>
        <v>114.03392869270741</v>
      </c>
      <c r="D32" s="363">
        <f t="shared" si="19"/>
        <v>5.7996974497419709E-2</v>
      </c>
      <c r="E32" s="365">
        <v>24577.082469920613</v>
      </c>
      <c r="F32" s="368">
        <v>0</v>
      </c>
      <c r="G32" s="368">
        <v>20069.669594138784</v>
      </c>
      <c r="H32" s="368">
        <v>0</v>
      </c>
      <c r="I32" s="368">
        <v>9845.7212627148292</v>
      </c>
      <c r="J32" s="365">
        <f t="shared" si="10"/>
        <v>54492.473326774227</v>
      </c>
      <c r="K32" s="366">
        <v>30</v>
      </c>
      <c r="L32" s="367">
        <f t="shared" si="11"/>
        <v>5.7996974497419709E-2</v>
      </c>
      <c r="M32" s="368">
        <v>7732.2162610664027</v>
      </c>
      <c r="N32" s="368">
        <v>0</v>
      </c>
      <c r="O32" s="368">
        <v>0</v>
      </c>
      <c r="P32" s="368">
        <v>158.65895255454336</v>
      </c>
      <c r="Q32" s="368">
        <v>0</v>
      </c>
      <c r="R32" s="368">
        <v>0</v>
      </c>
      <c r="S32" s="364">
        <f>$L32*'MWh Impact Summary'!$L$13</f>
        <v>0</v>
      </c>
      <c r="T32" s="364">
        <f>$L32*'MWh Impact Summary'!$M$13</f>
        <v>0</v>
      </c>
      <c r="U32" s="368">
        <v>0</v>
      </c>
      <c r="V32" s="368">
        <v>0</v>
      </c>
      <c r="W32" s="368">
        <v>0</v>
      </c>
      <c r="X32" s="368">
        <f t="shared" si="1"/>
        <v>7890.8752136209459</v>
      </c>
      <c r="Y32" s="364">
        <f t="shared" si="2"/>
        <v>62383.348540395171</v>
      </c>
      <c r="Z32" s="364"/>
      <c r="AA32" s="364">
        <v>4493310</v>
      </c>
      <c r="AB32" s="369">
        <f t="shared" si="12"/>
        <v>13.883606637511138</v>
      </c>
      <c r="AC32" s="370">
        <f t="shared" si="3"/>
        <v>12.12746801951662</v>
      </c>
      <c r="AD32" s="371">
        <f t="shared" si="4"/>
        <v>4.0424893398388736E-4</v>
      </c>
      <c r="AE32" s="370">
        <f t="shared" si="13"/>
        <v>1.7561386179945175</v>
      </c>
      <c r="AF32" s="371">
        <f t="shared" si="5"/>
        <v>5.8537953933150583E-5</v>
      </c>
      <c r="AG32" s="372">
        <f t="shared" si="14"/>
        <v>4.6278688791703793E-4</v>
      </c>
      <c r="AH32" s="373">
        <f t="shared" si="6"/>
        <v>4.6278688791703793E-4</v>
      </c>
      <c r="AI32" s="374" t="b">
        <f t="shared" si="15"/>
        <v>1</v>
      </c>
      <c r="AJ32" s="375">
        <f t="shared" si="18"/>
        <v>2.3186400497190689E-4</v>
      </c>
      <c r="AL32" s="376">
        <f t="shared" si="8"/>
        <v>0</v>
      </c>
      <c r="AM32" s="377"/>
      <c r="AN32" s="383"/>
      <c r="AO32" s="379"/>
      <c r="AQ32" s="380">
        <f t="shared" si="9"/>
        <v>4.6278688791703793E-4</v>
      </c>
      <c r="AR32" s="381">
        <v>65231.07069002543</v>
      </c>
      <c r="AT32" s="382">
        <v>13.883606637511138</v>
      </c>
    </row>
    <row r="33" spans="1:46">
      <c r="A33" s="361">
        <v>2007</v>
      </c>
      <c r="B33" s="361">
        <v>5</v>
      </c>
      <c r="C33" s="362">
        <f t="shared" si="17"/>
        <v>208.47875842628665</v>
      </c>
      <c r="D33" s="363">
        <f t="shared" si="19"/>
        <v>0.10603105035770212</v>
      </c>
      <c r="E33" s="365">
        <v>44932.238131309568</v>
      </c>
      <c r="F33" s="368">
        <v>0</v>
      </c>
      <c r="G33" s="368">
        <v>36691.709625184805</v>
      </c>
      <c r="H33" s="368">
        <v>0</v>
      </c>
      <c r="I33" s="368">
        <v>18000.114248395148</v>
      </c>
      <c r="J33" s="365">
        <f t="shared" si="10"/>
        <v>99624.062004889507</v>
      </c>
      <c r="K33" s="366">
        <v>31</v>
      </c>
      <c r="L33" s="367">
        <f t="shared" si="11"/>
        <v>0.10603105035770212</v>
      </c>
      <c r="M33" s="368">
        <v>14136.168633938834</v>
      </c>
      <c r="N33" s="368">
        <v>0</v>
      </c>
      <c r="O33" s="368">
        <v>0</v>
      </c>
      <c r="P33" s="368">
        <v>290.06298231573277</v>
      </c>
      <c r="Q33" s="368">
        <v>0</v>
      </c>
      <c r="R33" s="368">
        <v>0</v>
      </c>
      <c r="S33" s="364">
        <f>$L33*'MWh Impact Summary'!$L$13</f>
        <v>0</v>
      </c>
      <c r="T33" s="364">
        <f>$L33*'MWh Impact Summary'!$M$13</f>
        <v>0</v>
      </c>
      <c r="U33" s="368">
        <v>0</v>
      </c>
      <c r="V33" s="368">
        <v>0</v>
      </c>
      <c r="W33" s="368">
        <v>0</v>
      </c>
      <c r="X33" s="368">
        <f t="shared" si="1"/>
        <v>14426.231616254567</v>
      </c>
      <c r="Y33" s="364">
        <f t="shared" si="2"/>
        <v>114050.29362114407</v>
      </c>
      <c r="Z33" s="364"/>
      <c r="AA33" s="364">
        <v>4494060</v>
      </c>
      <c r="AB33" s="369">
        <f t="shared" si="12"/>
        <v>25.378008665025405</v>
      </c>
      <c r="AC33" s="370">
        <f t="shared" si="3"/>
        <v>22.167942129141469</v>
      </c>
      <c r="AD33" s="371">
        <f t="shared" si="4"/>
        <v>7.1509490739166029E-4</v>
      </c>
      <c r="AE33" s="370">
        <f t="shared" si="13"/>
        <v>3.2100665358839371</v>
      </c>
      <c r="AF33" s="371">
        <f t="shared" si="5"/>
        <v>1.0355053341561089E-4</v>
      </c>
      <c r="AG33" s="372">
        <f t="shared" si="14"/>
        <v>8.1864544080727112E-4</v>
      </c>
      <c r="AH33" s="373">
        <f t="shared" si="6"/>
        <v>8.1864544080727112E-4</v>
      </c>
      <c r="AI33" s="374" t="b">
        <f t="shared" si="15"/>
        <v>1</v>
      </c>
      <c r="AJ33" s="375">
        <f t="shared" si="18"/>
        <v>4.0999355708686263E-4</v>
      </c>
      <c r="AL33" s="376">
        <f t="shared" si="8"/>
        <v>0</v>
      </c>
      <c r="AM33" s="377"/>
      <c r="AN33" s="383"/>
      <c r="AO33" s="379"/>
      <c r="AQ33" s="380">
        <f t="shared" si="9"/>
        <v>8.1864544080727112E-4</v>
      </c>
      <c r="AR33" s="381">
        <v>102984.96257484006</v>
      </c>
      <c r="AT33" s="382">
        <v>25.378008665025405</v>
      </c>
    </row>
    <row r="34" spans="1:46">
      <c r="A34" s="361">
        <v>2007</v>
      </c>
      <c r="B34" s="361">
        <v>6</v>
      </c>
      <c r="C34" s="362">
        <f t="shared" si="17"/>
        <v>271.66325293295364</v>
      </c>
      <c r="D34" s="363">
        <f t="shared" si="19"/>
        <v>0.13816630657965029</v>
      </c>
      <c r="E34" s="365">
        <v>58550.031976641752</v>
      </c>
      <c r="F34" s="368">
        <v>0</v>
      </c>
      <c r="G34" s="368">
        <v>47812.013404586025</v>
      </c>
      <c r="H34" s="368">
        <v>0</v>
      </c>
      <c r="I34" s="368">
        <v>23455.481156910359</v>
      </c>
      <c r="J34" s="365">
        <f t="shared" si="10"/>
        <v>129817.52653813813</v>
      </c>
      <c r="K34" s="366">
        <v>30</v>
      </c>
      <c r="L34" s="367">
        <f t="shared" si="11"/>
        <v>0.13816630657965029</v>
      </c>
      <c r="M34" s="368">
        <v>18420.474028592442</v>
      </c>
      <c r="N34" s="368">
        <v>0</v>
      </c>
      <c r="O34" s="368">
        <v>0</v>
      </c>
      <c r="P34" s="368">
        <v>377.97353517522725</v>
      </c>
      <c r="Q34" s="368">
        <v>0</v>
      </c>
      <c r="R34" s="368">
        <v>0</v>
      </c>
      <c r="S34" s="364">
        <f>$L34*'MWh Impact Summary'!$L$13</f>
        <v>0</v>
      </c>
      <c r="T34" s="364">
        <f>$L34*'MWh Impact Summary'!$M$13</f>
        <v>0</v>
      </c>
      <c r="U34" s="368">
        <v>0</v>
      </c>
      <c r="V34" s="368">
        <v>0</v>
      </c>
      <c r="W34" s="368">
        <v>0</v>
      </c>
      <c r="X34" s="368">
        <f t="shared" si="1"/>
        <v>18798.44756376767</v>
      </c>
      <c r="Y34" s="364">
        <f t="shared" si="2"/>
        <v>148615.9741019058</v>
      </c>
      <c r="Z34" s="364"/>
      <c r="AA34" s="364">
        <v>4497400</v>
      </c>
      <c r="AB34" s="369">
        <f t="shared" si="12"/>
        <v>33.044864611087696</v>
      </c>
      <c r="AC34" s="370">
        <f t="shared" si="3"/>
        <v>28.865016795957249</v>
      </c>
      <c r="AD34" s="371">
        <f t="shared" si="4"/>
        <v>9.6216722653190835E-4</v>
      </c>
      <c r="AE34" s="370">
        <f t="shared" si="13"/>
        <v>4.1798478151304463</v>
      </c>
      <c r="AF34" s="371">
        <f t="shared" si="5"/>
        <v>1.3932826050434821E-4</v>
      </c>
      <c r="AG34" s="372">
        <f t="shared" si="14"/>
        <v>1.1014954870362565E-3</v>
      </c>
      <c r="AH34" s="373">
        <f t="shared" si="6"/>
        <v>1.1014954870362565E-3</v>
      </c>
      <c r="AI34" s="374" t="b">
        <f t="shared" si="15"/>
        <v>1</v>
      </c>
      <c r="AJ34" s="375">
        <f t="shared" si="18"/>
        <v>5.5204367309472427E-4</v>
      </c>
      <c r="AL34" s="376">
        <f t="shared" si="8"/>
        <v>0</v>
      </c>
      <c r="AM34" s="377"/>
      <c r="AN34" s="383"/>
      <c r="AO34" s="379"/>
      <c r="AQ34" s="380">
        <f t="shared" si="9"/>
        <v>1.1014954870362565E-3</v>
      </c>
      <c r="AR34" s="381">
        <v>144692.84347818667</v>
      </c>
      <c r="AT34" s="382">
        <v>33.044864611087696</v>
      </c>
    </row>
    <row r="35" spans="1:46">
      <c r="A35" s="361">
        <v>2007</v>
      </c>
      <c r="B35" s="361">
        <v>7</v>
      </c>
      <c r="C35" s="362">
        <f t="shared" si="17"/>
        <v>322.31916585708109</v>
      </c>
      <c r="D35" s="363">
        <f t="shared" si="19"/>
        <v>0.16392960109808263</v>
      </c>
      <c r="E35" s="365">
        <v>69467.612067040012</v>
      </c>
      <c r="F35" s="368">
        <v>0</v>
      </c>
      <c r="G35" s="368">
        <v>56727.31998949121</v>
      </c>
      <c r="H35" s="368">
        <v>0</v>
      </c>
      <c r="I35" s="368">
        <v>27829.126831289443</v>
      </c>
      <c r="J35" s="365">
        <f t="shared" si="10"/>
        <v>154024.05888782066</v>
      </c>
      <c r="K35" s="366">
        <v>31</v>
      </c>
      <c r="L35" s="367">
        <f t="shared" si="11"/>
        <v>0.16392960109808263</v>
      </c>
      <c r="M35" s="368">
        <v>21855.262938536842</v>
      </c>
      <c r="N35" s="368">
        <v>0</v>
      </c>
      <c r="O35" s="368">
        <v>0</v>
      </c>
      <c r="P35" s="368">
        <v>448.45268271818298</v>
      </c>
      <c r="Q35" s="368">
        <v>0</v>
      </c>
      <c r="R35" s="368">
        <v>0</v>
      </c>
      <c r="S35" s="364">
        <f>$L35*'MWh Impact Summary'!$L$13</f>
        <v>0</v>
      </c>
      <c r="T35" s="364">
        <f>$L35*'MWh Impact Summary'!$M$13</f>
        <v>0</v>
      </c>
      <c r="U35" s="368">
        <v>0</v>
      </c>
      <c r="V35" s="368">
        <v>0</v>
      </c>
      <c r="W35" s="368">
        <v>0</v>
      </c>
      <c r="X35" s="368">
        <f t="shared" si="1"/>
        <v>22303.715621255025</v>
      </c>
      <c r="Y35" s="364">
        <f t="shared" si="2"/>
        <v>176327.77450907568</v>
      </c>
      <c r="Z35" s="364"/>
      <c r="AA35" s="364">
        <v>4502735</v>
      </c>
      <c r="AB35" s="369">
        <f t="shared" si="12"/>
        <v>39.160149222433844</v>
      </c>
      <c r="AC35" s="370">
        <f t="shared" si="3"/>
        <v>34.206778521902947</v>
      </c>
      <c r="AD35" s="371">
        <f t="shared" si="4"/>
        <v>1.1034444684484821E-3</v>
      </c>
      <c r="AE35" s="370">
        <f t="shared" si="13"/>
        <v>4.9533707005309049</v>
      </c>
      <c r="AF35" s="371">
        <f t="shared" si="5"/>
        <v>1.5978615163002918E-4</v>
      </c>
      <c r="AG35" s="372">
        <f t="shared" si="14"/>
        <v>1.2632306200785113E-3</v>
      </c>
      <c r="AH35" s="373">
        <f t="shared" si="6"/>
        <v>1.2632306200785111E-3</v>
      </c>
      <c r="AI35" s="374" t="b">
        <f t="shared" si="15"/>
        <v>1</v>
      </c>
      <c r="AJ35" s="375">
        <f t="shared" si="18"/>
        <v>6.3276593732688958E-4</v>
      </c>
      <c r="AL35" s="376">
        <f t="shared" si="8"/>
        <v>0</v>
      </c>
      <c r="AM35" s="377"/>
      <c r="AN35" s="383"/>
      <c r="AO35" s="379"/>
      <c r="AQ35" s="380">
        <f t="shared" si="9"/>
        <v>1.2632306200785111E-3</v>
      </c>
      <c r="AR35" s="381">
        <v>160999.38431175053</v>
      </c>
      <c r="AT35" s="382">
        <v>39.160149222433844</v>
      </c>
    </row>
    <row r="36" spans="1:46">
      <c r="A36" s="361">
        <v>2007</v>
      </c>
      <c r="B36" s="361">
        <v>8</v>
      </c>
      <c r="C36" s="362">
        <f t="shared" si="17"/>
        <v>326.45437890907908</v>
      </c>
      <c r="D36" s="363">
        <f t="shared" si="19"/>
        <v>0.16603274573816959</v>
      </c>
      <c r="E36" s="365">
        <v>70358.850958611642</v>
      </c>
      <c r="F36" s="368">
        <v>0</v>
      </c>
      <c r="G36" s="368">
        <v>57455.106540444947</v>
      </c>
      <c r="H36" s="368">
        <v>0</v>
      </c>
      <c r="I36" s="368">
        <v>28186.162281516077</v>
      </c>
      <c r="J36" s="365">
        <f t="shared" si="10"/>
        <v>156000.11978057266</v>
      </c>
      <c r="K36" s="366">
        <v>31</v>
      </c>
      <c r="L36" s="367">
        <f t="shared" si="11"/>
        <v>0.16603274573816959</v>
      </c>
      <c r="M36" s="368">
        <v>22135.656343992476</v>
      </c>
      <c r="N36" s="368">
        <v>0</v>
      </c>
      <c r="O36" s="368">
        <v>0</v>
      </c>
      <c r="P36" s="368">
        <v>454.20613328277659</v>
      </c>
      <c r="Q36" s="368">
        <v>0</v>
      </c>
      <c r="R36" s="368">
        <v>0</v>
      </c>
      <c r="S36" s="364">
        <f>$L36*'MWh Impact Summary'!$L$13</f>
        <v>0</v>
      </c>
      <c r="T36" s="364">
        <f>$L36*'MWh Impact Summary'!$M$13</f>
        <v>0</v>
      </c>
      <c r="U36" s="368">
        <v>0</v>
      </c>
      <c r="V36" s="368">
        <v>0</v>
      </c>
      <c r="W36" s="368">
        <v>0</v>
      </c>
      <c r="X36" s="368">
        <f t="shared" si="1"/>
        <v>22589.862477275252</v>
      </c>
      <c r="Y36" s="364">
        <f t="shared" si="2"/>
        <v>178589.98225784791</v>
      </c>
      <c r="Z36" s="364"/>
      <c r="AA36" s="364">
        <v>4508215</v>
      </c>
      <c r="AB36" s="369">
        <f t="shared" si="12"/>
        <v>39.614344537216596</v>
      </c>
      <c r="AC36" s="370">
        <f t="shared" si="3"/>
        <v>34.603522631589811</v>
      </c>
      <c r="AD36" s="371">
        <f t="shared" si="4"/>
        <v>1.1162426655351551E-3</v>
      </c>
      <c r="AE36" s="370">
        <f t="shared" si="13"/>
        <v>5.0108219056267842</v>
      </c>
      <c r="AF36" s="371">
        <f t="shared" si="5"/>
        <v>1.6163941631054142E-4</v>
      </c>
      <c r="AG36" s="372">
        <f t="shared" si="14"/>
        <v>1.2778820818456966E-3</v>
      </c>
      <c r="AH36" s="373">
        <f t="shared" si="6"/>
        <v>1.2778820818456966E-3</v>
      </c>
      <c r="AI36" s="374" t="b">
        <f t="shared" si="15"/>
        <v>1</v>
      </c>
      <c r="AJ36" s="375">
        <f t="shared" si="18"/>
        <v>6.4072011513106376E-4</v>
      </c>
      <c r="AL36" s="376">
        <f t="shared" si="8"/>
        <v>0</v>
      </c>
      <c r="AM36" s="377"/>
      <c r="AN36" s="383"/>
      <c r="AO36" s="379"/>
      <c r="AQ36" s="380">
        <f t="shared" si="9"/>
        <v>1.2778820818456966E-3</v>
      </c>
      <c r="AR36" s="381">
        <v>168022.38742171641</v>
      </c>
      <c r="AT36" s="382">
        <v>39.614344537216596</v>
      </c>
    </row>
    <row r="37" spans="1:46">
      <c r="A37" s="361">
        <v>2007</v>
      </c>
      <c r="B37" s="361">
        <v>9</v>
      </c>
      <c r="C37" s="362">
        <f t="shared" si="17"/>
        <v>277.87653293728147</v>
      </c>
      <c r="D37" s="363">
        <f t="shared" si="19"/>
        <v>0.14132634365008559</v>
      </c>
      <c r="E37" s="365">
        <v>59889.144790044629</v>
      </c>
      <c r="F37" s="368">
        <v>0</v>
      </c>
      <c r="G37" s="368">
        <v>48905.534238361382</v>
      </c>
      <c r="H37" s="368">
        <v>0</v>
      </c>
      <c r="I37" s="368">
        <v>23991.937488382202</v>
      </c>
      <c r="J37" s="365">
        <f t="shared" si="10"/>
        <v>132786.6165167882</v>
      </c>
      <c r="K37" s="366">
        <v>30</v>
      </c>
      <c r="L37" s="367">
        <f t="shared" si="11"/>
        <v>0.14132634365008559</v>
      </c>
      <c r="M37" s="368">
        <v>18841.773419350826</v>
      </c>
      <c r="N37" s="368">
        <v>0</v>
      </c>
      <c r="O37" s="368">
        <v>0</v>
      </c>
      <c r="P37" s="368">
        <v>386.61826493869273</v>
      </c>
      <c r="Q37" s="368">
        <v>0</v>
      </c>
      <c r="R37" s="368">
        <v>0</v>
      </c>
      <c r="S37" s="364">
        <f>$L37*'MWh Impact Summary'!$L$13</f>
        <v>0</v>
      </c>
      <c r="T37" s="364">
        <f>$L37*'MWh Impact Summary'!$M$13</f>
        <v>0</v>
      </c>
      <c r="U37" s="368">
        <v>0</v>
      </c>
      <c r="V37" s="368">
        <v>0</v>
      </c>
      <c r="W37" s="368">
        <v>0</v>
      </c>
      <c r="X37" s="368">
        <f t="shared" si="1"/>
        <v>19228.39168428952</v>
      </c>
      <c r="Y37" s="364">
        <f t="shared" si="2"/>
        <v>152015.00820107773</v>
      </c>
      <c r="Z37" s="364"/>
      <c r="AA37" s="364">
        <v>4507674</v>
      </c>
      <c r="AB37" s="369">
        <f t="shared" si="12"/>
        <v>33.723602949343217</v>
      </c>
      <c r="AC37" s="370">
        <f t="shared" si="3"/>
        <v>29.457901462436769</v>
      </c>
      <c r="AD37" s="371">
        <f t="shared" si="4"/>
        <v>9.8193004874789244E-4</v>
      </c>
      <c r="AE37" s="370">
        <f t="shared" si="13"/>
        <v>4.265701486906444</v>
      </c>
      <c r="AF37" s="371">
        <f t="shared" si="5"/>
        <v>1.4219004956354814E-4</v>
      </c>
      <c r="AG37" s="372">
        <f t="shared" si="14"/>
        <v>1.1241200983114405E-3</v>
      </c>
      <c r="AH37" s="373">
        <f t="shared" si="6"/>
        <v>1.1241200983114405E-3</v>
      </c>
      <c r="AI37" s="374" t="b">
        <f t="shared" si="15"/>
        <v>1</v>
      </c>
      <c r="AJ37" s="375">
        <f t="shared" si="18"/>
        <v>5.6484414339831709E-4</v>
      </c>
      <c r="AL37" s="376">
        <f t="shared" si="8"/>
        <v>0</v>
      </c>
      <c r="AM37" s="377"/>
      <c r="AN37" s="383"/>
      <c r="AO37" s="379"/>
      <c r="AQ37" s="380">
        <f t="shared" si="9"/>
        <v>1.1241200983114405E-3</v>
      </c>
      <c r="AR37" s="381">
        <v>152906.03362448115</v>
      </c>
      <c r="AT37" s="382">
        <v>33.723602949343217</v>
      </c>
    </row>
    <row r="38" spans="1:46">
      <c r="A38" s="361">
        <v>2007</v>
      </c>
      <c r="B38" s="361">
        <v>10</v>
      </c>
      <c r="C38" s="362">
        <f t="shared" si="17"/>
        <v>198.89039579254836</v>
      </c>
      <c r="D38" s="363">
        <f t="shared" si="19"/>
        <v>0.10115446643644242</v>
      </c>
      <c r="E38" s="365">
        <v>42865.713002319942</v>
      </c>
      <c r="F38" s="368">
        <v>0</v>
      </c>
      <c r="G38" s="368">
        <v>35004.183182712775</v>
      </c>
      <c r="H38" s="368">
        <v>0</v>
      </c>
      <c r="I38" s="368">
        <v>17172.252339752034</v>
      </c>
      <c r="J38" s="365">
        <f t="shared" si="10"/>
        <v>95042.148524784745</v>
      </c>
      <c r="K38" s="366">
        <v>31</v>
      </c>
      <c r="L38" s="367">
        <f t="shared" si="11"/>
        <v>0.10115446643644242</v>
      </c>
      <c r="M38" s="368">
        <v>13486.017452413033</v>
      </c>
      <c r="N38" s="368">
        <v>0</v>
      </c>
      <c r="O38" s="368">
        <v>0</v>
      </c>
      <c r="P38" s="368">
        <v>276.72239509206969</v>
      </c>
      <c r="Q38" s="368">
        <v>0</v>
      </c>
      <c r="R38" s="368">
        <v>0</v>
      </c>
      <c r="S38" s="364">
        <f>$L38*'MWh Impact Summary'!$L$13</f>
        <v>0</v>
      </c>
      <c r="T38" s="364">
        <f>$L38*'MWh Impact Summary'!$M$13</f>
        <v>0</v>
      </c>
      <c r="U38" s="368">
        <v>0</v>
      </c>
      <c r="V38" s="368">
        <v>0</v>
      </c>
      <c r="W38" s="368">
        <v>0</v>
      </c>
      <c r="X38" s="368">
        <f t="shared" si="1"/>
        <v>13762.739847505101</v>
      </c>
      <c r="Y38" s="364">
        <f t="shared" si="2"/>
        <v>108804.88837228985</v>
      </c>
      <c r="Z38" s="364"/>
      <c r="AA38" s="364">
        <v>4507737</v>
      </c>
      <c r="AB38" s="369">
        <f t="shared" si="12"/>
        <v>24.137363908384597</v>
      </c>
      <c r="AC38" s="370">
        <f t="shared" si="3"/>
        <v>21.08422663628884</v>
      </c>
      <c r="AD38" s="371">
        <f t="shared" si="4"/>
        <v>6.8013634310609163E-4</v>
      </c>
      <c r="AE38" s="370">
        <f t="shared" si="13"/>
        <v>3.0531372720957548</v>
      </c>
      <c r="AF38" s="371">
        <f t="shared" si="5"/>
        <v>9.8488299099863064E-5</v>
      </c>
      <c r="AG38" s="372">
        <f t="shared" si="14"/>
        <v>7.7862464220595465E-4</v>
      </c>
      <c r="AH38" s="373">
        <f t="shared" si="6"/>
        <v>7.7862464220595476E-4</v>
      </c>
      <c r="AI38" s="374" t="b">
        <f t="shared" si="15"/>
        <v>1</v>
      </c>
      <c r="AJ38" s="375">
        <f t="shared" si="18"/>
        <v>3.9165112860619668E-4</v>
      </c>
      <c r="AL38" s="376">
        <f t="shared" si="8"/>
        <v>0</v>
      </c>
      <c r="AM38" s="377"/>
      <c r="AN38" s="383"/>
      <c r="AO38" s="379"/>
      <c r="AQ38" s="380">
        <f t="shared" si="9"/>
        <v>7.7862464220595476E-4</v>
      </c>
      <c r="AR38" s="381">
        <v>106144.52831218758</v>
      </c>
      <c r="AT38" s="382">
        <v>24.137363908384597</v>
      </c>
    </row>
    <row r="39" spans="1:46">
      <c r="A39" s="361">
        <v>2007</v>
      </c>
      <c r="B39" s="361">
        <v>11</v>
      </c>
      <c r="C39" s="362">
        <f t="shared" si="17"/>
        <v>78.117279066674627</v>
      </c>
      <c r="D39" s="363">
        <f t="shared" si="19"/>
        <v>3.9729981188725644E-2</v>
      </c>
      <c r="E39" s="365">
        <v>16836.171760082882</v>
      </c>
      <c r="F39" s="368">
        <v>0</v>
      </c>
      <c r="G39" s="368">
        <v>13748.434333838361</v>
      </c>
      <c r="H39" s="368">
        <v>0</v>
      </c>
      <c r="I39" s="368">
        <v>6744.6676994245527</v>
      </c>
      <c r="J39" s="365">
        <f t="shared" si="10"/>
        <v>37329.27379334579</v>
      </c>
      <c r="K39" s="366">
        <v>30</v>
      </c>
      <c r="L39" s="367">
        <f t="shared" si="11"/>
        <v>3.9729981188725644E-2</v>
      </c>
      <c r="M39" s="368">
        <v>5296.8419346252986</v>
      </c>
      <c r="N39" s="368">
        <v>0</v>
      </c>
      <c r="O39" s="368">
        <v>0</v>
      </c>
      <c r="P39" s="368">
        <v>108.68700057268273</v>
      </c>
      <c r="Q39" s="368">
        <v>0</v>
      </c>
      <c r="R39" s="368">
        <v>0</v>
      </c>
      <c r="S39" s="364">
        <f>$L39*'MWh Impact Summary'!$L$13</f>
        <v>0</v>
      </c>
      <c r="T39" s="364">
        <f>$L39*'MWh Impact Summary'!$M$13</f>
        <v>0</v>
      </c>
      <c r="U39" s="368">
        <v>0</v>
      </c>
      <c r="V39" s="368">
        <v>0</v>
      </c>
      <c r="W39" s="368">
        <v>0</v>
      </c>
      <c r="X39" s="368">
        <f t="shared" si="1"/>
        <v>5405.5289351979809</v>
      </c>
      <c r="Y39" s="364">
        <f t="shared" si="2"/>
        <v>42734.802728543771</v>
      </c>
      <c r="Z39" s="364"/>
      <c r="AA39" s="364">
        <v>4507950</v>
      </c>
      <c r="AB39" s="369">
        <f t="shared" si="12"/>
        <v>9.4798750493114987</v>
      </c>
      <c r="AC39" s="370">
        <f t="shared" si="3"/>
        <v>8.2807648251080401</v>
      </c>
      <c r="AD39" s="371">
        <f t="shared" si="4"/>
        <v>2.7602549417026802E-4</v>
      </c>
      <c r="AE39" s="370">
        <f t="shared" si="13"/>
        <v>1.1991102242034586</v>
      </c>
      <c r="AF39" s="371">
        <f t="shared" si="5"/>
        <v>3.9970340806781957E-5</v>
      </c>
      <c r="AG39" s="372">
        <f t="shared" si="14"/>
        <v>3.1599583497704997E-4</v>
      </c>
      <c r="AH39" s="373">
        <f t="shared" si="6"/>
        <v>3.1599583497704997E-4</v>
      </c>
      <c r="AI39" s="374" t="b">
        <f t="shared" si="15"/>
        <v>1</v>
      </c>
      <c r="AJ39" s="375">
        <f t="shared" si="18"/>
        <v>1.5941475755713343E-4</v>
      </c>
      <c r="AL39" s="376">
        <f t="shared" si="8"/>
        <v>0</v>
      </c>
      <c r="AM39" s="377"/>
      <c r="AN39" s="383"/>
      <c r="AO39" s="379"/>
      <c r="AQ39" s="380">
        <f t="shared" si="9"/>
        <v>3.1599583497704997E-4</v>
      </c>
      <c r="AR39" s="381">
        <v>55297.667493486748</v>
      </c>
      <c r="AT39" s="382">
        <v>9.4798750493114987</v>
      </c>
    </row>
    <row r="40" spans="1:46">
      <c r="A40" s="361">
        <v>2007</v>
      </c>
      <c r="B40" s="361">
        <v>12</v>
      </c>
      <c r="C40" s="362">
        <f t="shared" si="17"/>
        <v>42.633806123140985</v>
      </c>
      <c r="D40" s="363">
        <f t="shared" si="19"/>
        <v>2.1683298951445065E-2</v>
      </c>
      <c r="E40" s="365">
        <v>9188.621150803614</v>
      </c>
      <c r="F40" s="368">
        <v>0</v>
      </c>
      <c r="G40" s="368">
        <v>7503.4370230088371</v>
      </c>
      <c r="H40" s="368">
        <v>0</v>
      </c>
      <c r="I40" s="368">
        <v>3681.0147319243856</v>
      </c>
      <c r="J40" s="365">
        <f t="shared" si="10"/>
        <v>20373.072905736837</v>
      </c>
      <c r="K40" s="366">
        <v>31</v>
      </c>
      <c r="L40" s="367">
        <f t="shared" si="11"/>
        <v>2.1683298951445065E-2</v>
      </c>
      <c r="M40" s="368">
        <v>2890.839706705508</v>
      </c>
      <c r="N40" s="368">
        <v>0</v>
      </c>
      <c r="O40" s="368">
        <v>0</v>
      </c>
      <c r="P40" s="368">
        <v>59.317740785191468</v>
      </c>
      <c r="Q40" s="368">
        <v>0</v>
      </c>
      <c r="R40" s="368">
        <v>0</v>
      </c>
      <c r="S40" s="364">
        <f>$L40*'MWh Impact Summary'!$L$13</f>
        <v>0</v>
      </c>
      <c r="T40" s="364">
        <f>$L40*'MWh Impact Summary'!$M$13</f>
        <v>0</v>
      </c>
      <c r="U40" s="368">
        <v>0</v>
      </c>
      <c r="V40" s="368">
        <v>0</v>
      </c>
      <c r="W40" s="368">
        <v>0</v>
      </c>
      <c r="X40" s="368">
        <f t="shared" si="1"/>
        <v>2950.1574474906993</v>
      </c>
      <c r="Y40" s="364">
        <f t="shared" si="2"/>
        <v>23323.230353227536</v>
      </c>
      <c r="Z40" s="364">
        <f>SUM(Y29:Y40)</f>
        <v>1075631.083879567</v>
      </c>
      <c r="AA40" s="364">
        <v>4509032</v>
      </c>
      <c r="AB40" s="369">
        <f t="shared" si="12"/>
        <v>5.172558179500065</v>
      </c>
      <c r="AC40" s="370">
        <f t="shared" si="3"/>
        <v>4.5182808429252308</v>
      </c>
      <c r="AD40" s="371">
        <f t="shared" si="4"/>
        <v>1.4575099493307196E-4</v>
      </c>
      <c r="AE40" s="370">
        <f t="shared" si="13"/>
        <v>0.65427733657483444</v>
      </c>
      <c r="AF40" s="371">
        <f t="shared" si="5"/>
        <v>2.110572053467208E-5</v>
      </c>
      <c r="AG40" s="372">
        <f t="shared" si="14"/>
        <v>1.6685671546774403E-4</v>
      </c>
      <c r="AH40" s="373">
        <f t="shared" si="6"/>
        <v>1.6685671546774403E-4</v>
      </c>
      <c r="AI40" s="374" t="b">
        <f t="shared" si="15"/>
        <v>1</v>
      </c>
      <c r="AJ40" s="375">
        <f t="shared" si="18"/>
        <v>8.4411646759784904E-5</v>
      </c>
      <c r="AL40" s="376">
        <f t="shared" si="8"/>
        <v>0</v>
      </c>
      <c r="AM40" s="377">
        <f>SUM(AL29:AL40)</f>
        <v>0</v>
      </c>
      <c r="AN40" s="383"/>
      <c r="AO40" s="379"/>
      <c r="AQ40" s="380">
        <f t="shared" si="9"/>
        <v>1.6685671546774403E-4</v>
      </c>
      <c r="AR40" s="381">
        <v>30566.715612419801</v>
      </c>
      <c r="AT40" s="382">
        <v>5.172558179500065</v>
      </c>
    </row>
    <row r="41" spans="1:46">
      <c r="A41" s="361">
        <v>2008</v>
      </c>
      <c r="B41" s="361">
        <v>1</v>
      </c>
      <c r="C41" s="362">
        <f t="shared" si="17"/>
        <v>26.112829868525239</v>
      </c>
      <c r="D41" s="363">
        <f t="shared" ref="D41:D52" si="20">C41/(SUM(C$41:C$52))</f>
        <v>1.3280829182176284E-2</v>
      </c>
      <c r="E41" s="365">
        <v>7662.515265473231</v>
      </c>
      <c r="F41" s="368">
        <v>0</v>
      </c>
      <c r="G41" s="368">
        <v>6134.3656072710173</v>
      </c>
      <c r="H41" s="368">
        <v>0</v>
      </c>
      <c r="I41" s="368">
        <v>2913.664946357575</v>
      </c>
      <c r="J41" s="365">
        <f t="shared" si="10"/>
        <v>16710.545819101822</v>
      </c>
      <c r="K41" s="366">
        <v>31</v>
      </c>
      <c r="L41" s="367">
        <f t="shared" si="11"/>
        <v>1.3280829182176284E-2</v>
      </c>
      <c r="M41" s="368">
        <v>3004.3183060961919</v>
      </c>
      <c r="N41" s="368">
        <v>0</v>
      </c>
      <c r="O41" s="368">
        <v>0</v>
      </c>
      <c r="P41" s="368">
        <v>54.49738883862765</v>
      </c>
      <c r="Q41" s="368">
        <v>0</v>
      </c>
      <c r="R41" s="368">
        <v>0</v>
      </c>
      <c r="S41" s="364">
        <f>$L41*'MWh Impact Summary'!$L$14</f>
        <v>0</v>
      </c>
      <c r="T41" s="364">
        <f>$L41*'MWh Impact Summary'!$M$14</f>
        <v>0</v>
      </c>
      <c r="U41" s="368">
        <v>0</v>
      </c>
      <c r="V41" s="368">
        <v>20247.749439536241</v>
      </c>
      <c r="W41" s="368">
        <v>0</v>
      </c>
      <c r="X41" s="368">
        <f t="shared" si="1"/>
        <v>23306.56513447106</v>
      </c>
      <c r="Y41" s="364">
        <f t="shared" si="2"/>
        <v>40017.110953572883</v>
      </c>
      <c r="Z41" s="364"/>
      <c r="AA41" s="364">
        <v>4512537</v>
      </c>
      <c r="AB41" s="369">
        <f t="shared" si="12"/>
        <v>8.8679851164816785</v>
      </c>
      <c r="AC41" s="370">
        <f t="shared" si="3"/>
        <v>3.7031376848770043</v>
      </c>
      <c r="AD41" s="371">
        <f t="shared" si="4"/>
        <v>1.194560543508711E-4</v>
      </c>
      <c r="AE41" s="370">
        <f t="shared" si="13"/>
        <v>5.1648474316046737</v>
      </c>
      <c r="AF41" s="371">
        <f t="shared" si="5"/>
        <v>1.6660798166466689E-4</v>
      </c>
      <c r="AG41" s="372">
        <f t="shared" si="14"/>
        <v>2.8606403601553798E-4</v>
      </c>
      <c r="AH41" s="373">
        <f t="shared" si="6"/>
        <v>2.8606403601553804E-4</v>
      </c>
      <c r="AI41" s="374" t="b">
        <f t="shared" si="15"/>
        <v>1</v>
      </c>
      <c r="AJ41" s="375">
        <f t="shared" si="18"/>
        <v>1.8287485045728947E-4</v>
      </c>
      <c r="AL41" s="376">
        <f t="shared" si="8"/>
        <v>20247.749439536241</v>
      </c>
      <c r="AM41" s="384"/>
      <c r="AN41" s="383">
        <f>+AL41*1000/AA41</f>
        <v>4.4869990959711226</v>
      </c>
      <c r="AO41" s="379">
        <f t="shared" ref="AO41:AO104" si="21">+AN41/K41/1000</f>
        <v>1.4474190632164912E-4</v>
      </c>
      <c r="AP41" s="385"/>
      <c r="AQ41" s="380">
        <f t="shared" si="9"/>
        <v>2.8606403601553804E-4</v>
      </c>
      <c r="AR41" s="381">
        <v>166053.03297524751</v>
      </c>
      <c r="AT41" s="382">
        <v>8.8679851164816785</v>
      </c>
    </row>
    <row r="42" spans="1:46">
      <c r="A42" s="361">
        <v>2008</v>
      </c>
      <c r="B42" s="361">
        <v>2</v>
      </c>
      <c r="C42" s="362">
        <f t="shared" si="17"/>
        <v>35.042184420393127</v>
      </c>
      <c r="D42" s="363">
        <f t="shared" si="20"/>
        <v>1.7822245532205266E-2</v>
      </c>
      <c r="E42" s="365">
        <v>10282.733599104751</v>
      </c>
      <c r="F42" s="368">
        <v>0</v>
      </c>
      <c r="G42" s="368">
        <v>8232.0289296262381</v>
      </c>
      <c r="H42" s="368">
        <v>0</v>
      </c>
      <c r="I42" s="368">
        <v>3910.0007507253486</v>
      </c>
      <c r="J42" s="365">
        <f t="shared" si="10"/>
        <v>22424.76327945634</v>
      </c>
      <c r="K42" s="366">
        <v>29</v>
      </c>
      <c r="L42" s="367">
        <f t="shared" si="11"/>
        <v>1.7822245532205266E-2</v>
      </c>
      <c r="M42" s="368">
        <v>4031.6532780953462</v>
      </c>
      <c r="N42" s="368">
        <v>0</v>
      </c>
      <c r="O42" s="368">
        <v>0</v>
      </c>
      <c r="P42" s="368">
        <v>73.132922005320665</v>
      </c>
      <c r="Q42" s="368">
        <v>0</v>
      </c>
      <c r="R42" s="368">
        <v>0</v>
      </c>
      <c r="S42" s="364">
        <f>$L42*'MWh Impact Summary'!$L$14</f>
        <v>0</v>
      </c>
      <c r="T42" s="364">
        <f>$L42*'MWh Impact Summary'!$M$14</f>
        <v>0</v>
      </c>
      <c r="U42" s="368">
        <v>0</v>
      </c>
      <c r="V42" s="368">
        <v>27171.52348215456</v>
      </c>
      <c r="W42" s="368">
        <v>0</v>
      </c>
      <c r="X42" s="368">
        <f t="shared" si="1"/>
        <v>31276.309682255225</v>
      </c>
      <c r="Y42" s="364">
        <f t="shared" si="2"/>
        <v>53701.072961711565</v>
      </c>
      <c r="Z42" s="364"/>
      <c r="AA42" s="364">
        <v>4519123</v>
      </c>
      <c r="AB42" s="369">
        <f t="shared" si="12"/>
        <v>11.883073986194127</v>
      </c>
      <c r="AC42" s="370">
        <f t="shared" si="3"/>
        <v>4.9621936113392664</v>
      </c>
      <c r="AD42" s="371">
        <f t="shared" si="4"/>
        <v>1.7111012452894023E-4</v>
      </c>
      <c r="AE42" s="370">
        <f t="shared" si="13"/>
        <v>6.9208803748548613</v>
      </c>
      <c r="AF42" s="371">
        <f t="shared" si="5"/>
        <v>2.3865104740878831E-4</v>
      </c>
      <c r="AG42" s="372">
        <f t="shared" si="14"/>
        <v>4.0976117193772851E-4</v>
      </c>
      <c r="AH42" s="373">
        <f t="shared" si="6"/>
        <v>4.0976117193772851E-4</v>
      </c>
      <c r="AI42" s="374" t="b">
        <f t="shared" si="15"/>
        <v>1</v>
      </c>
      <c r="AJ42" s="375">
        <f t="shared" si="18"/>
        <v>2.5682977797163316E-4</v>
      </c>
      <c r="AL42" s="376">
        <f t="shared" si="8"/>
        <v>27171.52348215456</v>
      </c>
      <c r="AM42" s="384"/>
      <c r="AN42" s="383">
        <f>+AL42*1000/AA42</f>
        <v>6.0125655978282868</v>
      </c>
      <c r="AO42" s="379">
        <f t="shared" si="21"/>
        <v>2.0732984820097541E-4</v>
      </c>
      <c r="AP42" s="385"/>
      <c r="AQ42" s="380">
        <f t="shared" si="9"/>
        <v>4.0976117193772851E-4</v>
      </c>
      <c r="AR42" s="381">
        <v>159234.2562554724</v>
      </c>
      <c r="AT42" s="382">
        <v>11.883073986194127</v>
      </c>
    </row>
    <row r="43" spans="1:46">
      <c r="A43" s="361">
        <v>2008</v>
      </c>
      <c r="B43" s="361">
        <v>3</v>
      </c>
      <c r="C43" s="362">
        <f t="shared" si="17"/>
        <v>64.582270600115152</v>
      </c>
      <c r="D43" s="363">
        <f t="shared" si="20"/>
        <v>3.2846156787895278E-2</v>
      </c>
      <c r="E43" s="365">
        <v>18950.938555640103</v>
      </c>
      <c r="F43" s="368">
        <v>0</v>
      </c>
      <c r="G43" s="368">
        <v>15171.517664055877</v>
      </c>
      <c r="H43" s="368">
        <v>0</v>
      </c>
      <c r="I43" s="368">
        <v>7206.0783511841628</v>
      </c>
      <c r="J43" s="365">
        <f t="shared" si="10"/>
        <v>41328.534570880147</v>
      </c>
      <c r="K43" s="366">
        <v>31</v>
      </c>
      <c r="L43" s="367">
        <f t="shared" si="11"/>
        <v>3.2846156787895278E-2</v>
      </c>
      <c r="M43" s="368">
        <v>7430.2823091207829</v>
      </c>
      <c r="N43" s="368">
        <v>0</v>
      </c>
      <c r="O43" s="368">
        <v>0</v>
      </c>
      <c r="P43" s="368">
        <v>134.78298333411226</v>
      </c>
      <c r="Q43" s="368">
        <v>0</v>
      </c>
      <c r="R43" s="368">
        <v>0</v>
      </c>
      <c r="S43" s="364">
        <f>$L43*'MWh Impact Summary'!$L$14</f>
        <v>0</v>
      </c>
      <c r="T43" s="364">
        <f>$L43*'MWh Impact Summary'!$M$14</f>
        <v>0</v>
      </c>
      <c r="U43" s="368">
        <v>0</v>
      </c>
      <c r="V43" s="368">
        <v>50076.749242854494</v>
      </c>
      <c r="W43" s="368">
        <v>0</v>
      </c>
      <c r="X43" s="368">
        <f t="shared" si="1"/>
        <v>57641.814535309386</v>
      </c>
      <c r="Y43" s="364">
        <f t="shared" si="2"/>
        <v>98970.349106189533</v>
      </c>
      <c r="Z43" s="364"/>
      <c r="AA43" s="364">
        <v>4519652</v>
      </c>
      <c r="AB43" s="369">
        <f t="shared" si="12"/>
        <v>21.89778087033903</v>
      </c>
      <c r="AC43" s="370">
        <f t="shared" si="3"/>
        <v>9.1441851210845755</v>
      </c>
      <c r="AD43" s="371">
        <f t="shared" si="4"/>
        <v>2.9497371358337335E-4</v>
      </c>
      <c r="AE43" s="370">
        <f t="shared" si="13"/>
        <v>12.753595749254453</v>
      </c>
      <c r="AF43" s="371">
        <f t="shared" si="5"/>
        <v>4.1140631449207915E-4</v>
      </c>
      <c r="AG43" s="372">
        <f t="shared" si="14"/>
        <v>7.063800280754525E-4</v>
      </c>
      <c r="AH43" s="373">
        <f t="shared" si="6"/>
        <v>7.063800280754526E-4</v>
      </c>
      <c r="AI43" s="374" t="b">
        <f t="shared" si="15"/>
        <v>0</v>
      </c>
      <c r="AJ43" s="375">
        <f t="shared" si="18"/>
        <v>4.5246089172836857E-4</v>
      </c>
      <c r="AL43" s="376">
        <f t="shared" si="8"/>
        <v>50076.749242854494</v>
      </c>
      <c r="AM43" s="384"/>
      <c r="AN43" s="383">
        <f t="shared" ref="AN43:AN106" si="22">+AL43*1000/AA43</f>
        <v>11.079779868639109</v>
      </c>
      <c r="AO43" s="379">
        <f t="shared" si="21"/>
        <v>3.5741225382706802E-4</v>
      </c>
      <c r="AP43" s="385"/>
      <c r="AQ43" s="380">
        <f t="shared" si="9"/>
        <v>7.063800280754526E-4</v>
      </c>
      <c r="AR43" s="381">
        <v>187542.91902984036</v>
      </c>
      <c r="AT43" s="382">
        <v>21.89778087033903</v>
      </c>
    </row>
    <row r="44" spans="1:46">
      <c r="A44" s="361">
        <v>2008</v>
      </c>
      <c r="B44" s="361">
        <v>4</v>
      </c>
      <c r="C44" s="362">
        <f t="shared" si="17"/>
        <v>114.03392869270741</v>
      </c>
      <c r="D44" s="363">
        <f t="shared" si="20"/>
        <v>5.7996974497419709E-2</v>
      </c>
      <c r="E44" s="365">
        <v>33461.969606096347</v>
      </c>
      <c r="F44" s="368">
        <v>0</v>
      </c>
      <c r="G44" s="368">
        <v>26788.586827110008</v>
      </c>
      <c r="H44" s="368">
        <v>0</v>
      </c>
      <c r="I44" s="368">
        <v>12723.885630176839</v>
      </c>
      <c r="J44" s="365">
        <f t="shared" si="10"/>
        <v>72974.442063383191</v>
      </c>
      <c r="K44" s="366">
        <v>30</v>
      </c>
      <c r="L44" s="367">
        <f t="shared" si="11"/>
        <v>5.7996974497419709E-2</v>
      </c>
      <c r="M44" s="368">
        <v>13119.766077153903</v>
      </c>
      <c r="N44" s="368">
        <v>0</v>
      </c>
      <c r="O44" s="368">
        <v>0</v>
      </c>
      <c r="P44" s="368">
        <v>237.98842883181507</v>
      </c>
      <c r="Q44" s="368">
        <v>0</v>
      </c>
      <c r="R44" s="368">
        <v>0</v>
      </c>
      <c r="S44" s="364">
        <f>$L44*'MWh Impact Summary'!$L$14</f>
        <v>0</v>
      </c>
      <c r="T44" s="364">
        <f>$L44*'MWh Impact Summary'!$M$14</f>
        <v>0</v>
      </c>
      <c r="U44" s="368">
        <v>0</v>
      </c>
      <c r="V44" s="368">
        <v>88421.301996032271</v>
      </c>
      <c r="W44" s="368">
        <v>0</v>
      </c>
      <c r="X44" s="368">
        <f t="shared" si="1"/>
        <v>101779.05650201799</v>
      </c>
      <c r="Y44" s="364">
        <f t="shared" si="2"/>
        <v>174753.49856540118</v>
      </c>
      <c r="Z44" s="364"/>
      <c r="AA44" s="364">
        <v>4518324</v>
      </c>
      <c r="AB44" s="369">
        <f t="shared" si="12"/>
        <v>38.676619597311124</v>
      </c>
      <c r="AC44" s="370">
        <f t="shared" si="3"/>
        <v>16.150776717956301</v>
      </c>
      <c r="AD44" s="371">
        <f t="shared" si="4"/>
        <v>5.383592239318767E-4</v>
      </c>
      <c r="AE44" s="370">
        <f t="shared" si="13"/>
        <v>22.525842879354819</v>
      </c>
      <c r="AF44" s="371">
        <f t="shared" si="5"/>
        <v>7.5086142931182732E-4</v>
      </c>
      <c r="AG44" s="372">
        <f t="shared" si="14"/>
        <v>1.2892206532437041E-3</v>
      </c>
      <c r="AH44" s="373">
        <f t="shared" si="6"/>
        <v>1.2892206532437041E-3</v>
      </c>
      <c r="AI44" s="374" t="b">
        <f t="shared" si="15"/>
        <v>1</v>
      </c>
      <c r="AJ44" s="375">
        <f t="shared" si="18"/>
        <v>8.264337653266662E-4</v>
      </c>
      <c r="AL44" s="376">
        <f t="shared" si="8"/>
        <v>88421.301996032271</v>
      </c>
      <c r="AM44" s="384"/>
      <c r="AN44" s="383">
        <f t="shared" si="22"/>
        <v>19.569491252958457</v>
      </c>
      <c r="AO44" s="379">
        <f t="shared" si="21"/>
        <v>6.5231637509861526E-4</v>
      </c>
      <c r="AP44" s="385"/>
      <c r="AQ44" s="380">
        <f t="shared" si="9"/>
        <v>1.2892206532437041E-3</v>
      </c>
      <c r="AR44" s="381">
        <v>221381.67633899365</v>
      </c>
      <c r="AT44" s="382">
        <v>38.676619597311124</v>
      </c>
    </row>
    <row r="45" spans="1:46">
      <c r="A45" s="361">
        <v>2008</v>
      </c>
      <c r="B45" s="361">
        <v>5</v>
      </c>
      <c r="C45" s="362">
        <f t="shared" si="17"/>
        <v>208.47875842628665</v>
      </c>
      <c r="D45" s="363">
        <f t="shared" si="20"/>
        <v>0.10603105035770212</v>
      </c>
      <c r="E45" s="365">
        <v>61175.739167734529</v>
      </c>
      <c r="F45" s="368">
        <v>0</v>
      </c>
      <c r="G45" s="368">
        <v>48975.347826175785</v>
      </c>
      <c r="H45" s="368">
        <v>0</v>
      </c>
      <c r="I45" s="368">
        <v>23262.023057063874</v>
      </c>
      <c r="J45" s="365">
        <f t="shared" si="10"/>
        <v>133413.11005097418</v>
      </c>
      <c r="K45" s="366">
        <v>31</v>
      </c>
      <c r="L45" s="367">
        <f t="shared" si="11"/>
        <v>0.10603105035770212</v>
      </c>
      <c r="M45" s="368">
        <v>23985.778390385996</v>
      </c>
      <c r="N45" s="368">
        <v>0</v>
      </c>
      <c r="O45" s="368">
        <v>0</v>
      </c>
      <c r="P45" s="368">
        <v>435.09447347359924</v>
      </c>
      <c r="Q45" s="368">
        <v>0</v>
      </c>
      <c r="R45" s="368">
        <v>0</v>
      </c>
      <c r="S45" s="364">
        <f>$L45*'MWh Impact Summary'!$L$14</f>
        <v>0</v>
      </c>
      <c r="T45" s="364">
        <f>$L45*'MWh Impact Summary'!$M$14</f>
        <v>0</v>
      </c>
      <c r="U45" s="368">
        <v>0</v>
      </c>
      <c r="V45" s="368">
        <v>161653.32081334686</v>
      </c>
      <c r="W45" s="368">
        <v>0</v>
      </c>
      <c r="X45" s="368">
        <f t="shared" si="1"/>
        <v>186074.19367720647</v>
      </c>
      <c r="Y45" s="364">
        <f t="shared" si="2"/>
        <v>319487.30372818065</v>
      </c>
      <c r="Z45" s="364"/>
      <c r="AA45" s="364">
        <v>4514164</v>
      </c>
      <c r="AB45" s="369">
        <f t="shared" si="12"/>
        <v>70.774412211913585</v>
      </c>
      <c r="AC45" s="370">
        <f t="shared" si="3"/>
        <v>29.554333881306523</v>
      </c>
      <c r="AD45" s="371">
        <f t="shared" si="4"/>
        <v>9.5336560907440394E-4</v>
      </c>
      <c r="AE45" s="370">
        <f t="shared" si="13"/>
        <v>41.220078330607052</v>
      </c>
      <c r="AF45" s="371">
        <f t="shared" si="5"/>
        <v>1.3296799461486146E-3</v>
      </c>
      <c r="AG45" s="372">
        <f t="shared" si="14"/>
        <v>2.2830455552230186E-3</v>
      </c>
      <c r="AH45" s="373">
        <f t="shared" si="6"/>
        <v>2.2830455552230186E-3</v>
      </c>
      <c r="AI45" s="374" t="b">
        <f t="shared" si="15"/>
        <v>1</v>
      </c>
      <c r="AJ45" s="375">
        <f t="shared" si="18"/>
        <v>1.4644001144157475E-3</v>
      </c>
      <c r="AL45" s="376">
        <f t="shared" si="8"/>
        <v>161653.32081334686</v>
      </c>
      <c r="AM45" s="384"/>
      <c r="AN45" s="383">
        <f t="shared" si="22"/>
        <v>35.810245443751462</v>
      </c>
      <c r="AO45" s="379">
        <f t="shared" si="21"/>
        <v>1.1551692078629503E-3</v>
      </c>
      <c r="AP45" s="385"/>
      <c r="AQ45" s="380">
        <f t="shared" si="9"/>
        <v>2.2830455552230186E-3</v>
      </c>
      <c r="AR45" s="381">
        <v>267616.95239971823</v>
      </c>
      <c r="AT45" s="382">
        <v>70.774412211913585</v>
      </c>
    </row>
    <row r="46" spans="1:46">
      <c r="A46" s="361">
        <v>2008</v>
      </c>
      <c r="B46" s="361">
        <v>6</v>
      </c>
      <c r="C46" s="362">
        <f t="shared" si="17"/>
        <v>271.66325293295364</v>
      </c>
      <c r="D46" s="363">
        <f t="shared" si="20"/>
        <v>0.13816630657965029</v>
      </c>
      <c r="E46" s="365">
        <v>79716.516101379384</v>
      </c>
      <c r="F46" s="368">
        <v>0</v>
      </c>
      <c r="G46" s="368">
        <v>63818.50316269054</v>
      </c>
      <c r="H46" s="368">
        <v>0</v>
      </c>
      <c r="I46" s="368">
        <v>30312.137798526612</v>
      </c>
      <c r="J46" s="365">
        <f t="shared" si="10"/>
        <v>173847.15706259653</v>
      </c>
      <c r="K46" s="366">
        <v>30</v>
      </c>
      <c r="L46" s="367">
        <f t="shared" si="11"/>
        <v>0.13816630657965029</v>
      </c>
      <c r="M46" s="368">
        <v>31255.244567110814</v>
      </c>
      <c r="N46" s="368">
        <v>0</v>
      </c>
      <c r="O46" s="368">
        <v>0</v>
      </c>
      <c r="P46" s="368">
        <v>566.96030276284102</v>
      </c>
      <c r="Q46" s="368">
        <v>0</v>
      </c>
      <c r="R46" s="368">
        <v>0</v>
      </c>
      <c r="S46" s="364">
        <f>$L46*'MWh Impact Summary'!$L$14</f>
        <v>0</v>
      </c>
      <c r="T46" s="364">
        <f>$L46*'MWh Impact Summary'!$M$14</f>
        <v>0</v>
      </c>
      <c r="U46" s="368">
        <v>0</v>
      </c>
      <c r="V46" s="368">
        <v>210646.24190524229</v>
      </c>
      <c r="W46" s="368">
        <v>0</v>
      </c>
      <c r="X46" s="368">
        <f t="shared" si="1"/>
        <v>242468.44677511594</v>
      </c>
      <c r="Y46" s="364">
        <f t="shared" si="2"/>
        <v>416315.60383771244</v>
      </c>
      <c r="Z46" s="364"/>
      <c r="AA46" s="364">
        <v>4514262</v>
      </c>
      <c r="AB46" s="369">
        <f t="shared" si="12"/>
        <v>92.222295435602192</v>
      </c>
      <c r="AC46" s="370">
        <f t="shared" si="3"/>
        <v>38.510648487526097</v>
      </c>
      <c r="AD46" s="371">
        <f t="shared" si="4"/>
        <v>1.2836882829175367E-3</v>
      </c>
      <c r="AE46" s="370">
        <f t="shared" si="13"/>
        <v>53.711646948076108</v>
      </c>
      <c r="AF46" s="371">
        <f t="shared" si="5"/>
        <v>1.790388231602537E-3</v>
      </c>
      <c r="AG46" s="372">
        <f t="shared" si="14"/>
        <v>3.0740765145200735E-3</v>
      </c>
      <c r="AH46" s="373">
        <f t="shared" si="6"/>
        <v>3.0740765145200731E-3</v>
      </c>
      <c r="AI46" s="374" t="b">
        <f t="shared" si="15"/>
        <v>1</v>
      </c>
      <c r="AJ46" s="375">
        <f t="shared" si="18"/>
        <v>1.9725810274838166E-3</v>
      </c>
      <c r="AL46" s="376">
        <f t="shared" si="8"/>
        <v>210646.24190524229</v>
      </c>
      <c r="AM46" s="384"/>
      <c r="AN46" s="383">
        <f t="shared" si="22"/>
        <v>46.662387319398455</v>
      </c>
      <c r="AO46" s="379">
        <f t="shared" si="21"/>
        <v>1.5554129106466153E-3</v>
      </c>
      <c r="AP46" s="385"/>
      <c r="AQ46" s="380">
        <f t="shared" si="9"/>
        <v>3.0740765145200731E-3</v>
      </c>
      <c r="AR46" s="381">
        <v>327794.14361333713</v>
      </c>
      <c r="AT46" s="382">
        <v>92.222295435602192</v>
      </c>
    </row>
    <row r="47" spans="1:46">
      <c r="A47" s="361">
        <v>2008</v>
      </c>
      <c r="B47" s="361">
        <v>7</v>
      </c>
      <c r="C47" s="362">
        <f t="shared" si="17"/>
        <v>322.31916585708109</v>
      </c>
      <c r="D47" s="363">
        <f t="shared" si="20"/>
        <v>0.16392960109808263</v>
      </c>
      <c r="E47" s="365">
        <v>94580.922143233271</v>
      </c>
      <c r="F47" s="368">
        <v>0</v>
      </c>
      <c r="G47" s="368">
        <v>75718.473085951584</v>
      </c>
      <c r="H47" s="368">
        <v>0</v>
      </c>
      <c r="I47" s="368">
        <v>35964.31561900377</v>
      </c>
      <c r="J47" s="365">
        <f t="shared" si="10"/>
        <v>206263.71084818861</v>
      </c>
      <c r="K47" s="366">
        <v>31</v>
      </c>
      <c r="L47" s="367">
        <f t="shared" si="11"/>
        <v>0.16392960109808263</v>
      </c>
      <c r="M47" s="368">
        <v>37083.279570448649</v>
      </c>
      <c r="N47" s="368">
        <v>0</v>
      </c>
      <c r="O47" s="368">
        <v>0</v>
      </c>
      <c r="P47" s="368">
        <v>672.67902407727456</v>
      </c>
      <c r="Q47" s="368">
        <v>0</v>
      </c>
      <c r="R47" s="368">
        <v>0</v>
      </c>
      <c r="S47" s="364">
        <f>$L47*'MWh Impact Summary'!$L$14</f>
        <v>0</v>
      </c>
      <c r="T47" s="364">
        <f>$L47*'MWh Impact Summary'!$M$14</f>
        <v>0</v>
      </c>
      <c r="U47" s="368">
        <v>0</v>
      </c>
      <c r="V47" s="368">
        <v>249924.56745183401</v>
      </c>
      <c r="W47" s="368">
        <v>0</v>
      </c>
      <c r="X47" s="368">
        <f t="shared" si="1"/>
        <v>287680.52604635991</v>
      </c>
      <c r="Y47" s="364">
        <f t="shared" si="2"/>
        <v>493944.23689454852</v>
      </c>
      <c r="Z47" s="364"/>
      <c r="AA47" s="364">
        <v>4509574</v>
      </c>
      <c r="AB47" s="369">
        <f t="shared" si="12"/>
        <v>109.5323498171997</v>
      </c>
      <c r="AC47" s="370">
        <f t="shared" si="3"/>
        <v>45.739067780723545</v>
      </c>
      <c r="AD47" s="371">
        <f t="shared" si="4"/>
        <v>1.4754537993781789E-3</v>
      </c>
      <c r="AE47" s="370">
        <f t="shared" si="13"/>
        <v>63.79328203647615</v>
      </c>
      <c r="AF47" s="371">
        <f t="shared" si="5"/>
        <v>2.0578478076282627E-3</v>
      </c>
      <c r="AG47" s="372">
        <f t="shared" si="14"/>
        <v>3.5333016070064416E-3</v>
      </c>
      <c r="AH47" s="373">
        <f t="shared" si="6"/>
        <v>3.5333016070064416E-3</v>
      </c>
      <c r="AI47" s="374" t="b">
        <f t="shared" si="15"/>
        <v>1</v>
      </c>
      <c r="AJ47" s="375">
        <f t="shared" si="18"/>
        <v>2.2700709869279308E-3</v>
      </c>
      <c r="AL47" s="376">
        <f t="shared" si="8"/>
        <v>249924.56745183401</v>
      </c>
      <c r="AM47" s="384"/>
      <c r="AN47" s="383">
        <f t="shared" si="22"/>
        <v>55.4208817621873</v>
      </c>
      <c r="AO47" s="379">
        <f t="shared" si="21"/>
        <v>1.7877703794253966E-3</v>
      </c>
      <c r="AP47" s="385"/>
      <c r="AQ47" s="380">
        <f t="shared" si="9"/>
        <v>3.5333016070064416E-3</v>
      </c>
      <c r="AR47" s="381">
        <v>345307.86638142471</v>
      </c>
      <c r="AT47" s="382">
        <v>109.5323498171997</v>
      </c>
    </row>
    <row r="48" spans="1:46">
      <c r="A48" s="361">
        <v>2008</v>
      </c>
      <c r="B48" s="361">
        <v>8</v>
      </c>
      <c r="C48" s="362">
        <f t="shared" si="17"/>
        <v>326.45437890907908</v>
      </c>
      <c r="D48" s="363">
        <f t="shared" si="20"/>
        <v>0.16603274573816959</v>
      </c>
      <c r="E48" s="365">
        <v>95794.353751238028</v>
      </c>
      <c r="F48" s="368">
        <v>0</v>
      </c>
      <c r="G48" s="368">
        <v>76689.907773522165</v>
      </c>
      <c r="H48" s="368">
        <v>0</v>
      </c>
      <c r="I48" s="368">
        <v>36425.721961249721</v>
      </c>
      <c r="J48" s="365">
        <f t="shared" si="10"/>
        <v>208909.98348600991</v>
      </c>
      <c r="K48" s="366">
        <v>31</v>
      </c>
      <c r="L48" s="367">
        <f t="shared" si="11"/>
        <v>0.16603274573816959</v>
      </c>
      <c r="M48" s="368">
        <v>37559.041727758915</v>
      </c>
      <c r="N48" s="368">
        <v>0</v>
      </c>
      <c r="O48" s="368">
        <v>0</v>
      </c>
      <c r="P48" s="368">
        <v>681.309199924165</v>
      </c>
      <c r="Q48" s="368">
        <v>0</v>
      </c>
      <c r="R48" s="368">
        <v>0</v>
      </c>
      <c r="S48" s="364">
        <f>$L48*'MWh Impact Summary'!$L$14</f>
        <v>0</v>
      </c>
      <c r="T48" s="364">
        <f>$L48*'MWh Impact Summary'!$M$14</f>
        <v>0</v>
      </c>
      <c r="U48" s="368">
        <v>0</v>
      </c>
      <c r="V48" s="368">
        <v>253130.98966564689</v>
      </c>
      <c r="W48" s="368">
        <v>0</v>
      </c>
      <c r="X48" s="368">
        <f t="shared" si="1"/>
        <v>291371.34059332998</v>
      </c>
      <c r="Y48" s="364">
        <f t="shared" si="2"/>
        <v>500281.32407933986</v>
      </c>
      <c r="Z48" s="364"/>
      <c r="AA48" s="364">
        <v>4507318</v>
      </c>
      <c r="AB48" s="369">
        <f t="shared" si="12"/>
        <v>110.99312808178608</v>
      </c>
      <c r="AC48" s="370">
        <f t="shared" si="3"/>
        <v>46.349066892109654</v>
      </c>
      <c r="AD48" s="371">
        <f t="shared" si="4"/>
        <v>1.4951311900680533E-3</v>
      </c>
      <c r="AE48" s="370">
        <f t="shared" si="13"/>
        <v>64.644061189676421</v>
      </c>
      <c r="AF48" s="371">
        <f t="shared" si="5"/>
        <v>2.0852922964411753E-3</v>
      </c>
      <c r="AG48" s="372">
        <f t="shared" si="14"/>
        <v>3.5804234865092288E-3</v>
      </c>
      <c r="AH48" s="373">
        <f t="shared" si="6"/>
        <v>3.5804234865092284E-3</v>
      </c>
      <c r="AI48" s="374" t="b">
        <f t="shared" si="15"/>
        <v>1</v>
      </c>
      <c r="AJ48" s="375">
        <f t="shared" si="18"/>
        <v>2.3025414046635318E-3</v>
      </c>
      <c r="AL48" s="376">
        <f t="shared" si="8"/>
        <v>253130.98966564689</v>
      </c>
      <c r="AM48" s="384"/>
      <c r="AN48" s="383">
        <f t="shared" si="22"/>
        <v>56.160002392918997</v>
      </c>
      <c r="AO48" s="379">
        <f t="shared" si="21"/>
        <v>1.8116129804167417E-3</v>
      </c>
      <c r="AP48" s="385"/>
      <c r="AQ48" s="380">
        <f t="shared" si="9"/>
        <v>3.5804234865092284E-3</v>
      </c>
      <c r="AR48" s="381">
        <v>359036.26475295093</v>
      </c>
      <c r="AT48" s="382">
        <v>110.99312808178608</v>
      </c>
    </row>
    <row r="49" spans="1:46">
      <c r="A49" s="361">
        <v>2008</v>
      </c>
      <c r="B49" s="361">
        <v>9</v>
      </c>
      <c r="C49" s="362">
        <f t="shared" si="17"/>
        <v>277.87653293728147</v>
      </c>
      <c r="D49" s="363">
        <f t="shared" si="20"/>
        <v>0.14132634365008559</v>
      </c>
      <c r="E49" s="365">
        <v>81539.733007456933</v>
      </c>
      <c r="F49" s="368">
        <v>0</v>
      </c>
      <c r="G49" s="368">
        <v>65278.112533210522</v>
      </c>
      <c r="H49" s="368">
        <v>0</v>
      </c>
      <c r="I49" s="368">
        <v>31005.414484418681</v>
      </c>
      <c r="J49" s="365">
        <f t="shared" si="10"/>
        <v>177823.26002508611</v>
      </c>
      <c r="K49" s="366">
        <v>30</v>
      </c>
      <c r="L49" s="367">
        <f t="shared" si="11"/>
        <v>0.14132634365008559</v>
      </c>
      <c r="M49" s="368">
        <v>31970.091290039272</v>
      </c>
      <c r="N49" s="368">
        <v>0</v>
      </c>
      <c r="O49" s="368">
        <v>0</v>
      </c>
      <c r="P49" s="368">
        <v>579.92739740803916</v>
      </c>
      <c r="Q49" s="368">
        <v>0</v>
      </c>
      <c r="R49" s="368">
        <v>0</v>
      </c>
      <c r="S49" s="364">
        <f>$L49*'MWh Impact Summary'!$L$14</f>
        <v>0</v>
      </c>
      <c r="T49" s="364">
        <f>$L49*'MWh Impact Summary'!$M$14</f>
        <v>0</v>
      </c>
      <c r="U49" s="368">
        <v>0</v>
      </c>
      <c r="V49" s="368">
        <v>215463.986184921</v>
      </c>
      <c r="W49" s="368">
        <v>0</v>
      </c>
      <c r="X49" s="368">
        <f t="shared" si="1"/>
        <v>248014.0048723683</v>
      </c>
      <c r="Y49" s="364">
        <f t="shared" si="2"/>
        <v>425837.26489745441</v>
      </c>
      <c r="Z49" s="364"/>
      <c r="AA49" s="364">
        <v>4503137</v>
      </c>
      <c r="AB49" s="369">
        <f t="shared" si="12"/>
        <v>94.564581290210455</v>
      </c>
      <c r="AC49" s="370">
        <f t="shared" si="3"/>
        <v>39.48875195782098</v>
      </c>
      <c r="AD49" s="371">
        <f t="shared" si="4"/>
        <v>1.316291731927366E-3</v>
      </c>
      <c r="AE49" s="370">
        <f t="shared" si="13"/>
        <v>55.075829332389468</v>
      </c>
      <c r="AF49" s="371">
        <f t="shared" si="5"/>
        <v>1.8358609777463155E-3</v>
      </c>
      <c r="AG49" s="372">
        <f t="shared" si="14"/>
        <v>3.1521527096736814E-3</v>
      </c>
      <c r="AH49" s="373">
        <f t="shared" si="6"/>
        <v>3.1521527096736819E-3</v>
      </c>
      <c r="AI49" s="374" t="b">
        <f t="shared" si="15"/>
        <v>1</v>
      </c>
      <c r="AJ49" s="375">
        <f t="shared" si="18"/>
        <v>2.0280326113622411E-3</v>
      </c>
      <c r="AL49" s="376">
        <f t="shared" si="8"/>
        <v>215463.986184921</v>
      </c>
      <c r="AM49" s="384"/>
      <c r="AN49" s="383">
        <f t="shared" si="22"/>
        <v>47.847530773529876</v>
      </c>
      <c r="AO49" s="379">
        <f t="shared" si="21"/>
        <v>1.5949176924509958E-3</v>
      </c>
      <c r="AQ49" s="380">
        <f t="shared" si="9"/>
        <v>3.1521527096736819E-3</v>
      </c>
      <c r="AR49" s="381">
        <v>338792.96476964944</v>
      </c>
      <c r="AT49" s="382">
        <v>94.564581290210455</v>
      </c>
    </row>
    <row r="50" spans="1:46">
      <c r="A50" s="361">
        <v>2008</v>
      </c>
      <c r="B50" s="361">
        <v>10</v>
      </c>
      <c r="C50" s="362">
        <f t="shared" si="17"/>
        <v>198.89039579254836</v>
      </c>
      <c r="D50" s="363">
        <f t="shared" si="20"/>
        <v>0.10115446643644242</v>
      </c>
      <c r="E50" s="365">
        <v>58362.142348782705</v>
      </c>
      <c r="F50" s="368">
        <v>0</v>
      </c>
      <c r="G50" s="368">
        <v>46722.871849171745</v>
      </c>
      <c r="H50" s="368">
        <v>0</v>
      </c>
      <c r="I50" s="368">
        <v>22192.155247272723</v>
      </c>
      <c r="J50" s="365">
        <f t="shared" si="10"/>
        <v>127277.16944522716</v>
      </c>
      <c r="K50" s="366">
        <v>31</v>
      </c>
      <c r="L50" s="367">
        <f t="shared" si="11"/>
        <v>0.10115446643644242</v>
      </c>
      <c r="M50" s="368">
        <v>22882.623599003153</v>
      </c>
      <c r="N50" s="368">
        <v>0</v>
      </c>
      <c r="O50" s="368">
        <v>0</v>
      </c>
      <c r="P50" s="368">
        <v>415.08359263810462</v>
      </c>
      <c r="Q50" s="368">
        <v>0</v>
      </c>
      <c r="R50" s="368">
        <v>0</v>
      </c>
      <c r="S50" s="364">
        <f>$L50*'MWh Impact Summary'!$L$14</f>
        <v>0</v>
      </c>
      <c r="T50" s="364">
        <f>$L50*'MWh Impact Summary'!$M$14</f>
        <v>0</v>
      </c>
      <c r="U50" s="368">
        <v>0</v>
      </c>
      <c r="V50" s="368">
        <v>154218.55540795694</v>
      </c>
      <c r="W50" s="368">
        <v>0</v>
      </c>
      <c r="X50" s="368">
        <f t="shared" si="1"/>
        <v>177516.26259959821</v>
      </c>
      <c r="Y50" s="364">
        <f t="shared" si="2"/>
        <v>304793.4320448254</v>
      </c>
      <c r="Z50" s="364"/>
      <c r="AA50" s="364">
        <v>4501918</v>
      </c>
      <c r="AB50" s="369">
        <f t="shared" si="12"/>
        <v>67.703017257272421</v>
      </c>
      <c r="AC50" s="370">
        <f t="shared" si="3"/>
        <v>28.271765377607313</v>
      </c>
      <c r="AD50" s="371">
        <f t="shared" si="4"/>
        <v>9.1199243153571973E-4</v>
      </c>
      <c r="AE50" s="370">
        <f t="shared" si="13"/>
        <v>39.431251879665112</v>
      </c>
      <c r="AF50" s="371">
        <f t="shared" si="5"/>
        <v>1.2719758670859712E-3</v>
      </c>
      <c r="AG50" s="372">
        <f t="shared" si="14"/>
        <v>2.1839682986216909E-3</v>
      </c>
      <c r="AH50" s="373">
        <f t="shared" si="6"/>
        <v>2.1839682986216909E-3</v>
      </c>
      <c r="AI50" s="374" t="b">
        <f t="shared" si="15"/>
        <v>1</v>
      </c>
      <c r="AJ50" s="375">
        <f t="shared" si="18"/>
        <v>1.4053436564157361E-3</v>
      </c>
      <c r="AL50" s="376">
        <f t="shared" si="8"/>
        <v>154218.55540795694</v>
      </c>
      <c r="AM50" s="384"/>
      <c r="AN50" s="383">
        <f t="shared" si="22"/>
        <v>34.256189341511089</v>
      </c>
      <c r="AO50" s="379">
        <f t="shared" si="21"/>
        <v>1.1050383658551964E-3</v>
      </c>
      <c r="AQ50" s="380">
        <f t="shared" si="9"/>
        <v>2.1839682986216909E-3</v>
      </c>
      <c r="AR50" s="381">
        <v>271848.13393304445</v>
      </c>
      <c r="AT50" s="382">
        <v>67.703017257272421</v>
      </c>
    </row>
    <row r="51" spans="1:46">
      <c r="A51" s="361">
        <v>2008</v>
      </c>
      <c r="B51" s="361">
        <v>11</v>
      </c>
      <c r="C51" s="362">
        <f t="shared" si="17"/>
        <v>78.117279066674627</v>
      </c>
      <c r="D51" s="363">
        <f t="shared" si="20"/>
        <v>3.9729981188725644E-2</v>
      </c>
      <c r="E51" s="365">
        <v>22922.634059938147</v>
      </c>
      <c r="F51" s="368">
        <v>0</v>
      </c>
      <c r="G51" s="368">
        <v>18351.130553559746</v>
      </c>
      <c r="H51" s="368">
        <v>0</v>
      </c>
      <c r="I51" s="368">
        <v>8716.3122061981521</v>
      </c>
      <c r="J51" s="365">
        <f t="shared" si="10"/>
        <v>49990.076819696042</v>
      </c>
      <c r="K51" s="366">
        <v>30</v>
      </c>
      <c r="L51" s="367">
        <f t="shared" si="11"/>
        <v>3.9729981188725644E-2</v>
      </c>
      <c r="M51" s="368">
        <v>8987.5043304025403</v>
      </c>
      <c r="N51" s="368">
        <v>0</v>
      </c>
      <c r="O51" s="368">
        <v>0</v>
      </c>
      <c r="P51" s="368">
        <v>163.03050085902413</v>
      </c>
      <c r="Q51" s="368">
        <v>0</v>
      </c>
      <c r="R51" s="368">
        <v>0</v>
      </c>
      <c r="S51" s="364">
        <f>$L51*'MWh Impact Summary'!$L$14</f>
        <v>0</v>
      </c>
      <c r="T51" s="364">
        <f>$L51*'MWh Impact Summary'!$M$14</f>
        <v>0</v>
      </c>
      <c r="U51" s="368">
        <v>0</v>
      </c>
      <c r="V51" s="368">
        <v>60571.722842909403</v>
      </c>
      <c r="W51" s="368">
        <v>0</v>
      </c>
      <c r="X51" s="368">
        <f t="shared" si="1"/>
        <v>69722.257674170964</v>
      </c>
      <c r="Y51" s="364">
        <f t="shared" si="2"/>
        <v>119712.33449386701</v>
      </c>
      <c r="Z51" s="364"/>
      <c r="AA51" s="364">
        <v>4498960</v>
      </c>
      <c r="AB51" s="369">
        <f t="shared" si="12"/>
        <v>26.608890608911175</v>
      </c>
      <c r="AC51" s="370">
        <f t="shared" si="3"/>
        <v>11.11147394502197</v>
      </c>
      <c r="AD51" s="371">
        <f t="shared" si="4"/>
        <v>3.7038246483406565E-4</v>
      </c>
      <c r="AE51" s="370">
        <f t="shared" si="13"/>
        <v>15.497416663889204</v>
      </c>
      <c r="AF51" s="371">
        <f t="shared" si="5"/>
        <v>5.1658055546297346E-4</v>
      </c>
      <c r="AG51" s="372">
        <f t="shared" si="14"/>
        <v>8.8696302029703917E-4</v>
      </c>
      <c r="AH51" s="373">
        <f t="shared" si="6"/>
        <v>8.8696302029703906E-4</v>
      </c>
      <c r="AI51" s="374" t="b">
        <f t="shared" si="15"/>
        <v>1</v>
      </c>
      <c r="AJ51" s="375">
        <f t="shared" si="18"/>
        <v>5.7096718531998909E-4</v>
      </c>
      <c r="AL51" s="376">
        <f t="shared" si="8"/>
        <v>60571.722842909403</v>
      </c>
      <c r="AM51" s="384"/>
      <c r="AN51" s="383">
        <f t="shared" si="22"/>
        <v>13.463494417134049</v>
      </c>
      <c r="AO51" s="379">
        <f t="shared" si="21"/>
        <v>4.4878314723780161E-4</v>
      </c>
      <c r="AQ51" s="380">
        <f t="shared" si="9"/>
        <v>8.8696302029703906E-4</v>
      </c>
      <c r="AR51" s="381">
        <v>208079.20515712729</v>
      </c>
      <c r="AT51" s="382">
        <v>26.608890608911175</v>
      </c>
    </row>
    <row r="52" spans="1:46">
      <c r="A52" s="361">
        <v>2008</v>
      </c>
      <c r="B52" s="361">
        <v>12</v>
      </c>
      <c r="C52" s="362">
        <f t="shared" si="17"/>
        <v>42.633806123140985</v>
      </c>
      <c r="D52" s="363">
        <f t="shared" si="20"/>
        <v>2.1683298951445065E-2</v>
      </c>
      <c r="E52" s="365">
        <v>12510.409323255924</v>
      </c>
      <c r="F52" s="368">
        <v>0</v>
      </c>
      <c r="G52" s="368">
        <v>10015.435144549001</v>
      </c>
      <c r="H52" s="368">
        <v>0</v>
      </c>
      <c r="I52" s="368">
        <v>4757.0725599728485</v>
      </c>
      <c r="J52" s="365">
        <f t="shared" si="10"/>
        <v>27282.917027777774</v>
      </c>
      <c r="K52" s="366">
        <v>31</v>
      </c>
      <c r="L52" s="367">
        <f t="shared" si="11"/>
        <v>2.1683298951445065E-2</v>
      </c>
      <c r="M52" s="368">
        <v>4905.080178563664</v>
      </c>
      <c r="N52" s="368">
        <v>0</v>
      </c>
      <c r="O52" s="368">
        <v>0</v>
      </c>
      <c r="P52" s="368">
        <v>88.976611177787206</v>
      </c>
      <c r="Q52" s="368">
        <v>0</v>
      </c>
      <c r="R52" s="368">
        <v>0</v>
      </c>
      <c r="S52" s="364">
        <f>$L52*'MWh Impact Summary'!$L$14</f>
        <v>0</v>
      </c>
      <c r="T52" s="364">
        <f>$L52*'MWh Impact Summary'!$M$14</f>
        <v>0</v>
      </c>
      <c r="U52" s="368">
        <v>0</v>
      </c>
      <c r="V52" s="368">
        <v>33058.026586219137</v>
      </c>
      <c r="W52" s="368">
        <v>0</v>
      </c>
      <c r="X52" s="368">
        <f t="shared" si="1"/>
        <v>38052.083375960588</v>
      </c>
      <c r="Y52" s="364">
        <f t="shared" si="2"/>
        <v>65335.000403738362</v>
      </c>
      <c r="Z52" s="364">
        <f>SUM(Y41:Y52)</f>
        <v>3013148.5319665424</v>
      </c>
      <c r="AA52" s="364">
        <v>4497793</v>
      </c>
      <c r="AB52" s="369">
        <f t="shared" si="12"/>
        <v>14.526013181073109</v>
      </c>
      <c r="AC52" s="370">
        <f t="shared" si="3"/>
        <v>6.0658454107998683</v>
      </c>
      <c r="AD52" s="371">
        <f t="shared" si="4"/>
        <v>1.9567243260644736E-4</v>
      </c>
      <c r="AE52" s="370">
        <f t="shared" si="13"/>
        <v>8.460167770273241</v>
      </c>
      <c r="AF52" s="371">
        <f t="shared" si="5"/>
        <v>2.7290863775074971E-4</v>
      </c>
      <c r="AG52" s="372">
        <f t="shared" si="14"/>
        <v>4.685810703571971E-4</v>
      </c>
      <c r="AH52" s="373">
        <f t="shared" si="6"/>
        <v>4.685810703571971E-4</v>
      </c>
      <c r="AI52" s="374" t="b">
        <f t="shared" si="15"/>
        <v>1</v>
      </c>
      <c r="AJ52" s="375">
        <f t="shared" si="18"/>
        <v>3.0172435488945307E-4</v>
      </c>
      <c r="AL52" s="376">
        <f t="shared" si="8"/>
        <v>33058.026586219137</v>
      </c>
      <c r="AM52" s="377">
        <f>SUM(AL41:AL52)</f>
        <v>1524584.735018654</v>
      </c>
      <c r="AN52" s="383">
        <f t="shared" si="22"/>
        <v>7.3498328149426033</v>
      </c>
      <c r="AO52" s="379">
        <f t="shared" si="21"/>
        <v>2.3709138112718074E-4</v>
      </c>
      <c r="AQ52" s="380">
        <f t="shared" si="9"/>
        <v>4.685810703571971E-4</v>
      </c>
      <c r="AR52" s="381">
        <v>170636.93213893208</v>
      </c>
      <c r="AT52" s="382">
        <v>14.526013181073109</v>
      </c>
    </row>
    <row r="53" spans="1:46">
      <c r="A53" s="361">
        <v>2009</v>
      </c>
      <c r="B53" s="361">
        <v>1</v>
      </c>
      <c r="C53" s="362">
        <f t="shared" si="17"/>
        <v>26.112829868525239</v>
      </c>
      <c r="D53" s="363">
        <f t="shared" ref="D53:D64" si="23">C53/(SUM(C$53:C$64))</f>
        <v>1.3280829182176284E-2</v>
      </c>
      <c r="E53" s="365">
        <v>9421.4074064152974</v>
      </c>
      <c r="F53" s="368">
        <v>226.7047254762337</v>
      </c>
      <c r="G53" s="368">
        <v>7441.8753869140264</v>
      </c>
      <c r="H53" s="368">
        <v>0</v>
      </c>
      <c r="I53" s="368">
        <v>3473.7593674362515</v>
      </c>
      <c r="J53" s="365">
        <f t="shared" si="10"/>
        <v>20563.746886241806</v>
      </c>
      <c r="K53" s="366">
        <v>31</v>
      </c>
      <c r="L53" s="367">
        <f t="shared" si="11"/>
        <v>1.3280829182176284E-2</v>
      </c>
      <c r="M53" s="368">
        <v>3941.9971235123048</v>
      </c>
      <c r="N53" s="368">
        <v>0</v>
      </c>
      <c r="O53" s="368">
        <v>0</v>
      </c>
      <c r="P53" s="368">
        <v>72.66318511817019</v>
      </c>
      <c r="Q53" s="368">
        <v>453.71126277828415</v>
      </c>
      <c r="R53" s="368">
        <v>0</v>
      </c>
      <c r="S53" s="364">
        <f>$L53*'MWh Impact Summary'!$L$15</f>
        <v>0</v>
      </c>
      <c r="T53" s="364">
        <f>$L53*'MWh Impact Summary'!$M$15</f>
        <v>0</v>
      </c>
      <c r="U53" s="368">
        <v>0</v>
      </c>
      <c r="V53" s="368">
        <v>24460.196659662066</v>
      </c>
      <c r="W53" s="368">
        <v>0</v>
      </c>
      <c r="X53" s="368">
        <f t="shared" si="1"/>
        <v>28928.568231070825</v>
      </c>
      <c r="Y53" s="364">
        <f t="shared" si="2"/>
        <v>49492.315117312632</v>
      </c>
      <c r="Z53" s="364"/>
      <c r="AA53" s="364">
        <v>4497781</v>
      </c>
      <c r="AB53" s="369">
        <f t="shared" si="12"/>
        <v>11.00371830405096</v>
      </c>
      <c r="AC53" s="370">
        <f t="shared" si="3"/>
        <v>4.5719760224523611</v>
      </c>
      <c r="AD53" s="371">
        <f t="shared" si="4"/>
        <v>1.4748309749846325E-4</v>
      </c>
      <c r="AE53" s="370">
        <f t="shared" si="13"/>
        <v>6.4317422815985976</v>
      </c>
      <c r="AF53" s="371">
        <f t="shared" si="5"/>
        <v>2.0747555747092249E-4</v>
      </c>
      <c r="AG53" s="372">
        <f t="shared" si="14"/>
        <v>3.5495865496938575E-4</v>
      </c>
      <c r="AH53" s="373">
        <f t="shared" si="6"/>
        <v>3.549586549693858E-4</v>
      </c>
      <c r="AI53" s="374" t="b">
        <f t="shared" si="15"/>
        <v>1</v>
      </c>
      <c r="AJ53" s="375">
        <f t="shared" si="18"/>
        <v>6.8894618953847765E-5</v>
      </c>
      <c r="AL53" s="376">
        <f t="shared" si="8"/>
        <v>24460.196659662066</v>
      </c>
      <c r="AM53" s="377"/>
      <c r="AN53" s="383">
        <f t="shared" si="22"/>
        <v>5.438280934456805</v>
      </c>
      <c r="AO53" s="379">
        <f t="shared" si="21"/>
        <v>1.754284172405421E-4</v>
      </c>
      <c r="AQ53" s="380">
        <f t="shared" si="9"/>
        <v>3.549586549693858E-4</v>
      </c>
      <c r="AR53" s="381">
        <v>211653.90202135124</v>
      </c>
      <c r="AT53" s="382">
        <v>11.00371830405096</v>
      </c>
    </row>
    <row r="54" spans="1:46">
      <c r="A54" s="361">
        <v>2009</v>
      </c>
      <c r="B54" s="361">
        <v>2</v>
      </c>
      <c r="C54" s="362">
        <f t="shared" si="17"/>
        <v>35.042184420393127</v>
      </c>
      <c r="D54" s="363">
        <f t="shared" si="23"/>
        <v>1.7822245532205266E-2</v>
      </c>
      <c r="E54" s="365">
        <v>12643.083782857277</v>
      </c>
      <c r="F54" s="368">
        <v>304.22703472243165</v>
      </c>
      <c r="G54" s="368">
        <v>9986.6453025128867</v>
      </c>
      <c r="H54" s="368">
        <v>0</v>
      </c>
      <c r="I54" s="368">
        <v>4661.6210115355098</v>
      </c>
      <c r="J54" s="365">
        <f t="shared" si="10"/>
        <v>27595.577131628106</v>
      </c>
      <c r="K54" s="366">
        <v>28</v>
      </c>
      <c r="L54" s="367">
        <f t="shared" si="11"/>
        <v>1.7822245532205266E-2</v>
      </c>
      <c r="M54" s="368">
        <v>5289.9739661413751</v>
      </c>
      <c r="N54" s="368">
        <v>0</v>
      </c>
      <c r="O54" s="368">
        <v>0</v>
      </c>
      <c r="P54" s="368">
        <v>97.510562673760873</v>
      </c>
      <c r="Q54" s="368">
        <v>608.85908666106604</v>
      </c>
      <c r="R54" s="368">
        <v>0</v>
      </c>
      <c r="S54" s="364">
        <f>$L54*'MWh Impact Summary'!$L$15</f>
        <v>0</v>
      </c>
      <c r="T54" s="364">
        <f>$L54*'MWh Impact Summary'!$M$15</f>
        <v>0</v>
      </c>
      <c r="U54" s="368">
        <v>0</v>
      </c>
      <c r="V54" s="368">
        <v>32824.428705067432</v>
      </c>
      <c r="W54" s="368">
        <v>0</v>
      </c>
      <c r="X54" s="368">
        <f t="shared" si="1"/>
        <v>38820.772320543634</v>
      </c>
      <c r="Y54" s="364">
        <f t="shared" si="2"/>
        <v>66416.349452171737</v>
      </c>
      <c r="Z54" s="364"/>
      <c r="AA54" s="364">
        <v>4502684</v>
      </c>
      <c r="AB54" s="369">
        <f t="shared" si="12"/>
        <v>14.750390978396826</v>
      </c>
      <c r="AC54" s="370">
        <f t="shared" si="3"/>
        <v>6.1286950475823101</v>
      </c>
      <c r="AD54" s="371">
        <f t="shared" si="4"/>
        <v>2.1888196598508251E-4</v>
      </c>
      <c r="AE54" s="370">
        <f t="shared" si="13"/>
        <v>8.621695930814516</v>
      </c>
      <c r="AF54" s="371">
        <f t="shared" si="5"/>
        <v>3.0791771181480415E-4</v>
      </c>
      <c r="AG54" s="372">
        <f t="shared" si="14"/>
        <v>5.2679967779988663E-4</v>
      </c>
      <c r="AH54" s="373">
        <f t="shared" si="6"/>
        <v>5.2679967779988663E-4</v>
      </c>
      <c r="AI54" s="374" t="b">
        <f t="shared" si="15"/>
        <v>1</v>
      </c>
      <c r="AJ54" s="375">
        <f t="shared" si="18"/>
        <v>1.1703850586215812E-4</v>
      </c>
      <c r="AL54" s="376">
        <f t="shared" si="8"/>
        <v>32824.428705067432</v>
      </c>
      <c r="AM54" s="386"/>
      <c r="AN54" s="383">
        <f t="shared" si="22"/>
        <v>7.2899694282493357</v>
      </c>
      <c r="AO54" s="379">
        <f t="shared" si="21"/>
        <v>2.6035605100890484E-4</v>
      </c>
      <c r="AQ54" s="380">
        <f t="shared" si="9"/>
        <v>5.2679967779988663E-4</v>
      </c>
      <c r="AR54" s="381">
        <v>196612.42709287113</v>
      </c>
      <c r="AT54" s="382">
        <v>14.750390978396826</v>
      </c>
    </row>
    <row r="55" spans="1:46">
      <c r="A55" s="361">
        <v>2009</v>
      </c>
      <c r="B55" s="361">
        <v>3</v>
      </c>
      <c r="C55" s="362">
        <f t="shared" si="17"/>
        <v>64.582270600115152</v>
      </c>
      <c r="D55" s="363">
        <f t="shared" si="23"/>
        <v>3.2846156787895278E-2</v>
      </c>
      <c r="E55" s="365">
        <v>23301.031930225083</v>
      </c>
      <c r="F55" s="368">
        <v>560.68629867950142</v>
      </c>
      <c r="G55" s="368">
        <v>18405.25184094732</v>
      </c>
      <c r="H55" s="368">
        <v>0</v>
      </c>
      <c r="I55" s="368">
        <v>8591.304297427454</v>
      </c>
      <c r="J55" s="365">
        <f>SUM(E55:I55)</f>
        <v>50858.274367279359</v>
      </c>
      <c r="K55" s="366">
        <v>31</v>
      </c>
      <c r="L55" s="367">
        <f t="shared" si="11"/>
        <v>3.2846156787895278E-2</v>
      </c>
      <c r="M55" s="368">
        <v>9749.3502702441965</v>
      </c>
      <c r="N55" s="368">
        <v>0</v>
      </c>
      <c r="O55" s="368">
        <v>0</v>
      </c>
      <c r="P55" s="368">
        <v>179.71064444548301</v>
      </c>
      <c r="Q55" s="368">
        <v>1122.1190385951056</v>
      </c>
      <c r="R55" s="368">
        <v>0</v>
      </c>
      <c r="S55" s="364">
        <f>$L55*'MWh Impact Summary'!$L$15</f>
        <v>0</v>
      </c>
      <c r="T55" s="364">
        <f>$L55*'MWh Impact Summary'!$M$15</f>
        <v>0</v>
      </c>
      <c r="U55" s="368">
        <v>0</v>
      </c>
      <c r="V55" s="368">
        <v>60494.976896793298</v>
      </c>
      <c r="W55" s="368">
        <v>0</v>
      </c>
      <c r="X55" s="368">
        <f t="shared" si="1"/>
        <v>71546.156850078085</v>
      </c>
      <c r="Y55" s="364">
        <f t="shared" si="2"/>
        <v>122404.43121735744</v>
      </c>
      <c r="Z55" s="364"/>
      <c r="AA55" s="364">
        <v>4502987</v>
      </c>
      <c r="AB55" s="369">
        <f t="shared" si="12"/>
        <v>27.182941282610287</v>
      </c>
      <c r="AC55" s="370">
        <f t="shared" si="3"/>
        <v>11.294341815172764</v>
      </c>
      <c r="AD55" s="371">
        <f t="shared" si="4"/>
        <v>3.6433360694105693E-4</v>
      </c>
      <c r="AE55" s="370">
        <f t="shared" si="13"/>
        <v>15.888599467437523</v>
      </c>
      <c r="AF55" s="371">
        <f t="shared" si="5"/>
        <v>5.1253546669153291E-4</v>
      </c>
      <c r="AG55" s="372">
        <f t="shared" si="14"/>
        <v>8.7686907363258978E-4</v>
      </c>
      <c r="AH55" s="373">
        <f t="shared" si="6"/>
        <v>8.7686907363258989E-4</v>
      </c>
      <c r="AI55" s="374" t="b">
        <f t="shared" si="15"/>
        <v>1</v>
      </c>
      <c r="AJ55" s="375">
        <f t="shared" si="18"/>
        <v>1.7048904555713729E-4</v>
      </c>
      <c r="AL55" s="376">
        <f t="shared" si="8"/>
        <v>60494.976896793298</v>
      </c>
      <c r="AM55" s="384"/>
      <c r="AN55" s="383">
        <f t="shared" si="22"/>
        <v>13.434410735983315</v>
      </c>
      <c r="AO55" s="379">
        <f t="shared" si="21"/>
        <v>4.3336808825752629E-4</v>
      </c>
      <c r="AQ55" s="380">
        <f t="shared" si="9"/>
        <v>8.7686907363258989E-4</v>
      </c>
      <c r="AR55" s="381">
        <v>238059.33620390375</v>
      </c>
      <c r="AT55" s="382">
        <v>27.182941282610287</v>
      </c>
    </row>
    <row r="56" spans="1:46">
      <c r="A56" s="361">
        <v>2009</v>
      </c>
      <c r="B56" s="361">
        <v>4</v>
      </c>
      <c r="C56" s="362">
        <f t="shared" si="17"/>
        <v>114.03392869270741</v>
      </c>
      <c r="D56" s="363">
        <f t="shared" si="23"/>
        <v>5.7996974497419709E-2</v>
      </c>
      <c r="E56" s="365">
        <v>41142.997743920256</v>
      </c>
      <c r="F56" s="368">
        <v>990.01259646764879</v>
      </c>
      <c r="G56" s="368">
        <v>32498.442010463565</v>
      </c>
      <c r="H56" s="368">
        <v>0</v>
      </c>
      <c r="I56" s="368">
        <v>15169.800821906159</v>
      </c>
      <c r="J56" s="365">
        <f t="shared" si="10"/>
        <v>89801.253172757628</v>
      </c>
      <c r="K56" s="366">
        <v>30</v>
      </c>
      <c r="L56" s="367">
        <f t="shared" si="11"/>
        <v>5.7996974497419709E-2</v>
      </c>
      <c r="M56" s="368">
        <v>17214.580769405031</v>
      </c>
      <c r="N56" s="368">
        <v>0</v>
      </c>
      <c r="O56" s="368">
        <v>0</v>
      </c>
      <c r="P56" s="368">
        <v>317.31790510908672</v>
      </c>
      <c r="Q56" s="368">
        <v>1981.343195939839</v>
      </c>
      <c r="R56" s="368">
        <v>0</v>
      </c>
      <c r="S56" s="364">
        <f>$L56*'MWh Impact Summary'!$L$15</f>
        <v>0</v>
      </c>
      <c r="T56" s="364">
        <f>$L56*'MWh Impact Summary'!$M$15</f>
        <v>0</v>
      </c>
      <c r="U56" s="368">
        <v>0</v>
      </c>
      <c r="V56" s="368">
        <v>106816.93005856639</v>
      </c>
      <c r="W56" s="368">
        <v>0</v>
      </c>
      <c r="X56" s="368">
        <f t="shared" si="1"/>
        <v>126330.17192902035</v>
      </c>
      <c r="Y56" s="364">
        <f t="shared" si="2"/>
        <v>216131.42510177798</v>
      </c>
      <c r="Z56" s="364"/>
      <c r="AA56" s="364">
        <v>4502465</v>
      </c>
      <c r="AB56" s="369">
        <f t="shared" si="12"/>
        <v>48.002910650449913</v>
      </c>
      <c r="AC56" s="370">
        <f t="shared" si="3"/>
        <v>19.944908660646472</v>
      </c>
      <c r="AD56" s="371">
        <f t="shared" si="4"/>
        <v>6.6483028868821574E-4</v>
      </c>
      <c r="AE56" s="370">
        <f t="shared" si="13"/>
        <v>28.05800198980344</v>
      </c>
      <c r="AF56" s="371">
        <f t="shared" si="5"/>
        <v>9.3526673299344797E-4</v>
      </c>
      <c r="AG56" s="372">
        <f t="shared" si="14"/>
        <v>1.6000970216816638E-3</v>
      </c>
      <c r="AH56" s="373">
        <f t="shared" si="6"/>
        <v>1.6000970216816636E-3</v>
      </c>
      <c r="AI56" s="374" t="b">
        <f t="shared" si="15"/>
        <v>1</v>
      </c>
      <c r="AJ56" s="375">
        <f t="shared" si="18"/>
        <v>3.1087636843795947E-4</v>
      </c>
      <c r="AL56" s="376">
        <f t="shared" si="8"/>
        <v>106816.93005856639</v>
      </c>
      <c r="AM56" s="384"/>
      <c r="AN56" s="383">
        <f t="shared" si="22"/>
        <v>23.724100033774032</v>
      </c>
      <c r="AO56" s="379">
        <f t="shared" si="21"/>
        <v>7.908033344591344E-4</v>
      </c>
      <c r="AQ56" s="380">
        <f t="shared" si="9"/>
        <v>1.6000970216816636E-3</v>
      </c>
      <c r="AR56" s="381">
        <v>279638.2946346883</v>
      </c>
      <c r="AT56" s="382">
        <v>48.002910650449913</v>
      </c>
    </row>
    <row r="57" spans="1:46">
      <c r="A57" s="361">
        <v>2009</v>
      </c>
      <c r="B57" s="361">
        <v>5</v>
      </c>
      <c r="C57" s="362">
        <f t="shared" si="17"/>
        <v>208.47875842628665</v>
      </c>
      <c r="D57" s="363">
        <f t="shared" si="23"/>
        <v>0.10603105035770212</v>
      </c>
      <c r="E57" s="365">
        <v>75218.324808417703</v>
      </c>
      <c r="F57" s="368">
        <v>1809.957784530483</v>
      </c>
      <c r="G57" s="368">
        <v>59414.201709981106</v>
      </c>
      <c r="H57" s="368">
        <v>0</v>
      </c>
      <c r="I57" s="368">
        <v>27733.686606969542</v>
      </c>
      <c r="J57" s="365">
        <f t="shared" si="10"/>
        <v>164176.17090989885</v>
      </c>
      <c r="K57" s="366">
        <v>31</v>
      </c>
      <c r="L57" s="367">
        <f t="shared" si="11"/>
        <v>0.10603105035770212</v>
      </c>
      <c r="M57" s="368">
        <v>31471.987914278568</v>
      </c>
      <c r="N57" s="368">
        <v>0</v>
      </c>
      <c r="O57" s="368">
        <v>0</v>
      </c>
      <c r="P57" s="368">
        <v>580.12596463146554</v>
      </c>
      <c r="Q57" s="368">
        <v>3622.3251644606771</v>
      </c>
      <c r="R57" s="368">
        <v>0</v>
      </c>
      <c r="S57" s="364">
        <f>$L57*'MWh Impact Summary'!$L$15</f>
        <v>0</v>
      </c>
      <c r="T57" s="364">
        <f>$L57*'MWh Impact Summary'!$M$15</f>
        <v>0</v>
      </c>
      <c r="U57" s="368">
        <v>0</v>
      </c>
      <c r="V57" s="368">
        <v>195284.5193777977</v>
      </c>
      <c r="W57" s="368">
        <v>0</v>
      </c>
      <c r="X57" s="368">
        <f t="shared" si="1"/>
        <v>230958.95842116841</v>
      </c>
      <c r="Y57" s="364">
        <f t="shared" si="2"/>
        <v>395135.12933106726</v>
      </c>
      <c r="Z57" s="364"/>
      <c r="AA57" s="364">
        <v>4499097</v>
      </c>
      <c r="AB57" s="369">
        <f t="shared" si="12"/>
        <v>87.825430154332579</v>
      </c>
      <c r="AC57" s="370">
        <f t="shared" si="3"/>
        <v>36.490916046019642</v>
      </c>
      <c r="AD57" s="371">
        <f t="shared" si="4"/>
        <v>1.1771263240651496E-3</v>
      </c>
      <c r="AE57" s="370">
        <f t="shared" si="13"/>
        <v>51.334514108312938</v>
      </c>
      <c r="AF57" s="371">
        <f t="shared" si="5"/>
        <v>1.6559520680100948E-3</v>
      </c>
      <c r="AG57" s="372">
        <f t="shared" si="14"/>
        <v>2.8330783920752444E-3</v>
      </c>
      <c r="AH57" s="373">
        <f t="shared" si="6"/>
        <v>2.8330783920752448E-3</v>
      </c>
      <c r="AI57" s="374" t="b">
        <f t="shared" si="15"/>
        <v>1</v>
      </c>
      <c r="AJ57" s="375">
        <f t="shared" si="18"/>
        <v>5.5003283685222618E-4</v>
      </c>
      <c r="AL57" s="376">
        <f t="shared" si="8"/>
        <v>195284.5193777977</v>
      </c>
      <c r="AM57" s="384"/>
      <c r="AN57" s="383">
        <f t="shared" si="22"/>
        <v>43.4052698525499</v>
      </c>
      <c r="AO57" s="379">
        <f t="shared" si="21"/>
        <v>1.4001699952435451E-3</v>
      </c>
      <c r="AQ57" s="380">
        <f t="shared" si="9"/>
        <v>2.8330783920752448E-3</v>
      </c>
      <c r="AR57" s="381">
        <v>336203.57287137385</v>
      </c>
      <c r="AT57" s="382">
        <v>87.825430154332579</v>
      </c>
    </row>
    <row r="58" spans="1:46">
      <c r="A58" s="361">
        <v>2009</v>
      </c>
      <c r="B58" s="361">
        <v>6</v>
      </c>
      <c r="C58" s="362">
        <f t="shared" si="17"/>
        <v>271.66325293295364</v>
      </c>
      <c r="D58" s="363">
        <f t="shared" si="23"/>
        <v>0.13816630657965029</v>
      </c>
      <c r="E58" s="365">
        <v>98015.044563147923</v>
      </c>
      <c r="F58" s="368">
        <v>2358.50895855525</v>
      </c>
      <c r="G58" s="368">
        <v>77421.102412479537</v>
      </c>
      <c r="H58" s="368">
        <v>0</v>
      </c>
      <c r="I58" s="368">
        <v>36139.046377410028</v>
      </c>
      <c r="J58" s="365">
        <f t="shared" si="10"/>
        <v>213933.70231159273</v>
      </c>
      <c r="K58" s="366">
        <v>30</v>
      </c>
      <c r="L58" s="367">
        <f t="shared" si="11"/>
        <v>0.13816630657965029</v>
      </c>
      <c r="M58" s="368">
        <v>41010.329673862318</v>
      </c>
      <c r="N58" s="368">
        <v>0</v>
      </c>
      <c r="O58" s="368">
        <v>0</v>
      </c>
      <c r="P58" s="368">
        <v>755.94707035045451</v>
      </c>
      <c r="Q58" s="368">
        <v>4720.1577982642402</v>
      </c>
      <c r="R58" s="368">
        <v>0</v>
      </c>
      <c r="S58" s="364">
        <f>$L58*'MWh Impact Summary'!$L$15</f>
        <v>0</v>
      </c>
      <c r="T58" s="364">
        <f>$L58*'MWh Impact Summary'!$M$15</f>
        <v>0</v>
      </c>
      <c r="U58" s="368">
        <v>0</v>
      </c>
      <c r="V58" s="368">
        <v>254470.1828717902</v>
      </c>
      <c r="W58" s="368">
        <v>0</v>
      </c>
      <c r="X58" s="368">
        <f t="shared" si="1"/>
        <v>300956.61741426721</v>
      </c>
      <c r="Y58" s="364">
        <f t="shared" si="2"/>
        <v>514890.31972585991</v>
      </c>
      <c r="Z58" s="364"/>
      <c r="AA58" s="364">
        <v>4497918</v>
      </c>
      <c r="AB58" s="369">
        <f t="shared" si="12"/>
        <v>114.47303390721216</v>
      </c>
      <c r="AC58" s="370">
        <f t="shared" si="3"/>
        <v>47.562828471215511</v>
      </c>
      <c r="AD58" s="371">
        <f t="shared" si="4"/>
        <v>1.5854276157071835E-3</v>
      </c>
      <c r="AE58" s="370">
        <f t="shared" si="13"/>
        <v>66.910205435996644</v>
      </c>
      <c r="AF58" s="371">
        <f t="shared" si="5"/>
        <v>2.2303401811998879E-3</v>
      </c>
      <c r="AG58" s="372">
        <f t="shared" si="14"/>
        <v>3.8157677969070714E-3</v>
      </c>
      <c r="AH58" s="373">
        <f t="shared" si="6"/>
        <v>3.8157677969070719E-3</v>
      </c>
      <c r="AI58" s="374" t="b">
        <f t="shared" si="15"/>
        <v>1</v>
      </c>
      <c r="AJ58" s="375">
        <f t="shared" si="18"/>
        <v>7.4169128238699882E-4</v>
      </c>
      <c r="AL58" s="376">
        <f t="shared" si="8"/>
        <v>254470.1828717902</v>
      </c>
      <c r="AM58" s="384"/>
      <c r="AN58" s="383">
        <f t="shared" si="22"/>
        <v>56.575104942284455</v>
      </c>
      <c r="AO58" s="379">
        <f t="shared" si="21"/>
        <v>1.8858368314094817E-3</v>
      </c>
      <c r="AQ58" s="380">
        <f t="shared" si="9"/>
        <v>3.8157677969070719E-3</v>
      </c>
      <c r="AR58" s="381">
        <v>410391.3099683905</v>
      </c>
      <c r="AT58" s="382">
        <v>114.47303390721216</v>
      </c>
    </row>
    <row r="59" spans="1:46">
      <c r="A59" s="361">
        <v>2009</v>
      </c>
      <c r="B59" s="361">
        <v>7</v>
      </c>
      <c r="C59" s="362">
        <f t="shared" si="17"/>
        <v>322.31916585708109</v>
      </c>
      <c r="D59" s="363">
        <f t="shared" si="23"/>
        <v>0.16392960109808263</v>
      </c>
      <c r="E59" s="365">
        <v>116291.50083406898</v>
      </c>
      <c r="F59" s="368">
        <v>2798.2902802669323</v>
      </c>
      <c r="G59" s="368">
        <v>91857.492244211491</v>
      </c>
      <c r="H59" s="368">
        <v>0</v>
      </c>
      <c r="I59" s="368">
        <v>42877.74352062244</v>
      </c>
      <c r="J59" s="365">
        <f t="shared" si="10"/>
        <v>253825.02687916983</v>
      </c>
      <c r="K59" s="366">
        <v>31</v>
      </c>
      <c r="L59" s="367">
        <f t="shared" si="11"/>
        <v>0.16392960109808263</v>
      </c>
      <c r="M59" s="368">
        <v>48657.354681921235</v>
      </c>
      <c r="N59" s="368">
        <v>0</v>
      </c>
      <c r="O59" s="368">
        <v>0</v>
      </c>
      <c r="P59" s="368">
        <v>896.90536543636597</v>
      </c>
      <c r="Q59" s="368">
        <v>5600.3059222213124</v>
      </c>
      <c r="R59" s="368">
        <v>0</v>
      </c>
      <c r="S59" s="364">
        <f>$L59*'MWh Impact Summary'!$L$15</f>
        <v>0</v>
      </c>
      <c r="T59" s="364">
        <f>$L59*'MWh Impact Summary'!$M$15</f>
        <v>0</v>
      </c>
      <c r="U59" s="368">
        <v>0</v>
      </c>
      <c r="V59" s="368">
        <v>301920.17578092148</v>
      </c>
      <c r="W59" s="368">
        <v>0</v>
      </c>
      <c r="X59" s="368">
        <f t="shared" si="1"/>
        <v>357074.7417505004</v>
      </c>
      <c r="Y59" s="364">
        <f t="shared" si="2"/>
        <v>610899.76862967026</v>
      </c>
      <c r="Z59" s="364"/>
      <c r="AA59" s="364">
        <v>4498393</v>
      </c>
      <c r="AB59" s="369">
        <f t="shared" si="12"/>
        <v>135.80400125770919</v>
      </c>
      <c r="AC59" s="370">
        <f t="shared" si="3"/>
        <v>56.425711777332445</v>
      </c>
      <c r="AD59" s="371">
        <f t="shared" si="4"/>
        <v>1.8201842508816918E-3</v>
      </c>
      <c r="AE59" s="370">
        <f t="shared" si="13"/>
        <v>79.37828948037675</v>
      </c>
      <c r="AF59" s="371">
        <f t="shared" si="5"/>
        <v>2.5605899832379596E-3</v>
      </c>
      <c r="AG59" s="372">
        <f t="shared" si="14"/>
        <v>4.3807742341196512E-3</v>
      </c>
      <c r="AH59" s="373">
        <f t="shared" si="6"/>
        <v>4.3807742341196512E-3</v>
      </c>
      <c r="AI59" s="374" t="b">
        <f t="shared" si="15"/>
        <v>1</v>
      </c>
      <c r="AJ59" s="375">
        <f t="shared" si="18"/>
        <v>8.4747262711320961E-4</v>
      </c>
      <c r="AL59" s="376">
        <f t="shared" si="8"/>
        <v>301920.17578092148</v>
      </c>
      <c r="AM59" s="384"/>
      <c r="AN59" s="383">
        <f t="shared" si="22"/>
        <v>67.117340743888192</v>
      </c>
      <c r="AO59" s="379">
        <f t="shared" si="21"/>
        <v>2.1650755078673608E-3</v>
      </c>
      <c r="AQ59" s="380">
        <f t="shared" si="9"/>
        <v>4.3807742341196512E-3</v>
      </c>
      <c r="AR59" s="381">
        <v>431665.33151051996</v>
      </c>
      <c r="AT59" s="382">
        <v>135.80400125770919</v>
      </c>
    </row>
    <row r="60" spans="1:46">
      <c r="A60" s="361">
        <v>2009</v>
      </c>
      <c r="B60" s="361">
        <v>8</v>
      </c>
      <c r="C60" s="362">
        <f t="shared" si="17"/>
        <v>326.45437890907908</v>
      </c>
      <c r="D60" s="363">
        <f t="shared" si="23"/>
        <v>0.16603274573816959</v>
      </c>
      <c r="E60" s="365">
        <v>117783.46961230387</v>
      </c>
      <c r="F60" s="368">
        <v>2834.1911130935159</v>
      </c>
      <c r="G60" s="368">
        <v>93035.983445136546</v>
      </c>
      <c r="H60" s="368">
        <v>0</v>
      </c>
      <c r="I60" s="368">
        <v>43427.846100390598</v>
      </c>
      <c r="J60" s="365">
        <f t="shared" si="10"/>
        <v>257081.49027092452</v>
      </c>
      <c r="K60" s="366">
        <v>31</v>
      </c>
      <c r="L60" s="367">
        <f t="shared" si="11"/>
        <v>0.16603274573816959</v>
      </c>
      <c r="M60" s="368">
        <v>49281.607129402422</v>
      </c>
      <c r="N60" s="368">
        <v>0</v>
      </c>
      <c r="O60" s="368">
        <v>0</v>
      </c>
      <c r="P60" s="368">
        <v>908.41226656555318</v>
      </c>
      <c r="Q60" s="368">
        <v>5672.1553826254758</v>
      </c>
      <c r="R60" s="368">
        <v>0</v>
      </c>
      <c r="S60" s="364">
        <f>$L60*'MWh Impact Summary'!$L$15</f>
        <v>0</v>
      </c>
      <c r="T60" s="364">
        <f>$L60*'MWh Impact Summary'!$M$15</f>
        <v>0</v>
      </c>
      <c r="U60" s="368">
        <v>0</v>
      </c>
      <c r="V60" s="368">
        <v>305793.67876741284</v>
      </c>
      <c r="W60" s="368">
        <v>0</v>
      </c>
      <c r="X60" s="368">
        <f t="shared" si="1"/>
        <v>361655.85354600631</v>
      </c>
      <c r="Y60" s="364">
        <f t="shared" si="2"/>
        <v>618737.34381693089</v>
      </c>
      <c r="Z60" s="364"/>
      <c r="AA60" s="364">
        <v>4498960</v>
      </c>
      <c r="AB60" s="369">
        <f t="shared" si="12"/>
        <v>137.52897198839975</v>
      </c>
      <c r="AC60" s="370">
        <f t="shared" si="3"/>
        <v>57.142426309841497</v>
      </c>
      <c r="AD60" s="371">
        <f t="shared" si="4"/>
        <v>1.8433040745110161E-3</v>
      </c>
      <c r="AE60" s="370">
        <f t="shared" si="13"/>
        <v>80.386545678558221</v>
      </c>
      <c r="AF60" s="371">
        <f t="shared" si="5"/>
        <v>2.5931143767276847E-3</v>
      </c>
      <c r="AG60" s="372">
        <f t="shared" si="14"/>
        <v>4.4364184512387011E-3</v>
      </c>
      <c r="AH60" s="373">
        <f t="shared" si="6"/>
        <v>4.4364184512387011E-3</v>
      </c>
      <c r="AI60" s="374" t="b">
        <f t="shared" si="15"/>
        <v>1</v>
      </c>
      <c r="AJ60" s="375">
        <f t="shared" si="18"/>
        <v>8.5599496472947264E-4</v>
      </c>
      <c r="AL60" s="376">
        <f t="shared" si="8"/>
        <v>305793.67876741284</v>
      </c>
      <c r="AM60" s="384"/>
      <c r="AN60" s="383">
        <f t="shared" si="22"/>
        <v>67.969859426937077</v>
      </c>
      <c r="AO60" s="379">
        <f t="shared" si="21"/>
        <v>2.1925761105463571E-3</v>
      </c>
      <c r="AQ60" s="380">
        <f t="shared" si="9"/>
        <v>4.4364184512387011E-3</v>
      </c>
      <c r="AR60" s="381">
        <v>448779.68352140411</v>
      </c>
      <c r="AT60" s="382">
        <v>137.52897198839975</v>
      </c>
    </row>
    <row r="61" spans="1:46">
      <c r="A61" s="361">
        <v>2009</v>
      </c>
      <c r="B61" s="361">
        <v>9</v>
      </c>
      <c r="C61" s="362">
        <f t="shared" si="17"/>
        <v>277.87653293728147</v>
      </c>
      <c r="D61" s="363">
        <f t="shared" si="23"/>
        <v>0.14132634365008559</v>
      </c>
      <c r="E61" s="365">
        <v>100256.77181161687</v>
      </c>
      <c r="F61" s="368">
        <v>2412.4510224671335</v>
      </c>
      <c r="G61" s="368">
        <v>79191.820322756495</v>
      </c>
      <c r="H61" s="368">
        <v>0</v>
      </c>
      <c r="I61" s="368">
        <v>36965.591785403267</v>
      </c>
      <c r="J61" s="365">
        <f t="shared" si="10"/>
        <v>218826.63494224375</v>
      </c>
      <c r="K61" s="366">
        <v>30</v>
      </c>
      <c r="L61" s="367">
        <f t="shared" si="11"/>
        <v>0.14132634365008559</v>
      </c>
      <c r="M61" s="368">
        <v>41948.28745277616</v>
      </c>
      <c r="N61" s="368">
        <v>0</v>
      </c>
      <c r="O61" s="368">
        <v>0</v>
      </c>
      <c r="P61" s="368">
        <v>773.23652987738546</v>
      </c>
      <c r="Q61" s="368">
        <v>4828.1137391160037</v>
      </c>
      <c r="R61" s="368">
        <v>0</v>
      </c>
      <c r="S61" s="364">
        <f>$L61*'MWh Impact Summary'!$L$15</f>
        <v>0</v>
      </c>
      <c r="T61" s="364">
        <f>$L61*'MWh Impact Summary'!$M$15</f>
        <v>0</v>
      </c>
      <c r="U61" s="368">
        <v>0</v>
      </c>
      <c r="V61" s="368">
        <v>260290.23575662097</v>
      </c>
      <c r="W61" s="368">
        <v>0</v>
      </c>
      <c r="X61" s="368">
        <f t="shared" si="1"/>
        <v>307839.87347839051</v>
      </c>
      <c r="Y61" s="364">
        <f t="shared" si="2"/>
        <v>526666.50842063432</v>
      </c>
      <c r="Z61" s="364"/>
      <c r="AA61" s="364">
        <v>4495923</v>
      </c>
      <c r="AB61" s="369">
        <f t="shared" si="12"/>
        <v>117.14313355024859</v>
      </c>
      <c r="AC61" s="370">
        <f t="shared" si="3"/>
        <v>48.672238146036698</v>
      </c>
      <c r="AD61" s="371">
        <f t="shared" si="4"/>
        <v>1.6224079382012233E-3</v>
      </c>
      <c r="AE61" s="370">
        <f t="shared" si="13"/>
        <v>68.470895404211888</v>
      </c>
      <c r="AF61" s="371">
        <f t="shared" si="5"/>
        <v>2.282363180140396E-3</v>
      </c>
      <c r="AG61" s="372">
        <f t="shared" si="14"/>
        <v>3.9047711183416191E-3</v>
      </c>
      <c r="AH61" s="373">
        <f t="shared" si="6"/>
        <v>3.9047711183416199E-3</v>
      </c>
      <c r="AI61" s="374" t="b">
        <f t="shared" si="15"/>
        <v>1</v>
      </c>
      <c r="AJ61" s="375">
        <f t="shared" si="18"/>
        <v>7.5261840866793807E-4</v>
      </c>
      <c r="AL61" s="376">
        <f t="shared" si="8"/>
        <v>260290.23575662097</v>
      </c>
      <c r="AM61" s="384"/>
      <c r="AN61" s="383">
        <f t="shared" si="22"/>
        <v>57.894727235457765</v>
      </c>
      <c r="AO61" s="379">
        <f t="shared" si="21"/>
        <v>1.9298242411819255E-3</v>
      </c>
      <c r="AQ61" s="380">
        <f t="shared" si="9"/>
        <v>3.9047711183416199E-3</v>
      </c>
      <c r="AR61" s="381">
        <v>424214.99137736217</v>
      </c>
      <c r="AT61" s="382">
        <v>117.14313355024859</v>
      </c>
    </row>
    <row r="62" spans="1:46">
      <c r="A62" s="361">
        <v>2009</v>
      </c>
      <c r="B62" s="361">
        <v>10</v>
      </c>
      <c r="C62" s="362">
        <f t="shared" si="17"/>
        <v>198.89039579254836</v>
      </c>
      <c r="D62" s="363">
        <f t="shared" si="23"/>
        <v>0.10115446643644242</v>
      </c>
      <c r="E62" s="365">
        <v>71758.880880366734</v>
      </c>
      <c r="F62" s="368">
        <v>1726.7141403298101</v>
      </c>
      <c r="G62" s="368">
        <v>56681.621585801207</v>
      </c>
      <c r="H62" s="368">
        <v>0</v>
      </c>
      <c r="I62" s="368">
        <v>26458.157884689193</v>
      </c>
      <c r="J62" s="365">
        <f t="shared" si="10"/>
        <v>156625.37449118696</v>
      </c>
      <c r="K62" s="366">
        <v>31</v>
      </c>
      <c r="L62" s="367">
        <f t="shared" si="11"/>
        <v>0.10115446643644242</v>
      </c>
      <c r="M62" s="368">
        <v>30024.527102421187</v>
      </c>
      <c r="N62" s="368">
        <v>0</v>
      </c>
      <c r="O62" s="368">
        <v>0</v>
      </c>
      <c r="P62" s="368">
        <v>553.44479018413938</v>
      </c>
      <c r="Q62" s="368">
        <v>3455.7270538601424</v>
      </c>
      <c r="R62" s="368">
        <v>0</v>
      </c>
      <c r="S62" s="364">
        <f>$L62*'MWh Impact Summary'!$L$15</f>
        <v>0</v>
      </c>
      <c r="T62" s="364">
        <f>$L62*'MWh Impact Summary'!$M$15</f>
        <v>0</v>
      </c>
      <c r="U62" s="368">
        <v>0</v>
      </c>
      <c r="V62" s="368">
        <v>186302.9866658611</v>
      </c>
      <c r="W62" s="368">
        <v>0</v>
      </c>
      <c r="X62" s="368">
        <f t="shared" si="1"/>
        <v>220336.68561232658</v>
      </c>
      <c r="Y62" s="364">
        <f t="shared" si="2"/>
        <v>376962.06010351353</v>
      </c>
      <c r="Z62" s="364"/>
      <c r="AA62" s="364">
        <v>4495215</v>
      </c>
      <c r="AB62" s="369">
        <f t="shared" si="12"/>
        <v>83.858516245277158</v>
      </c>
      <c r="AC62" s="370">
        <f t="shared" si="3"/>
        <v>34.842688167570842</v>
      </c>
      <c r="AD62" s="371">
        <f t="shared" si="4"/>
        <v>1.123957682824866E-3</v>
      </c>
      <c r="AE62" s="370">
        <f t="shared" si="13"/>
        <v>49.01582807770631</v>
      </c>
      <c r="AF62" s="371">
        <f t="shared" si="5"/>
        <v>1.5811557444421391E-3</v>
      </c>
      <c r="AG62" s="372">
        <f t="shared" si="14"/>
        <v>2.7051134272670051E-3</v>
      </c>
      <c r="AH62" s="373">
        <f t="shared" si="6"/>
        <v>2.7051134272670051E-3</v>
      </c>
      <c r="AI62" s="374" t="b">
        <f t="shared" si="15"/>
        <v>1</v>
      </c>
      <c r="AJ62" s="375">
        <f t="shared" si="18"/>
        <v>5.2114512864531422E-4</v>
      </c>
      <c r="AL62" s="376">
        <f t="shared" si="8"/>
        <v>186302.9866658611</v>
      </c>
      <c r="AM62" s="384"/>
      <c r="AN62" s="383">
        <f t="shared" si="22"/>
        <v>41.444733269901683</v>
      </c>
      <c r="AO62" s="379">
        <f t="shared" si="21"/>
        <v>1.3369268796742477E-3</v>
      </c>
      <c r="AQ62" s="380">
        <f t="shared" si="9"/>
        <v>2.7051134272670051E-3</v>
      </c>
      <c r="AR62" s="381">
        <v>341701.86044827267</v>
      </c>
      <c r="AT62" s="382">
        <v>83.858516245277158</v>
      </c>
    </row>
    <row r="63" spans="1:46">
      <c r="A63" s="361">
        <v>2009</v>
      </c>
      <c r="B63" s="361">
        <v>11</v>
      </c>
      <c r="C63" s="362">
        <f t="shared" si="17"/>
        <v>78.117279066674627</v>
      </c>
      <c r="D63" s="363">
        <f t="shared" si="23"/>
        <v>3.9729981188725644E-2</v>
      </c>
      <c r="E63" s="365">
        <v>28184.410317584021</v>
      </c>
      <c r="F63" s="368">
        <v>678.1936846724833</v>
      </c>
      <c r="G63" s="368">
        <v>22262.583538664636</v>
      </c>
      <c r="H63" s="368">
        <v>0</v>
      </c>
      <c r="I63" s="368">
        <v>10391.850721762401</v>
      </c>
      <c r="J63" s="365">
        <f t="shared" si="10"/>
        <v>61517.038262683534</v>
      </c>
      <c r="K63" s="366">
        <v>30</v>
      </c>
      <c r="L63" s="367">
        <f t="shared" si="11"/>
        <v>3.9729981188725644E-2</v>
      </c>
      <c r="M63" s="368">
        <v>11792.597390932668</v>
      </c>
      <c r="N63" s="368">
        <v>0</v>
      </c>
      <c r="O63" s="368">
        <v>0</v>
      </c>
      <c r="P63" s="368">
        <v>217.37400114536547</v>
      </c>
      <c r="Q63" s="368">
        <v>1357.2902480732259</v>
      </c>
      <c r="R63" s="368">
        <v>0</v>
      </c>
      <c r="S63" s="364">
        <f>$L63*'MWh Impact Summary'!$L$15</f>
        <v>0</v>
      </c>
      <c r="T63" s="364">
        <f>$L63*'MWh Impact Summary'!$M$15</f>
        <v>0</v>
      </c>
      <c r="U63" s="368">
        <v>0</v>
      </c>
      <c r="V63" s="368">
        <v>73173.379450217253</v>
      </c>
      <c r="W63" s="368">
        <v>0</v>
      </c>
      <c r="X63" s="368">
        <f t="shared" si="1"/>
        <v>86540.641090368517</v>
      </c>
      <c r="Y63" s="364">
        <f t="shared" si="2"/>
        <v>148057.67935305205</v>
      </c>
      <c r="Z63" s="364"/>
      <c r="AA63" s="364">
        <v>4498782</v>
      </c>
      <c r="AB63" s="369">
        <f t="shared" si="12"/>
        <v>32.910614329178884</v>
      </c>
      <c r="AC63" s="370">
        <f t="shared" si="3"/>
        <v>13.674154084968672</v>
      </c>
      <c r="AD63" s="371">
        <f t="shared" si="4"/>
        <v>4.5580513616562239E-4</v>
      </c>
      <c r="AE63" s="370">
        <f t="shared" si="13"/>
        <v>19.236460244210217</v>
      </c>
      <c r="AF63" s="371">
        <f t="shared" si="5"/>
        <v>6.4121534147367387E-4</v>
      </c>
      <c r="AG63" s="372">
        <f t="shared" si="14"/>
        <v>1.0970204776392964E-3</v>
      </c>
      <c r="AH63" s="373">
        <f t="shared" si="6"/>
        <v>1.0970204776392962E-3</v>
      </c>
      <c r="AI63" s="374" t="b">
        <f t="shared" si="15"/>
        <v>1</v>
      </c>
      <c r="AJ63" s="375">
        <f t="shared" si="18"/>
        <v>2.1005745734225709E-4</v>
      </c>
      <c r="AL63" s="376">
        <f t="shared" si="8"/>
        <v>73173.379450217253</v>
      </c>
      <c r="AM63" s="384"/>
      <c r="AN63" s="383">
        <f t="shared" si="22"/>
        <v>16.265153423797209</v>
      </c>
      <c r="AO63" s="379">
        <f t="shared" si="21"/>
        <v>5.4217178079324021E-4</v>
      </c>
      <c r="AQ63" s="380">
        <f t="shared" si="9"/>
        <v>1.0970204776392962E-3</v>
      </c>
      <c r="AR63" s="381">
        <v>263250.27865551104</v>
      </c>
      <c r="AT63" s="382">
        <v>32.910614329178884</v>
      </c>
    </row>
    <row r="64" spans="1:46">
      <c r="A64" s="361">
        <v>2009</v>
      </c>
      <c r="B64" s="361">
        <v>12</v>
      </c>
      <c r="C64" s="362">
        <f t="shared" si="17"/>
        <v>42.633806123140985</v>
      </c>
      <c r="D64" s="363">
        <f t="shared" si="23"/>
        <v>2.1683298951445065E-2</v>
      </c>
      <c r="E64" s="365">
        <v>15382.111352717944</v>
      </c>
      <c r="F64" s="368">
        <v>370.13549897951026</v>
      </c>
      <c r="G64" s="368">
        <v>12150.175757882575</v>
      </c>
      <c r="H64" s="368">
        <v>0</v>
      </c>
      <c r="I64" s="368">
        <v>5671.5256115627635</v>
      </c>
      <c r="J64" s="365">
        <f t="shared" si="10"/>
        <v>33573.948221142797</v>
      </c>
      <c r="K64" s="366">
        <v>31</v>
      </c>
      <c r="L64" s="367">
        <f t="shared" si="11"/>
        <v>2.1683298951445065E-2</v>
      </c>
      <c r="M64" s="368">
        <v>6436.0064362221738</v>
      </c>
      <c r="N64" s="368">
        <v>0</v>
      </c>
      <c r="O64" s="368">
        <v>0</v>
      </c>
      <c r="P64" s="368">
        <v>118.63548157038294</v>
      </c>
      <c r="Q64" s="368">
        <v>740.76375906275098</v>
      </c>
      <c r="R64" s="368">
        <v>0</v>
      </c>
      <c r="S64" s="364">
        <f>$L64*'MWh Impact Summary'!$L$15</f>
        <v>0</v>
      </c>
      <c r="T64" s="364">
        <f>$L64*'MWh Impact Summary'!$M$15</f>
        <v>0</v>
      </c>
      <c r="U64" s="368">
        <v>0</v>
      </c>
      <c r="V64" s="368">
        <v>39935.590564961953</v>
      </c>
      <c r="W64" s="368">
        <v>0</v>
      </c>
      <c r="X64" s="368">
        <f t="shared" si="1"/>
        <v>47230.996241817258</v>
      </c>
      <c r="Y64" s="364">
        <f t="shared" si="2"/>
        <v>80804.944462960062</v>
      </c>
      <c r="Z64" s="364">
        <f>SUM(Y53:Y64)</f>
        <v>3726598.274732308</v>
      </c>
      <c r="AA64" s="364">
        <v>4498596</v>
      </c>
      <c r="AB64" s="369">
        <f t="shared" si="12"/>
        <v>17.962258549769764</v>
      </c>
      <c r="AC64" s="370">
        <f t="shared" si="3"/>
        <v>7.4632059027178252</v>
      </c>
      <c r="AD64" s="371">
        <f t="shared" si="4"/>
        <v>2.4074857750702662E-4</v>
      </c>
      <c r="AE64" s="370">
        <f t="shared" si="13"/>
        <v>10.499052647051938</v>
      </c>
      <c r="AF64" s="371">
        <f t="shared" si="5"/>
        <v>3.386791176468367E-4</v>
      </c>
      <c r="AG64" s="372">
        <f t="shared" si="14"/>
        <v>5.7942769515386327E-4</v>
      </c>
      <c r="AH64" s="373">
        <f t="shared" si="6"/>
        <v>5.7942769515386338E-4</v>
      </c>
      <c r="AI64" s="374" t="b">
        <f t="shared" si="15"/>
        <v>1</v>
      </c>
      <c r="AJ64" s="375">
        <f t="shared" si="18"/>
        <v>1.1084662479666628E-4</v>
      </c>
      <c r="AL64" s="376">
        <f t="shared" si="8"/>
        <v>39935.590564961953</v>
      </c>
      <c r="AM64" s="377">
        <f>SUM(AL53:AL64)</f>
        <v>1841767.2815556731</v>
      </c>
      <c r="AN64" s="383">
        <f t="shared" si="22"/>
        <v>8.8773454128714722</v>
      </c>
      <c r="AO64" s="379">
        <f t="shared" si="21"/>
        <v>2.8636598106037011E-4</v>
      </c>
      <c r="AQ64" s="380">
        <f t="shared" si="9"/>
        <v>5.7942769515386338E-4</v>
      </c>
      <c r="AR64" s="381">
        <v>217032.35405401044</v>
      </c>
      <c r="AT64" s="382">
        <v>17.962258549769764</v>
      </c>
    </row>
    <row r="65" spans="1:46">
      <c r="A65" s="361">
        <v>2010</v>
      </c>
      <c r="B65" s="361">
        <v>1</v>
      </c>
      <c r="C65" s="362">
        <f t="shared" si="17"/>
        <v>26.112829868525239</v>
      </c>
      <c r="D65" s="363">
        <f t="shared" ref="D65:D76" si="24">C65/(SUM(C$65:C$76))</f>
        <v>1.3280829182176284E-2</v>
      </c>
      <c r="E65" s="387">
        <v>11276.83718231107</v>
      </c>
      <c r="F65" s="364">
        <v>361.86339608289092</v>
      </c>
      <c r="G65" s="364">
        <v>9243.3471774785758</v>
      </c>
      <c r="H65" s="364">
        <v>9.4280314446040983</v>
      </c>
      <c r="I65" s="364">
        <v>4114.6960906210679</v>
      </c>
      <c r="J65" s="365">
        <f t="shared" si="10"/>
        <v>25006.171877938206</v>
      </c>
      <c r="K65" s="366">
        <v>31</v>
      </c>
      <c r="L65" s="367">
        <f t="shared" si="11"/>
        <v>1.3280829182176284E-2</v>
      </c>
      <c r="M65" s="368">
        <v>5121.4524191536048</v>
      </c>
      <c r="N65" s="368">
        <v>0</v>
      </c>
      <c r="O65" s="368">
        <v>98.360532643082706</v>
      </c>
      <c r="P65" s="368">
        <v>90.828981397712738</v>
      </c>
      <c r="Q65" s="368">
        <v>921.27694828749031</v>
      </c>
      <c r="R65" s="368">
        <v>0</v>
      </c>
      <c r="S65" s="364">
        <f>$L65*'MWh Impact Summary'!$L$16</f>
        <v>0</v>
      </c>
      <c r="T65" s="364">
        <f>$L65*'MWh Impact Summary'!$M$16</f>
        <v>0</v>
      </c>
      <c r="U65" s="368">
        <v>0</v>
      </c>
      <c r="V65" s="368">
        <v>28446.035067487166</v>
      </c>
      <c r="W65" s="368">
        <v>0</v>
      </c>
      <c r="X65" s="368">
        <f t="shared" si="1"/>
        <v>34677.953948969058</v>
      </c>
      <c r="Y65" s="364">
        <f t="shared" si="2"/>
        <v>59684.125826907264</v>
      </c>
      <c r="Z65" s="364"/>
      <c r="AA65" s="364">
        <v>4502130</v>
      </c>
      <c r="AB65" s="369">
        <f t="shared" si="12"/>
        <v>13.256864156945104</v>
      </c>
      <c r="AC65" s="370">
        <f t="shared" si="3"/>
        <v>5.5542980495761354</v>
      </c>
      <c r="AD65" s="371">
        <f t="shared" si="4"/>
        <v>1.7917090482503663E-4</v>
      </c>
      <c r="AE65" s="370">
        <f t="shared" si="13"/>
        <v>7.7025661073689697</v>
      </c>
      <c r="AF65" s="371">
        <f t="shared" si="5"/>
        <v>2.4846987443125708E-4</v>
      </c>
      <c r="AG65" s="372">
        <f t="shared" si="14"/>
        <v>4.2764077925629368E-4</v>
      </c>
      <c r="AH65" s="373">
        <f t="shared" si="6"/>
        <v>4.2764077925629368E-4</v>
      </c>
      <c r="AI65" s="374" t="b">
        <f t="shared" si="15"/>
        <v>1</v>
      </c>
      <c r="AJ65" s="375">
        <f t="shared" si="18"/>
        <v>7.268212428690788E-5</v>
      </c>
      <c r="AL65" s="376">
        <f t="shared" si="8"/>
        <v>28446.035067487166</v>
      </c>
      <c r="AM65" s="384"/>
      <c r="AN65" s="383">
        <f t="shared" si="22"/>
        <v>6.3183504402332149</v>
      </c>
      <c r="AO65" s="379">
        <f t="shared" si="21"/>
        <v>2.0381775613655532E-4</v>
      </c>
      <c r="AQ65" s="380">
        <f t="shared" si="9"/>
        <v>4.2764077925629368E-4</v>
      </c>
      <c r="AR65" s="381">
        <v>252377.30894529319</v>
      </c>
      <c r="AT65" s="382">
        <v>13.256864156945104</v>
      </c>
    </row>
    <row r="66" spans="1:46">
      <c r="A66" s="361">
        <v>2010</v>
      </c>
      <c r="B66" s="361">
        <v>2</v>
      </c>
      <c r="C66" s="362">
        <f t="shared" si="17"/>
        <v>35.042184420393127</v>
      </c>
      <c r="D66" s="363">
        <f t="shared" si="24"/>
        <v>1.7822245532205266E-2</v>
      </c>
      <c r="E66" s="387">
        <v>15132.982913414449</v>
      </c>
      <c r="F66" s="364">
        <v>485.60358736954379</v>
      </c>
      <c r="G66" s="364">
        <v>12404.135365096594</v>
      </c>
      <c r="H66" s="364">
        <v>12.651972929264938</v>
      </c>
      <c r="I66" s="364">
        <v>5521.7278237319333</v>
      </c>
      <c r="J66" s="365">
        <f t="shared" si="10"/>
        <v>33557.101662541783</v>
      </c>
      <c r="K66" s="366">
        <v>28</v>
      </c>
      <c r="L66" s="367">
        <f t="shared" si="11"/>
        <v>1.7822245532205266E-2</v>
      </c>
      <c r="M66" s="368">
        <v>6872.7472692864749</v>
      </c>
      <c r="N66" s="368">
        <v>0</v>
      </c>
      <c r="O66" s="368">
        <v>131.99518941152829</v>
      </c>
      <c r="P66" s="368">
        <v>121.88820334220109</v>
      </c>
      <c r="Q66" s="368">
        <v>1236.3101543069365</v>
      </c>
      <c r="R66" s="368">
        <v>0</v>
      </c>
      <c r="S66" s="364">
        <f>$L66*'MWh Impact Summary'!$L$16</f>
        <v>0</v>
      </c>
      <c r="T66" s="364">
        <f>$L66*'MWh Impact Summary'!$M$16</f>
        <v>0</v>
      </c>
      <c r="U66" s="368">
        <v>0</v>
      </c>
      <c r="V66" s="368">
        <v>38173.235604209593</v>
      </c>
      <c r="W66" s="368">
        <v>0</v>
      </c>
      <c r="X66" s="368">
        <f t="shared" si="1"/>
        <v>46536.176420556731</v>
      </c>
      <c r="Y66" s="364">
        <f t="shared" si="2"/>
        <v>80093.278083098514</v>
      </c>
      <c r="Z66" s="364"/>
      <c r="AA66" s="364">
        <v>4510659</v>
      </c>
      <c r="AB66" s="369">
        <f t="shared" si="12"/>
        <v>17.756447136238521</v>
      </c>
      <c r="AC66" s="370">
        <f t="shared" si="3"/>
        <v>7.4395119787467383</v>
      </c>
      <c r="AD66" s="371">
        <f t="shared" si="4"/>
        <v>2.6569685638381206E-4</v>
      </c>
      <c r="AE66" s="370">
        <f t="shared" si="13"/>
        <v>10.316935157491784</v>
      </c>
      <c r="AF66" s="371">
        <f t="shared" si="5"/>
        <v>3.6846196991042085E-4</v>
      </c>
      <c r="AG66" s="372">
        <f t="shared" si="14"/>
        <v>6.3415882629423292E-4</v>
      </c>
      <c r="AH66" s="373">
        <f t="shared" si="6"/>
        <v>6.3415882629423292E-4</v>
      </c>
      <c r="AI66" s="374" t="b">
        <f t="shared" si="15"/>
        <v>1</v>
      </c>
      <c r="AJ66" s="375">
        <f t="shared" si="18"/>
        <v>1.0735914849434628E-4</v>
      </c>
      <c r="AL66" s="376">
        <f t="shared" si="8"/>
        <v>38173.235604209593</v>
      </c>
      <c r="AM66" s="384"/>
      <c r="AN66" s="383">
        <f t="shared" si="22"/>
        <v>8.462895466983781</v>
      </c>
      <c r="AO66" s="379">
        <f t="shared" si="21"/>
        <v>3.0224626667799218E-4</v>
      </c>
      <c r="AQ66" s="380">
        <f t="shared" si="9"/>
        <v>6.3415882629423292E-4</v>
      </c>
      <c r="AR66" s="381">
        <v>234507.32757270089</v>
      </c>
      <c r="AT66" s="382">
        <v>17.756447136238521</v>
      </c>
    </row>
    <row r="67" spans="1:46">
      <c r="A67" s="361">
        <v>2010</v>
      </c>
      <c r="B67" s="361">
        <v>3</v>
      </c>
      <c r="C67" s="362">
        <f t="shared" si="17"/>
        <v>64.582270600115152</v>
      </c>
      <c r="D67" s="363">
        <f t="shared" si="24"/>
        <v>3.2846156787895278E-2</v>
      </c>
      <c r="E67" s="387">
        <v>27889.882256663463</v>
      </c>
      <c r="F67" s="364">
        <v>894.96082514865964</v>
      </c>
      <c r="G67" s="364">
        <v>22860.653237214465</v>
      </c>
      <c r="H67" s="364">
        <v>23.317414506488497</v>
      </c>
      <c r="I67" s="364">
        <v>10176.469486443049</v>
      </c>
      <c r="J67" s="365">
        <f t="shared" si="10"/>
        <v>61845.283219976125</v>
      </c>
      <c r="K67" s="366">
        <v>31</v>
      </c>
      <c r="L67" s="367">
        <f t="shared" si="11"/>
        <v>3.2846156787895278E-2</v>
      </c>
      <c r="M67" s="368">
        <v>12666.380000356214</v>
      </c>
      <c r="N67" s="368">
        <v>0</v>
      </c>
      <c r="O67" s="368">
        <v>243.26534379882534</v>
      </c>
      <c r="P67" s="368">
        <v>224.63830555685377</v>
      </c>
      <c r="Q67" s="368">
        <v>2278.5028459771161</v>
      </c>
      <c r="R67" s="368">
        <v>0</v>
      </c>
      <c r="S67" s="364">
        <f>$L67*'MWh Impact Summary'!$L$16</f>
        <v>0</v>
      </c>
      <c r="T67" s="364">
        <f>$L67*'MWh Impact Summary'!$M$16</f>
        <v>0</v>
      </c>
      <c r="U67" s="368">
        <v>0</v>
      </c>
      <c r="V67" s="368">
        <v>70352.755464590897</v>
      </c>
      <c r="W67" s="368">
        <v>0</v>
      </c>
      <c r="X67" s="368">
        <f t="shared" si="1"/>
        <v>85765.541960279908</v>
      </c>
      <c r="Y67" s="364">
        <f t="shared" si="2"/>
        <v>147610.82518025604</v>
      </c>
      <c r="Z67" s="364"/>
      <c r="AA67" s="364">
        <v>4516712</v>
      </c>
      <c r="AB67" s="369">
        <f t="shared" si="12"/>
        <v>32.681035492246579</v>
      </c>
      <c r="AC67" s="370">
        <f t="shared" si="3"/>
        <v>13.692545201017051</v>
      </c>
      <c r="AD67" s="371">
        <f t="shared" si="4"/>
        <v>4.41695006484421E-4</v>
      </c>
      <c r="AE67" s="370">
        <f t="shared" si="13"/>
        <v>18.988490291229528</v>
      </c>
      <c r="AF67" s="371">
        <f t="shared" si="5"/>
        <v>6.1253194487837198E-4</v>
      </c>
      <c r="AG67" s="372">
        <f t="shared" si="14"/>
        <v>1.0542269513627929E-3</v>
      </c>
      <c r="AH67" s="373">
        <f t="shared" si="6"/>
        <v>1.0542269513627929E-3</v>
      </c>
      <c r="AI67" s="374" t="b">
        <f t="shared" si="15"/>
        <v>1</v>
      </c>
      <c r="AJ67" s="375">
        <f t="shared" si="18"/>
        <v>1.7735787773020303E-4</v>
      </c>
      <c r="AL67" s="376">
        <f t="shared" si="8"/>
        <v>70352.755464590897</v>
      </c>
      <c r="AM67" s="384"/>
      <c r="AN67" s="383">
        <f t="shared" si="22"/>
        <v>15.576099486659963</v>
      </c>
      <c r="AO67" s="379">
        <f t="shared" si="21"/>
        <v>5.024548221503214E-4</v>
      </c>
      <c r="AQ67" s="380">
        <f t="shared" si="9"/>
        <v>1.0542269513627929E-3</v>
      </c>
      <c r="AR67" s="381">
        <v>284181.446267744</v>
      </c>
      <c r="AT67" s="382">
        <v>32.681035492246579</v>
      </c>
    </row>
    <row r="68" spans="1:46">
      <c r="A68" s="361">
        <v>2010</v>
      </c>
      <c r="B68" s="361">
        <v>4</v>
      </c>
      <c r="C68" s="362">
        <f t="shared" si="17"/>
        <v>114.03392869270741</v>
      </c>
      <c r="D68" s="363">
        <f t="shared" si="24"/>
        <v>5.7996974497419709E-2</v>
      </c>
      <c r="E68" s="387">
        <v>49245.602778461238</v>
      </c>
      <c r="F68" s="364">
        <v>1580.2463736477371</v>
      </c>
      <c r="G68" s="364">
        <v>40365.414174777819</v>
      </c>
      <c r="H68" s="364">
        <v>41.171924715921477</v>
      </c>
      <c r="I68" s="364">
        <v>17968.751872259043</v>
      </c>
      <c r="J68" s="365">
        <f t="shared" si="10"/>
        <v>109201.18712386176</v>
      </c>
      <c r="K68" s="366">
        <v>30</v>
      </c>
      <c r="L68" s="367">
        <f t="shared" si="11"/>
        <v>5.7996974497419709E-2</v>
      </c>
      <c r="M68" s="368">
        <v>22365.225941015153</v>
      </c>
      <c r="N68" s="368">
        <v>0</v>
      </c>
      <c r="O68" s="368">
        <v>429.53743512561999</v>
      </c>
      <c r="P68" s="368">
        <v>396.64738138635846</v>
      </c>
      <c r="Q68" s="368">
        <v>4023.1882318461257</v>
      </c>
      <c r="R68" s="368">
        <v>0</v>
      </c>
      <c r="S68" s="364">
        <f>$L68*'MWh Impact Summary'!$L$16</f>
        <v>0</v>
      </c>
      <c r="T68" s="364">
        <f>$L68*'MWh Impact Summary'!$M$16</f>
        <v>0</v>
      </c>
      <c r="U68" s="368">
        <v>0</v>
      </c>
      <c r="V68" s="368">
        <v>124222.96437453431</v>
      </c>
      <c r="W68" s="368">
        <v>0</v>
      </c>
      <c r="X68" s="368">
        <f t="shared" si="1"/>
        <v>151437.56336390757</v>
      </c>
      <c r="Y68" s="364">
        <f t="shared" si="2"/>
        <v>260638.75048776931</v>
      </c>
      <c r="Z68" s="364"/>
      <c r="AA68" s="364">
        <v>4520229</v>
      </c>
      <c r="AB68" s="369">
        <f t="shared" si="12"/>
        <v>57.660519077190408</v>
      </c>
      <c r="AC68" s="370">
        <f t="shared" si="3"/>
        <v>24.158330722594311</v>
      </c>
      <c r="AD68" s="371">
        <f t="shared" si="4"/>
        <v>8.0527769075314367E-4</v>
      </c>
      <c r="AE68" s="370">
        <f t="shared" si="13"/>
        <v>33.5021883545961</v>
      </c>
      <c r="AF68" s="371">
        <f t="shared" si="5"/>
        <v>1.11673961181987E-3</v>
      </c>
      <c r="AG68" s="372">
        <f t="shared" si="14"/>
        <v>1.9220173025730138E-3</v>
      </c>
      <c r="AH68" s="373">
        <f t="shared" si="6"/>
        <v>1.9220173025730136E-3</v>
      </c>
      <c r="AI68" s="374" t="b">
        <f t="shared" si="15"/>
        <v>1</v>
      </c>
      <c r="AJ68" s="375">
        <f t="shared" si="18"/>
        <v>3.2192028089134996E-4</v>
      </c>
      <c r="AL68" s="376">
        <f t="shared" si="8"/>
        <v>124222.96437453431</v>
      </c>
      <c r="AM68" s="384"/>
      <c r="AN68" s="383">
        <f t="shared" si="22"/>
        <v>27.48156440183325</v>
      </c>
      <c r="AO68" s="379">
        <f t="shared" si="21"/>
        <v>9.1605214672777499E-4</v>
      </c>
      <c r="AQ68" s="380">
        <f t="shared" si="9"/>
        <v>1.9220173025730136E-3</v>
      </c>
      <c r="AR68" s="381">
        <v>334261.39929994685</v>
      </c>
      <c r="AT68" s="382">
        <v>57.660519077190408</v>
      </c>
    </row>
    <row r="69" spans="1:46">
      <c r="A69" s="361">
        <v>2010</v>
      </c>
      <c r="B69" s="361">
        <v>5</v>
      </c>
      <c r="C69" s="362">
        <f t="shared" si="17"/>
        <v>208.47875842628665</v>
      </c>
      <c r="D69" s="363">
        <f t="shared" si="24"/>
        <v>0.10603105035770212</v>
      </c>
      <c r="E69" s="387">
        <v>90031.644466742437</v>
      </c>
      <c r="F69" s="364">
        <v>2889.0331655020022</v>
      </c>
      <c r="G69" s="364">
        <v>73796.733366941175</v>
      </c>
      <c r="H69" s="364">
        <v>75.271209588210709</v>
      </c>
      <c r="I69" s="364">
        <v>32850.776288637564</v>
      </c>
      <c r="J69" s="365">
        <f t="shared" si="10"/>
        <v>199643.4584974114</v>
      </c>
      <c r="K69" s="366">
        <v>31</v>
      </c>
      <c r="L69" s="367">
        <f t="shared" si="11"/>
        <v>0.10603105035770212</v>
      </c>
      <c r="M69" s="368">
        <v>40888.484590151638</v>
      </c>
      <c r="N69" s="368">
        <v>0</v>
      </c>
      <c r="O69" s="368">
        <v>785.28760868981351</v>
      </c>
      <c r="P69" s="368">
        <v>725.15745578933206</v>
      </c>
      <c r="Q69" s="368">
        <v>7355.2608167236349</v>
      </c>
      <c r="R69" s="368">
        <v>0</v>
      </c>
      <c r="S69" s="364">
        <f>$L69*'MWh Impact Summary'!$L$16</f>
        <v>0</v>
      </c>
      <c r="T69" s="364">
        <f>$L69*'MWh Impact Summary'!$M$16</f>
        <v>0</v>
      </c>
      <c r="U69" s="368">
        <v>0</v>
      </c>
      <c r="V69" s="368">
        <v>227106.52590619677</v>
      </c>
      <c r="W69" s="368">
        <v>0</v>
      </c>
      <c r="X69" s="368">
        <f t="shared" ref="X69:X132" si="25">SUM(M69:W69)</f>
        <v>276860.7163775512</v>
      </c>
      <c r="Y69" s="364">
        <f t="shared" ref="Y69:Y132" si="26">X69+J69</f>
        <v>476504.1748749626</v>
      </c>
      <c r="Z69" s="364"/>
      <c r="AA69" s="364">
        <v>4521728</v>
      </c>
      <c r="AB69" s="369">
        <f t="shared" si="12"/>
        <v>105.38099038132383</v>
      </c>
      <c r="AC69" s="370">
        <f t="shared" ref="AC69:AC132" si="27">+J69*1000/AA69</f>
        <v>44.152027388071858</v>
      </c>
      <c r="AD69" s="371">
        <f t="shared" ref="AD69:AD132" si="28">+AC69/K69/1000</f>
        <v>1.424258948002318E-3</v>
      </c>
      <c r="AE69" s="370">
        <f t="shared" si="13"/>
        <v>61.228962993251962</v>
      </c>
      <c r="AF69" s="371">
        <f t="shared" ref="AF69:AF132" si="29">+AE69/K69/1000</f>
        <v>1.9751278384919986E-3</v>
      </c>
      <c r="AG69" s="372">
        <f t="shared" si="14"/>
        <v>3.3993867864943166E-3</v>
      </c>
      <c r="AH69" s="373">
        <f t="shared" ref="AH69:AH132" si="30">+AB69/K69/1000</f>
        <v>3.3993867864943171E-3</v>
      </c>
      <c r="AI69" s="374" t="b">
        <f t="shared" si="15"/>
        <v>1</v>
      </c>
      <c r="AJ69" s="375">
        <f t="shared" si="18"/>
        <v>5.6630839441907223E-4</v>
      </c>
      <c r="AL69" s="376">
        <f t="shared" ref="AL69:AL132" si="31">+V69</f>
        <v>227106.52590619677</v>
      </c>
      <c r="AM69" s="384"/>
      <c r="AN69" s="383">
        <f t="shared" si="22"/>
        <v>50.225605323052775</v>
      </c>
      <c r="AO69" s="379">
        <f t="shared" si="21"/>
        <v>1.6201808168726701E-3</v>
      </c>
      <c r="AQ69" s="380">
        <f t="shared" ref="AQ69:AQ132" si="32">AH69</f>
        <v>3.3993867864943171E-3</v>
      </c>
      <c r="AR69" s="381">
        <v>402473.95118086669</v>
      </c>
      <c r="AT69" s="382">
        <v>105.38099038132383</v>
      </c>
    </row>
    <row r="70" spans="1:46">
      <c r="A70" s="361">
        <v>2010</v>
      </c>
      <c r="B70" s="361">
        <v>6</v>
      </c>
      <c r="C70" s="362">
        <f t="shared" si="17"/>
        <v>271.66325293295364</v>
      </c>
      <c r="D70" s="363">
        <f t="shared" si="24"/>
        <v>0.13816630657965029</v>
      </c>
      <c r="E70" s="387">
        <v>117317.89649632962</v>
      </c>
      <c r="F70" s="364">
        <v>3764.6240484925233</v>
      </c>
      <c r="G70" s="364">
        <v>96162.605694802944</v>
      </c>
      <c r="H70" s="364">
        <v>98.083957345522791</v>
      </c>
      <c r="I70" s="364">
        <v>42806.992977653732</v>
      </c>
      <c r="J70" s="365">
        <f t="shared" ref="J70:J133" si="33">SUM(E70:I70)</f>
        <v>260150.20317462436</v>
      </c>
      <c r="K70" s="366">
        <v>30</v>
      </c>
      <c r="L70" s="367">
        <f t="shared" ref="L70:L133" si="34">+D70</f>
        <v>0.13816630657965029</v>
      </c>
      <c r="M70" s="368">
        <v>53280.721811220115</v>
      </c>
      <c r="N70" s="368">
        <v>0</v>
      </c>
      <c r="O70" s="368">
        <v>1023.2878777434062</v>
      </c>
      <c r="P70" s="368">
        <v>944.93383793806822</v>
      </c>
      <c r="Q70" s="368">
        <v>9584.4492490487355</v>
      </c>
      <c r="R70" s="368">
        <v>0</v>
      </c>
      <c r="S70" s="364">
        <f>$L70*'MWh Impact Summary'!$L$16</f>
        <v>0</v>
      </c>
      <c r="T70" s="364">
        <f>$L70*'MWh Impact Summary'!$M$16</f>
        <v>0</v>
      </c>
      <c r="U70" s="368">
        <v>0</v>
      </c>
      <c r="V70" s="368">
        <v>295936.6127067281</v>
      </c>
      <c r="W70" s="368">
        <v>0</v>
      </c>
      <c r="X70" s="368">
        <f t="shared" si="25"/>
        <v>360770.00548267842</v>
      </c>
      <c r="Y70" s="364">
        <f t="shared" si="26"/>
        <v>620920.20865730278</v>
      </c>
      <c r="Z70" s="364"/>
      <c r="AA70" s="364">
        <v>4521918</v>
      </c>
      <c r="AB70" s="369">
        <f t="shared" ref="AB70:AB133" si="35">+Y70*1000/AA70</f>
        <v>137.31346049559119</v>
      </c>
      <c r="AC70" s="370">
        <f t="shared" si="27"/>
        <v>57.530942218462243</v>
      </c>
      <c r="AD70" s="371">
        <f t="shared" si="28"/>
        <v>1.9176980739487415E-3</v>
      </c>
      <c r="AE70" s="370">
        <f t="shared" ref="AE70:AE133" si="36">+X70*1000/AA70</f>
        <v>79.782518277128958</v>
      </c>
      <c r="AF70" s="371">
        <f t="shared" si="29"/>
        <v>2.6594172759042984E-3</v>
      </c>
      <c r="AG70" s="372">
        <f t="shared" ref="AG70:AG133" si="37">AD70+AF70</f>
        <v>4.5771153498530403E-3</v>
      </c>
      <c r="AH70" s="373">
        <f t="shared" si="30"/>
        <v>4.5771153498530403E-3</v>
      </c>
      <c r="AI70" s="374" t="b">
        <f t="shared" ref="AI70:AI133" si="38">AG70=AH70</f>
        <v>1</v>
      </c>
      <c r="AJ70" s="375">
        <f t="shared" si="18"/>
        <v>7.6134755294596842E-4</v>
      </c>
      <c r="AL70" s="376">
        <f t="shared" si="31"/>
        <v>295936.6127067281</v>
      </c>
      <c r="AM70" s="384"/>
      <c r="AN70" s="383">
        <f t="shared" si="22"/>
        <v>65.444931267379928</v>
      </c>
      <c r="AO70" s="379">
        <f t="shared" si="21"/>
        <v>2.1814977089126644E-3</v>
      </c>
      <c r="AQ70" s="380">
        <f t="shared" si="32"/>
        <v>4.5771153498530403E-3</v>
      </c>
      <c r="AR70" s="381">
        <v>491747.42381475423</v>
      </c>
      <c r="AT70" s="382">
        <v>137.31346049559119</v>
      </c>
    </row>
    <row r="71" spans="1:46">
      <c r="A71" s="361">
        <v>2010</v>
      </c>
      <c r="B71" s="361">
        <v>7</v>
      </c>
      <c r="C71" s="362">
        <f t="shared" si="17"/>
        <v>322.31916585708109</v>
      </c>
      <c r="D71" s="363">
        <f t="shared" si="24"/>
        <v>0.16392960109808263</v>
      </c>
      <c r="E71" s="387">
        <v>139193.67500225277</v>
      </c>
      <c r="F71" s="364">
        <v>4466.5977822738023</v>
      </c>
      <c r="G71" s="364">
        <v>114093.64542153165</v>
      </c>
      <c r="H71" s="364">
        <v>116.37326349534965</v>
      </c>
      <c r="I71" s="364">
        <v>50789.034293175086</v>
      </c>
      <c r="J71" s="365">
        <f t="shared" si="33"/>
        <v>308659.32576272864</v>
      </c>
      <c r="K71" s="366">
        <v>31</v>
      </c>
      <c r="L71" s="367">
        <f t="shared" si="34"/>
        <v>0.16392960109808263</v>
      </c>
      <c r="M71" s="368">
        <v>63215.755627773629</v>
      </c>
      <c r="N71" s="368">
        <v>0</v>
      </c>
      <c r="O71" s="368">
        <v>1214.0960973743408</v>
      </c>
      <c r="P71" s="368">
        <v>1121.1317067954576</v>
      </c>
      <c r="Q71" s="368">
        <v>11371.621497572738</v>
      </c>
      <c r="R71" s="368">
        <v>0</v>
      </c>
      <c r="S71" s="364">
        <f>$L71*'MWh Impact Summary'!$L$16</f>
        <v>0</v>
      </c>
      <c r="T71" s="364">
        <f>$L71*'MWh Impact Summary'!$M$16</f>
        <v>0</v>
      </c>
      <c r="U71" s="368">
        <v>0</v>
      </c>
      <c r="V71" s="368">
        <v>351118.67771731311</v>
      </c>
      <c r="W71" s="368">
        <v>0</v>
      </c>
      <c r="X71" s="368">
        <f t="shared" si="25"/>
        <v>428041.28264682926</v>
      </c>
      <c r="Y71" s="364">
        <f t="shared" si="26"/>
        <v>736700.60840955796</v>
      </c>
      <c r="Z71" s="364"/>
      <c r="AA71" s="364">
        <v>4522790</v>
      </c>
      <c r="AB71" s="369">
        <f t="shared" si="35"/>
        <v>162.88631760695455</v>
      </c>
      <c r="AC71" s="370">
        <f t="shared" si="27"/>
        <v>68.245336564980605</v>
      </c>
      <c r="AD71" s="371">
        <f t="shared" si="28"/>
        <v>2.2014624698380838E-3</v>
      </c>
      <c r="AE71" s="370">
        <f t="shared" si="36"/>
        <v>94.64098104197393</v>
      </c>
      <c r="AF71" s="371">
        <f t="shared" si="29"/>
        <v>3.0529348723217398E-3</v>
      </c>
      <c r="AG71" s="372">
        <f t="shared" si="37"/>
        <v>5.254397342159824E-3</v>
      </c>
      <c r="AH71" s="373">
        <f t="shared" si="30"/>
        <v>5.254397342159824E-3</v>
      </c>
      <c r="AI71" s="374" t="b">
        <f t="shared" si="38"/>
        <v>1</v>
      </c>
      <c r="AJ71" s="375">
        <f t="shared" si="18"/>
        <v>8.7362310804017275E-4</v>
      </c>
      <c r="AL71" s="376">
        <f t="shared" si="31"/>
        <v>351118.67771731311</v>
      </c>
      <c r="AM71" s="384"/>
      <c r="AN71" s="383">
        <f t="shared" si="22"/>
        <v>77.63320377848919</v>
      </c>
      <c r="AO71" s="379">
        <f t="shared" si="21"/>
        <v>2.5042968960802964E-3</v>
      </c>
      <c r="AQ71" s="380">
        <f t="shared" si="32"/>
        <v>5.254397342159824E-3</v>
      </c>
      <c r="AR71" s="381">
        <v>517453.27171815862</v>
      </c>
      <c r="AT71" s="382">
        <v>162.88631760695455</v>
      </c>
    </row>
    <row r="72" spans="1:46">
      <c r="A72" s="361">
        <v>2010</v>
      </c>
      <c r="B72" s="361">
        <v>8</v>
      </c>
      <c r="C72" s="362">
        <f t="shared" si="17"/>
        <v>326.45437890907908</v>
      </c>
      <c r="D72" s="363">
        <f t="shared" si="24"/>
        <v>0.16603274573816959</v>
      </c>
      <c r="E72" s="387">
        <v>140979.46859629583</v>
      </c>
      <c r="F72" s="364">
        <v>4523.9022661637673</v>
      </c>
      <c r="G72" s="364">
        <v>115557.41668205406</v>
      </c>
      <c r="H72" s="364">
        <v>117.86628125254673</v>
      </c>
      <c r="I72" s="364">
        <v>51440.635251960884</v>
      </c>
      <c r="J72" s="365">
        <f t="shared" si="33"/>
        <v>312619.28907772707</v>
      </c>
      <c r="K72" s="366">
        <v>31</v>
      </c>
      <c r="L72" s="367">
        <f t="shared" si="34"/>
        <v>0.16603274573816959</v>
      </c>
      <c r="M72" s="368">
        <v>64026.78595254122</v>
      </c>
      <c r="N72" s="368">
        <v>0</v>
      </c>
      <c r="O72" s="368">
        <v>1229.6724160052606</v>
      </c>
      <c r="P72" s="368">
        <v>1135.5153332069415</v>
      </c>
      <c r="Q72" s="368">
        <v>11517.51439697294</v>
      </c>
      <c r="R72" s="368">
        <v>0</v>
      </c>
      <c r="S72" s="364">
        <f>$L72*'MWh Impact Summary'!$L$16</f>
        <v>0</v>
      </c>
      <c r="T72" s="364">
        <f>$L72*'MWh Impact Summary'!$M$16</f>
        <v>0</v>
      </c>
      <c r="U72" s="368">
        <v>0</v>
      </c>
      <c r="V72" s="368">
        <v>355623.37583241286</v>
      </c>
      <c r="W72" s="368">
        <v>0</v>
      </c>
      <c r="X72" s="368">
        <f t="shared" si="25"/>
        <v>433532.86393113923</v>
      </c>
      <c r="Y72" s="364">
        <f t="shared" si="26"/>
        <v>746152.15300886636</v>
      </c>
      <c r="Z72" s="364"/>
      <c r="AA72" s="364">
        <v>4526766</v>
      </c>
      <c r="AB72" s="369">
        <f t="shared" si="35"/>
        <v>164.83117373614326</v>
      </c>
      <c r="AC72" s="370">
        <f t="shared" si="27"/>
        <v>69.060183158954331</v>
      </c>
      <c r="AD72" s="371">
        <f t="shared" si="28"/>
        <v>2.2277478438372366E-3</v>
      </c>
      <c r="AE72" s="370">
        <f t="shared" si="36"/>
        <v>95.770990577188925</v>
      </c>
      <c r="AF72" s="371">
        <f t="shared" si="29"/>
        <v>3.089386792812546E-3</v>
      </c>
      <c r="AG72" s="372">
        <f t="shared" si="37"/>
        <v>5.3171346366497826E-3</v>
      </c>
      <c r="AH72" s="373">
        <f t="shared" si="30"/>
        <v>5.3171346366497818E-3</v>
      </c>
      <c r="AI72" s="374" t="b">
        <f t="shared" si="38"/>
        <v>1</v>
      </c>
      <c r="AJ72" s="375">
        <f t="shared" si="18"/>
        <v>8.8071618541108072E-4</v>
      </c>
      <c r="AL72" s="376">
        <f t="shared" si="31"/>
        <v>355623.37583241286</v>
      </c>
      <c r="AM72" s="384"/>
      <c r="AN72" s="383">
        <f t="shared" si="22"/>
        <v>78.56014113219301</v>
      </c>
      <c r="AO72" s="379">
        <f t="shared" si="21"/>
        <v>2.5341981010384841E-3</v>
      </c>
      <c r="AQ72" s="380">
        <f t="shared" si="32"/>
        <v>5.3171346366497818E-3</v>
      </c>
      <c r="AR72" s="381">
        <v>537984.46334324288</v>
      </c>
      <c r="AT72" s="382">
        <v>164.83117373614326</v>
      </c>
    </row>
    <row r="73" spans="1:46">
      <c r="A73" s="361">
        <v>2010</v>
      </c>
      <c r="B73" s="361">
        <v>9</v>
      </c>
      <c r="C73" s="362">
        <f t="shared" si="17"/>
        <v>277.87653293728147</v>
      </c>
      <c r="D73" s="363">
        <f t="shared" si="24"/>
        <v>0.14132634365008559</v>
      </c>
      <c r="E73" s="387">
        <v>120001.10422715344</v>
      </c>
      <c r="F73" s="364">
        <v>3850.7257316306668</v>
      </c>
      <c r="G73" s="364">
        <v>98361.965338321024</v>
      </c>
      <c r="H73" s="364">
        <v>100.32726071593001</v>
      </c>
      <c r="I73" s="364">
        <v>43786.042704261774</v>
      </c>
      <c r="J73" s="365">
        <f t="shared" si="33"/>
        <v>266100.16526208282</v>
      </c>
      <c r="K73" s="366">
        <v>30</v>
      </c>
      <c r="L73" s="367">
        <f t="shared" si="34"/>
        <v>0.14132634365008559</v>
      </c>
      <c r="M73" s="368">
        <v>54499.318878993254</v>
      </c>
      <c r="N73" s="368">
        <v>0</v>
      </c>
      <c r="O73" s="368">
        <v>1046.6917575129801</v>
      </c>
      <c r="P73" s="368">
        <v>966.545662346732</v>
      </c>
      <c r="Q73" s="368">
        <v>9803.6576485237529</v>
      </c>
      <c r="R73" s="368">
        <v>0</v>
      </c>
      <c r="S73" s="364">
        <f>$L73*'MWh Impact Summary'!$L$16</f>
        <v>0</v>
      </c>
      <c r="T73" s="364">
        <f>$L73*'MWh Impact Summary'!$M$16</f>
        <v>0</v>
      </c>
      <c r="U73" s="368">
        <v>0</v>
      </c>
      <c r="V73" s="368">
        <v>302705.05495435529</v>
      </c>
      <c r="W73" s="368">
        <v>0</v>
      </c>
      <c r="X73" s="368">
        <f t="shared" si="25"/>
        <v>369021.26890173199</v>
      </c>
      <c r="Y73" s="364">
        <f t="shared" si="26"/>
        <v>635121.43416381488</v>
      </c>
      <c r="Z73" s="364"/>
      <c r="AA73" s="364">
        <v>4524923</v>
      </c>
      <c r="AB73" s="369">
        <f t="shared" si="35"/>
        <v>140.36071645060366</v>
      </c>
      <c r="AC73" s="370">
        <f t="shared" si="27"/>
        <v>58.807667061314149</v>
      </c>
      <c r="AD73" s="371">
        <f t="shared" si="28"/>
        <v>1.9602555687104717E-3</v>
      </c>
      <c r="AE73" s="370">
        <f t="shared" si="36"/>
        <v>81.553049389289484</v>
      </c>
      <c r="AF73" s="371">
        <f t="shared" si="29"/>
        <v>2.7184349796429831E-3</v>
      </c>
      <c r="AG73" s="372">
        <f t="shared" si="37"/>
        <v>4.6786905483534548E-3</v>
      </c>
      <c r="AH73" s="373">
        <f t="shared" si="30"/>
        <v>4.6786905483534556E-3</v>
      </c>
      <c r="AI73" s="374" t="b">
        <f>AG73=AH73</f>
        <v>0</v>
      </c>
      <c r="AJ73" s="375">
        <f t="shared" si="18"/>
        <v>7.7391943001183568E-4</v>
      </c>
      <c r="AL73" s="376">
        <f t="shared" si="31"/>
        <v>302705.05495435529</v>
      </c>
      <c r="AM73" s="384"/>
      <c r="AN73" s="383">
        <f t="shared" si="22"/>
        <v>66.897283103901501</v>
      </c>
      <c r="AO73" s="379">
        <f t="shared" si="21"/>
        <v>2.2299094367967168E-3</v>
      </c>
      <c r="AQ73" s="380">
        <f t="shared" si="32"/>
        <v>4.6786905483534556E-3</v>
      </c>
      <c r="AR73" s="381">
        <v>508025.22154489503</v>
      </c>
      <c r="AT73" s="382">
        <v>140.36071645060366</v>
      </c>
    </row>
    <row r="74" spans="1:46">
      <c r="A74" s="361">
        <v>2010</v>
      </c>
      <c r="B74" s="361">
        <v>10</v>
      </c>
      <c r="C74" s="362">
        <f t="shared" si="17"/>
        <v>198.89039579254836</v>
      </c>
      <c r="D74" s="363">
        <f t="shared" si="24"/>
        <v>0.10115446643644242</v>
      </c>
      <c r="E74" s="387">
        <v>85890.905802644178</v>
      </c>
      <c r="F74" s="364">
        <v>2756.1606471656819</v>
      </c>
      <c r="G74" s="364">
        <v>70402.671324127761</v>
      </c>
      <c r="H74" s="364">
        <v>71.809333381445654</v>
      </c>
      <c r="I74" s="364">
        <v>31339.902191760975</v>
      </c>
      <c r="J74" s="365">
        <f t="shared" si="33"/>
        <v>190461.44929908006</v>
      </c>
      <c r="K74" s="366">
        <v>31</v>
      </c>
      <c r="L74" s="367">
        <f t="shared" si="34"/>
        <v>0.10115446643644242</v>
      </c>
      <c r="M74" s="368">
        <v>39007.939920978475</v>
      </c>
      <c r="N74" s="368">
        <v>0</v>
      </c>
      <c r="O74" s="368">
        <v>749.17063245330451</v>
      </c>
      <c r="P74" s="368">
        <v>691.80598773017425</v>
      </c>
      <c r="Q74" s="368">
        <v>7016.9773939479364</v>
      </c>
      <c r="R74" s="368">
        <v>0</v>
      </c>
      <c r="S74" s="364">
        <f>$L74*'MWh Impact Summary'!$L$16</f>
        <v>0</v>
      </c>
      <c r="T74" s="364">
        <f>$L74*'MWh Impact Summary'!$M$16</f>
        <v>0</v>
      </c>
      <c r="U74" s="368">
        <v>0</v>
      </c>
      <c r="V74" s="368">
        <v>216661.43431358237</v>
      </c>
      <c r="W74" s="368">
        <v>0</v>
      </c>
      <c r="X74" s="368">
        <f t="shared" si="25"/>
        <v>264127.32824869227</v>
      </c>
      <c r="Y74" s="364">
        <f t="shared" si="26"/>
        <v>454588.77754777233</v>
      </c>
      <c r="Z74" s="364"/>
      <c r="AA74" s="364">
        <v>4524001</v>
      </c>
      <c r="AB74" s="369">
        <f t="shared" si="35"/>
        <v>100.48379245446063</v>
      </c>
      <c r="AC74" s="370">
        <f t="shared" si="27"/>
        <v>42.100222634583872</v>
      </c>
      <c r="AD74" s="371">
        <f t="shared" si="28"/>
        <v>1.3580716978898023E-3</v>
      </c>
      <c r="AE74" s="370">
        <f t="shared" si="36"/>
        <v>58.383569819876762</v>
      </c>
      <c r="AF74" s="371">
        <f t="shared" si="29"/>
        <v>1.8833409619315085E-3</v>
      </c>
      <c r="AG74" s="372">
        <f t="shared" si="37"/>
        <v>3.2414126598213108E-3</v>
      </c>
      <c r="AH74" s="373">
        <f t="shared" si="30"/>
        <v>3.2414126598213104E-3</v>
      </c>
      <c r="AI74" s="374" t="b">
        <f t="shared" si="38"/>
        <v>1</v>
      </c>
      <c r="AJ74" s="375">
        <f t="shared" si="18"/>
        <v>5.362992325543053E-4</v>
      </c>
      <c r="AL74" s="376">
        <f t="shared" si="31"/>
        <v>216661.43431358237</v>
      </c>
      <c r="AM74" s="384"/>
      <c r="AN74" s="383">
        <f t="shared" si="22"/>
        <v>47.891553143684618</v>
      </c>
      <c r="AO74" s="379">
        <f t="shared" si="21"/>
        <v>1.5448888110866006E-3</v>
      </c>
      <c r="AQ74" s="380">
        <f t="shared" si="32"/>
        <v>3.2414126598213104E-3</v>
      </c>
      <c r="AR74" s="381">
        <v>408735.92382140399</v>
      </c>
      <c r="AT74" s="382">
        <v>100.48379245446063</v>
      </c>
    </row>
    <row r="75" spans="1:46">
      <c r="A75" s="361">
        <v>2010</v>
      </c>
      <c r="B75" s="361">
        <v>11</v>
      </c>
      <c r="C75" s="362">
        <f t="shared" si="17"/>
        <v>78.117279066674627</v>
      </c>
      <c r="D75" s="363">
        <f t="shared" si="24"/>
        <v>3.9729981188725644E-2</v>
      </c>
      <c r="E75" s="387">
        <v>33734.981677410884</v>
      </c>
      <c r="F75" s="364">
        <v>1082.5247220675233</v>
      </c>
      <c r="G75" s="364">
        <v>27651.738038686686</v>
      </c>
      <c r="H75" s="364">
        <v>28.204226317701519</v>
      </c>
      <c r="I75" s="364">
        <v>12309.231301393003</v>
      </c>
      <c r="J75" s="365">
        <f t="shared" si="33"/>
        <v>74806.679965875795</v>
      </c>
      <c r="K75" s="366">
        <v>30</v>
      </c>
      <c r="L75" s="367">
        <f t="shared" si="34"/>
        <v>3.9729981188725644E-2</v>
      </c>
      <c r="M75" s="368">
        <v>15320.971716510201</v>
      </c>
      <c r="N75" s="368">
        <v>0</v>
      </c>
      <c r="O75" s="368">
        <v>294.24835287146902</v>
      </c>
      <c r="P75" s="368">
        <v>271.71750143170686</v>
      </c>
      <c r="Q75" s="368">
        <v>2756.0263988781053</v>
      </c>
      <c r="R75" s="368">
        <v>0</v>
      </c>
      <c r="S75" s="364">
        <f>$L75*'MWh Impact Summary'!$L$16</f>
        <v>0</v>
      </c>
      <c r="T75" s="364">
        <f>$L75*'MWh Impact Summary'!$M$16</f>
        <v>0</v>
      </c>
      <c r="U75" s="368">
        <v>0</v>
      </c>
      <c r="V75" s="368">
        <v>85097.129299866472</v>
      </c>
      <c r="W75" s="368">
        <v>0</v>
      </c>
      <c r="X75" s="368">
        <f t="shared" si="25"/>
        <v>103740.09326955795</v>
      </c>
      <c r="Y75" s="364">
        <f t="shared" si="26"/>
        <v>178546.77323543373</v>
      </c>
      <c r="Z75" s="364"/>
      <c r="AA75" s="364">
        <v>4525048</v>
      </c>
      <c r="AB75" s="369">
        <f t="shared" si="35"/>
        <v>39.4574318847963</v>
      </c>
      <c r="AC75" s="370">
        <f t="shared" si="27"/>
        <v>16.531687612126056</v>
      </c>
      <c r="AD75" s="371">
        <f t="shared" si="28"/>
        <v>5.5105625373753518E-4</v>
      </c>
      <c r="AE75" s="370">
        <f t="shared" si="36"/>
        <v>22.925744272670247</v>
      </c>
      <c r="AF75" s="371">
        <f t="shared" si="29"/>
        <v>7.6419147575567488E-4</v>
      </c>
      <c r="AG75" s="372">
        <f t="shared" si="37"/>
        <v>1.3152477294932101E-3</v>
      </c>
      <c r="AH75" s="373">
        <f t="shared" si="30"/>
        <v>1.3152477294932098E-3</v>
      </c>
      <c r="AI75" s="374" t="b">
        <f t="shared" si="38"/>
        <v>1</v>
      </c>
      <c r="AJ75" s="375">
        <f t="shared" si="18"/>
        <v>2.1822725185391368E-4</v>
      </c>
      <c r="AL75" s="376">
        <f t="shared" si="31"/>
        <v>85097.129299866472</v>
      </c>
      <c r="AM75" s="384"/>
      <c r="AN75" s="383">
        <f t="shared" si="22"/>
        <v>18.805795938488711</v>
      </c>
      <c r="AO75" s="379">
        <f t="shared" si="21"/>
        <v>6.2685986461629036E-4</v>
      </c>
      <c r="AQ75" s="380">
        <f t="shared" si="32"/>
        <v>1.3152477294932098E-3</v>
      </c>
      <c r="AR75" s="381">
        <v>314574.29537016101</v>
      </c>
      <c r="AT75" s="382">
        <v>39.4574318847963</v>
      </c>
    </row>
    <row r="76" spans="1:46">
      <c r="A76" s="361">
        <v>2010</v>
      </c>
      <c r="B76" s="361">
        <v>12</v>
      </c>
      <c r="C76" s="362">
        <f t="shared" si="17"/>
        <v>42.633806123140985</v>
      </c>
      <c r="D76" s="363">
        <f t="shared" si="24"/>
        <v>2.1683298951445065E-2</v>
      </c>
      <c r="E76" s="387">
        <v>18411.428119185694</v>
      </c>
      <c r="F76" s="364">
        <v>590.80589692252465</v>
      </c>
      <c r="G76" s="364">
        <v>15091.396584653667</v>
      </c>
      <c r="H76" s="364">
        <v>15.392926264824963</v>
      </c>
      <c r="I76" s="364">
        <v>6717.9679975869321</v>
      </c>
      <c r="J76" s="365">
        <f t="shared" si="33"/>
        <v>40826.991524613637</v>
      </c>
      <c r="K76" s="366">
        <v>31</v>
      </c>
      <c r="L76" s="367">
        <f t="shared" si="34"/>
        <v>2.1683298951445065E-2</v>
      </c>
      <c r="M76" s="368">
        <v>8361.675490800324</v>
      </c>
      <c r="N76" s="368">
        <v>0</v>
      </c>
      <c r="O76" s="368">
        <v>160.59093939598748</v>
      </c>
      <c r="P76" s="368">
        <v>148.29435196297868</v>
      </c>
      <c r="Q76" s="368">
        <v>1504.1473098383151</v>
      </c>
      <c r="R76" s="368">
        <v>0</v>
      </c>
      <c r="S76" s="364">
        <f>$L76*'MWh Impact Summary'!$L$16</f>
        <v>0</v>
      </c>
      <c r="T76" s="364">
        <f>$L76*'MWh Impact Summary'!$M$16</f>
        <v>0</v>
      </c>
      <c r="U76" s="368">
        <v>0</v>
      </c>
      <c r="V76" s="368">
        <v>46443.175639921945</v>
      </c>
      <c r="W76" s="368">
        <v>0</v>
      </c>
      <c r="X76" s="368">
        <f t="shared" si="25"/>
        <v>56617.883731919552</v>
      </c>
      <c r="Y76" s="364">
        <f t="shared" si="26"/>
        <v>97444.875256533182</v>
      </c>
      <c r="Z76" s="364">
        <f>SUM(Y65:Y76)</f>
        <v>4494005.9847322749</v>
      </c>
      <c r="AA76" s="364">
        <v>4527028</v>
      </c>
      <c r="AB76" s="369">
        <f t="shared" si="35"/>
        <v>21.525131997534181</v>
      </c>
      <c r="AC76" s="370">
        <f t="shared" si="27"/>
        <v>9.0184976820584346</v>
      </c>
      <c r="AD76" s="371">
        <f t="shared" si="28"/>
        <v>2.9091928006640111E-4</v>
      </c>
      <c r="AE76" s="370">
        <f t="shared" si="36"/>
        <v>12.506634315475749</v>
      </c>
      <c r="AF76" s="371">
        <f t="shared" si="29"/>
        <v>4.0343981662824995E-4</v>
      </c>
      <c r="AG76" s="372">
        <f t="shared" si="37"/>
        <v>6.9435909669465106E-4</v>
      </c>
      <c r="AH76" s="373">
        <f t="shared" si="30"/>
        <v>6.9435909669465106E-4</v>
      </c>
      <c r="AI76" s="374" t="b">
        <f t="shared" si="38"/>
        <v>1</v>
      </c>
      <c r="AJ76" s="375">
        <f t="shared" si="18"/>
        <v>1.1493140154078768E-4</v>
      </c>
      <c r="AL76" s="376">
        <f t="shared" si="31"/>
        <v>46443.175639921945</v>
      </c>
      <c r="AM76" s="377">
        <f>SUM(AL65:AL76)</f>
        <v>2141886.9768811991</v>
      </c>
      <c r="AN76" s="383">
        <f t="shared" si="22"/>
        <v>10.259087339402793</v>
      </c>
      <c r="AO76" s="379">
        <f t="shared" si="21"/>
        <v>3.3093830127105782E-4</v>
      </c>
      <c r="AQ76" s="380">
        <f t="shared" si="32"/>
        <v>6.9435909669465106E-4</v>
      </c>
      <c r="AR76" s="381">
        <v>258947.55583039363</v>
      </c>
      <c r="AT76" s="382">
        <v>21.525131997534181</v>
      </c>
    </row>
    <row r="77" spans="1:46">
      <c r="A77" s="361">
        <v>2011</v>
      </c>
      <c r="B77" s="361">
        <v>1</v>
      </c>
      <c r="C77" s="362">
        <f t="shared" si="17"/>
        <v>26.112829868525239</v>
      </c>
      <c r="D77" s="363">
        <f t="shared" ref="D77:D87" si="39">C77/(SUM(C$77:C$88))</f>
        <v>1.3280829182176284E-2</v>
      </c>
      <c r="E77" s="387">
        <v>13432.76634073208</v>
      </c>
      <c r="F77" s="364">
        <v>490.05190395476524</v>
      </c>
      <c r="G77" s="364">
        <v>11201.470711571277</v>
      </c>
      <c r="H77" s="364">
        <v>19.643916772745104</v>
      </c>
      <c r="I77" s="364">
        <v>4811.3671615230787</v>
      </c>
      <c r="J77" s="365">
        <f t="shared" si="33"/>
        <v>29955.300034553944</v>
      </c>
      <c r="K77" s="366">
        <v>31</v>
      </c>
      <c r="L77" s="367">
        <f t="shared" si="34"/>
        <v>1.3280829182176284E-2</v>
      </c>
      <c r="M77" s="368">
        <v>6467.5933973669153</v>
      </c>
      <c r="N77" s="368">
        <v>0</v>
      </c>
      <c r="O77" s="368">
        <v>204.89124115646555</v>
      </c>
      <c r="P77" s="368">
        <v>105.30861477172478</v>
      </c>
      <c r="Q77" s="368">
        <v>1420.3275373247457</v>
      </c>
      <c r="R77" s="368">
        <v>0</v>
      </c>
      <c r="S77" s="364">
        <f>$L77*'MWh Impact Summary'!$L$17</f>
        <v>0</v>
      </c>
      <c r="T77" s="364">
        <f>$L77*'MWh Impact Summary'!$M$17</f>
        <v>0</v>
      </c>
      <c r="U77" s="368">
        <v>0</v>
      </c>
      <c r="V77" s="368">
        <v>32115.66423456648</v>
      </c>
      <c r="W77" s="368">
        <v>0</v>
      </c>
      <c r="X77" s="368">
        <f t="shared" si="25"/>
        <v>40313.785025186327</v>
      </c>
      <c r="Y77" s="364">
        <f t="shared" si="26"/>
        <v>70269.085059740275</v>
      </c>
      <c r="Z77" s="364"/>
      <c r="AA77" s="364">
        <v>4533029</v>
      </c>
      <c r="AB77" s="369">
        <f t="shared" si="35"/>
        <v>15.501574126205739</v>
      </c>
      <c r="AC77" s="370">
        <f t="shared" si="27"/>
        <v>6.6082303983834967</v>
      </c>
      <c r="AD77" s="371">
        <f t="shared" si="28"/>
        <v>2.1316872252849988E-4</v>
      </c>
      <c r="AE77" s="370">
        <f t="shared" si="36"/>
        <v>8.8933437278222414</v>
      </c>
      <c r="AF77" s="371">
        <f t="shared" si="29"/>
        <v>2.8688205573620132E-4</v>
      </c>
      <c r="AG77" s="372">
        <f t="shared" si="37"/>
        <v>5.000507782647012E-4</v>
      </c>
      <c r="AH77" s="373">
        <f t="shared" si="30"/>
        <v>5.000507782647012E-4</v>
      </c>
      <c r="AI77" s="374" t="b">
        <f t="shared" si="38"/>
        <v>1</v>
      </c>
      <c r="AJ77" s="375">
        <f t="shared" si="18"/>
        <v>7.2409999008407524E-5</v>
      </c>
      <c r="AL77" s="376">
        <f t="shared" si="31"/>
        <v>32115.66423456648</v>
      </c>
      <c r="AM77" s="384"/>
      <c r="AN77" s="383">
        <f t="shared" si="22"/>
        <v>7.0848133189896823</v>
      </c>
      <c r="AO77" s="379">
        <f t="shared" si="21"/>
        <v>2.2854236512869945E-4</v>
      </c>
      <c r="AQ77" s="380">
        <f t="shared" si="32"/>
        <v>5.000507782647012E-4</v>
      </c>
      <c r="AR77" s="381">
        <v>291644.66337637795</v>
      </c>
      <c r="AT77" s="382">
        <v>15.501574126205739</v>
      </c>
    </row>
    <row r="78" spans="1:46">
      <c r="A78" s="361">
        <v>2011</v>
      </c>
      <c r="B78" s="361">
        <v>2</v>
      </c>
      <c r="C78" s="362">
        <f t="shared" si="17"/>
        <v>35.042184420393127</v>
      </c>
      <c r="D78" s="363">
        <f t="shared" si="39"/>
        <v>1.7822245532205266E-2</v>
      </c>
      <c r="E78" s="387">
        <v>18026.138023261556</v>
      </c>
      <c r="F78" s="364">
        <v>657.62651081514161</v>
      </c>
      <c r="G78" s="364">
        <v>15031.84466910791</v>
      </c>
      <c r="H78" s="364">
        <v>26.361208561278932</v>
      </c>
      <c r="I78" s="364">
        <v>6456.6274983293151</v>
      </c>
      <c r="J78" s="365">
        <f t="shared" si="33"/>
        <v>40198.597910075201</v>
      </c>
      <c r="K78" s="366">
        <v>28</v>
      </c>
      <c r="L78" s="367">
        <f t="shared" si="34"/>
        <v>1.7822245532205266E-2</v>
      </c>
      <c r="M78" s="368">
        <v>8679.2048861706971</v>
      </c>
      <c r="N78" s="368">
        <v>0</v>
      </c>
      <c r="O78" s="368">
        <v>274.95436897791882</v>
      </c>
      <c r="P78" s="368">
        <v>141.31918748242998</v>
      </c>
      <c r="Q78" s="368">
        <v>1906.0124755106619</v>
      </c>
      <c r="R78" s="368">
        <v>0</v>
      </c>
      <c r="S78" s="364">
        <f>$L78*'MWh Impact Summary'!$L$17</f>
        <v>0</v>
      </c>
      <c r="T78" s="364">
        <f>$L78*'MWh Impact Summary'!$M$17</f>
        <v>0</v>
      </c>
      <c r="U78" s="368">
        <v>0</v>
      </c>
      <c r="V78" s="368">
        <v>43097.704636278904</v>
      </c>
      <c r="W78" s="368">
        <v>0</v>
      </c>
      <c r="X78" s="368">
        <f t="shared" si="25"/>
        <v>54099.195554420614</v>
      </c>
      <c r="Y78" s="364">
        <f t="shared" si="26"/>
        <v>94297.793464495815</v>
      </c>
      <c r="Z78" s="364"/>
      <c r="AA78" s="364">
        <v>4539389</v>
      </c>
      <c r="AB78" s="369">
        <f t="shared" si="35"/>
        <v>20.773234782147071</v>
      </c>
      <c r="AC78" s="370">
        <f t="shared" si="27"/>
        <v>8.8555085078796285</v>
      </c>
      <c r="AD78" s="371">
        <f t="shared" si="28"/>
        <v>3.1626816099570107E-4</v>
      </c>
      <c r="AE78" s="370">
        <f t="shared" si="36"/>
        <v>11.917726274267443</v>
      </c>
      <c r="AF78" s="371">
        <f t="shared" si="29"/>
        <v>4.2563308122383725E-4</v>
      </c>
      <c r="AG78" s="372">
        <f t="shared" si="37"/>
        <v>7.4190124221953837E-4</v>
      </c>
      <c r="AH78" s="373">
        <f t="shared" si="30"/>
        <v>7.4190124221953826E-4</v>
      </c>
      <c r="AI78" s="374" t="b">
        <f t="shared" si="38"/>
        <v>1</v>
      </c>
      <c r="AJ78" s="375">
        <f t="shared" si="18"/>
        <v>1.0774241592530535E-4</v>
      </c>
      <c r="AL78" s="376">
        <f t="shared" si="31"/>
        <v>43097.704636278904</v>
      </c>
      <c r="AM78" s="384"/>
      <c r="AN78" s="383">
        <f t="shared" si="22"/>
        <v>9.4941642226032847</v>
      </c>
      <c r="AO78" s="379">
        <f t="shared" si="21"/>
        <v>3.3907729366440304E-4</v>
      </c>
      <c r="AQ78" s="380">
        <f t="shared" si="32"/>
        <v>7.4190124221953826E-4</v>
      </c>
      <c r="AR78" s="381">
        <v>271269.7836528655</v>
      </c>
      <c r="AT78" s="382">
        <v>20.773234782147071</v>
      </c>
    </row>
    <row r="79" spans="1:46">
      <c r="A79" s="361">
        <v>2011</v>
      </c>
      <c r="B79" s="361">
        <v>3</v>
      </c>
      <c r="C79" s="362">
        <f t="shared" si="17"/>
        <v>64.582270600115152</v>
      </c>
      <c r="D79" s="363">
        <f t="shared" si="39"/>
        <v>3.2846156787895278E-2</v>
      </c>
      <c r="E79" s="387">
        <v>33221.927883462762</v>
      </c>
      <c r="F79" s="364">
        <v>1211.9967398652416</v>
      </c>
      <c r="G79" s="364">
        <v>27703.485844171999</v>
      </c>
      <c r="H79" s="364">
        <v>48.583349834202174</v>
      </c>
      <c r="I79" s="364">
        <v>11899.476906427695</v>
      </c>
      <c r="J79" s="365">
        <f t="shared" si="33"/>
        <v>74085.4707237619</v>
      </c>
      <c r="K79" s="366">
        <v>31</v>
      </c>
      <c r="L79" s="367">
        <f t="shared" si="34"/>
        <v>3.2846156787895278E-2</v>
      </c>
      <c r="M79" s="368">
        <v>15995.656886798306</v>
      </c>
      <c r="N79" s="368">
        <v>0</v>
      </c>
      <c r="O79" s="368">
        <v>506.73717274548409</v>
      </c>
      <c r="P79" s="368">
        <v>260.4493457795777</v>
      </c>
      <c r="Q79" s="368">
        <v>3512.7551406010198</v>
      </c>
      <c r="R79" s="368">
        <v>0</v>
      </c>
      <c r="S79" s="364">
        <f>$L79*'MWh Impact Summary'!$L$17</f>
        <v>0</v>
      </c>
      <c r="T79" s="364">
        <f>$L79*'MWh Impact Summary'!$M$17</f>
        <v>0</v>
      </c>
      <c r="U79" s="368">
        <v>0</v>
      </c>
      <c r="V79" s="368">
        <v>79428.485098783014</v>
      </c>
      <c r="W79" s="368">
        <v>0</v>
      </c>
      <c r="X79" s="368">
        <f t="shared" si="25"/>
        <v>99704.083644707396</v>
      </c>
      <c r="Y79" s="364">
        <f t="shared" si="26"/>
        <v>173789.55436846928</v>
      </c>
      <c r="Z79" s="364"/>
      <c r="AA79" s="364">
        <v>4546574</v>
      </c>
      <c r="AB79" s="369">
        <f t="shared" si="35"/>
        <v>38.224288083394057</v>
      </c>
      <c r="AC79" s="370">
        <f t="shared" si="27"/>
        <v>16.294790478228641</v>
      </c>
      <c r="AD79" s="371">
        <f t="shared" si="28"/>
        <v>5.2563840252350458E-4</v>
      </c>
      <c r="AE79" s="370">
        <f t="shared" si="36"/>
        <v>21.929497605165427</v>
      </c>
      <c r="AF79" s="371">
        <f t="shared" si="29"/>
        <v>7.0740314855372347E-4</v>
      </c>
      <c r="AG79" s="372">
        <f t="shared" si="37"/>
        <v>1.2330415510772279E-3</v>
      </c>
      <c r="AH79" s="373">
        <f t="shared" si="30"/>
        <v>1.2330415510772277E-3</v>
      </c>
      <c r="AI79" s="374" t="b">
        <f t="shared" si="38"/>
        <v>1</v>
      </c>
      <c r="AJ79" s="375">
        <f t="shared" si="18"/>
        <v>1.7881459971443481E-4</v>
      </c>
      <c r="AL79" s="376">
        <f t="shared" si="31"/>
        <v>79428.485098783014</v>
      </c>
      <c r="AM79" s="384"/>
      <c r="AN79" s="383">
        <f t="shared" si="22"/>
        <v>17.469964218944423</v>
      </c>
      <c r="AO79" s="379">
        <f t="shared" si="21"/>
        <v>5.6354723286917497E-4</v>
      </c>
      <c r="AQ79" s="380">
        <f t="shared" si="32"/>
        <v>1.2330415510772277E-3</v>
      </c>
      <c r="AR79" s="381">
        <v>329734.12848243071</v>
      </c>
      <c r="AT79" s="382">
        <v>38.224288083394057</v>
      </c>
    </row>
    <row r="80" spans="1:46">
      <c r="A80" s="361">
        <v>2011</v>
      </c>
      <c r="B80" s="361">
        <v>4</v>
      </c>
      <c r="C80" s="362">
        <f t="shared" si="17"/>
        <v>114.03392869270741</v>
      </c>
      <c r="D80" s="363">
        <f t="shared" si="39"/>
        <v>5.7996974497419709E-2</v>
      </c>
      <c r="E80" s="387">
        <v>58660.479417865266</v>
      </c>
      <c r="F80" s="364">
        <v>2140.0416635295624</v>
      </c>
      <c r="G80" s="364">
        <v>48916.479707793143</v>
      </c>
      <c r="H80" s="364">
        <v>85.784383224153629</v>
      </c>
      <c r="I80" s="364">
        <v>21011.093113001742</v>
      </c>
      <c r="J80" s="365">
        <f t="shared" si="33"/>
        <v>130813.87828541386</v>
      </c>
      <c r="K80" s="366">
        <v>30</v>
      </c>
      <c r="L80" s="367">
        <f t="shared" si="34"/>
        <v>5.7996974497419709E-2</v>
      </c>
      <c r="M80" s="368">
        <v>28243.782385980707</v>
      </c>
      <c r="N80" s="368">
        <v>0</v>
      </c>
      <c r="O80" s="368">
        <v>894.75377817855247</v>
      </c>
      <c r="P80" s="368">
        <v>459.87949709277791</v>
      </c>
      <c r="Q80" s="368">
        <v>6202.5268776710336</v>
      </c>
      <c r="R80" s="368">
        <v>0</v>
      </c>
      <c r="S80" s="364">
        <f>$L80*'MWh Impact Summary'!$L$17</f>
        <v>0</v>
      </c>
      <c r="T80" s="364">
        <f>$L80*'MWh Impact Summary'!$M$17</f>
        <v>0</v>
      </c>
      <c r="U80" s="368">
        <v>0</v>
      </c>
      <c r="V80" s="368">
        <v>140248.12261568647</v>
      </c>
      <c r="W80" s="368">
        <v>0</v>
      </c>
      <c r="X80" s="368">
        <f t="shared" si="25"/>
        <v>176049.06515460956</v>
      </c>
      <c r="Y80" s="364">
        <f t="shared" si="26"/>
        <v>306862.9434400234</v>
      </c>
      <c r="Z80" s="364"/>
      <c r="AA80" s="364">
        <v>4550254</v>
      </c>
      <c r="AB80" s="369">
        <f t="shared" si="35"/>
        <v>67.438640445131952</v>
      </c>
      <c r="AC80" s="370">
        <f t="shared" si="27"/>
        <v>28.74869804749666</v>
      </c>
      <c r="AD80" s="371">
        <f t="shared" si="28"/>
        <v>9.5828993491655539E-4</v>
      </c>
      <c r="AE80" s="370">
        <f t="shared" si="36"/>
        <v>38.689942397635285</v>
      </c>
      <c r="AF80" s="371">
        <f t="shared" si="29"/>
        <v>1.2896647465878428E-3</v>
      </c>
      <c r="AG80" s="372">
        <f t="shared" si="37"/>
        <v>2.247954681504398E-3</v>
      </c>
      <c r="AH80" s="373">
        <f t="shared" si="30"/>
        <v>2.2479546815043984E-3</v>
      </c>
      <c r="AI80" s="374" t="b">
        <f t="shared" si="38"/>
        <v>1</v>
      </c>
      <c r="AJ80" s="375">
        <f t="shared" si="18"/>
        <v>3.2593737893138485E-4</v>
      </c>
      <c r="AL80" s="376">
        <f t="shared" si="31"/>
        <v>140248.12261568647</v>
      </c>
      <c r="AM80" s="384"/>
      <c r="AN80" s="383">
        <f t="shared" si="22"/>
        <v>30.822042597113583</v>
      </c>
      <c r="AO80" s="379">
        <f t="shared" si="21"/>
        <v>1.0274014199037863E-3</v>
      </c>
      <c r="AQ80" s="380">
        <f t="shared" si="32"/>
        <v>2.2479546815043984E-3</v>
      </c>
      <c r="AR80" s="381">
        <v>389711.18757361744</v>
      </c>
      <c r="AT80" s="382">
        <v>67.438640445131952</v>
      </c>
    </row>
    <row r="81" spans="1:46">
      <c r="A81" s="361">
        <v>2011</v>
      </c>
      <c r="B81" s="361">
        <v>5</v>
      </c>
      <c r="C81" s="362">
        <f t="shared" si="17"/>
        <v>208.47875842628665</v>
      </c>
      <c r="D81" s="363">
        <f t="shared" si="39"/>
        <v>0.10603105035770212</v>
      </c>
      <c r="E81" s="387">
        <v>107244.08128288385</v>
      </c>
      <c r="F81" s="364">
        <v>3912.4603888325059</v>
      </c>
      <c r="G81" s="364">
        <v>89429.936098637074</v>
      </c>
      <c r="H81" s="364">
        <v>156.8324612855335</v>
      </c>
      <c r="I81" s="364">
        <v>38412.836035682725</v>
      </c>
      <c r="J81" s="365">
        <f t="shared" si="33"/>
        <v>239156.14626732169</v>
      </c>
      <c r="K81" s="366">
        <v>31</v>
      </c>
      <c r="L81" s="367">
        <f t="shared" si="34"/>
        <v>0.10603105035770212</v>
      </c>
      <c r="M81" s="368">
        <v>51635.760975654615</v>
      </c>
      <c r="N81" s="368">
        <v>0</v>
      </c>
      <c r="O81" s="368">
        <v>1635.8040007072295</v>
      </c>
      <c r="P81" s="368">
        <v>840.75947990853319</v>
      </c>
      <c r="Q81" s="368">
        <v>11339.564613678212</v>
      </c>
      <c r="R81" s="368">
        <v>0</v>
      </c>
      <c r="S81" s="364">
        <f>$L81*'MWh Impact Summary'!$L$17</f>
        <v>0</v>
      </c>
      <c r="T81" s="364">
        <f>$L81*'MWh Impact Summary'!$M$17</f>
        <v>0</v>
      </c>
      <c r="U81" s="368">
        <v>0</v>
      </c>
      <c r="V81" s="368">
        <v>256403.99142370143</v>
      </c>
      <c r="W81" s="368">
        <v>0</v>
      </c>
      <c r="X81" s="368">
        <f t="shared" si="25"/>
        <v>321855.88049365004</v>
      </c>
      <c r="Y81" s="364">
        <f t="shared" si="26"/>
        <v>561012.02676097176</v>
      </c>
      <c r="Z81" s="364"/>
      <c r="AA81" s="364">
        <v>4549811</v>
      </c>
      <c r="AB81" s="369">
        <f t="shared" si="35"/>
        <v>123.30446841879186</v>
      </c>
      <c r="AC81" s="370">
        <f t="shared" si="27"/>
        <v>52.563973815026969</v>
      </c>
      <c r="AD81" s="371">
        <f t="shared" si="28"/>
        <v>1.695612058549257E-3</v>
      </c>
      <c r="AE81" s="370">
        <f t="shared" si="36"/>
        <v>70.740494603764859</v>
      </c>
      <c r="AF81" s="371">
        <f t="shared" si="29"/>
        <v>2.2819514388311246E-3</v>
      </c>
      <c r="AG81" s="372">
        <f t="shared" si="37"/>
        <v>3.9775634973803816E-3</v>
      </c>
      <c r="AH81" s="373">
        <f t="shared" si="30"/>
        <v>3.9775634973803825E-3</v>
      </c>
      <c r="AI81" s="374" t="b">
        <f t="shared" si="38"/>
        <v>1</v>
      </c>
      <c r="AJ81" s="375">
        <f t="shared" si="18"/>
        <v>5.7817671088606542E-4</v>
      </c>
      <c r="AL81" s="376">
        <f t="shared" si="31"/>
        <v>256403.99142370143</v>
      </c>
      <c r="AM81" s="384"/>
      <c r="AN81" s="383">
        <f t="shared" si="22"/>
        <v>56.35486648208056</v>
      </c>
      <c r="AO81" s="379">
        <f t="shared" si="21"/>
        <v>1.8178989187767921E-3</v>
      </c>
      <c r="AQ81" s="380">
        <f t="shared" si="32"/>
        <v>3.9775634973803825E-3</v>
      </c>
      <c r="AR81" s="381">
        <v>471746.54588684964</v>
      </c>
      <c r="AT81" s="382">
        <v>123.30446841879186</v>
      </c>
    </row>
    <row r="82" spans="1:46">
      <c r="A82" s="361">
        <v>2011</v>
      </c>
      <c r="B82" s="361">
        <v>6</v>
      </c>
      <c r="C82" s="362">
        <f t="shared" ref="C82:C145" si="40">+C70</f>
        <v>271.66325293295364</v>
      </c>
      <c r="D82" s="363">
        <f t="shared" si="39"/>
        <v>0.13816630657965029</v>
      </c>
      <c r="E82" s="387">
        <v>139746.97565850828</v>
      </c>
      <c r="F82" s="364">
        <v>5098.2254701856082</v>
      </c>
      <c r="G82" s="364">
        <v>116533.82595681574</v>
      </c>
      <c r="H82" s="364">
        <v>204.3643051211566</v>
      </c>
      <c r="I82" s="364">
        <v>50054.768507859546</v>
      </c>
      <c r="J82" s="365">
        <f t="shared" si="33"/>
        <v>311638.1598984903</v>
      </c>
      <c r="K82" s="366">
        <v>30</v>
      </c>
      <c r="L82" s="367">
        <f t="shared" si="34"/>
        <v>0.13816630657965029</v>
      </c>
      <c r="M82" s="368">
        <v>67285.218408831875</v>
      </c>
      <c r="N82" s="368">
        <v>0</v>
      </c>
      <c r="O82" s="368">
        <v>2131.5736881174444</v>
      </c>
      <c r="P82" s="368">
        <v>1095.5718317313783</v>
      </c>
      <c r="Q82" s="368">
        <v>14776.291997558326</v>
      </c>
      <c r="R82" s="368">
        <v>0</v>
      </c>
      <c r="S82" s="364">
        <f>$L82*'MWh Impact Summary'!$L$17</f>
        <v>0</v>
      </c>
      <c r="T82" s="364">
        <f>$L82*'MWh Impact Summary'!$M$17</f>
        <v>0</v>
      </c>
      <c r="U82" s="368">
        <v>0</v>
      </c>
      <c r="V82" s="368">
        <v>334113.37874877302</v>
      </c>
      <c r="W82" s="368">
        <v>0</v>
      </c>
      <c r="X82" s="368">
        <f t="shared" si="25"/>
        <v>419402.03467501199</v>
      </c>
      <c r="Y82" s="364">
        <f t="shared" si="26"/>
        <v>731040.19457350229</v>
      </c>
      <c r="Z82" s="364"/>
      <c r="AA82" s="364">
        <v>4549338</v>
      </c>
      <c r="AB82" s="369">
        <f t="shared" si="35"/>
        <v>160.69155436977914</v>
      </c>
      <c r="AC82" s="370">
        <f t="shared" si="27"/>
        <v>68.501869920082953</v>
      </c>
      <c r="AD82" s="371">
        <f t="shared" si="28"/>
        <v>2.2833956640027652E-3</v>
      </c>
      <c r="AE82" s="370">
        <f t="shared" si="36"/>
        <v>92.189684449696202</v>
      </c>
      <c r="AF82" s="371">
        <f t="shared" si="29"/>
        <v>3.0729894816565401E-3</v>
      </c>
      <c r="AG82" s="372">
        <f t="shared" si="37"/>
        <v>5.3563851456593058E-3</v>
      </c>
      <c r="AH82" s="373">
        <f t="shared" si="30"/>
        <v>5.3563851456593049E-3</v>
      </c>
      <c r="AI82" s="374" t="b">
        <f t="shared" si="38"/>
        <v>0</v>
      </c>
      <c r="AJ82" s="375">
        <f t="shared" si="18"/>
        <v>7.792697958062646E-4</v>
      </c>
      <c r="AL82" s="376">
        <f t="shared" si="31"/>
        <v>334113.37874877302</v>
      </c>
      <c r="AM82" s="384"/>
      <c r="AN82" s="383">
        <f t="shared" si="22"/>
        <v>73.442197249088338</v>
      </c>
      <c r="AO82" s="379">
        <f t="shared" si="21"/>
        <v>2.4480732416362781E-3</v>
      </c>
      <c r="AQ82" s="380">
        <f t="shared" si="32"/>
        <v>5.3563851456593049E-3</v>
      </c>
      <c r="AR82" s="381">
        <v>578320.56171354384</v>
      </c>
      <c r="AT82" s="382">
        <v>160.69155436977914</v>
      </c>
    </row>
    <row r="83" spans="1:46">
      <c r="A83" s="361">
        <v>2011</v>
      </c>
      <c r="B83" s="361">
        <v>7</v>
      </c>
      <c r="C83" s="362">
        <f t="shared" si="40"/>
        <v>322.31916585708109</v>
      </c>
      <c r="D83" s="363">
        <f t="shared" si="39"/>
        <v>0.16392960109808263</v>
      </c>
      <c r="E83" s="387">
        <v>165805.01094278228</v>
      </c>
      <c r="F83" s="364">
        <v>6048.8702949717872</v>
      </c>
      <c r="G83" s="364">
        <v>138263.40210173797</v>
      </c>
      <c r="H83" s="364">
        <v>242.4712641347559</v>
      </c>
      <c r="I83" s="364">
        <v>59388.272276207885</v>
      </c>
      <c r="J83" s="365">
        <f t="shared" si="33"/>
        <v>369748.02687983465</v>
      </c>
      <c r="K83" s="366">
        <v>31</v>
      </c>
      <c r="L83" s="367">
        <f t="shared" si="34"/>
        <v>0.16392960109808263</v>
      </c>
      <c r="M83" s="368">
        <v>79831.612254891996</v>
      </c>
      <c r="N83" s="368">
        <v>0</v>
      </c>
      <c r="O83" s="368">
        <v>2529.0393371181467</v>
      </c>
      <c r="P83" s="368">
        <v>1299.8585385684205</v>
      </c>
      <c r="Q83" s="368">
        <v>17531.565494023918</v>
      </c>
      <c r="R83" s="368">
        <v>0</v>
      </c>
      <c r="S83" s="364">
        <f>$L83*'MWh Impact Summary'!$L$17</f>
        <v>0</v>
      </c>
      <c r="T83" s="364">
        <f>$L83*'MWh Impact Summary'!$M$17</f>
        <v>0</v>
      </c>
      <c r="U83" s="368">
        <v>0</v>
      </c>
      <c r="V83" s="368">
        <v>396414.10598353419</v>
      </c>
      <c r="W83" s="368">
        <v>0</v>
      </c>
      <c r="X83" s="368">
        <f t="shared" si="25"/>
        <v>497606.18160813669</v>
      </c>
      <c r="Y83" s="364">
        <f t="shared" si="26"/>
        <v>867354.20848797134</v>
      </c>
      <c r="Z83" s="364"/>
      <c r="AA83" s="364">
        <v>4549687</v>
      </c>
      <c r="AB83" s="369">
        <f t="shared" si="35"/>
        <v>190.64041295323642</v>
      </c>
      <c r="AC83" s="370">
        <f t="shared" si="27"/>
        <v>81.268893196352778</v>
      </c>
      <c r="AD83" s="371">
        <f t="shared" si="28"/>
        <v>2.621577199882348E-3</v>
      </c>
      <c r="AE83" s="370">
        <f t="shared" si="36"/>
        <v>109.37151975688366</v>
      </c>
      <c r="AF83" s="371">
        <f t="shared" si="29"/>
        <v>3.528113540544634E-3</v>
      </c>
      <c r="AG83" s="372">
        <f t="shared" si="37"/>
        <v>6.1496907404269821E-3</v>
      </c>
      <c r="AH83" s="373">
        <f t="shared" si="30"/>
        <v>6.1496907404269812E-3</v>
      </c>
      <c r="AI83" s="374" t="b">
        <f t="shared" si="38"/>
        <v>1</v>
      </c>
      <c r="AJ83" s="375">
        <f t="shared" si="18"/>
        <v>8.9529339826715723E-4</v>
      </c>
      <c r="AL83" s="376">
        <f t="shared" si="31"/>
        <v>396414.10598353419</v>
      </c>
      <c r="AM83" s="384"/>
      <c r="AN83" s="383">
        <f t="shared" si="22"/>
        <v>87.129973113212884</v>
      </c>
      <c r="AO83" s="379">
        <f t="shared" si="21"/>
        <v>2.8106442939746091E-3</v>
      </c>
      <c r="AQ83" s="380">
        <f t="shared" si="32"/>
        <v>6.1496907404269812E-3</v>
      </c>
      <c r="AR83" s="381">
        <v>609448.78170354979</v>
      </c>
      <c r="AT83" s="382">
        <v>190.64041295323642</v>
      </c>
    </row>
    <row r="84" spans="1:46">
      <c r="A84" s="361">
        <v>2011</v>
      </c>
      <c r="B84" s="361">
        <v>8</v>
      </c>
      <c r="C84" s="362">
        <f t="shared" si="40"/>
        <v>326.45437890907908</v>
      </c>
      <c r="D84" s="363">
        <f t="shared" si="39"/>
        <v>0.16603274573816959</v>
      </c>
      <c r="E84" s="387">
        <v>167932.21626584794</v>
      </c>
      <c r="F84" s="364">
        <v>6126.4746388745061</v>
      </c>
      <c r="G84" s="364">
        <v>140037.26070386116</v>
      </c>
      <c r="H84" s="364">
        <v>245.58206374705412</v>
      </c>
      <c r="I84" s="364">
        <v>60150.19767397055</v>
      </c>
      <c r="J84" s="365">
        <f t="shared" si="33"/>
        <v>374491.73134630115</v>
      </c>
      <c r="K84" s="366">
        <v>31</v>
      </c>
      <c r="L84" s="367">
        <f t="shared" si="34"/>
        <v>0.16603274573816959</v>
      </c>
      <c r="M84" s="368">
        <v>80855.81670789326</v>
      </c>
      <c r="N84" s="368">
        <v>0</v>
      </c>
      <c r="O84" s="368">
        <v>2561.4857988358613</v>
      </c>
      <c r="P84" s="368">
        <v>1316.5351515775972</v>
      </c>
      <c r="Q84" s="368">
        <v>17756.487764035599</v>
      </c>
      <c r="R84" s="368">
        <v>0</v>
      </c>
      <c r="S84" s="364">
        <f>$L84*'MWh Impact Summary'!$L$17</f>
        <v>0</v>
      </c>
      <c r="T84" s="364">
        <f>$L84*'MWh Impact Summary'!$M$17</f>
        <v>0</v>
      </c>
      <c r="U84" s="368">
        <v>0</v>
      </c>
      <c r="V84" s="368">
        <v>401499.92450971541</v>
      </c>
      <c r="W84" s="368">
        <v>0</v>
      </c>
      <c r="X84" s="368">
        <f t="shared" si="25"/>
        <v>503990.24993205769</v>
      </c>
      <c r="Y84" s="364">
        <f t="shared" si="26"/>
        <v>878481.98127835884</v>
      </c>
      <c r="Z84" s="364"/>
      <c r="AA84" s="364">
        <v>4550328</v>
      </c>
      <c r="AB84" s="369">
        <f t="shared" si="35"/>
        <v>193.0590456948068</v>
      </c>
      <c r="AC84" s="370">
        <f t="shared" si="27"/>
        <v>82.299942190167641</v>
      </c>
      <c r="AD84" s="371">
        <f t="shared" si="28"/>
        <v>2.6548368448441172E-3</v>
      </c>
      <c r="AE84" s="370">
        <f t="shared" si="36"/>
        <v>110.75910350463916</v>
      </c>
      <c r="AF84" s="371">
        <f t="shared" si="29"/>
        <v>3.5728743066012632E-3</v>
      </c>
      <c r="AG84" s="372">
        <f t="shared" si="37"/>
        <v>6.2277111514453809E-3</v>
      </c>
      <c r="AH84" s="373">
        <f t="shared" si="30"/>
        <v>6.2277111514453809E-3</v>
      </c>
      <c r="AI84" s="374" t="b">
        <f t="shared" si="38"/>
        <v>1</v>
      </c>
      <c r="AJ84" s="375">
        <f t="shared" si="18"/>
        <v>9.1057651479559912E-4</v>
      </c>
      <c r="AL84" s="376">
        <f t="shared" si="31"/>
        <v>401499.92450971541</v>
      </c>
      <c r="AM84" s="384"/>
      <c r="AN84" s="383">
        <f t="shared" si="22"/>
        <v>88.235380946102211</v>
      </c>
      <c r="AO84" s="379">
        <f t="shared" si="21"/>
        <v>2.8463026111645875E-3</v>
      </c>
      <c r="AQ84" s="380">
        <f t="shared" si="32"/>
        <v>6.2277111514453809E-3</v>
      </c>
      <c r="AR84" s="381">
        <v>633695.24727322243</v>
      </c>
      <c r="AT84" s="382">
        <v>193.0590456948068</v>
      </c>
    </row>
    <row r="85" spans="1:46">
      <c r="A85" s="361">
        <v>2011</v>
      </c>
      <c r="B85" s="361">
        <v>9</v>
      </c>
      <c r="C85" s="362">
        <f t="shared" si="40"/>
        <v>277.87653293728147</v>
      </c>
      <c r="D85" s="363">
        <f t="shared" si="39"/>
        <v>0.14132634365008559</v>
      </c>
      <c r="E85" s="387">
        <v>142943.16461726525</v>
      </c>
      <c r="F85" s="364">
        <v>5214.8282938265265</v>
      </c>
      <c r="G85" s="364">
        <v>119199.10100902902</v>
      </c>
      <c r="H85" s="364">
        <v>209.03837361182957</v>
      </c>
      <c r="I85" s="364">
        <v>51199.583969404135</v>
      </c>
      <c r="J85" s="365">
        <f t="shared" si="33"/>
        <v>318765.71626313671</v>
      </c>
      <c r="K85" s="366">
        <v>30</v>
      </c>
      <c r="L85" s="367">
        <f t="shared" si="34"/>
        <v>0.14132634365008559</v>
      </c>
      <c r="M85" s="368">
        <v>68824.115913786678</v>
      </c>
      <c r="N85" s="368">
        <v>0</v>
      </c>
      <c r="O85" s="368">
        <v>2180.3254571960547</v>
      </c>
      <c r="P85" s="368">
        <v>1120.6289363707069</v>
      </c>
      <c r="Q85" s="368">
        <v>15114.244365481998</v>
      </c>
      <c r="R85" s="368">
        <v>0</v>
      </c>
      <c r="S85" s="364">
        <f>$L85*'MWh Impact Summary'!$L$17</f>
        <v>0</v>
      </c>
      <c r="T85" s="364">
        <f>$L85*'MWh Impact Summary'!$M$17</f>
        <v>0</v>
      </c>
      <c r="U85" s="368">
        <v>0</v>
      </c>
      <c r="V85" s="368">
        <v>341754.97161400504</v>
      </c>
      <c r="W85" s="368">
        <v>0</v>
      </c>
      <c r="X85" s="368">
        <f t="shared" si="25"/>
        <v>428994.28628684045</v>
      </c>
      <c r="Y85" s="364">
        <f t="shared" si="26"/>
        <v>747760.00254997716</v>
      </c>
      <c r="Z85" s="364"/>
      <c r="AA85" s="364">
        <v>4545995</v>
      </c>
      <c r="AB85" s="369">
        <f t="shared" si="35"/>
        <v>164.48764298024463</v>
      </c>
      <c r="AC85" s="370">
        <f t="shared" si="27"/>
        <v>70.120120295586929</v>
      </c>
      <c r="AD85" s="371">
        <f t="shared" si="28"/>
        <v>2.3373373431862308E-3</v>
      </c>
      <c r="AE85" s="370">
        <f t="shared" si="36"/>
        <v>94.367522684657686</v>
      </c>
      <c r="AF85" s="371">
        <f t="shared" si="29"/>
        <v>3.1455840894885892E-3</v>
      </c>
      <c r="AG85" s="372">
        <f t="shared" si="37"/>
        <v>5.4829214326748196E-3</v>
      </c>
      <c r="AH85" s="373">
        <f t="shared" si="30"/>
        <v>5.4829214326748204E-3</v>
      </c>
      <c r="AI85" s="374" t="b">
        <f t="shared" si="38"/>
        <v>1</v>
      </c>
      <c r="AJ85" s="375">
        <f t="shared" si="18"/>
        <v>8.042308843213648E-4</v>
      </c>
      <c r="AL85" s="376">
        <f t="shared" si="31"/>
        <v>341754.97161400504</v>
      </c>
      <c r="AM85" s="384"/>
      <c r="AN85" s="383">
        <f t="shared" si="22"/>
        <v>75.17715519132885</v>
      </c>
      <c r="AO85" s="379">
        <f t="shared" si="21"/>
        <v>2.5059051730442952E-3</v>
      </c>
      <c r="AQ85" s="380">
        <f t="shared" si="32"/>
        <v>5.4829214326748204E-3</v>
      </c>
      <c r="AR85" s="381">
        <v>597815.27720793081</v>
      </c>
      <c r="AT85" s="382">
        <v>164.48764298024463</v>
      </c>
    </row>
    <row r="86" spans="1:46">
      <c r="A86" s="361">
        <v>2011</v>
      </c>
      <c r="B86" s="361">
        <v>10</v>
      </c>
      <c r="C86" s="362">
        <f t="shared" si="40"/>
        <v>198.89039579254836</v>
      </c>
      <c r="D86" s="363">
        <f t="shared" si="39"/>
        <v>0.10115446643644242</v>
      </c>
      <c r="E86" s="387">
        <v>102311.70759923119</v>
      </c>
      <c r="F86" s="364">
        <v>3732.5183684490389</v>
      </c>
      <c r="G86" s="364">
        <v>85316.871227671028</v>
      </c>
      <c r="H86" s="364">
        <v>149.6194170267386</v>
      </c>
      <c r="I86" s="364">
        <v>36646.151484792688</v>
      </c>
      <c r="J86" s="365">
        <f t="shared" si="33"/>
        <v>228156.86809717066</v>
      </c>
      <c r="K86" s="366">
        <v>31</v>
      </c>
      <c r="L86" s="367">
        <f t="shared" si="34"/>
        <v>0.10115446643644242</v>
      </c>
      <c r="M86" s="368">
        <v>49260.927180399325</v>
      </c>
      <c r="N86" s="368">
        <v>0</v>
      </c>
      <c r="O86" s="368">
        <v>1560.5700436609698</v>
      </c>
      <c r="P86" s="368">
        <v>802.0912393550642</v>
      </c>
      <c r="Q86" s="368">
        <v>10818.03494588188</v>
      </c>
      <c r="R86" s="368">
        <v>0</v>
      </c>
      <c r="S86" s="364">
        <f>$L86*'MWh Impact Summary'!$L$17</f>
        <v>0</v>
      </c>
      <c r="T86" s="364">
        <f>$L86*'MWh Impact Summary'!$M$17</f>
        <v>0</v>
      </c>
      <c r="U86" s="368">
        <v>0</v>
      </c>
      <c r="V86" s="368">
        <v>244611.44973232504</v>
      </c>
      <c r="W86" s="368">
        <v>0</v>
      </c>
      <c r="X86" s="368">
        <f t="shared" si="25"/>
        <v>307053.0731416223</v>
      </c>
      <c r="Y86" s="364">
        <f t="shared" si="26"/>
        <v>535209.94123879296</v>
      </c>
      <c r="Z86" s="364"/>
      <c r="AA86" s="364">
        <v>4546841</v>
      </c>
      <c r="AB86" s="369">
        <f t="shared" si="35"/>
        <v>117.71028308198878</v>
      </c>
      <c r="AC86" s="370">
        <f t="shared" si="27"/>
        <v>50.179205320170787</v>
      </c>
      <c r="AD86" s="371">
        <f t="shared" si="28"/>
        <v>1.6186840425861544E-3</v>
      </c>
      <c r="AE86" s="370">
        <f t="shared" si="36"/>
        <v>67.531077761817997</v>
      </c>
      <c r="AF86" s="371">
        <f t="shared" si="29"/>
        <v>2.1784218632844516E-3</v>
      </c>
      <c r="AG86" s="372">
        <f t="shared" si="37"/>
        <v>3.7971059058706062E-3</v>
      </c>
      <c r="AH86" s="373">
        <f t="shared" si="30"/>
        <v>3.7971059058706058E-3</v>
      </c>
      <c r="AI86" s="374" t="b">
        <f t="shared" si="38"/>
        <v>1</v>
      </c>
      <c r="AJ86" s="375">
        <f t="shared" ref="AJ86:AJ149" si="41">AH86-AH74</f>
        <v>5.5569324604929542E-4</v>
      </c>
      <c r="AL86" s="376">
        <f t="shared" si="31"/>
        <v>244611.44973232504</v>
      </c>
      <c r="AM86" s="384"/>
      <c r="AN86" s="383">
        <f t="shared" si="22"/>
        <v>53.798109441769583</v>
      </c>
      <c r="AO86" s="379">
        <f t="shared" si="21"/>
        <v>1.7354228852183738E-3</v>
      </c>
      <c r="AQ86" s="380">
        <f t="shared" si="32"/>
        <v>3.7971059058706058E-3</v>
      </c>
      <c r="AR86" s="381">
        <v>479246.04779028392</v>
      </c>
      <c r="AT86" s="382">
        <v>117.71028308198878</v>
      </c>
    </row>
    <row r="87" spans="1:46">
      <c r="A87" s="361">
        <v>2011</v>
      </c>
      <c r="B87" s="361">
        <v>11</v>
      </c>
      <c r="C87" s="362">
        <f t="shared" si="40"/>
        <v>78.117279066674627</v>
      </c>
      <c r="D87" s="363">
        <f t="shared" si="39"/>
        <v>3.9729981188725644E-2</v>
      </c>
      <c r="E87" s="387">
        <v>40184.505553769923</v>
      </c>
      <c r="F87" s="364">
        <v>1466.0043178442243</v>
      </c>
      <c r="G87" s="364">
        <v>33509.520719839711</v>
      </c>
      <c r="H87" s="364">
        <v>58.765340111555076</v>
      </c>
      <c r="I87" s="364">
        <v>14393.342779824852</v>
      </c>
      <c r="J87" s="365">
        <f t="shared" si="33"/>
        <v>89612.13871139026</v>
      </c>
      <c r="K87" s="366">
        <v>30</v>
      </c>
      <c r="L87" s="367">
        <f t="shared" si="34"/>
        <v>3.9729981188725644E-2</v>
      </c>
      <c r="M87" s="368">
        <v>19347.991039487719</v>
      </c>
      <c r="N87" s="368">
        <v>0</v>
      </c>
      <c r="O87" s="368">
        <v>612.93802105412658</v>
      </c>
      <c r="P87" s="368">
        <v>315.03373972360498</v>
      </c>
      <c r="Q87" s="368">
        <v>4248.9505410907068</v>
      </c>
      <c r="R87" s="368">
        <v>0</v>
      </c>
      <c r="S87" s="364">
        <f>$L87*'MWh Impact Summary'!$L$17</f>
        <v>0</v>
      </c>
      <c r="T87" s="364">
        <f>$L87*'MWh Impact Summary'!$M$17</f>
        <v>0</v>
      </c>
      <c r="U87" s="368">
        <v>0</v>
      </c>
      <c r="V87" s="368">
        <v>96074.930141799254</v>
      </c>
      <c r="W87" s="368">
        <v>0</v>
      </c>
      <c r="X87" s="368">
        <f t="shared" si="25"/>
        <v>120599.84348315542</v>
      </c>
      <c r="Y87" s="364">
        <f t="shared" si="26"/>
        <v>210211.98219454568</v>
      </c>
      <c r="Z87" s="364"/>
      <c r="AA87" s="364">
        <v>4549257</v>
      </c>
      <c r="AB87" s="369">
        <f t="shared" si="35"/>
        <v>46.207981258158348</v>
      </c>
      <c r="AC87" s="370">
        <f t="shared" si="27"/>
        <v>19.698192190810556</v>
      </c>
      <c r="AD87" s="371">
        <f t="shared" si="28"/>
        <v>6.5660640636035184E-4</v>
      </c>
      <c r="AE87" s="370">
        <f t="shared" si="36"/>
        <v>26.509789067347793</v>
      </c>
      <c r="AF87" s="371">
        <f t="shared" si="29"/>
        <v>8.836596355782598E-4</v>
      </c>
      <c r="AG87" s="372">
        <f t="shared" si="37"/>
        <v>1.5402660419386116E-3</v>
      </c>
      <c r="AH87" s="373">
        <f t="shared" si="30"/>
        <v>1.5402660419386116E-3</v>
      </c>
      <c r="AI87" s="374" t="b">
        <f t="shared" si="38"/>
        <v>1</v>
      </c>
      <c r="AJ87" s="375">
        <f t="shared" si="41"/>
        <v>2.2501831244540181E-4</v>
      </c>
      <c r="AL87" s="376">
        <f t="shared" si="31"/>
        <v>96074.930141799254</v>
      </c>
      <c r="AM87" s="384"/>
      <c r="AN87" s="383">
        <f t="shared" si="22"/>
        <v>21.118817895273725</v>
      </c>
      <c r="AO87" s="379">
        <f t="shared" si="21"/>
        <v>7.0396059650912411E-4</v>
      </c>
      <c r="AQ87" s="380">
        <f t="shared" si="32"/>
        <v>1.5402660419386116E-3</v>
      </c>
      <c r="AR87" s="381">
        <v>366133.39797441743</v>
      </c>
      <c r="AT87" s="382">
        <v>46.207981258158348</v>
      </c>
    </row>
    <row r="88" spans="1:46">
      <c r="A88" s="361">
        <v>2011</v>
      </c>
      <c r="B88" s="361">
        <v>12</v>
      </c>
      <c r="C88" s="362">
        <f t="shared" si="40"/>
        <v>42.633806123140985</v>
      </c>
      <c r="D88" s="363">
        <f>C88/(SUM(C$77:C$88))</f>
        <v>2.1683298951445065E-2</v>
      </c>
      <c r="E88" s="387">
        <v>21931.363193941299</v>
      </c>
      <c r="F88" s="364">
        <v>800.09627331377078</v>
      </c>
      <c r="G88" s="364">
        <v>18288.37904645464</v>
      </c>
      <c r="H88" s="364">
        <v>32.072163124602433</v>
      </c>
      <c r="I88" s="364">
        <v>7855.406548597367</v>
      </c>
      <c r="J88" s="365">
        <f t="shared" si="33"/>
        <v>48907.317225431681</v>
      </c>
      <c r="K88" s="366">
        <v>31</v>
      </c>
      <c r="L88" s="367">
        <f t="shared" si="34"/>
        <v>2.1683298951445065E-2</v>
      </c>
      <c r="M88" s="368">
        <v>10559.48835782847</v>
      </c>
      <c r="N88" s="368">
        <v>0</v>
      </c>
      <c r="O88" s="368">
        <v>334.52113370230506</v>
      </c>
      <c r="P88" s="368">
        <v>171.93491045893364</v>
      </c>
      <c r="Q88" s="368">
        <v>2318.9355256608719</v>
      </c>
      <c r="R88" s="368">
        <v>0</v>
      </c>
      <c r="S88" s="364">
        <f>$L88*'MWh Impact Summary'!$L$17</f>
        <v>0</v>
      </c>
      <c r="T88" s="364">
        <f>$L88*'MWh Impact Summary'!$M$17</f>
        <v>0</v>
      </c>
      <c r="U88" s="368">
        <v>0</v>
      </c>
      <c r="V88" s="368">
        <v>52434.493288786121</v>
      </c>
      <c r="W88" s="368">
        <v>0</v>
      </c>
      <c r="X88" s="368">
        <f t="shared" si="25"/>
        <v>65819.373216436696</v>
      </c>
      <c r="Y88" s="364">
        <f t="shared" si="26"/>
        <v>114726.69044186838</v>
      </c>
      <c r="Z88" s="364">
        <f>SUM(Y77:Y88)</f>
        <v>5291016.4038587166</v>
      </c>
      <c r="AA88" s="364">
        <v>4554107</v>
      </c>
      <c r="AB88" s="369">
        <f t="shared" si="35"/>
        <v>25.19191807348145</v>
      </c>
      <c r="AC88" s="370">
        <f t="shared" si="27"/>
        <v>10.739167354968094</v>
      </c>
      <c r="AD88" s="371">
        <f t="shared" si="28"/>
        <v>3.4642475338606752E-4</v>
      </c>
      <c r="AE88" s="370">
        <f t="shared" si="36"/>
        <v>14.452750718513355</v>
      </c>
      <c r="AF88" s="371">
        <f t="shared" si="29"/>
        <v>4.6621776511333407E-4</v>
      </c>
      <c r="AG88" s="372">
        <f t="shared" si="37"/>
        <v>8.1264251849940154E-4</v>
      </c>
      <c r="AH88" s="373">
        <f t="shared" si="30"/>
        <v>8.1264251849940165E-4</v>
      </c>
      <c r="AI88" s="374" t="b">
        <f t="shared" si="38"/>
        <v>1</v>
      </c>
      <c r="AJ88" s="375">
        <f t="shared" si="41"/>
        <v>1.1828342180475058E-4</v>
      </c>
      <c r="AL88" s="376">
        <f t="shared" si="31"/>
        <v>52434.493288786121</v>
      </c>
      <c r="AM88" s="377">
        <f>SUM(AL77:AL88)</f>
        <v>2418197.2220279542</v>
      </c>
      <c r="AN88" s="383">
        <f t="shared" si="22"/>
        <v>11.513671788736216</v>
      </c>
      <c r="AO88" s="379">
        <f t="shared" si="21"/>
        <v>3.7140876737858764E-4</v>
      </c>
      <c r="AQ88" s="380">
        <f t="shared" si="32"/>
        <v>8.1264251849940165E-4</v>
      </c>
      <c r="AR88" s="381">
        <v>299855.58805098716</v>
      </c>
      <c r="AT88" s="382">
        <v>25.19191807348145</v>
      </c>
    </row>
    <row r="89" spans="1:46">
      <c r="A89" s="361">
        <v>2012</v>
      </c>
      <c r="B89" s="361">
        <v>1</v>
      </c>
      <c r="C89" s="362">
        <f t="shared" si="40"/>
        <v>26.112829868525239</v>
      </c>
      <c r="D89" s="363">
        <f>C89/(SUM(C$89:C$100))</f>
        <v>1.3280829182176284E-2</v>
      </c>
      <c r="E89" s="387">
        <v>15612.152080849906</v>
      </c>
      <c r="F89" s="364">
        <v>690.08278611282378</v>
      </c>
      <c r="G89" s="364">
        <v>13142.502555575051</v>
      </c>
      <c r="H89" s="364">
        <v>29.773721152255632</v>
      </c>
      <c r="I89" s="364">
        <v>5501.957264687122</v>
      </c>
      <c r="J89" s="365">
        <f t="shared" si="33"/>
        <v>34976.468408377157</v>
      </c>
      <c r="K89" s="366">
        <v>31</v>
      </c>
      <c r="L89" s="367">
        <f t="shared" si="34"/>
        <v>1.3280829182176284E-2</v>
      </c>
      <c r="M89" s="368">
        <v>7795.547919658211</v>
      </c>
      <c r="N89" s="368">
        <v>0</v>
      </c>
      <c r="O89" s="368">
        <v>310.80292424563282</v>
      </c>
      <c r="P89" s="368">
        <v>119.7882481457368</v>
      </c>
      <c r="Q89" s="368">
        <v>1915.9429254414033</v>
      </c>
      <c r="R89" s="368">
        <v>0</v>
      </c>
      <c r="S89" s="364">
        <f>$L89*'MWh Impact Summary'!$L$18</f>
        <v>0</v>
      </c>
      <c r="T89" s="364">
        <f>$L89*'MWh Impact Summary'!$M$18</f>
        <v>0</v>
      </c>
      <c r="U89" s="368">
        <v>25.211181402129146</v>
      </c>
      <c r="V89" s="368">
        <v>35446.071700902925</v>
      </c>
      <c r="W89" s="368">
        <v>0</v>
      </c>
      <c r="X89" s="368">
        <f t="shared" si="25"/>
        <v>45613.364899796041</v>
      </c>
      <c r="Y89" s="364">
        <f t="shared" si="26"/>
        <v>80589.833308173198</v>
      </c>
      <c r="Z89" s="364"/>
      <c r="AA89" s="364">
        <v>4560015</v>
      </c>
      <c r="AB89" s="369">
        <f t="shared" si="35"/>
        <v>17.673150923445032</v>
      </c>
      <c r="AC89" s="370">
        <f t="shared" si="27"/>
        <v>7.6702529286366721</v>
      </c>
      <c r="AD89" s="371">
        <f t="shared" si="28"/>
        <v>2.4742751382698941E-4</v>
      </c>
      <c r="AE89" s="370">
        <f t="shared" si="36"/>
        <v>10.002897994808359</v>
      </c>
      <c r="AF89" s="371">
        <f t="shared" si="29"/>
        <v>3.2267412886478582E-4</v>
      </c>
      <c r="AG89" s="372">
        <f t="shared" si="37"/>
        <v>5.7010164269177517E-4</v>
      </c>
      <c r="AH89" s="373">
        <f t="shared" si="30"/>
        <v>5.7010164269177517E-4</v>
      </c>
      <c r="AI89" s="374" t="b">
        <f t="shared" si="38"/>
        <v>1</v>
      </c>
      <c r="AJ89" s="375">
        <f t="shared" si="41"/>
        <v>7.005086442707397E-5</v>
      </c>
      <c r="AL89" s="376">
        <f t="shared" si="31"/>
        <v>35446.071700902925</v>
      </c>
      <c r="AM89" s="384"/>
      <c r="AN89" s="383">
        <f t="shared" si="22"/>
        <v>7.7732357680628077</v>
      </c>
      <c r="AO89" s="379">
        <f t="shared" si="21"/>
        <v>2.5074954090525188E-4</v>
      </c>
      <c r="AQ89" s="380">
        <f t="shared" si="32"/>
        <v>5.7010164269177517E-4</v>
      </c>
      <c r="AR89" s="381">
        <v>329688.54211650172</v>
      </c>
      <c r="AT89" s="382">
        <v>17.673150923445032</v>
      </c>
    </row>
    <row r="90" spans="1:46">
      <c r="A90" s="361">
        <v>2012</v>
      </c>
      <c r="B90" s="361">
        <v>2</v>
      </c>
      <c r="C90" s="362">
        <f t="shared" si="40"/>
        <v>35.042184420393127</v>
      </c>
      <c r="D90" s="363">
        <f t="shared" ref="D90:D100" si="42">C90/(SUM(C$89:C$100))</f>
        <v>1.7822245532205266E-2</v>
      </c>
      <c r="E90" s="387">
        <v>20950.770757932569</v>
      </c>
      <c r="F90" s="364">
        <v>926.05850756343148</v>
      </c>
      <c r="G90" s="364">
        <v>17636.617732230439</v>
      </c>
      <c r="H90" s="364">
        <v>39.954927625683091</v>
      </c>
      <c r="I90" s="364">
        <v>7383.3668014157884</v>
      </c>
      <c r="J90" s="365">
        <f t="shared" si="33"/>
        <v>46936.768726767907</v>
      </c>
      <c r="K90" s="366">
        <v>28</v>
      </c>
      <c r="L90" s="367">
        <f t="shared" si="34"/>
        <v>1.7822245532205266E-2</v>
      </c>
      <c r="M90" s="368">
        <v>10461.257138121999</v>
      </c>
      <c r="N90" s="368">
        <v>0</v>
      </c>
      <c r="O90" s="368">
        <v>417.08284566049747</v>
      </c>
      <c r="P90" s="368">
        <v>160.75017162265885</v>
      </c>
      <c r="Q90" s="368">
        <v>2571.1049193174613</v>
      </c>
      <c r="R90" s="368">
        <v>0</v>
      </c>
      <c r="S90" s="364">
        <f>$L90*'MWh Impact Summary'!$L$18</f>
        <v>0</v>
      </c>
      <c r="T90" s="364">
        <f>$L90*'MWh Impact Summary'!$M$18</f>
        <v>0</v>
      </c>
      <c r="U90" s="368">
        <v>33.832214761765663</v>
      </c>
      <c r="V90" s="368">
        <v>47566.954166797397</v>
      </c>
      <c r="W90" s="368">
        <v>0</v>
      </c>
      <c r="X90" s="368">
        <f t="shared" si="25"/>
        <v>61210.981456281777</v>
      </c>
      <c r="Y90" s="364">
        <f t="shared" si="26"/>
        <v>108147.75018304968</v>
      </c>
      <c r="Z90" s="364"/>
      <c r="AA90" s="364">
        <v>4565707</v>
      </c>
      <c r="AB90" s="369">
        <f t="shared" si="35"/>
        <v>23.686966812160676</v>
      </c>
      <c r="AC90" s="370">
        <f t="shared" si="27"/>
        <v>10.280284899308674</v>
      </c>
      <c r="AD90" s="371">
        <f t="shared" si="28"/>
        <v>3.671530321181669E-4</v>
      </c>
      <c r="AE90" s="370">
        <f t="shared" si="36"/>
        <v>13.406681912852001</v>
      </c>
      <c r="AF90" s="371">
        <f t="shared" si="29"/>
        <v>4.7881006831614287E-4</v>
      </c>
      <c r="AG90" s="372">
        <f t="shared" si="37"/>
        <v>8.4596310043430977E-4</v>
      </c>
      <c r="AH90" s="373">
        <f t="shared" si="30"/>
        <v>8.4596310043430988E-4</v>
      </c>
      <c r="AI90" s="374" t="b">
        <f t="shared" si="38"/>
        <v>1</v>
      </c>
      <c r="AJ90" s="375">
        <f t="shared" si="41"/>
        <v>1.0406185821477162E-4</v>
      </c>
      <c r="AL90" s="376">
        <f t="shared" si="31"/>
        <v>47566.954166797397</v>
      </c>
      <c r="AM90" s="384"/>
      <c r="AN90" s="383">
        <f t="shared" si="22"/>
        <v>10.418310716565342</v>
      </c>
      <c r="AO90" s="379">
        <f t="shared" si="21"/>
        <v>3.7208252559161936E-4</v>
      </c>
      <c r="AQ90" s="380">
        <f t="shared" si="32"/>
        <v>8.4596310043430988E-4</v>
      </c>
      <c r="AR90" s="381">
        <v>316523.47080675134</v>
      </c>
      <c r="AT90" s="382">
        <v>23.686966812160676</v>
      </c>
    </row>
    <row r="91" spans="1:46">
      <c r="A91" s="361">
        <v>2012</v>
      </c>
      <c r="B91" s="361">
        <v>3</v>
      </c>
      <c r="C91" s="362">
        <f t="shared" si="40"/>
        <v>64.582270600115152</v>
      </c>
      <c r="D91" s="363">
        <f t="shared" si="42"/>
        <v>3.2846156787895278E-2</v>
      </c>
      <c r="E91" s="387">
        <v>38611.986345872938</v>
      </c>
      <c r="F91" s="364">
        <v>1706.7132690562264</v>
      </c>
      <c r="G91" s="364">
        <v>32504.047270261963</v>
      </c>
      <c r="H91" s="364">
        <v>73.636389694593518</v>
      </c>
      <c r="I91" s="364">
        <v>13607.444872399074</v>
      </c>
      <c r="J91" s="365">
        <f t="shared" si="33"/>
        <v>86503.828147284803</v>
      </c>
      <c r="K91" s="366">
        <v>31</v>
      </c>
      <c r="L91" s="367">
        <f t="shared" si="34"/>
        <v>3.2846156787895278E-2</v>
      </c>
      <c r="M91" s="368">
        <v>19279.955016685621</v>
      </c>
      <c r="N91" s="368">
        <v>0</v>
      </c>
      <c r="O91" s="368">
        <v>768.67802754432637</v>
      </c>
      <c r="P91" s="368">
        <v>296.26038600230157</v>
      </c>
      <c r="Q91" s="368">
        <v>4738.5114937074086</v>
      </c>
      <c r="R91" s="368">
        <v>0</v>
      </c>
      <c r="S91" s="364">
        <f>$L91*'MWh Impact Summary'!$L$18</f>
        <v>0</v>
      </c>
      <c r="T91" s="364">
        <f>$L91*'MWh Impact Summary'!$M$18</f>
        <v>0</v>
      </c>
      <c r="U91" s="368">
        <v>62.352312930412012</v>
      </c>
      <c r="V91" s="368">
        <v>87665.251365882781</v>
      </c>
      <c r="W91" s="368">
        <v>0</v>
      </c>
      <c r="X91" s="368">
        <f t="shared" si="25"/>
        <v>112811.00860275285</v>
      </c>
      <c r="Y91" s="364">
        <f t="shared" si="26"/>
        <v>199314.83675003765</v>
      </c>
      <c r="Z91" s="364"/>
      <c r="AA91" s="364">
        <v>4573930</v>
      </c>
      <c r="AB91" s="369">
        <f t="shared" si="35"/>
        <v>43.576276145467389</v>
      </c>
      <c r="AC91" s="370">
        <f t="shared" si="27"/>
        <v>18.91236379815275</v>
      </c>
      <c r="AD91" s="371">
        <f t="shared" si="28"/>
        <v>6.1007625155331461E-4</v>
      </c>
      <c r="AE91" s="370">
        <f t="shared" si="36"/>
        <v>24.663912347314639</v>
      </c>
      <c r="AF91" s="371">
        <f t="shared" si="29"/>
        <v>7.9561007571982709E-4</v>
      </c>
      <c r="AG91" s="372">
        <f t="shared" si="37"/>
        <v>1.4056863272731417E-3</v>
      </c>
      <c r="AH91" s="373">
        <f t="shared" si="30"/>
        <v>1.4056863272731417E-3</v>
      </c>
      <c r="AI91" s="374" t="b">
        <f t="shared" si="38"/>
        <v>1</v>
      </c>
      <c r="AJ91" s="375">
        <f t="shared" si="41"/>
        <v>1.7264477619591398E-4</v>
      </c>
      <c r="AL91" s="376">
        <f t="shared" si="31"/>
        <v>87665.251365882781</v>
      </c>
      <c r="AM91" s="384"/>
      <c r="AN91" s="383">
        <f t="shared" si="22"/>
        <v>19.166286184065516</v>
      </c>
      <c r="AO91" s="379">
        <f t="shared" si="21"/>
        <v>6.1826729626017799E-4</v>
      </c>
      <c r="AQ91" s="380">
        <f t="shared" si="32"/>
        <v>1.4056863272731417E-3</v>
      </c>
      <c r="AR91" s="381">
        <v>374414.91472963028</v>
      </c>
      <c r="AT91" s="382">
        <v>43.576276145467389</v>
      </c>
    </row>
    <row r="92" spans="1:46">
      <c r="A92" s="361">
        <v>2012</v>
      </c>
      <c r="B92" s="361">
        <v>4</v>
      </c>
      <c r="C92" s="362">
        <f t="shared" si="40"/>
        <v>114.03392869270741</v>
      </c>
      <c r="D92" s="363">
        <f t="shared" si="42"/>
        <v>5.7996974497419709E-2</v>
      </c>
      <c r="E92" s="387">
        <v>68177.790231506908</v>
      </c>
      <c r="F92" s="364">
        <v>3013.5704027431366</v>
      </c>
      <c r="G92" s="364">
        <v>57392.90635338601</v>
      </c>
      <c r="H92" s="364">
        <v>130.02092886475128</v>
      </c>
      <c r="I92" s="364">
        <v>24026.878953778007</v>
      </c>
      <c r="J92" s="365">
        <f t="shared" si="33"/>
        <v>152741.1668702788</v>
      </c>
      <c r="K92" s="366">
        <v>30</v>
      </c>
      <c r="L92" s="367">
        <f t="shared" si="34"/>
        <v>5.7996974497419709E-2</v>
      </c>
      <c r="M92" s="368">
        <v>34042.919134642725</v>
      </c>
      <c r="N92" s="368">
        <v>0</v>
      </c>
      <c r="O92" s="368">
        <v>1357.2668561530011</v>
      </c>
      <c r="P92" s="368">
        <v>523.11161279919736</v>
      </c>
      <c r="Q92" s="368">
        <v>8366.8641062310617</v>
      </c>
      <c r="R92" s="368">
        <v>0</v>
      </c>
      <c r="S92" s="364">
        <f>$L92*'MWh Impact Summary'!$L$18</f>
        <v>0</v>
      </c>
      <c r="T92" s="364">
        <f>$L92*'MWh Impact Summary'!$M$18</f>
        <v>0</v>
      </c>
      <c r="U92" s="368">
        <v>110.09645744043107</v>
      </c>
      <c r="V92" s="368">
        <v>154791.91007365295</v>
      </c>
      <c r="W92" s="368">
        <v>0</v>
      </c>
      <c r="X92" s="368">
        <f t="shared" si="25"/>
        <v>199192.16824091936</v>
      </c>
      <c r="Y92" s="364">
        <f t="shared" si="26"/>
        <v>351933.33511119813</v>
      </c>
      <c r="Z92" s="364"/>
      <c r="AA92" s="364">
        <v>4577038</v>
      </c>
      <c r="AB92" s="369">
        <f t="shared" si="35"/>
        <v>76.89106691078338</v>
      </c>
      <c r="AC92" s="370">
        <f t="shared" si="27"/>
        <v>33.371181727195363</v>
      </c>
      <c r="AD92" s="371">
        <f t="shared" si="28"/>
        <v>1.1123727242398453E-3</v>
      </c>
      <c r="AE92" s="370">
        <f t="shared" si="36"/>
        <v>43.519885183588023</v>
      </c>
      <c r="AF92" s="371">
        <f t="shared" si="29"/>
        <v>1.4506628394529342E-3</v>
      </c>
      <c r="AG92" s="372">
        <f t="shared" si="37"/>
        <v>2.5630355636927795E-3</v>
      </c>
      <c r="AH92" s="373">
        <f t="shared" si="30"/>
        <v>2.5630355636927795E-3</v>
      </c>
      <c r="AI92" s="374" t="b">
        <f t="shared" si="38"/>
        <v>1</v>
      </c>
      <c r="AJ92" s="375">
        <f t="shared" si="41"/>
        <v>3.1508088218838107E-4</v>
      </c>
      <c r="AL92" s="376">
        <f t="shared" si="31"/>
        <v>154791.91007365295</v>
      </c>
      <c r="AM92" s="384"/>
      <c r="AN92" s="383">
        <f t="shared" si="22"/>
        <v>33.819232017224451</v>
      </c>
      <c r="AO92" s="379">
        <f t="shared" si="21"/>
        <v>1.1273077339074818E-3</v>
      </c>
      <c r="AQ92" s="380">
        <f t="shared" si="32"/>
        <v>2.5630355636927795E-3</v>
      </c>
      <c r="AR92" s="381">
        <v>444842.69011799514</v>
      </c>
      <c r="AT92" s="382">
        <v>76.89106691078338</v>
      </c>
    </row>
    <row r="93" spans="1:46">
      <c r="A93" s="361">
        <v>2012</v>
      </c>
      <c r="B93" s="361">
        <v>5</v>
      </c>
      <c r="C93" s="362">
        <f t="shared" si="40"/>
        <v>208.47875842628665</v>
      </c>
      <c r="D93" s="363">
        <f t="shared" si="42"/>
        <v>0.10603105035770212</v>
      </c>
      <c r="E93" s="387">
        <v>124643.78999003435</v>
      </c>
      <c r="F93" s="364">
        <v>5509.4604140764995</v>
      </c>
      <c r="G93" s="364">
        <v>104926.68275310629</v>
      </c>
      <c r="H93" s="364">
        <v>237.7064627160336</v>
      </c>
      <c r="I93" s="364">
        <v>43926.346751067023</v>
      </c>
      <c r="J93" s="365">
        <f t="shared" si="33"/>
        <v>279243.98637100018</v>
      </c>
      <c r="K93" s="366">
        <v>31</v>
      </c>
      <c r="L93" s="367">
        <f t="shared" si="34"/>
        <v>0.10603105035770212</v>
      </c>
      <c r="M93" s="368">
        <v>62237.840928220758</v>
      </c>
      <c r="N93" s="368">
        <v>0</v>
      </c>
      <c r="O93" s="368">
        <v>2481.3782377562056</v>
      </c>
      <c r="P93" s="368">
        <v>956.36150402773433</v>
      </c>
      <c r="Q93" s="368">
        <v>15296.442565694619</v>
      </c>
      <c r="R93" s="368">
        <v>0</v>
      </c>
      <c r="S93" s="364">
        <f>$L93*'MWh Impact Summary'!$L$18</f>
        <v>0</v>
      </c>
      <c r="T93" s="364">
        <f>$L93*'MWh Impact Summary'!$M$18</f>
        <v>0</v>
      </c>
      <c r="U93" s="368">
        <v>201.28020684234687</v>
      </c>
      <c r="V93" s="368">
        <v>282993.18980362674</v>
      </c>
      <c r="W93" s="368">
        <v>0</v>
      </c>
      <c r="X93" s="368">
        <f t="shared" si="25"/>
        <v>364166.49324616836</v>
      </c>
      <c r="Y93" s="364">
        <f t="shared" si="26"/>
        <v>643410.47961716854</v>
      </c>
      <c r="Z93" s="364"/>
      <c r="AA93" s="364">
        <v>4576751</v>
      </c>
      <c r="AB93" s="369">
        <f t="shared" si="35"/>
        <v>140.58236500460012</v>
      </c>
      <c r="AC93" s="370">
        <f t="shared" si="27"/>
        <v>61.013585045592421</v>
      </c>
      <c r="AD93" s="371">
        <f t="shared" si="28"/>
        <v>1.9681801627610459E-3</v>
      </c>
      <c r="AE93" s="370">
        <f t="shared" si="36"/>
        <v>79.568779959007685</v>
      </c>
      <c r="AF93" s="371">
        <f t="shared" si="29"/>
        <v>2.5667348373873446E-3</v>
      </c>
      <c r="AG93" s="372">
        <f t="shared" si="37"/>
        <v>4.5349150001483905E-3</v>
      </c>
      <c r="AH93" s="373">
        <f t="shared" si="30"/>
        <v>4.5349150001483913E-3</v>
      </c>
      <c r="AI93" s="374" t="b">
        <f t="shared" si="38"/>
        <v>1</v>
      </c>
      <c r="AJ93" s="375">
        <f t="shared" si="41"/>
        <v>5.5735150276800885E-4</v>
      </c>
      <c r="AL93" s="376">
        <f t="shared" si="31"/>
        <v>282993.18980362674</v>
      </c>
      <c r="AM93" s="384"/>
      <c r="AN93" s="383">
        <f t="shared" si="22"/>
        <v>61.832769535337782</v>
      </c>
      <c r="AO93" s="379">
        <f t="shared" si="21"/>
        <v>1.9946054688818639E-3</v>
      </c>
      <c r="AQ93" s="380">
        <f t="shared" si="32"/>
        <v>4.5349150001483913E-3</v>
      </c>
      <c r="AR93" s="381">
        <v>541584.37654085748</v>
      </c>
      <c r="AT93" s="382">
        <v>140.58236500460012</v>
      </c>
    </row>
    <row r="94" spans="1:46">
      <c r="A94" s="361">
        <v>2012</v>
      </c>
      <c r="B94" s="361">
        <v>6</v>
      </c>
      <c r="C94" s="362">
        <f t="shared" si="40"/>
        <v>271.66325293295364</v>
      </c>
      <c r="D94" s="363">
        <f t="shared" si="42"/>
        <v>0.13816630657965029</v>
      </c>
      <c r="E94" s="387">
        <v>162420.08395573395</v>
      </c>
      <c r="F94" s="364">
        <v>7179.2347061706278</v>
      </c>
      <c r="G94" s="364">
        <v>136727.23385030864</v>
      </c>
      <c r="H94" s="364">
        <v>309.74911493180338</v>
      </c>
      <c r="I94" s="364">
        <v>57239.281056420165</v>
      </c>
      <c r="J94" s="365">
        <f t="shared" si="33"/>
        <v>363875.58268356521</v>
      </c>
      <c r="K94" s="366">
        <v>30</v>
      </c>
      <c r="L94" s="367">
        <f t="shared" si="34"/>
        <v>0.13816630657965029</v>
      </c>
      <c r="M94" s="368">
        <v>81100.51330750974</v>
      </c>
      <c r="N94" s="368">
        <v>0</v>
      </c>
      <c r="O94" s="368">
        <v>3233.4195047704916</v>
      </c>
      <c r="P94" s="368">
        <v>1246.2098255246883</v>
      </c>
      <c r="Q94" s="368">
        <v>19932.396840170069</v>
      </c>
      <c r="R94" s="368">
        <v>0</v>
      </c>
      <c r="S94" s="364">
        <f>$L94*'MWh Impact Summary'!$L$18</f>
        <v>0</v>
      </c>
      <c r="T94" s="364">
        <f>$L94*'MWh Impact Summary'!$M$18</f>
        <v>0</v>
      </c>
      <c r="U94" s="368">
        <v>262.28300741316747</v>
      </c>
      <c r="V94" s="368">
        <v>368761.07225623471</v>
      </c>
      <c r="W94" s="368">
        <v>0</v>
      </c>
      <c r="X94" s="368">
        <f t="shared" si="25"/>
        <v>474535.89474162285</v>
      </c>
      <c r="Y94" s="364">
        <f t="shared" si="26"/>
        <v>838411.47742518806</v>
      </c>
      <c r="Z94" s="364"/>
      <c r="AA94" s="364">
        <v>4575347</v>
      </c>
      <c r="AB94" s="369">
        <f t="shared" si="35"/>
        <v>183.24544071196962</v>
      </c>
      <c r="AC94" s="370">
        <f t="shared" si="27"/>
        <v>79.529614405981704</v>
      </c>
      <c r="AD94" s="371">
        <f t="shared" si="28"/>
        <v>2.6509871468660567E-3</v>
      </c>
      <c r="AE94" s="370">
        <f t="shared" si="36"/>
        <v>103.7158263059879</v>
      </c>
      <c r="AF94" s="371">
        <f t="shared" si="29"/>
        <v>3.4571942101995967E-3</v>
      </c>
      <c r="AG94" s="372">
        <f t="shared" si="37"/>
        <v>6.1081813570656538E-3</v>
      </c>
      <c r="AH94" s="373">
        <f t="shared" si="30"/>
        <v>6.1081813570656547E-3</v>
      </c>
      <c r="AI94" s="374" t="b">
        <f t="shared" si="38"/>
        <v>1</v>
      </c>
      <c r="AJ94" s="375">
        <f t="shared" si="41"/>
        <v>7.5179621140634978E-4</v>
      </c>
      <c r="AL94" s="376">
        <f t="shared" si="31"/>
        <v>368761.07225623471</v>
      </c>
      <c r="AM94" s="384"/>
      <c r="AN94" s="383">
        <f t="shared" si="22"/>
        <v>80.597399990915378</v>
      </c>
      <c r="AO94" s="379">
        <f t="shared" si="21"/>
        <v>2.6865799996971793E-3</v>
      </c>
      <c r="AQ94" s="380">
        <f t="shared" si="32"/>
        <v>6.1081813570656547E-3</v>
      </c>
      <c r="AR94" s="381">
        <v>666316.34753543139</v>
      </c>
      <c r="AT94" s="382">
        <v>183.24544071196962</v>
      </c>
    </row>
    <row r="95" spans="1:46">
      <c r="A95" s="361">
        <v>2012</v>
      </c>
      <c r="B95" s="361">
        <v>7</v>
      </c>
      <c r="C95" s="362">
        <f t="shared" si="40"/>
        <v>322.31916585708109</v>
      </c>
      <c r="D95" s="363">
        <f t="shared" si="42"/>
        <v>0.16392960109808263</v>
      </c>
      <c r="E95" s="387">
        <v>192705.87911265818</v>
      </c>
      <c r="F95" s="364">
        <v>8517.9166376109715</v>
      </c>
      <c r="G95" s="364">
        <v>162222.19048320808</v>
      </c>
      <c r="H95" s="364">
        <v>367.5067395825817</v>
      </c>
      <c r="I95" s="364">
        <v>67912.450893450994</v>
      </c>
      <c r="J95" s="365">
        <f t="shared" si="33"/>
        <v>431725.94386651082</v>
      </c>
      <c r="K95" s="366">
        <v>31</v>
      </c>
      <c r="L95" s="367">
        <f t="shared" si="34"/>
        <v>0.16392960109808263</v>
      </c>
      <c r="M95" s="368">
        <v>96222.987531953928</v>
      </c>
      <c r="N95" s="368">
        <v>0</v>
      </c>
      <c r="O95" s="368">
        <v>3836.3417443906328</v>
      </c>
      <c r="P95" s="368">
        <v>1478.5853703413832</v>
      </c>
      <c r="Q95" s="368">
        <v>23649.10768642501</v>
      </c>
      <c r="R95" s="368">
        <v>0</v>
      </c>
      <c r="S95" s="364">
        <f>$L95*'MWh Impact Summary'!$L$18</f>
        <v>0</v>
      </c>
      <c r="T95" s="364">
        <f>$L95*'MWh Impact Summary'!$M$18</f>
        <v>0</v>
      </c>
      <c r="U95" s="368">
        <v>311.18982510587438</v>
      </c>
      <c r="V95" s="368">
        <v>437522.41028905986</v>
      </c>
      <c r="W95" s="368">
        <v>0</v>
      </c>
      <c r="X95" s="368">
        <f t="shared" si="25"/>
        <v>563020.62244727672</v>
      </c>
      <c r="Y95" s="364">
        <f t="shared" si="26"/>
        <v>994746.5663137876</v>
      </c>
      <c r="Z95" s="364"/>
      <c r="AA95" s="364">
        <v>4577123</v>
      </c>
      <c r="AB95" s="369">
        <f t="shared" si="35"/>
        <v>217.33009279274069</v>
      </c>
      <c r="AC95" s="370">
        <f t="shared" si="27"/>
        <v>94.322556738481964</v>
      </c>
      <c r="AD95" s="371">
        <f t="shared" si="28"/>
        <v>3.0426631205961925E-3</v>
      </c>
      <c r="AE95" s="370">
        <f t="shared" si="36"/>
        <v>123.00753605425869</v>
      </c>
      <c r="AF95" s="371">
        <f t="shared" si="29"/>
        <v>3.967985034008345E-3</v>
      </c>
      <c r="AG95" s="372">
        <f t="shared" si="37"/>
        <v>7.010648154604537E-3</v>
      </c>
      <c r="AH95" s="373">
        <f t="shared" si="30"/>
        <v>7.0106481546045379E-3</v>
      </c>
      <c r="AI95" s="374" t="b">
        <f t="shared" si="38"/>
        <v>1</v>
      </c>
      <c r="AJ95" s="375">
        <f t="shared" si="41"/>
        <v>8.609574141775567E-4</v>
      </c>
      <c r="AL95" s="376">
        <f t="shared" si="31"/>
        <v>437522.41028905986</v>
      </c>
      <c r="AM95" s="384"/>
      <c r="AN95" s="383">
        <f t="shared" si="22"/>
        <v>95.588956269923244</v>
      </c>
      <c r="AO95" s="379">
        <f t="shared" si="21"/>
        <v>3.0835147183846208E-3</v>
      </c>
      <c r="AQ95" s="380">
        <f t="shared" si="32"/>
        <v>7.0106481546045379E-3</v>
      </c>
      <c r="AR95" s="381">
        <v>703280.56974415644</v>
      </c>
      <c r="AT95" s="382">
        <v>217.33009279274069</v>
      </c>
    </row>
    <row r="96" spans="1:46">
      <c r="A96" s="361">
        <v>2012</v>
      </c>
      <c r="B96" s="361">
        <v>8</v>
      </c>
      <c r="C96" s="362">
        <f t="shared" si="40"/>
        <v>326.45437890907908</v>
      </c>
      <c r="D96" s="363">
        <f t="shared" si="42"/>
        <v>0.16603274573816959</v>
      </c>
      <c r="E96" s="387">
        <v>195178.21073583182</v>
      </c>
      <c r="F96" s="364">
        <v>8627.1977595139069</v>
      </c>
      <c r="G96" s="364">
        <v>164303.42979650202</v>
      </c>
      <c r="H96" s="364">
        <v>372.22168931936829</v>
      </c>
      <c r="I96" s="364">
        <v>68783.737751559514</v>
      </c>
      <c r="J96" s="365">
        <f t="shared" si="33"/>
        <v>437264.79773272661</v>
      </c>
      <c r="K96" s="366">
        <v>31</v>
      </c>
      <c r="L96" s="367">
        <f t="shared" si="34"/>
        <v>0.16603274573816959</v>
      </c>
      <c r="M96" s="368">
        <v>97457.486116257191</v>
      </c>
      <c r="N96" s="368">
        <v>0</v>
      </c>
      <c r="O96" s="368">
        <v>3885.5603206771057</v>
      </c>
      <c r="P96" s="368">
        <v>1497.5549699482528</v>
      </c>
      <c r="Q96" s="368">
        <v>23952.515330562357</v>
      </c>
      <c r="R96" s="368">
        <v>0</v>
      </c>
      <c r="S96" s="364">
        <f>$L96*'MWh Impact Summary'!$L$18</f>
        <v>0</v>
      </c>
      <c r="T96" s="364">
        <f>$L96*'MWh Impact Summary'!$M$18</f>
        <v>0</v>
      </c>
      <c r="U96" s="368">
        <v>315.18225361382537</v>
      </c>
      <c r="V96" s="368">
        <v>443135.63026857295</v>
      </c>
      <c r="W96" s="368">
        <v>0</v>
      </c>
      <c r="X96" s="368">
        <f t="shared" si="25"/>
        <v>570243.92925963167</v>
      </c>
      <c r="Y96" s="364">
        <f t="shared" si="26"/>
        <v>1007508.7269923582</v>
      </c>
      <c r="Z96" s="364"/>
      <c r="AA96" s="364">
        <v>4579585</v>
      </c>
      <c r="AB96" s="369">
        <f t="shared" si="35"/>
        <v>220.00000589406207</v>
      </c>
      <c r="AC96" s="370">
        <f t="shared" si="27"/>
        <v>95.481314951622608</v>
      </c>
      <c r="AD96" s="371">
        <f t="shared" si="28"/>
        <v>3.0800424177942778E-3</v>
      </c>
      <c r="AE96" s="370">
        <f t="shared" si="36"/>
        <v>124.51869094243946</v>
      </c>
      <c r="AF96" s="371">
        <f t="shared" si="29"/>
        <v>4.0167319658851444E-3</v>
      </c>
      <c r="AG96" s="372">
        <f t="shared" si="37"/>
        <v>7.0967743836794217E-3</v>
      </c>
      <c r="AH96" s="373">
        <f t="shared" si="30"/>
        <v>7.0967743836794217E-3</v>
      </c>
      <c r="AI96" s="374" t="b">
        <f t="shared" si="38"/>
        <v>1</v>
      </c>
      <c r="AJ96" s="375">
        <f t="shared" si="41"/>
        <v>8.6906323223404081E-4</v>
      </c>
      <c r="AL96" s="376">
        <f t="shared" si="31"/>
        <v>443135.63026857295</v>
      </c>
      <c r="AM96" s="384"/>
      <c r="AN96" s="383">
        <f t="shared" si="22"/>
        <v>96.763272276543162</v>
      </c>
      <c r="AO96" s="379">
        <f t="shared" si="21"/>
        <v>3.1213958798884892E-3</v>
      </c>
      <c r="AQ96" s="380">
        <f t="shared" si="32"/>
        <v>7.0967743836794217E-3</v>
      </c>
      <c r="AR96" s="381">
        <v>731339.80776993698</v>
      </c>
      <c r="AT96" s="382">
        <v>220.00000589406207</v>
      </c>
    </row>
    <row r="97" spans="1:46">
      <c r="A97" s="361">
        <v>2012</v>
      </c>
      <c r="B97" s="361">
        <v>9</v>
      </c>
      <c r="C97" s="362">
        <f t="shared" si="40"/>
        <v>277.87653293728147</v>
      </c>
      <c r="D97" s="363">
        <f t="shared" si="42"/>
        <v>0.14132634365008559</v>
      </c>
      <c r="E97" s="387">
        <v>166134.8353954234</v>
      </c>
      <c r="F97" s="364">
        <v>7343.4328263235793</v>
      </c>
      <c r="G97" s="364">
        <v>139854.35751888534</v>
      </c>
      <c r="H97" s="364">
        <v>316.83346646402555</v>
      </c>
      <c r="I97" s="364">
        <v>58548.415349006034</v>
      </c>
      <c r="J97" s="365">
        <f t="shared" si="33"/>
        <v>372197.87455610232</v>
      </c>
      <c r="K97" s="366">
        <v>30</v>
      </c>
      <c r="L97" s="367">
        <f t="shared" si="34"/>
        <v>0.14132634365008559</v>
      </c>
      <c r="M97" s="368">
        <v>82955.383969014467</v>
      </c>
      <c r="N97" s="368">
        <v>0</v>
      </c>
      <c r="O97" s="368">
        <v>3307.3718724083496</v>
      </c>
      <c r="P97" s="368">
        <v>1274.712210394682</v>
      </c>
      <c r="Q97" s="368">
        <v>20388.275805721296</v>
      </c>
      <c r="R97" s="368">
        <v>0</v>
      </c>
      <c r="S97" s="364">
        <f>$L97*'MWh Impact Summary'!$L$18</f>
        <v>0</v>
      </c>
      <c r="T97" s="364">
        <f>$L97*'MWh Impact Summary'!$M$18</f>
        <v>0</v>
      </c>
      <c r="U97" s="368">
        <v>268.28174941393934</v>
      </c>
      <c r="V97" s="368">
        <v>377195.10141508322</v>
      </c>
      <c r="W97" s="368">
        <v>0</v>
      </c>
      <c r="X97" s="368">
        <f t="shared" si="25"/>
        <v>485389.12702203594</v>
      </c>
      <c r="Y97" s="364">
        <f t="shared" si="26"/>
        <v>857587.00157813821</v>
      </c>
      <c r="Z97" s="364"/>
      <c r="AA97" s="364">
        <v>4578976</v>
      </c>
      <c r="AB97" s="369">
        <f t="shared" si="35"/>
        <v>187.28794419934462</v>
      </c>
      <c r="AC97" s="370">
        <f t="shared" si="27"/>
        <v>81.284085034755009</v>
      </c>
      <c r="AD97" s="371">
        <f t="shared" si="28"/>
        <v>2.7094695011585005E-3</v>
      </c>
      <c r="AE97" s="370">
        <f t="shared" si="36"/>
        <v>106.00385916458963</v>
      </c>
      <c r="AF97" s="371">
        <f t="shared" si="29"/>
        <v>3.5334619721529873E-3</v>
      </c>
      <c r="AG97" s="372">
        <f t="shared" si="37"/>
        <v>6.2429314733114874E-3</v>
      </c>
      <c r="AH97" s="373">
        <f t="shared" si="30"/>
        <v>6.2429314733114874E-3</v>
      </c>
      <c r="AI97" s="374" t="b">
        <f t="shared" si="38"/>
        <v>1</v>
      </c>
      <c r="AJ97" s="375">
        <f t="shared" si="41"/>
        <v>7.6001004063666697E-4</v>
      </c>
      <c r="AL97" s="376">
        <f t="shared" si="31"/>
        <v>377195.10141508322</v>
      </c>
      <c r="AM97" s="384"/>
      <c r="AN97" s="383">
        <f t="shared" si="22"/>
        <v>82.375426605224234</v>
      </c>
      <c r="AO97" s="379">
        <f t="shared" si="21"/>
        <v>2.7458475535074743E-3</v>
      </c>
      <c r="AQ97" s="380">
        <f t="shared" si="32"/>
        <v>6.2429314733114874E-3</v>
      </c>
      <c r="AR97" s="381">
        <v>689207.92416327714</v>
      </c>
      <c r="AT97" s="382">
        <v>187.28794419934462</v>
      </c>
    </row>
    <row r="98" spans="1:46">
      <c r="A98" s="361">
        <v>2012</v>
      </c>
      <c r="B98" s="361">
        <v>10</v>
      </c>
      <c r="C98" s="362">
        <f t="shared" si="40"/>
        <v>198.89039579254836</v>
      </c>
      <c r="D98" s="363">
        <f t="shared" si="42"/>
        <v>0.10115446643644242</v>
      </c>
      <c r="E98" s="387">
        <v>118911.16827121047</v>
      </c>
      <c r="F98" s="364">
        <v>5256.0691104964289</v>
      </c>
      <c r="G98" s="364">
        <v>100100.8909468503</v>
      </c>
      <c r="H98" s="364">
        <v>226.7738584444555</v>
      </c>
      <c r="I98" s="364">
        <v>41906.084614991982</v>
      </c>
      <c r="J98" s="365">
        <f t="shared" si="33"/>
        <v>266400.98680199363</v>
      </c>
      <c r="K98" s="366">
        <v>31</v>
      </c>
      <c r="L98" s="367">
        <f t="shared" si="34"/>
        <v>0.10115446643644242</v>
      </c>
      <c r="M98" s="368">
        <v>59375.395886503473</v>
      </c>
      <c r="N98" s="368">
        <v>0</v>
      </c>
      <c r="O98" s="368">
        <v>2367.2545996711033</v>
      </c>
      <c r="P98" s="368">
        <v>912.37649097995393</v>
      </c>
      <c r="Q98" s="368">
        <v>14592.928023334714</v>
      </c>
      <c r="R98" s="368">
        <v>0</v>
      </c>
      <c r="S98" s="364">
        <f>$L98*'MWh Impact Summary'!$L$18</f>
        <v>0</v>
      </c>
      <c r="T98" s="364">
        <f>$L98*'MWh Impact Summary'!$M$18</f>
        <v>0</v>
      </c>
      <c r="U98" s="368">
        <v>192.02292025465519</v>
      </c>
      <c r="V98" s="368">
        <v>269977.75673409936</v>
      </c>
      <c r="W98" s="368">
        <v>0</v>
      </c>
      <c r="X98" s="368">
        <f t="shared" si="25"/>
        <v>347417.73465484328</v>
      </c>
      <c r="Y98" s="364">
        <f t="shared" si="26"/>
        <v>613818.72145683691</v>
      </c>
      <c r="Z98" s="364"/>
      <c r="AA98" s="364">
        <v>4580752</v>
      </c>
      <c r="AB98" s="369">
        <f t="shared" si="35"/>
        <v>133.99955322987077</v>
      </c>
      <c r="AC98" s="370">
        <f t="shared" si="27"/>
        <v>58.156605466088024</v>
      </c>
      <c r="AD98" s="371">
        <f t="shared" si="28"/>
        <v>1.8760195311641299E-3</v>
      </c>
      <c r="AE98" s="370">
        <f t="shared" si="36"/>
        <v>75.842947763782732</v>
      </c>
      <c r="AF98" s="371">
        <f t="shared" si="29"/>
        <v>2.4465467020575071E-3</v>
      </c>
      <c r="AG98" s="372">
        <f t="shared" si="37"/>
        <v>4.3225662332216372E-3</v>
      </c>
      <c r="AH98" s="373">
        <f t="shared" si="30"/>
        <v>4.3225662332216381E-3</v>
      </c>
      <c r="AI98" s="374" t="b">
        <f t="shared" si="38"/>
        <v>1</v>
      </c>
      <c r="AJ98" s="375">
        <f t="shared" si="41"/>
        <v>5.2546032735103229E-4</v>
      </c>
      <c r="AL98" s="376">
        <f t="shared" si="31"/>
        <v>269977.75673409936</v>
      </c>
      <c r="AM98" s="384"/>
      <c r="AN98" s="383">
        <f t="shared" si="22"/>
        <v>58.937431394255647</v>
      </c>
      <c r="AO98" s="379">
        <f t="shared" si="21"/>
        <v>1.9012074643308273E-3</v>
      </c>
      <c r="AQ98" s="380">
        <f t="shared" si="32"/>
        <v>4.3225662332216381E-3</v>
      </c>
      <c r="AR98" s="381">
        <v>550390.63085847348</v>
      </c>
      <c r="AT98" s="382">
        <v>133.99955322987077</v>
      </c>
    </row>
    <row r="99" spans="1:46">
      <c r="A99" s="361">
        <v>2012</v>
      </c>
      <c r="B99" s="361">
        <v>11</v>
      </c>
      <c r="C99" s="362">
        <f t="shared" si="40"/>
        <v>78.117279066674627</v>
      </c>
      <c r="D99" s="363">
        <f t="shared" si="42"/>
        <v>3.9729981188725644E-2</v>
      </c>
      <c r="E99" s="387">
        <v>46704.200466649556</v>
      </c>
      <c r="F99" s="364">
        <v>2064.4024356341542</v>
      </c>
      <c r="G99" s="364">
        <v>39316.173120164494</v>
      </c>
      <c r="H99" s="364">
        <v>89.068940280100776</v>
      </c>
      <c r="I99" s="364">
        <v>16459.262868959795</v>
      </c>
      <c r="J99" s="365">
        <f t="shared" si="33"/>
        <v>104633.1078316881</v>
      </c>
      <c r="K99" s="366">
        <v>30</v>
      </c>
      <c r="L99" s="367">
        <f t="shared" si="34"/>
        <v>3.9729981188725644E-2</v>
      </c>
      <c r="M99" s="368">
        <v>23320.605058266232</v>
      </c>
      <c r="N99" s="368">
        <v>0</v>
      </c>
      <c r="O99" s="368">
        <v>929.77585693609967</v>
      </c>
      <c r="P99" s="368">
        <v>358.34997801550304</v>
      </c>
      <c r="Q99" s="368">
        <v>5731.5981812805267</v>
      </c>
      <c r="R99" s="368">
        <v>0</v>
      </c>
      <c r="S99" s="364">
        <f>$L99*'MWh Impact Summary'!$L$18</f>
        <v>0</v>
      </c>
      <c r="T99" s="364">
        <f>$L99*'MWh Impact Summary'!$M$18</f>
        <v>0</v>
      </c>
      <c r="U99" s="368">
        <v>75.419971834018085</v>
      </c>
      <c r="V99" s="368">
        <v>106037.9395422903</v>
      </c>
      <c r="W99" s="368">
        <v>0</v>
      </c>
      <c r="X99" s="368">
        <f t="shared" si="25"/>
        <v>136453.68858862267</v>
      </c>
      <c r="Y99" s="364">
        <f t="shared" si="26"/>
        <v>241086.79642031077</v>
      </c>
      <c r="Z99" s="364"/>
      <c r="AA99" s="364">
        <v>4584041</v>
      </c>
      <c r="AB99" s="369">
        <f t="shared" si="35"/>
        <v>52.592635279726068</v>
      </c>
      <c r="AC99" s="370">
        <f t="shared" si="27"/>
        <v>22.82551744883785</v>
      </c>
      <c r="AD99" s="371">
        <f t="shared" si="28"/>
        <v>7.6085058162792831E-4</v>
      </c>
      <c r="AE99" s="370">
        <f t="shared" si="36"/>
        <v>29.767117830888218</v>
      </c>
      <c r="AF99" s="371">
        <f t="shared" si="29"/>
        <v>9.922372610296072E-4</v>
      </c>
      <c r="AG99" s="372">
        <f t="shared" si="37"/>
        <v>1.7530878426575355E-3</v>
      </c>
      <c r="AH99" s="373">
        <f t="shared" si="30"/>
        <v>1.7530878426575355E-3</v>
      </c>
      <c r="AI99" s="374" t="b">
        <f t="shared" si="38"/>
        <v>1</v>
      </c>
      <c r="AJ99" s="375">
        <f t="shared" si="41"/>
        <v>2.1282180071892387E-4</v>
      </c>
      <c r="AL99" s="376">
        <f t="shared" si="31"/>
        <v>106037.9395422903</v>
      </c>
      <c r="AM99" s="384"/>
      <c r="AN99" s="383">
        <f t="shared" si="22"/>
        <v>23.131978868053384</v>
      </c>
      <c r="AO99" s="379">
        <f t="shared" si="21"/>
        <v>7.7106596226844616E-4</v>
      </c>
      <c r="AQ99" s="380">
        <f t="shared" si="32"/>
        <v>1.7530878426575355E-3</v>
      </c>
      <c r="AR99" s="381">
        <v>417156.58320965245</v>
      </c>
      <c r="AT99" s="382">
        <v>52.592635279726068</v>
      </c>
    </row>
    <row r="100" spans="1:46">
      <c r="A100" s="361">
        <v>2012</v>
      </c>
      <c r="B100" s="361">
        <v>12</v>
      </c>
      <c r="C100" s="362">
        <f t="shared" si="40"/>
        <v>42.633806123140985</v>
      </c>
      <c r="D100" s="363">
        <f t="shared" si="42"/>
        <v>2.1683298951445065E-2</v>
      </c>
      <c r="E100" s="387">
        <v>25489.595280602884</v>
      </c>
      <c r="F100" s="364">
        <v>1126.682012642113</v>
      </c>
      <c r="G100" s="364">
        <v>21457.45630589965</v>
      </c>
      <c r="H100" s="364">
        <v>48.610857634382377</v>
      </c>
      <c r="I100" s="364">
        <v>8982.9168459146204</v>
      </c>
      <c r="J100" s="365">
        <f t="shared" si="33"/>
        <v>57105.261302693645</v>
      </c>
      <c r="K100" s="366">
        <v>31</v>
      </c>
      <c r="L100" s="367">
        <f t="shared" si="34"/>
        <v>2.1683298951445065E-2</v>
      </c>
      <c r="M100" s="368">
        <v>12727.608623949318</v>
      </c>
      <c r="N100" s="368">
        <v>0</v>
      </c>
      <c r="O100" s="368">
        <v>507.44065968756451</v>
      </c>
      <c r="P100" s="368">
        <v>195.57546895488858</v>
      </c>
      <c r="Q100" s="368">
        <v>3128.1151693455113</v>
      </c>
      <c r="R100" s="368">
        <v>0</v>
      </c>
      <c r="S100" s="364">
        <f>$L100*'MWh Impact Summary'!$L$18</f>
        <v>0</v>
      </c>
      <c r="T100" s="364">
        <f>$L100*'MWh Impact Summary'!$M$18</f>
        <v>0</v>
      </c>
      <c r="U100" s="368">
        <v>41.161705776257769</v>
      </c>
      <c r="V100" s="368">
        <v>57871.971606752428</v>
      </c>
      <c r="W100" s="368">
        <v>0</v>
      </c>
      <c r="X100" s="368">
        <f t="shared" si="25"/>
        <v>74471.873234465966</v>
      </c>
      <c r="Y100" s="364">
        <f t="shared" si="26"/>
        <v>131577.13453715961</v>
      </c>
      <c r="Z100" s="364">
        <f>SUM(Y89:Y100)</f>
        <v>6068132.659693406</v>
      </c>
      <c r="AA100" s="364">
        <v>4588119</v>
      </c>
      <c r="AB100" s="369">
        <f t="shared" si="35"/>
        <v>28.677794655535223</v>
      </c>
      <c r="AC100" s="370">
        <f t="shared" si="27"/>
        <v>12.446333955743878</v>
      </c>
      <c r="AD100" s="371">
        <f t="shared" si="28"/>
        <v>4.0149464373367348E-4</v>
      </c>
      <c r="AE100" s="370">
        <f t="shared" si="36"/>
        <v>16.231460699791345</v>
      </c>
      <c r="AF100" s="371">
        <f t="shared" si="29"/>
        <v>5.2359550644488209E-4</v>
      </c>
      <c r="AG100" s="372">
        <f t="shared" si="37"/>
        <v>9.2509015017855551E-4</v>
      </c>
      <c r="AH100" s="373">
        <f t="shared" si="30"/>
        <v>9.2509015017855551E-4</v>
      </c>
      <c r="AI100" s="374" t="b">
        <f t="shared" si="38"/>
        <v>1</v>
      </c>
      <c r="AJ100" s="375">
        <f t="shared" si="41"/>
        <v>1.1244763167915387E-4</v>
      </c>
      <c r="AL100" s="376">
        <f t="shared" si="31"/>
        <v>57871.971606752428</v>
      </c>
      <c r="AM100" s="377">
        <f>SUM(AL89:AL100)</f>
        <v>2668965.2592229554</v>
      </c>
      <c r="AN100" s="383">
        <f t="shared" si="22"/>
        <v>12.613441719090639</v>
      </c>
      <c r="AO100" s="379">
        <f t="shared" si="21"/>
        <v>4.0688521674485932E-4</v>
      </c>
      <c r="AQ100" s="380">
        <f t="shared" si="32"/>
        <v>9.2509015017855551E-4</v>
      </c>
      <c r="AR100" s="381">
        <v>339742.23967733263</v>
      </c>
      <c r="AT100" s="382">
        <v>28.677794655535223</v>
      </c>
    </row>
    <row r="101" spans="1:46">
      <c r="A101" s="361">
        <v>2013</v>
      </c>
      <c r="B101" s="361">
        <f t="shared" ref="B101:B112" si="43">B89</f>
        <v>1</v>
      </c>
      <c r="C101" s="362">
        <f t="shared" si="40"/>
        <v>26.112829868525239</v>
      </c>
      <c r="D101" s="363">
        <f>C101/(SUM(C$101:C$112))</f>
        <v>1.3280829182176284E-2</v>
      </c>
      <c r="E101" s="387">
        <v>17943.620548028997</v>
      </c>
      <c r="F101" s="364">
        <v>964.33080365274407</v>
      </c>
      <c r="G101" s="364">
        <v>15161.811690311601</v>
      </c>
      <c r="H101" s="364">
        <v>40.297152655991063</v>
      </c>
      <c r="I101" s="364">
        <v>6220.3972573053707</v>
      </c>
      <c r="J101" s="365">
        <f t="shared" si="33"/>
        <v>40330.457451954702</v>
      </c>
      <c r="K101" s="366">
        <v>31</v>
      </c>
      <c r="L101" s="367">
        <f t="shared" si="34"/>
        <v>1.3280829182176284E-2</v>
      </c>
      <c r="M101" s="368">
        <v>9206.7935904667193</v>
      </c>
      <c r="N101" s="368">
        <v>12.133699433004333</v>
      </c>
      <c r="O101" s="368">
        <v>419.54964780477184</v>
      </c>
      <c r="P101" s="368">
        <v>134.26788151974884</v>
      </c>
      <c r="Q101" s="368">
        <v>2427.2910011851009</v>
      </c>
      <c r="R101" s="368">
        <v>0</v>
      </c>
      <c r="S101" s="364">
        <f>$L101*'MWh Impact Summary'!$L$19</f>
        <v>0</v>
      </c>
      <c r="T101" s="364">
        <f>$L101*'MWh Impact Summary'!$M$19</f>
        <v>0</v>
      </c>
      <c r="U101" s="368">
        <v>116.06513661837801</v>
      </c>
      <c r="V101" s="368">
        <v>38648.681617936636</v>
      </c>
      <c r="W101" s="368">
        <v>4226.9482753269913</v>
      </c>
      <c r="X101" s="368">
        <f t="shared" si="25"/>
        <v>55191.730850291351</v>
      </c>
      <c r="Y101" s="364">
        <f t="shared" si="26"/>
        <v>95522.188302246053</v>
      </c>
      <c r="Z101" s="364"/>
      <c r="AA101" s="364">
        <v>4594969</v>
      </c>
      <c r="AB101" s="369">
        <f t="shared" si="35"/>
        <v>20.788429323951053</v>
      </c>
      <c r="AC101" s="370">
        <f t="shared" si="27"/>
        <v>8.7770902158327289</v>
      </c>
      <c r="AD101" s="371">
        <f t="shared" si="28"/>
        <v>2.8313194244621704E-4</v>
      </c>
      <c r="AE101" s="370">
        <f t="shared" si="36"/>
        <v>12.011339108118325</v>
      </c>
      <c r="AF101" s="371">
        <f t="shared" si="29"/>
        <v>3.8746255187478468E-4</v>
      </c>
      <c r="AG101" s="372">
        <f t="shared" si="37"/>
        <v>6.7059449432100172E-4</v>
      </c>
      <c r="AH101" s="373">
        <f t="shared" si="30"/>
        <v>6.7059449432100172E-4</v>
      </c>
      <c r="AI101" s="374" t="b">
        <f t="shared" si="38"/>
        <v>1</v>
      </c>
      <c r="AJ101" s="375">
        <f t="shared" si="41"/>
        <v>1.0049285162922654E-4</v>
      </c>
      <c r="AL101" s="376">
        <f t="shared" si="31"/>
        <v>38648.681617936636</v>
      </c>
      <c r="AM101" s="384"/>
      <c r="AN101" s="383">
        <f t="shared" si="22"/>
        <v>8.4110864769570011</v>
      </c>
      <c r="AO101" s="379">
        <f t="shared" si="21"/>
        <v>2.7132537022441937E-4</v>
      </c>
      <c r="AQ101" s="380">
        <f t="shared" si="32"/>
        <v>6.7059449432100172E-4</v>
      </c>
      <c r="AR101" s="381">
        <v>396478.06216397288</v>
      </c>
      <c r="AT101" s="382">
        <v>20.788429323951053</v>
      </c>
    </row>
    <row r="102" spans="1:46">
      <c r="A102" s="361">
        <f t="shared" ref="A102:A112" si="44">A101</f>
        <v>2013</v>
      </c>
      <c r="B102" s="361">
        <f t="shared" si="43"/>
        <v>2</v>
      </c>
      <c r="C102" s="362">
        <f t="shared" si="40"/>
        <v>35.042184420393127</v>
      </c>
      <c r="D102" s="363">
        <f>C102/(SUM(C$101:C$112))</f>
        <v>1.7822245532205266E-2</v>
      </c>
      <c r="E102" s="387">
        <v>24079.491329719265</v>
      </c>
      <c r="F102" s="364">
        <v>1294.0863948490098</v>
      </c>
      <c r="G102" s="364">
        <v>20346.435222617169</v>
      </c>
      <c r="H102" s="364">
        <v>54.076875700478183</v>
      </c>
      <c r="I102" s="364">
        <v>8347.4793408483602</v>
      </c>
      <c r="J102" s="365">
        <f t="shared" si="33"/>
        <v>54121.569163734282</v>
      </c>
      <c r="K102" s="366">
        <v>28</v>
      </c>
      <c r="L102" s="367">
        <f t="shared" si="34"/>
        <v>1.7822245532205266E-2</v>
      </c>
      <c r="M102" s="368">
        <v>12355.082177688502</v>
      </c>
      <c r="N102" s="368">
        <v>16.282851585743153</v>
      </c>
      <c r="O102" s="368">
        <v>563.01581275978776</v>
      </c>
      <c r="P102" s="368">
        <v>180.18115576288773</v>
      </c>
      <c r="Q102" s="368">
        <v>3257.3098868924981</v>
      </c>
      <c r="R102" s="368">
        <v>0</v>
      </c>
      <c r="S102" s="364">
        <f>$L102*'MWh Impact Summary'!$L$19</f>
        <v>0</v>
      </c>
      <c r="T102" s="364">
        <f>$L102*'MWh Impact Summary'!$M$19</f>
        <v>0</v>
      </c>
      <c r="U102" s="368">
        <v>155.75393178897258</v>
      </c>
      <c r="V102" s="368">
        <v>51864.705421805804</v>
      </c>
      <c r="W102" s="368">
        <v>5672.3649541334244</v>
      </c>
      <c r="X102" s="368">
        <f t="shared" si="25"/>
        <v>74064.696192417628</v>
      </c>
      <c r="Y102" s="364">
        <f t="shared" si="26"/>
        <v>128186.26535615191</v>
      </c>
      <c r="Z102" s="364"/>
      <c r="AA102" s="364">
        <v>4599265</v>
      </c>
      <c r="AB102" s="369">
        <f t="shared" si="35"/>
        <v>27.871032731567308</v>
      </c>
      <c r="AC102" s="370">
        <f t="shared" si="27"/>
        <v>11.767438745915767</v>
      </c>
      <c r="AD102" s="371">
        <f t="shared" si="28"/>
        <v>4.2026566949699166E-4</v>
      </c>
      <c r="AE102" s="370">
        <f t="shared" si="36"/>
        <v>16.103593985651539</v>
      </c>
      <c r="AF102" s="371">
        <f t="shared" si="29"/>
        <v>5.751283566304121E-4</v>
      </c>
      <c r="AG102" s="372">
        <f t="shared" si="37"/>
        <v>9.9539402612740377E-4</v>
      </c>
      <c r="AH102" s="373">
        <f t="shared" si="30"/>
        <v>9.9539402612740377E-4</v>
      </c>
      <c r="AI102" s="374" t="b">
        <f t="shared" si="38"/>
        <v>1</v>
      </c>
      <c r="AJ102" s="375">
        <f t="shared" si="41"/>
        <v>1.4943092569309389E-4</v>
      </c>
      <c r="AL102" s="376">
        <f t="shared" si="31"/>
        <v>51864.705421805804</v>
      </c>
      <c r="AM102" s="377"/>
      <c r="AN102" s="383">
        <f t="shared" si="22"/>
        <v>11.27673778784345</v>
      </c>
      <c r="AO102" s="379">
        <f t="shared" si="21"/>
        <v>4.0274063528012322E-4</v>
      </c>
      <c r="AQ102" s="380">
        <f t="shared" si="32"/>
        <v>9.9539402612740377E-4</v>
      </c>
      <c r="AR102" s="381">
        <v>368846.96305153822</v>
      </c>
      <c r="AT102" s="382">
        <v>27.871032731567308</v>
      </c>
    </row>
    <row r="103" spans="1:46">
      <c r="A103" s="361">
        <f t="shared" si="44"/>
        <v>2013</v>
      </c>
      <c r="B103" s="361">
        <f t="shared" si="43"/>
        <v>3</v>
      </c>
      <c r="C103" s="362">
        <f t="shared" si="40"/>
        <v>64.582270600115152</v>
      </c>
      <c r="D103" s="363">
        <f t="shared" ref="D103:D112" si="45">C103/(SUM(C$101:C$112))</f>
        <v>3.2846156787895278E-2</v>
      </c>
      <c r="E103" s="387">
        <v>44378.175923988536</v>
      </c>
      <c r="F103" s="364">
        <v>2384.983673661307</v>
      </c>
      <c r="G103" s="364">
        <v>37498.204151053738</v>
      </c>
      <c r="H103" s="364">
        <v>99.662948456621749</v>
      </c>
      <c r="I103" s="364">
        <v>15384.291206052949</v>
      </c>
      <c r="J103" s="365">
        <f t="shared" si="33"/>
        <v>99745.317903213159</v>
      </c>
      <c r="K103" s="366">
        <v>31</v>
      </c>
      <c r="L103" s="367">
        <f t="shared" si="34"/>
        <v>3.2846156787895278E-2</v>
      </c>
      <c r="M103" s="368">
        <v>22770.248878143062</v>
      </c>
      <c r="N103" s="368">
        <v>30.009074623784002</v>
      </c>
      <c r="O103" s="368">
        <v>1037.630506579831</v>
      </c>
      <c r="P103" s="368">
        <v>332.0714262250255</v>
      </c>
      <c r="Q103" s="368">
        <v>6003.1779417637626</v>
      </c>
      <c r="R103" s="368">
        <v>0</v>
      </c>
      <c r="S103" s="364">
        <f>$L103*'MWh Impact Summary'!$L$19</f>
        <v>0</v>
      </c>
      <c r="T103" s="364">
        <f>$L103*'MWh Impact Summary'!$M$19</f>
        <v>0</v>
      </c>
      <c r="U103" s="368">
        <v>287.05238375417628</v>
      </c>
      <c r="V103" s="368">
        <v>95585.948637295165</v>
      </c>
      <c r="W103" s="368">
        <v>10454.091674640666</v>
      </c>
      <c r="X103" s="368">
        <f t="shared" si="25"/>
        <v>136500.23052302547</v>
      </c>
      <c r="Y103" s="364">
        <f t="shared" si="26"/>
        <v>236245.54842623865</v>
      </c>
      <c r="Z103" s="363"/>
      <c r="AA103" s="388">
        <v>4605771</v>
      </c>
      <c r="AB103" s="369">
        <f t="shared" si="35"/>
        <v>51.293377032040596</v>
      </c>
      <c r="AC103" s="370">
        <f t="shared" si="27"/>
        <v>21.656595150565053</v>
      </c>
      <c r="AD103" s="371">
        <f t="shared" si="28"/>
        <v>6.9859984356661462E-4</v>
      </c>
      <c r="AE103" s="370">
        <f t="shared" si="36"/>
        <v>29.636781881475542</v>
      </c>
      <c r="AF103" s="371">
        <f t="shared" si="29"/>
        <v>9.5602522198308209E-4</v>
      </c>
      <c r="AG103" s="372">
        <f t="shared" si="37"/>
        <v>1.6546250655496966E-3</v>
      </c>
      <c r="AH103" s="373">
        <f t="shared" si="30"/>
        <v>1.6546250655496966E-3</v>
      </c>
      <c r="AI103" s="374" t="b">
        <f t="shared" si="38"/>
        <v>1</v>
      </c>
      <c r="AJ103" s="375">
        <f t="shared" si="41"/>
        <v>2.4893873827655489E-4</v>
      </c>
      <c r="AL103" s="376">
        <f t="shared" si="31"/>
        <v>95585.948637295165</v>
      </c>
      <c r="AM103" s="386"/>
      <c r="AN103" s="383">
        <f t="shared" si="22"/>
        <v>20.753517410504163</v>
      </c>
      <c r="AO103" s="379">
        <f t="shared" si="21"/>
        <v>6.6946830356465041E-4</v>
      </c>
      <c r="AQ103" s="380">
        <f t="shared" si="32"/>
        <v>1.6546250655496966E-3</v>
      </c>
      <c r="AR103" s="381">
        <v>448587.31752894237</v>
      </c>
      <c r="AT103" s="382">
        <v>51.293377032040596</v>
      </c>
    </row>
    <row r="104" spans="1:46">
      <c r="A104" s="361">
        <f t="shared" si="44"/>
        <v>2013</v>
      </c>
      <c r="B104" s="361">
        <f t="shared" si="43"/>
        <v>4</v>
      </c>
      <c r="C104" s="362">
        <f t="shared" si="40"/>
        <v>114.03392869270741</v>
      </c>
      <c r="D104" s="363">
        <f t="shared" si="45"/>
        <v>5.7996974497419709E-2</v>
      </c>
      <c r="E104" s="387">
        <v>78359.241658801475</v>
      </c>
      <c r="F104" s="364">
        <v>4211.2031002991698</v>
      </c>
      <c r="G104" s="364">
        <v>66211.167531452855</v>
      </c>
      <c r="H104" s="364">
        <v>175.97643210746935</v>
      </c>
      <c r="I104" s="364">
        <v>27164.284409284293</v>
      </c>
      <c r="J104" s="365">
        <f t="shared" si="33"/>
        <v>176121.87313194529</v>
      </c>
      <c r="K104" s="366">
        <v>30</v>
      </c>
      <c r="L104" s="367">
        <f t="shared" si="34"/>
        <v>5.7996974497419709E-2</v>
      </c>
      <c r="M104" s="368">
        <v>40205.785779243517</v>
      </c>
      <c r="N104" s="368">
        <v>52.987493997719838</v>
      </c>
      <c r="O104" s="368">
        <v>1832.1604690760335</v>
      </c>
      <c r="P104" s="368">
        <v>586.34372850561692</v>
      </c>
      <c r="Q104" s="368">
        <v>10599.905500063081</v>
      </c>
      <c r="R104" s="368">
        <v>0</v>
      </c>
      <c r="S104" s="364">
        <f>$L104*'MWh Impact Summary'!$L$19</f>
        <v>0</v>
      </c>
      <c r="T104" s="364">
        <f>$L104*'MWh Impact Summary'!$M$19</f>
        <v>0</v>
      </c>
      <c r="U104" s="368">
        <v>506.85289872786001</v>
      </c>
      <c r="V104" s="368">
        <v>168777.60954584141</v>
      </c>
      <c r="W104" s="368">
        <v>18458.953726703967</v>
      </c>
      <c r="X104" s="368">
        <f t="shared" si="25"/>
        <v>241020.59914215919</v>
      </c>
      <c r="Y104" s="364">
        <f t="shared" si="26"/>
        <v>417142.47227410448</v>
      </c>
      <c r="Z104" s="363"/>
      <c r="AA104" s="388">
        <v>4609509</v>
      </c>
      <c r="AB104" s="369">
        <f t="shared" si="35"/>
        <v>90.496075021028162</v>
      </c>
      <c r="AC104" s="370">
        <f t="shared" si="27"/>
        <v>38.208380357201882</v>
      </c>
      <c r="AD104" s="371">
        <f t="shared" si="28"/>
        <v>1.2736126785733962E-3</v>
      </c>
      <c r="AE104" s="370">
        <f t="shared" si="36"/>
        <v>52.287694663826279</v>
      </c>
      <c r="AF104" s="371">
        <f t="shared" si="29"/>
        <v>1.7429231554608759E-3</v>
      </c>
      <c r="AG104" s="372">
        <f t="shared" si="37"/>
        <v>3.0165358340342721E-3</v>
      </c>
      <c r="AH104" s="373">
        <f t="shared" si="30"/>
        <v>3.0165358340342721E-3</v>
      </c>
      <c r="AI104" s="374" t="b">
        <f t="shared" si="38"/>
        <v>1</v>
      </c>
      <c r="AJ104" s="375">
        <f t="shared" si="41"/>
        <v>4.5350027034149259E-4</v>
      </c>
      <c r="AL104" s="376">
        <f t="shared" si="31"/>
        <v>168777.60954584141</v>
      </c>
      <c r="AM104" s="384"/>
      <c r="AN104" s="383">
        <f t="shared" si="22"/>
        <v>36.615094914846985</v>
      </c>
      <c r="AO104" s="379">
        <f t="shared" si="21"/>
        <v>1.2205031638282328E-3</v>
      </c>
      <c r="AQ104" s="380">
        <f t="shared" si="32"/>
        <v>3.0165358340342721E-3</v>
      </c>
      <c r="AR104" s="381">
        <v>530640.44900559995</v>
      </c>
      <c r="AT104" s="382">
        <v>90.496075021028162</v>
      </c>
    </row>
    <row r="105" spans="1:46">
      <c r="A105" s="361">
        <f t="shared" si="44"/>
        <v>2013</v>
      </c>
      <c r="B105" s="361">
        <f t="shared" si="43"/>
        <v>5</v>
      </c>
      <c r="C105" s="362">
        <f t="shared" si="40"/>
        <v>208.47875842628665</v>
      </c>
      <c r="D105" s="363">
        <f t="shared" si="45"/>
        <v>0.10603105035770212</v>
      </c>
      <c r="E105" s="387">
        <v>143257.69180744721</v>
      </c>
      <c r="F105" s="364">
        <v>7698.9927813251388</v>
      </c>
      <c r="G105" s="364">
        <v>121048.37708529207</v>
      </c>
      <c r="H105" s="364">
        <v>321.7230915275756</v>
      </c>
      <c r="I105" s="364">
        <v>49662.204504476496</v>
      </c>
      <c r="J105" s="365">
        <f t="shared" si="33"/>
        <v>321988.98927006847</v>
      </c>
      <c r="K105" s="366">
        <v>31</v>
      </c>
      <c r="L105" s="367">
        <f t="shared" si="34"/>
        <v>0.10603105035770212</v>
      </c>
      <c r="M105" s="368">
        <v>73504.898032562312</v>
      </c>
      <c r="N105" s="368">
        <v>96.872633324185401</v>
      </c>
      <c r="O105" s="368">
        <v>3349.5867783350482</v>
      </c>
      <c r="P105" s="368">
        <v>1071.9635281469357</v>
      </c>
      <c r="Q105" s="368">
        <v>19378.926635458811</v>
      </c>
      <c r="R105" s="368">
        <v>0</v>
      </c>
      <c r="S105" s="364">
        <f>$L105*'MWh Impact Summary'!$L$19</f>
        <v>0</v>
      </c>
      <c r="T105" s="364">
        <f>$L105*'MWh Impact Summary'!$M$19</f>
        <v>0</v>
      </c>
      <c r="U105" s="368">
        <v>926.63704778862234</v>
      </c>
      <c r="V105" s="368">
        <v>308562.08228247968</v>
      </c>
      <c r="W105" s="368">
        <v>33746.97161545416</v>
      </c>
      <c r="X105" s="368">
        <f t="shared" si="25"/>
        <v>440637.93855354981</v>
      </c>
      <c r="Y105" s="364">
        <f t="shared" si="26"/>
        <v>762626.92782361829</v>
      </c>
      <c r="Z105" s="363"/>
      <c r="AA105" s="388">
        <v>4611553</v>
      </c>
      <c r="AB105" s="369">
        <f t="shared" si="35"/>
        <v>165.37312437342004</v>
      </c>
      <c r="AC105" s="370">
        <f t="shared" si="27"/>
        <v>69.822246273667133</v>
      </c>
      <c r="AD105" s="371">
        <f t="shared" si="28"/>
        <v>2.2523305249570044E-3</v>
      </c>
      <c r="AE105" s="370">
        <f t="shared" si="36"/>
        <v>95.550878099752907</v>
      </c>
      <c r="AF105" s="371">
        <f t="shared" si="29"/>
        <v>3.0822863903146097E-3</v>
      </c>
      <c r="AG105" s="372">
        <f t="shared" si="37"/>
        <v>5.3346169152716141E-3</v>
      </c>
      <c r="AH105" s="373">
        <f t="shared" si="30"/>
        <v>5.3346169152716149E-3</v>
      </c>
      <c r="AI105" s="374" t="b">
        <f t="shared" si="38"/>
        <v>1</v>
      </c>
      <c r="AJ105" s="375">
        <f t="shared" si="41"/>
        <v>7.9970191512322361E-4</v>
      </c>
      <c r="AL105" s="376">
        <f t="shared" si="31"/>
        <v>308562.08228247968</v>
      </c>
      <c r="AM105" s="384"/>
      <c r="AN105" s="383">
        <f t="shared" si="22"/>
        <v>66.910665947562507</v>
      </c>
      <c r="AO105" s="379">
        <f t="shared" ref="AO105:AO168" si="46">+AN105/K105/1000</f>
        <v>2.1584085789536291E-3</v>
      </c>
      <c r="AQ105" s="380">
        <f t="shared" si="32"/>
        <v>5.3346169152716149E-3</v>
      </c>
      <c r="AR105" s="381">
        <v>642952.08421521494</v>
      </c>
      <c r="AT105" s="382">
        <v>165.37312437342004</v>
      </c>
    </row>
    <row r="106" spans="1:46">
      <c r="A106" s="361">
        <f t="shared" si="44"/>
        <v>2013</v>
      </c>
      <c r="B106" s="361">
        <f t="shared" si="43"/>
        <v>6</v>
      </c>
      <c r="C106" s="362">
        <f t="shared" si="40"/>
        <v>271.66325293295364</v>
      </c>
      <c r="D106" s="363">
        <f t="shared" si="45"/>
        <v>0.13816630657965029</v>
      </c>
      <c r="E106" s="387">
        <v>186675.37574499761</v>
      </c>
      <c r="F106" s="364">
        <v>10032.357440490197</v>
      </c>
      <c r="G106" s="364">
        <v>157734.99482381283</v>
      </c>
      <c r="H106" s="364">
        <v>419.22900082374741</v>
      </c>
      <c r="I106" s="364">
        <v>64713.528252701668</v>
      </c>
      <c r="J106" s="365">
        <f t="shared" si="33"/>
        <v>419575.48526282609</v>
      </c>
      <c r="K106" s="366">
        <v>30</v>
      </c>
      <c r="L106" s="367">
        <f t="shared" si="34"/>
        <v>0.13816630657965029</v>
      </c>
      <c r="M106" s="368">
        <v>95782.322653707553</v>
      </c>
      <c r="N106" s="368">
        <v>126.23221131823099</v>
      </c>
      <c r="O106" s="368">
        <v>4364.7594942170208</v>
      </c>
      <c r="P106" s="368">
        <v>1396.8478193179985</v>
      </c>
      <c r="Q106" s="368">
        <v>25252.175751033272</v>
      </c>
      <c r="R106" s="368">
        <v>0</v>
      </c>
      <c r="S106" s="364">
        <f>$L106*'MWh Impact Summary'!$L$19</f>
        <v>0</v>
      </c>
      <c r="T106" s="364">
        <f>$L106*'MWh Impact Summary'!$M$19</f>
        <v>0</v>
      </c>
      <c r="U106" s="368">
        <v>1207.4766589683672</v>
      </c>
      <c r="V106" s="368">
        <v>402079.23165593261</v>
      </c>
      <c r="W106" s="368">
        <v>43974.801821029934</v>
      </c>
      <c r="X106" s="368">
        <f t="shared" si="25"/>
        <v>574183.84806552506</v>
      </c>
      <c r="Y106" s="364">
        <f t="shared" si="26"/>
        <v>993759.33332835115</v>
      </c>
      <c r="Z106" s="363"/>
      <c r="AA106" s="388">
        <v>4613739</v>
      </c>
      <c r="AB106" s="369">
        <f t="shared" si="35"/>
        <v>215.39131999628742</v>
      </c>
      <c r="AC106" s="370">
        <f t="shared" si="27"/>
        <v>90.940446623189146</v>
      </c>
      <c r="AD106" s="371">
        <f t="shared" si="28"/>
        <v>3.0313482207729712E-3</v>
      </c>
      <c r="AE106" s="370">
        <f t="shared" si="36"/>
        <v>124.45087337309828</v>
      </c>
      <c r="AF106" s="371">
        <f t="shared" si="29"/>
        <v>4.1483624457699427E-3</v>
      </c>
      <c r="AG106" s="372">
        <f t="shared" si="37"/>
        <v>7.1797106665429135E-3</v>
      </c>
      <c r="AH106" s="373">
        <f t="shared" si="30"/>
        <v>7.1797106665429144E-3</v>
      </c>
      <c r="AI106" s="374" t="b">
        <f t="shared" si="38"/>
        <v>1</v>
      </c>
      <c r="AJ106" s="375">
        <f t="shared" si="41"/>
        <v>1.0715293094772597E-3</v>
      </c>
      <c r="AL106" s="376">
        <f t="shared" si="31"/>
        <v>402079.23165593261</v>
      </c>
      <c r="AM106" s="384"/>
      <c r="AN106" s="383">
        <f t="shared" si="22"/>
        <v>87.148239563601805</v>
      </c>
      <c r="AO106" s="379">
        <f t="shared" si="46"/>
        <v>2.9049413187867269E-3</v>
      </c>
      <c r="AQ106" s="380">
        <f t="shared" si="32"/>
        <v>7.1797106665429144E-3</v>
      </c>
      <c r="AR106" s="381">
        <v>788672.26998075715</v>
      </c>
      <c r="AT106" s="382">
        <v>215.39131999628742</v>
      </c>
    </row>
    <row r="107" spans="1:46">
      <c r="A107" s="361">
        <f t="shared" si="44"/>
        <v>2013</v>
      </c>
      <c r="B107" s="361">
        <f t="shared" si="43"/>
        <v>7</v>
      </c>
      <c r="C107" s="362">
        <f t="shared" si="40"/>
        <v>322.31916585708109</v>
      </c>
      <c r="D107" s="363">
        <f t="shared" si="45"/>
        <v>0.16392960109808263</v>
      </c>
      <c r="E107" s="387">
        <v>221483.95392671865</v>
      </c>
      <c r="F107" s="364">
        <v>11903.049260022435</v>
      </c>
      <c r="G107" s="364">
        <v>187147.18096462567</v>
      </c>
      <c r="H107" s="364">
        <v>497.40088285682401</v>
      </c>
      <c r="I107" s="364">
        <v>76780.389768900015</v>
      </c>
      <c r="J107" s="365">
        <f t="shared" si="33"/>
        <v>497811.97480312356</v>
      </c>
      <c r="K107" s="366">
        <v>31</v>
      </c>
      <c r="L107" s="367">
        <f t="shared" si="34"/>
        <v>0.16392960109808263</v>
      </c>
      <c r="M107" s="368">
        <v>113642.45258896364</v>
      </c>
      <c r="N107" s="368">
        <v>149.77020490301115</v>
      </c>
      <c r="O107" s="368">
        <v>5178.637979756556</v>
      </c>
      <c r="P107" s="368">
        <v>1657.3122021143463</v>
      </c>
      <c r="Q107" s="368">
        <v>29960.84356745231</v>
      </c>
      <c r="R107" s="368">
        <v>0</v>
      </c>
      <c r="S107" s="364">
        <f>$L107*'MWh Impact Summary'!$L$19</f>
        <v>0</v>
      </c>
      <c r="T107" s="364">
        <f>$L107*'MWh Impact Summary'!$M$19</f>
        <v>0</v>
      </c>
      <c r="U107" s="368">
        <v>1432.6297918792568</v>
      </c>
      <c r="V107" s="368">
        <v>477053.26781086938</v>
      </c>
      <c r="W107" s="368">
        <v>52174.599577451627</v>
      </c>
      <c r="X107" s="368">
        <f t="shared" si="25"/>
        <v>681249.51372339018</v>
      </c>
      <c r="Y107" s="364">
        <f t="shared" si="26"/>
        <v>1179061.4885265138</v>
      </c>
      <c r="Z107" s="364"/>
      <c r="AA107" s="364">
        <v>4620943</v>
      </c>
      <c r="AB107" s="369">
        <f t="shared" si="35"/>
        <v>255.15603384991198</v>
      </c>
      <c r="AC107" s="370">
        <f t="shared" si="27"/>
        <v>107.7295207500122</v>
      </c>
      <c r="AD107" s="371">
        <f t="shared" si="28"/>
        <v>3.4751458306455547E-3</v>
      </c>
      <c r="AE107" s="370">
        <f t="shared" si="36"/>
        <v>147.42651309989978</v>
      </c>
      <c r="AF107" s="371">
        <f t="shared" si="29"/>
        <v>4.7556939709645085E-3</v>
      </c>
      <c r="AG107" s="372">
        <f t="shared" si="37"/>
        <v>8.2308398016100633E-3</v>
      </c>
      <c r="AH107" s="373">
        <f t="shared" si="30"/>
        <v>8.2308398016100633E-3</v>
      </c>
      <c r="AI107" s="374" t="b">
        <f t="shared" si="38"/>
        <v>1</v>
      </c>
      <c r="AJ107" s="375">
        <f t="shared" si="41"/>
        <v>1.2201916470055254E-3</v>
      </c>
      <c r="AL107" s="376">
        <f t="shared" si="31"/>
        <v>477053.26781086938</v>
      </c>
      <c r="AM107" s="384"/>
      <c r="AN107" s="383">
        <f t="shared" ref="AN107:AN170" si="47">+AL107*1000/AA107</f>
        <v>103.2372110651158</v>
      </c>
      <c r="AO107" s="379">
        <f t="shared" si="46"/>
        <v>3.3302326150037357E-3</v>
      </c>
      <c r="AQ107" s="380">
        <f t="shared" si="32"/>
        <v>8.2308398016100633E-3</v>
      </c>
      <c r="AR107" s="381">
        <v>831339.10804242548</v>
      </c>
      <c r="AT107" s="382">
        <v>255.15603384991198</v>
      </c>
    </row>
    <row r="108" spans="1:46">
      <c r="A108" s="361">
        <f t="shared" si="44"/>
        <v>2013</v>
      </c>
      <c r="B108" s="361">
        <f t="shared" si="43"/>
        <v>8</v>
      </c>
      <c r="C108" s="362">
        <f t="shared" si="40"/>
        <v>326.45437890907908</v>
      </c>
      <c r="D108" s="363">
        <f t="shared" si="45"/>
        <v>0.16603274573816959</v>
      </c>
      <c r="E108" s="387">
        <v>224325.49558512567</v>
      </c>
      <c r="F108" s="364">
        <v>12055.760143744583</v>
      </c>
      <c r="G108" s="364">
        <v>189548.1969368273</v>
      </c>
      <c r="H108" s="364">
        <v>503.78231728811346</v>
      </c>
      <c r="I108" s="364">
        <v>77765.448380185437</v>
      </c>
      <c r="J108" s="365">
        <f t="shared" si="33"/>
        <v>504198.68336317106</v>
      </c>
      <c r="K108" s="366">
        <v>31</v>
      </c>
      <c r="L108" s="367">
        <f t="shared" si="34"/>
        <v>0.16603274573816959</v>
      </c>
      <c r="M108" s="368">
        <v>115100.43524400477</v>
      </c>
      <c r="N108" s="368">
        <v>151.69169072117054</v>
      </c>
      <c r="O108" s="368">
        <v>5245.0776260261719</v>
      </c>
      <c r="P108" s="368">
        <v>1678.5747883189085</v>
      </c>
      <c r="Q108" s="368">
        <v>30345.228005279801</v>
      </c>
      <c r="R108" s="368">
        <v>0</v>
      </c>
      <c r="S108" s="364">
        <f>$L108*'MWh Impact Summary'!$L$19</f>
        <v>0</v>
      </c>
      <c r="T108" s="364">
        <f>$L108*'MWh Impact Summary'!$M$19</f>
        <v>0</v>
      </c>
      <c r="U108" s="368">
        <v>1451.0098016385498</v>
      </c>
      <c r="V108" s="368">
        <v>483173.65129568061</v>
      </c>
      <c r="W108" s="368">
        <v>52843.976729076283</v>
      </c>
      <c r="X108" s="368">
        <f t="shared" si="25"/>
        <v>689989.64518074621</v>
      </c>
      <c r="Y108" s="364">
        <f t="shared" si="26"/>
        <v>1194188.3285439173</v>
      </c>
      <c r="Z108" s="364"/>
      <c r="AA108" s="364">
        <v>4630751</v>
      </c>
      <c r="AB108" s="369">
        <f t="shared" si="35"/>
        <v>257.88221576671197</v>
      </c>
      <c r="AC108" s="370">
        <f t="shared" si="27"/>
        <v>108.88054299684242</v>
      </c>
      <c r="AD108" s="371">
        <f t="shared" si="28"/>
        <v>3.512275580543304E-3</v>
      </c>
      <c r="AE108" s="370">
        <f t="shared" si="36"/>
        <v>149.00167276986954</v>
      </c>
      <c r="AF108" s="371">
        <f t="shared" si="29"/>
        <v>4.8065055732215978E-3</v>
      </c>
      <c r="AG108" s="372">
        <f t="shared" si="37"/>
        <v>8.3187811537649009E-3</v>
      </c>
      <c r="AH108" s="373">
        <f t="shared" si="30"/>
        <v>8.3187811537649026E-3</v>
      </c>
      <c r="AI108" s="374" t="b">
        <f t="shared" si="38"/>
        <v>1</v>
      </c>
      <c r="AJ108" s="375">
        <f t="shared" si="41"/>
        <v>1.2220067700854809E-3</v>
      </c>
      <c r="AL108" s="376">
        <f t="shared" si="31"/>
        <v>483173.65129568061</v>
      </c>
      <c r="AM108" s="384"/>
      <c r="AN108" s="383">
        <f t="shared" si="47"/>
        <v>104.34023580531118</v>
      </c>
      <c r="AO108" s="379">
        <f t="shared" si="46"/>
        <v>3.3658140582358445E-3</v>
      </c>
      <c r="AQ108" s="380">
        <f t="shared" si="32"/>
        <v>8.3187811537649026E-3</v>
      </c>
      <c r="AR108" s="381">
        <v>864429.00803286582</v>
      </c>
      <c r="AT108" s="382">
        <v>257.88221576671197</v>
      </c>
    </row>
    <row r="109" spans="1:46">
      <c r="A109" s="361">
        <f t="shared" si="44"/>
        <v>2013</v>
      </c>
      <c r="B109" s="361">
        <f t="shared" si="43"/>
        <v>9</v>
      </c>
      <c r="C109" s="362">
        <f t="shared" si="40"/>
        <v>277.87653293728147</v>
      </c>
      <c r="D109" s="363">
        <f t="shared" si="45"/>
        <v>0.14132634365008559</v>
      </c>
      <c r="E109" s="387">
        <v>190944.87619047391</v>
      </c>
      <c r="F109" s="364">
        <v>10261.810063207085</v>
      </c>
      <c r="G109" s="364">
        <v>161342.59238712196</v>
      </c>
      <c r="H109" s="364">
        <v>428.81729493393902</v>
      </c>
      <c r="I109" s="364">
        <v>66193.607971842968</v>
      </c>
      <c r="J109" s="365">
        <f t="shared" si="33"/>
        <v>429171.70390757988</v>
      </c>
      <c r="K109" s="366">
        <v>30</v>
      </c>
      <c r="L109" s="367">
        <f t="shared" si="34"/>
        <v>0.14132634365008559</v>
      </c>
      <c r="M109" s="368">
        <v>97972.984746159345</v>
      </c>
      <c r="N109" s="368">
        <v>129.11930063199705</v>
      </c>
      <c r="O109" s="368">
        <v>4464.5870292123846</v>
      </c>
      <c r="P109" s="368">
        <v>1428.7954844186572</v>
      </c>
      <c r="Q109" s="368">
        <v>25829.724745848518</v>
      </c>
      <c r="R109" s="368">
        <v>0</v>
      </c>
      <c r="S109" s="364">
        <f>$L109*'MWh Impact Summary'!$L$19</f>
        <v>0</v>
      </c>
      <c r="T109" s="364">
        <f>$L109*'MWh Impact Summary'!$M$19</f>
        <v>0</v>
      </c>
      <c r="U109" s="368">
        <v>1235.0931676417445</v>
      </c>
      <c r="V109" s="368">
        <v>411275.28899247595</v>
      </c>
      <c r="W109" s="368">
        <v>44980.560803516673</v>
      </c>
      <c r="X109" s="368">
        <f t="shared" si="25"/>
        <v>587316.1542699053</v>
      </c>
      <c r="Y109" s="364">
        <f t="shared" si="26"/>
        <v>1016487.8581774852</v>
      </c>
      <c r="Z109" s="364"/>
      <c r="AA109" s="364">
        <v>4644296</v>
      </c>
      <c r="AB109" s="369">
        <f t="shared" si="35"/>
        <v>218.86801749446747</v>
      </c>
      <c r="AC109" s="370">
        <f t="shared" si="27"/>
        <v>92.40834432335491</v>
      </c>
      <c r="AD109" s="371">
        <f t="shared" si="28"/>
        <v>3.0802781441118302E-3</v>
      </c>
      <c r="AE109" s="370">
        <f t="shared" si="36"/>
        <v>126.45967317111256</v>
      </c>
      <c r="AF109" s="371">
        <f t="shared" si="29"/>
        <v>4.215322439037085E-3</v>
      </c>
      <c r="AG109" s="372">
        <f t="shared" si="37"/>
        <v>7.2956005831489156E-3</v>
      </c>
      <c r="AH109" s="373">
        <f t="shared" si="30"/>
        <v>7.2956005831489156E-3</v>
      </c>
      <c r="AI109" s="374" t="b">
        <f t="shared" si="38"/>
        <v>1</v>
      </c>
      <c r="AJ109" s="375">
        <f t="shared" si="41"/>
        <v>1.0526691098374282E-3</v>
      </c>
      <c r="AL109" s="376">
        <f t="shared" si="31"/>
        <v>411275.28899247595</v>
      </c>
      <c r="AM109" s="384"/>
      <c r="AN109" s="383">
        <f t="shared" si="47"/>
        <v>88.554926084055779</v>
      </c>
      <c r="AO109" s="379">
        <f t="shared" si="46"/>
        <v>2.9518308694685257E-3</v>
      </c>
      <c r="AQ109" s="380">
        <f t="shared" si="32"/>
        <v>7.2956005831489156E-3</v>
      </c>
      <c r="AR109" s="381">
        <v>815342.50819848932</v>
      </c>
      <c r="AT109" s="382">
        <v>218.86801749446747</v>
      </c>
    </row>
    <row r="110" spans="1:46">
      <c r="A110" s="361">
        <f t="shared" si="44"/>
        <v>2013</v>
      </c>
      <c r="B110" s="361">
        <f t="shared" si="43"/>
        <v>10</v>
      </c>
      <c r="C110" s="362">
        <f t="shared" si="40"/>
        <v>198.89039579254836</v>
      </c>
      <c r="D110" s="363">
        <f t="shared" si="45"/>
        <v>0.10115446643644242</v>
      </c>
      <c r="E110" s="387">
        <v>136668.97883980069</v>
      </c>
      <c r="F110" s="364">
        <v>7344.9004255421387</v>
      </c>
      <c r="G110" s="364">
        <v>115481.11572744176</v>
      </c>
      <c r="H110" s="364">
        <v>306.9263914105012</v>
      </c>
      <c r="I110" s="364">
        <v>47378.13859016342</v>
      </c>
      <c r="J110" s="365">
        <f t="shared" si="33"/>
        <v>307180.05997435853</v>
      </c>
      <c r="K110" s="366">
        <v>31</v>
      </c>
      <c r="L110" s="367">
        <f t="shared" si="34"/>
        <v>0.10115446643644242</v>
      </c>
      <c r="M110" s="368">
        <v>70124.258091053067</v>
      </c>
      <c r="N110" s="368">
        <v>92.417263651951515</v>
      </c>
      <c r="O110" s="368">
        <v>3195.5324615006189</v>
      </c>
      <c r="P110" s="368">
        <v>1022.6617426048439</v>
      </c>
      <c r="Q110" s="368">
        <v>18487.650337403305</v>
      </c>
      <c r="R110" s="368">
        <v>0</v>
      </c>
      <c r="S110" s="364">
        <f>$L110*'MWh Impact Summary'!$L$19</f>
        <v>0</v>
      </c>
      <c r="T110" s="364">
        <f>$L110*'MWh Impact Summary'!$M$19</f>
        <v>0</v>
      </c>
      <c r="U110" s="368">
        <v>884.01912301238906</v>
      </c>
      <c r="V110" s="368">
        <v>294370.68378088175</v>
      </c>
      <c r="W110" s="368">
        <v>32194.879670538547</v>
      </c>
      <c r="X110" s="368">
        <f t="shared" si="25"/>
        <v>420372.10247064644</v>
      </c>
      <c r="Y110" s="364">
        <f t="shared" si="26"/>
        <v>727552.16244500503</v>
      </c>
      <c r="Z110" s="364"/>
      <c r="AA110" s="364">
        <v>4655414</v>
      </c>
      <c r="AB110" s="369">
        <f t="shared" si="35"/>
        <v>156.2808726452696</v>
      </c>
      <c r="AC110" s="370">
        <f t="shared" si="27"/>
        <v>65.98340340394185</v>
      </c>
      <c r="AD110" s="371">
        <f t="shared" si="28"/>
        <v>2.1284968839981244E-3</v>
      </c>
      <c r="AE110" s="370">
        <f t="shared" si="36"/>
        <v>90.297469241327718</v>
      </c>
      <c r="AF110" s="371">
        <f t="shared" si="29"/>
        <v>2.9128215884299262E-3</v>
      </c>
      <c r="AG110" s="372">
        <f t="shared" si="37"/>
        <v>5.041318472428051E-3</v>
      </c>
      <c r="AH110" s="373">
        <f t="shared" si="30"/>
        <v>5.0413184724280519E-3</v>
      </c>
      <c r="AI110" s="374" t="b">
        <f t="shared" si="38"/>
        <v>1</v>
      </c>
      <c r="AJ110" s="375">
        <f t="shared" si="41"/>
        <v>7.1875223920641381E-4</v>
      </c>
      <c r="AL110" s="376">
        <f t="shared" si="31"/>
        <v>294370.68378088175</v>
      </c>
      <c r="AM110" s="384"/>
      <c r="AN110" s="383">
        <f t="shared" si="47"/>
        <v>63.23190242175707</v>
      </c>
      <c r="AO110" s="379">
        <f t="shared" si="46"/>
        <v>2.0397387877986151E-3</v>
      </c>
      <c r="AQ110" s="380">
        <f t="shared" si="32"/>
        <v>5.0413184724280519E-3</v>
      </c>
      <c r="AR110" s="381">
        <v>653211.96732746228</v>
      </c>
      <c r="AT110" s="382">
        <v>156.2808726452696</v>
      </c>
    </row>
    <row r="111" spans="1:46">
      <c r="A111" s="361">
        <f t="shared" si="44"/>
        <v>2013</v>
      </c>
      <c r="B111" s="361">
        <f t="shared" si="43"/>
        <v>11</v>
      </c>
      <c r="C111" s="362">
        <f t="shared" si="40"/>
        <v>78.117279066674627</v>
      </c>
      <c r="D111" s="363">
        <f t="shared" si="45"/>
        <v>3.9729981188725644E-2</v>
      </c>
      <c r="E111" s="387">
        <v>53678.855216930264</v>
      </c>
      <c r="F111" s="364">
        <v>2884.8232413267142</v>
      </c>
      <c r="G111" s="364">
        <v>45356.994279507082</v>
      </c>
      <c r="H111" s="364">
        <v>120.55008727394679</v>
      </c>
      <c r="I111" s="364">
        <v>18608.496700704167</v>
      </c>
      <c r="J111" s="365">
        <f t="shared" si="33"/>
        <v>120649.71952574218</v>
      </c>
      <c r="K111" s="366">
        <v>30</v>
      </c>
      <c r="L111" s="367">
        <f t="shared" si="34"/>
        <v>3.9729981188725644E-2</v>
      </c>
      <c r="M111" s="368">
        <v>27542.386935345141</v>
      </c>
      <c r="N111" s="368">
        <v>36.298309662011462</v>
      </c>
      <c r="O111" s="368">
        <v>1255.0947976494199</v>
      </c>
      <c r="P111" s="368">
        <v>401.66621630740121</v>
      </c>
      <c r="Q111" s="368">
        <v>7261.3106074785328</v>
      </c>
      <c r="R111" s="368">
        <v>0</v>
      </c>
      <c r="S111" s="364">
        <f>$L111*'MWh Impact Summary'!$L$19</f>
        <v>0</v>
      </c>
      <c r="T111" s="364">
        <f>$L111*'MWh Impact Summary'!$M$19</f>
        <v>0</v>
      </c>
      <c r="U111" s="368">
        <v>347.21218315974136</v>
      </c>
      <c r="V111" s="368">
        <v>115618.63891077095</v>
      </c>
      <c r="W111" s="368">
        <v>12645.036929609727</v>
      </c>
      <c r="X111" s="368">
        <f t="shared" si="25"/>
        <v>165107.64488998291</v>
      </c>
      <c r="Y111" s="364">
        <f t="shared" si="26"/>
        <v>285757.36441572511</v>
      </c>
      <c r="Z111" s="364"/>
      <c r="AA111" s="364">
        <v>4665143</v>
      </c>
      <c r="AB111" s="369">
        <f t="shared" si="35"/>
        <v>61.253720285900158</v>
      </c>
      <c r="AC111" s="370">
        <f t="shared" si="27"/>
        <v>25.861955255335623</v>
      </c>
      <c r="AD111" s="371">
        <f t="shared" si="28"/>
        <v>8.6206517517785407E-4</v>
      </c>
      <c r="AE111" s="370">
        <f t="shared" si="36"/>
        <v>35.391765030564528</v>
      </c>
      <c r="AF111" s="371">
        <f t="shared" si="29"/>
        <v>1.1797255010188178E-3</v>
      </c>
      <c r="AG111" s="372">
        <f t="shared" si="37"/>
        <v>2.0417906761966719E-3</v>
      </c>
      <c r="AH111" s="373">
        <f t="shared" si="30"/>
        <v>2.0417906761966719E-3</v>
      </c>
      <c r="AI111" s="374" t="b">
        <f t="shared" si="38"/>
        <v>1</v>
      </c>
      <c r="AJ111" s="375">
        <f t="shared" si="41"/>
        <v>2.8870283353913642E-4</v>
      </c>
      <c r="AL111" s="376">
        <f t="shared" si="31"/>
        <v>115618.63891077095</v>
      </c>
      <c r="AM111" s="384"/>
      <c r="AN111" s="383">
        <f t="shared" si="47"/>
        <v>24.783514441201685</v>
      </c>
      <c r="AO111" s="379">
        <f t="shared" si="46"/>
        <v>8.2611714804005625E-4</v>
      </c>
      <c r="AQ111" s="380">
        <f t="shared" si="32"/>
        <v>2.0417906761966719E-3</v>
      </c>
      <c r="AR111" s="381">
        <v>498384.25806814851</v>
      </c>
      <c r="AT111" s="382">
        <v>61.253720285900158</v>
      </c>
    </row>
    <row r="112" spans="1:46">
      <c r="A112" s="361">
        <f t="shared" si="44"/>
        <v>2013</v>
      </c>
      <c r="B112" s="361">
        <f t="shared" si="43"/>
        <v>12</v>
      </c>
      <c r="C112" s="362">
        <f t="shared" si="40"/>
        <v>42.633806123140985</v>
      </c>
      <c r="D112" s="363">
        <f t="shared" si="45"/>
        <v>2.1683298951445065E-2</v>
      </c>
      <c r="E112" s="387">
        <v>29296.129276052372</v>
      </c>
      <c r="F112" s="364">
        <v>1574.440331764232</v>
      </c>
      <c r="G112" s="364">
        <v>24754.335065746895</v>
      </c>
      <c r="H112" s="364">
        <v>65.792217936552831</v>
      </c>
      <c r="I112" s="364">
        <v>10155.89700588252</v>
      </c>
      <c r="J112" s="365">
        <f t="shared" si="33"/>
        <v>65846.593897382569</v>
      </c>
      <c r="K112" s="366">
        <v>31</v>
      </c>
      <c r="L112" s="367">
        <f t="shared" si="34"/>
        <v>2.1683298951445065E-2</v>
      </c>
      <c r="M112" s="368">
        <v>15031.71639872149</v>
      </c>
      <c r="N112" s="368">
        <v>19.810407059967876</v>
      </c>
      <c r="O112" s="368">
        <v>684.98888989050499</v>
      </c>
      <c r="P112" s="368">
        <v>219.21602745084357</v>
      </c>
      <c r="Q112" s="368">
        <v>3962.9812038757336</v>
      </c>
      <c r="R112" s="368">
        <v>0</v>
      </c>
      <c r="S112" s="364">
        <f>$L112*'MWh Impact Summary'!$L$19</f>
        <v>0</v>
      </c>
      <c r="T112" s="364">
        <f>$L112*'MWh Impact Summary'!$M$19</f>
        <v>0</v>
      </c>
      <c r="U112" s="368">
        <v>189.49683190821713</v>
      </c>
      <c r="V112" s="368">
        <v>63100.797857232465</v>
      </c>
      <c r="W112" s="368">
        <v>6901.2395121545578</v>
      </c>
      <c r="X112" s="368">
        <f t="shared" si="25"/>
        <v>90110.247128293777</v>
      </c>
      <c r="Y112" s="364">
        <f t="shared" si="26"/>
        <v>155956.84102567635</v>
      </c>
      <c r="Z112" s="364">
        <f>SUM(Y101:Y112)</f>
        <v>7192486.778645033</v>
      </c>
      <c r="AA112" s="364">
        <v>4671859</v>
      </c>
      <c r="AB112" s="369">
        <f t="shared" si="35"/>
        <v>33.382180632094489</v>
      </c>
      <c r="AC112" s="370">
        <f t="shared" si="27"/>
        <v>14.094302481599417</v>
      </c>
      <c r="AD112" s="371">
        <f t="shared" si="28"/>
        <v>4.5465491876127152E-4</v>
      </c>
      <c r="AE112" s="370">
        <f t="shared" si="36"/>
        <v>19.287878150495079</v>
      </c>
      <c r="AF112" s="371">
        <f t="shared" si="29"/>
        <v>6.2218961775790569E-4</v>
      </c>
      <c r="AG112" s="372">
        <f t="shared" si="37"/>
        <v>1.0768445365191772E-3</v>
      </c>
      <c r="AH112" s="373">
        <f t="shared" si="30"/>
        <v>1.0768445365191769E-3</v>
      </c>
      <c r="AI112" s="374" t="b">
        <f t="shared" si="38"/>
        <v>1</v>
      </c>
      <c r="AJ112" s="375">
        <f t="shared" si="41"/>
        <v>1.5175438634062142E-4</v>
      </c>
      <c r="AL112" s="376">
        <f t="shared" si="31"/>
        <v>63100.797857232465</v>
      </c>
      <c r="AM112" s="377">
        <f>SUM(AL101:AL112)</f>
        <v>2910110.5878092018</v>
      </c>
      <c r="AN112" s="383">
        <f t="shared" si="47"/>
        <v>13.506571550475403</v>
      </c>
      <c r="AO112" s="379">
        <f t="shared" si="46"/>
        <v>4.3569585646694846E-4</v>
      </c>
      <c r="AQ112" s="380">
        <f t="shared" si="32"/>
        <v>1.0768445365191769E-3</v>
      </c>
      <c r="AR112" s="381">
        <v>407792.31518567307</v>
      </c>
      <c r="AT112" s="382">
        <v>33.382180632094489</v>
      </c>
    </row>
    <row r="113" spans="1:46">
      <c r="A113" s="361">
        <v>2014</v>
      </c>
      <c r="B113" s="361">
        <v>1</v>
      </c>
      <c r="C113" s="362">
        <f t="shared" si="40"/>
        <v>26.112829868525239</v>
      </c>
      <c r="D113" s="389">
        <f>D101</f>
        <v>1.3280829182176284E-2</v>
      </c>
      <c r="E113" s="387">
        <v>20400.565814281548</v>
      </c>
      <c r="F113" s="364">
        <v>1260.5815503360332</v>
      </c>
      <c r="G113" s="364">
        <v>17406.56424943019</v>
      </c>
      <c r="H113" s="364">
        <v>51.954027734078224</v>
      </c>
      <c r="I113" s="364">
        <v>7019.0466489515638</v>
      </c>
      <c r="J113" s="365">
        <f t="shared" si="33"/>
        <v>46138.712290733412</v>
      </c>
      <c r="K113" s="366">
        <v>31</v>
      </c>
      <c r="L113" s="367">
        <f t="shared" si="34"/>
        <v>1.3280829182176284E-2</v>
      </c>
      <c r="M113" s="368">
        <v>10857.922905262527</v>
      </c>
      <c r="N113" s="368">
        <v>47.624165843557222</v>
      </c>
      <c r="O113" s="368">
        <v>536.4614627439089</v>
      </c>
      <c r="P113" s="368">
        <v>148.74751489376089</v>
      </c>
      <c r="Q113" s="368">
        <v>2983.9501874714465</v>
      </c>
      <c r="R113" s="368">
        <v>0</v>
      </c>
      <c r="S113" s="364">
        <f>$L113*'MWh Impact Summary'!$L$20</f>
        <v>0</v>
      </c>
      <c r="T113" s="364">
        <f>$L113*'MWh Impact Summary'!$M$20</f>
        <v>0</v>
      </c>
      <c r="U113" s="368">
        <v>370.29511049974883</v>
      </c>
      <c r="V113" s="368">
        <v>41822.028858320969</v>
      </c>
      <c r="W113" s="368">
        <v>8453.3254503291591</v>
      </c>
      <c r="X113" s="368">
        <f t="shared" si="25"/>
        <v>65220.355655365078</v>
      </c>
      <c r="Y113" s="364">
        <f t="shared" si="26"/>
        <v>111359.06794609848</v>
      </c>
      <c r="Z113" s="364"/>
      <c r="AA113" s="364">
        <v>4679556</v>
      </c>
      <c r="AB113" s="369">
        <f t="shared" si="35"/>
        <v>23.796930295544808</v>
      </c>
      <c r="AC113" s="370">
        <f t="shared" si="27"/>
        <v>9.8596346086537725</v>
      </c>
      <c r="AD113" s="371">
        <f t="shared" si="28"/>
        <v>3.1805272931141203E-4</v>
      </c>
      <c r="AE113" s="370">
        <f t="shared" si="36"/>
        <v>13.937295686891039</v>
      </c>
      <c r="AF113" s="371">
        <f t="shared" si="29"/>
        <v>4.4959018344809806E-4</v>
      </c>
      <c r="AG113" s="372">
        <f t="shared" si="37"/>
        <v>7.6764291275951014E-4</v>
      </c>
      <c r="AH113" s="373">
        <f t="shared" si="30"/>
        <v>7.6764291275950992E-4</v>
      </c>
      <c r="AI113" s="374" t="b">
        <f t="shared" si="38"/>
        <v>1</v>
      </c>
      <c r="AJ113" s="375">
        <f t="shared" si="41"/>
        <v>9.7048418438508205E-5</v>
      </c>
      <c r="AL113" s="376">
        <f t="shared" si="31"/>
        <v>41822.028858320969</v>
      </c>
      <c r="AM113" s="384"/>
      <c r="AN113" s="383">
        <f t="shared" si="47"/>
        <v>8.9371788388302154</v>
      </c>
      <c r="AO113" s="379">
        <f t="shared" si="46"/>
        <v>2.8829609157516824E-4</v>
      </c>
      <c r="AQ113" s="380">
        <f t="shared" si="32"/>
        <v>7.6764291275950992E-4</v>
      </c>
      <c r="AR113" s="381">
        <v>462445.94354477955</v>
      </c>
      <c r="AT113" s="382">
        <v>23.796930295544808</v>
      </c>
    </row>
    <row r="114" spans="1:46">
      <c r="A114" s="361">
        <v>2014</v>
      </c>
      <c r="B114" s="361">
        <v>2</v>
      </c>
      <c r="C114" s="362">
        <f t="shared" si="40"/>
        <v>35.042184420393127</v>
      </c>
      <c r="D114" s="389">
        <f t="shared" ref="D114:D177" si="48">D102</f>
        <v>1.7822245532205266E-2</v>
      </c>
      <c r="E114" s="387">
        <v>27376.595839813337</v>
      </c>
      <c r="F114" s="364">
        <v>1691.6409054946723</v>
      </c>
      <c r="G114" s="364">
        <v>23358.787141226956</v>
      </c>
      <c r="H114" s="364">
        <v>69.719851521500715</v>
      </c>
      <c r="I114" s="364">
        <v>9419.229105627157</v>
      </c>
      <c r="J114" s="365">
        <f t="shared" si="33"/>
        <v>61915.972843683623</v>
      </c>
      <c r="K114" s="366">
        <v>28</v>
      </c>
      <c r="L114" s="367">
        <f t="shared" si="34"/>
        <v>1.7822245532205266E-2</v>
      </c>
      <c r="M114" s="368">
        <v>14570.819738202072</v>
      </c>
      <c r="N114" s="368">
        <v>63.909381356206517</v>
      </c>
      <c r="O114" s="368">
        <v>719.90594686808652</v>
      </c>
      <c r="P114" s="368">
        <v>199.61213990311663</v>
      </c>
      <c r="Q114" s="368">
        <v>4004.3202248514663</v>
      </c>
      <c r="R114" s="368">
        <v>0</v>
      </c>
      <c r="S114" s="364">
        <f>$L114*'MWh Impact Summary'!$L$20</f>
        <v>0</v>
      </c>
      <c r="T114" s="364">
        <f>$L114*'MWh Impact Summary'!$M$20</f>
        <v>0</v>
      </c>
      <c r="U114" s="368">
        <v>496.9185499018796</v>
      </c>
      <c r="V114" s="368">
        <v>56123.187546775647</v>
      </c>
      <c r="W114" s="368">
        <v>11343.963518603003</v>
      </c>
      <c r="X114" s="368">
        <f t="shared" si="25"/>
        <v>87522.637046461488</v>
      </c>
      <c r="Y114" s="364">
        <f t="shared" si="26"/>
        <v>149438.6098901451</v>
      </c>
      <c r="Z114" s="364"/>
      <c r="AA114" s="364">
        <v>4687089</v>
      </c>
      <c r="AB114" s="369">
        <f t="shared" si="35"/>
        <v>31.883032280834669</v>
      </c>
      <c r="AC114" s="370">
        <f t="shared" si="27"/>
        <v>13.209899117273775</v>
      </c>
      <c r="AD114" s="371">
        <f t="shared" si="28"/>
        <v>4.7178211133120621E-4</v>
      </c>
      <c r="AE114" s="370">
        <f t="shared" si="36"/>
        <v>18.673133163560898</v>
      </c>
      <c r="AF114" s="371">
        <f t="shared" si="29"/>
        <v>6.6689761298431777E-4</v>
      </c>
      <c r="AG114" s="372">
        <f t="shared" si="37"/>
        <v>1.1386797243155239E-3</v>
      </c>
      <c r="AH114" s="373">
        <f t="shared" si="30"/>
        <v>1.1386797243155241E-3</v>
      </c>
      <c r="AI114" s="374" t="b">
        <f t="shared" si="38"/>
        <v>1</v>
      </c>
      <c r="AJ114" s="375">
        <f t="shared" si="41"/>
        <v>1.4328569818812032E-4</v>
      </c>
      <c r="AL114" s="376">
        <f t="shared" si="31"/>
        <v>56123.187546775647</v>
      </c>
      <c r="AM114" s="384"/>
      <c r="AN114" s="383">
        <f t="shared" si="47"/>
        <v>11.973996556663559</v>
      </c>
      <c r="AO114" s="379">
        <f t="shared" si="46"/>
        <v>4.2764273416655567E-4</v>
      </c>
      <c r="AQ114" s="380">
        <f t="shared" si="32"/>
        <v>1.1386797243155241E-3</v>
      </c>
      <c r="AR114" s="381">
        <v>429989.36628902756</v>
      </c>
      <c r="AT114" s="382">
        <v>31.883032280834669</v>
      </c>
    </row>
    <row r="115" spans="1:46">
      <c r="A115" s="361">
        <v>2014</v>
      </c>
      <c r="B115" s="361">
        <v>3</v>
      </c>
      <c r="C115" s="362">
        <f t="shared" si="40"/>
        <v>64.582270600115152</v>
      </c>
      <c r="D115" s="389">
        <f t="shared" si="48"/>
        <v>3.2846156787895278E-2</v>
      </c>
      <c r="E115" s="387">
        <v>50454.694816567506</v>
      </c>
      <c r="F115" s="364">
        <v>3117.6712446414067</v>
      </c>
      <c r="G115" s="364">
        <v>43049.927879703959</v>
      </c>
      <c r="H115" s="364">
        <v>128.4927407248345</v>
      </c>
      <c r="I115" s="364">
        <v>17359.511486106985</v>
      </c>
      <c r="J115" s="365">
        <f t="shared" si="33"/>
        <v>114110.2981677447</v>
      </c>
      <c r="K115" s="366">
        <v>31</v>
      </c>
      <c r="L115" s="367">
        <f t="shared" si="34"/>
        <v>3.2846156787895278E-2</v>
      </c>
      <c r="M115" s="368">
        <v>26853.823149518954</v>
      </c>
      <c r="N115" s="368">
        <v>117.78412301918304</v>
      </c>
      <c r="O115" s="368">
        <v>1326.7768957979044</v>
      </c>
      <c r="P115" s="368">
        <v>367.88246644774944</v>
      </c>
      <c r="Q115" s="368">
        <v>7379.9078627179406</v>
      </c>
      <c r="R115" s="368">
        <v>0</v>
      </c>
      <c r="S115" s="364">
        <f>$L115*'MWh Impact Summary'!$L$20</f>
        <v>0</v>
      </c>
      <c r="T115" s="364">
        <f>$L115*'MWh Impact Summary'!$M$20</f>
        <v>0</v>
      </c>
      <c r="U115" s="368">
        <v>915.81414762784311</v>
      </c>
      <c r="V115" s="368">
        <v>103434.27343466436</v>
      </c>
      <c r="W115" s="368">
        <v>20906.770903525616</v>
      </c>
      <c r="X115" s="368">
        <f t="shared" si="25"/>
        <v>161303.03298331954</v>
      </c>
      <c r="Y115" s="364">
        <f t="shared" si="26"/>
        <v>275413.33115106425</v>
      </c>
      <c r="Z115" s="368"/>
      <c r="AA115" s="368">
        <v>4694845</v>
      </c>
      <c r="AB115" s="369">
        <f t="shared" si="35"/>
        <v>58.662923089274358</v>
      </c>
      <c r="AC115" s="370">
        <f t="shared" si="27"/>
        <v>24.305445263420772</v>
      </c>
      <c r="AD115" s="371">
        <f t="shared" si="28"/>
        <v>7.8404662140067001E-4</v>
      </c>
      <c r="AE115" s="370">
        <f t="shared" si="36"/>
        <v>34.357477825853579</v>
      </c>
      <c r="AF115" s="371">
        <f t="shared" si="29"/>
        <v>1.1083057363178573E-3</v>
      </c>
      <c r="AG115" s="372">
        <f t="shared" si="37"/>
        <v>1.8923523577185275E-3</v>
      </c>
      <c r="AH115" s="373">
        <f t="shared" si="30"/>
        <v>1.8923523577185277E-3</v>
      </c>
      <c r="AI115" s="374" t="b">
        <f t="shared" si="38"/>
        <v>1</v>
      </c>
      <c r="AJ115" s="375">
        <f t="shared" si="41"/>
        <v>2.3772729216883109E-4</v>
      </c>
      <c r="AL115" s="376">
        <f t="shared" si="31"/>
        <v>103434.27343466436</v>
      </c>
      <c r="AM115" s="376"/>
      <c r="AN115" s="383">
        <f t="shared" si="47"/>
        <v>22.031456509142338</v>
      </c>
      <c r="AO115" s="379">
        <f t="shared" si="46"/>
        <v>7.1069214545620445E-4</v>
      </c>
      <c r="AQ115" s="380">
        <f t="shared" si="32"/>
        <v>1.8923523577185277E-3</v>
      </c>
      <c r="AR115" s="381">
        <v>522118.50113084482</v>
      </c>
      <c r="AT115" s="382">
        <v>58.662923089274358</v>
      </c>
    </row>
    <row r="116" spans="1:46">
      <c r="A116" s="361">
        <v>2014</v>
      </c>
      <c r="B116" s="361">
        <v>4</v>
      </c>
      <c r="C116" s="362">
        <f t="shared" si="40"/>
        <v>114.03392869270741</v>
      </c>
      <c r="D116" s="389">
        <f t="shared" si="48"/>
        <v>5.7996974497419709E-2</v>
      </c>
      <c r="E116" s="387">
        <v>89088.646426663632</v>
      </c>
      <c r="F116" s="364">
        <v>5504.9210424959665</v>
      </c>
      <c r="G116" s="364">
        <v>76013.933242718849</v>
      </c>
      <c r="H116" s="364">
        <v>226.88164874339662</v>
      </c>
      <c r="I116" s="364">
        <v>30651.961855045542</v>
      </c>
      <c r="J116" s="365">
        <f t="shared" si="33"/>
        <v>201486.3442156674</v>
      </c>
      <c r="K116" s="366">
        <v>30</v>
      </c>
      <c r="L116" s="367">
        <f t="shared" si="34"/>
        <v>5.7996974497419709E-2</v>
      </c>
      <c r="M116" s="368">
        <v>47416.216954028234</v>
      </c>
      <c r="N116" s="368">
        <v>207.97327440944213</v>
      </c>
      <c r="O116" s="368">
        <v>2342.7107861128707</v>
      </c>
      <c r="P116" s="368">
        <v>649.57584421203649</v>
      </c>
      <c r="Q116" s="368">
        <v>13030.819126610699</v>
      </c>
      <c r="R116" s="368">
        <v>0</v>
      </c>
      <c r="S116" s="364">
        <f>$L116*'MWh Impact Summary'!$L$20</f>
        <v>0</v>
      </c>
      <c r="T116" s="364">
        <f>$L116*'MWh Impact Summary'!$M$20</f>
        <v>0</v>
      </c>
      <c r="U116" s="368">
        <v>1617.0674124018776</v>
      </c>
      <c r="V116" s="368">
        <v>182635.5198048655</v>
      </c>
      <c r="W116" s="368">
        <v>36915.413475771456</v>
      </c>
      <c r="X116" s="368">
        <f t="shared" si="25"/>
        <v>284815.29667841212</v>
      </c>
      <c r="Y116" s="364">
        <f t="shared" si="26"/>
        <v>486301.64089407952</v>
      </c>
      <c r="Z116" s="364"/>
      <c r="AA116" s="364">
        <v>4699582</v>
      </c>
      <c r="AB116" s="369">
        <f t="shared" si="35"/>
        <v>103.47763713753255</v>
      </c>
      <c r="AC116" s="370">
        <f t="shared" si="27"/>
        <v>42.873247921978468</v>
      </c>
      <c r="AD116" s="371">
        <f t="shared" si="28"/>
        <v>1.4291082640659489E-3</v>
      </c>
      <c r="AE116" s="370">
        <f t="shared" si="36"/>
        <v>60.604389215554093</v>
      </c>
      <c r="AF116" s="371">
        <f t="shared" si="29"/>
        <v>2.0201463071851363E-3</v>
      </c>
      <c r="AG116" s="372">
        <f t="shared" si="37"/>
        <v>3.4492545712510852E-3</v>
      </c>
      <c r="AH116" s="373">
        <f t="shared" si="30"/>
        <v>3.4492545712510848E-3</v>
      </c>
      <c r="AI116" s="374" t="b">
        <f t="shared" si="38"/>
        <v>0</v>
      </c>
      <c r="AJ116" s="375">
        <f t="shared" si="41"/>
        <v>4.3271873721681267E-4</v>
      </c>
      <c r="AL116" s="376">
        <f t="shared" si="31"/>
        <v>182635.5198048655</v>
      </c>
      <c r="AM116" s="384"/>
      <c r="AN116" s="383">
        <f t="shared" si="47"/>
        <v>38.862077479415298</v>
      </c>
      <c r="AO116" s="379">
        <f t="shared" si="46"/>
        <v>1.2954025826471766E-3</v>
      </c>
      <c r="AQ116" s="380">
        <f t="shared" si="32"/>
        <v>3.4492545712510848E-3</v>
      </c>
      <c r="AR116" s="381">
        <v>616081.08376351488</v>
      </c>
      <c r="AT116" s="382">
        <v>103.47763713753255</v>
      </c>
    </row>
    <row r="117" spans="1:46">
      <c r="A117" s="361">
        <v>2014</v>
      </c>
      <c r="B117" s="361">
        <v>5</v>
      </c>
      <c r="C117" s="362">
        <f t="shared" si="40"/>
        <v>208.47875842628665</v>
      </c>
      <c r="D117" s="389">
        <f t="shared" si="48"/>
        <v>0.10603105035770212</v>
      </c>
      <c r="E117" s="387">
        <v>162873.37119603285</v>
      </c>
      <c r="F117" s="364">
        <v>10064.189819040172</v>
      </c>
      <c r="G117" s="364">
        <v>138969.95926751854</v>
      </c>
      <c r="H117" s="364">
        <v>414.78887013700773</v>
      </c>
      <c r="I117" s="364">
        <v>56038.4354387192</v>
      </c>
      <c r="J117" s="365">
        <f t="shared" si="33"/>
        <v>368360.74459144776</v>
      </c>
      <c r="K117" s="366">
        <v>31</v>
      </c>
      <c r="L117" s="367">
        <f t="shared" si="34"/>
        <v>0.10603105035770212</v>
      </c>
      <c r="M117" s="368">
        <v>86687.130340703807</v>
      </c>
      <c r="N117" s="368">
        <v>380.22026016106821</v>
      </c>
      <c r="O117" s="368">
        <v>4282.9835088538466</v>
      </c>
      <c r="P117" s="368">
        <v>1187.565552266137</v>
      </c>
      <c r="Q117" s="368">
        <v>23823.164070002265</v>
      </c>
      <c r="R117" s="368">
        <v>0</v>
      </c>
      <c r="S117" s="364">
        <f>$L117*'MWh Impact Summary'!$L$20</f>
        <v>0</v>
      </c>
      <c r="T117" s="364">
        <f>$L117*'MWh Impact Summary'!$M$20</f>
        <v>0</v>
      </c>
      <c r="U117" s="368">
        <v>2956.350011737436</v>
      </c>
      <c r="V117" s="368">
        <v>333897.3483590312</v>
      </c>
      <c r="W117" s="368">
        <v>67489.38369878348</v>
      </c>
      <c r="X117" s="368">
        <f t="shared" si="25"/>
        <v>520704.14580153924</v>
      </c>
      <c r="Y117" s="364">
        <f t="shared" si="26"/>
        <v>889064.89039298706</v>
      </c>
      <c r="Z117" s="364"/>
      <c r="AA117" s="364">
        <v>4702414</v>
      </c>
      <c r="AB117" s="369">
        <f t="shared" si="35"/>
        <v>189.06563530837289</v>
      </c>
      <c r="AC117" s="370">
        <f t="shared" si="27"/>
        <v>78.334392631411816</v>
      </c>
      <c r="AD117" s="371">
        <f t="shared" si="28"/>
        <v>2.5269158913358647E-3</v>
      </c>
      <c r="AE117" s="370">
        <f t="shared" si="36"/>
        <v>110.73124267696107</v>
      </c>
      <c r="AF117" s="371">
        <f t="shared" si="29"/>
        <v>3.571975570224551E-3</v>
      </c>
      <c r="AG117" s="372">
        <f t="shared" si="37"/>
        <v>6.0988914615604153E-3</v>
      </c>
      <c r="AH117" s="373">
        <f t="shared" si="30"/>
        <v>6.0988914615604161E-3</v>
      </c>
      <c r="AI117" s="374" t="b">
        <f t="shared" si="38"/>
        <v>1</v>
      </c>
      <c r="AJ117" s="375">
        <f t="shared" si="41"/>
        <v>7.642745462888012E-4</v>
      </c>
      <c r="AL117" s="376">
        <f t="shared" si="31"/>
        <v>333897.3483590312</v>
      </c>
      <c r="AM117" s="384"/>
      <c r="AN117" s="383">
        <f t="shared" si="47"/>
        <v>71.005519369207221</v>
      </c>
      <c r="AO117" s="379">
        <f t="shared" si="46"/>
        <v>2.2905006248131361E-3</v>
      </c>
      <c r="AQ117" s="380">
        <f t="shared" si="32"/>
        <v>6.0988914615604161E-3</v>
      </c>
      <c r="AR117" s="381">
        <v>744422.3141190504</v>
      </c>
      <c r="AT117" s="382">
        <v>189.06563530837289</v>
      </c>
    </row>
    <row r="118" spans="1:46">
      <c r="A118" s="361">
        <v>2014</v>
      </c>
      <c r="B118" s="361">
        <v>6</v>
      </c>
      <c r="C118" s="362">
        <f t="shared" si="40"/>
        <v>271.66325293295364</v>
      </c>
      <c r="D118" s="389">
        <f t="shared" si="48"/>
        <v>0.13816630657965029</v>
      </c>
      <c r="E118" s="387">
        <v>212236.05785677844</v>
      </c>
      <c r="F118" s="364">
        <v>13114.384242372931</v>
      </c>
      <c r="G118" s="364">
        <v>181088.14288589868</v>
      </c>
      <c r="H118" s="364">
        <v>540.50059868159701</v>
      </c>
      <c r="I118" s="364">
        <v>73022.229101285047</v>
      </c>
      <c r="J118" s="365">
        <f t="shared" si="33"/>
        <v>480001.3146850167</v>
      </c>
      <c r="K118" s="366">
        <v>30</v>
      </c>
      <c r="L118" s="367">
        <f t="shared" si="34"/>
        <v>0.13816630657965029</v>
      </c>
      <c r="M118" s="368">
        <v>112959.7470435108</v>
      </c>
      <c r="N118" s="368">
        <v>495.45514126270734</v>
      </c>
      <c r="O118" s="368">
        <v>5581.04452010553</v>
      </c>
      <c r="P118" s="368">
        <v>1547.4858131113087</v>
      </c>
      <c r="Q118" s="368">
        <v>31043.346071636297</v>
      </c>
      <c r="R118" s="368">
        <v>0</v>
      </c>
      <c r="S118" s="364">
        <f>$L118*'MWh Impact Summary'!$L$20</f>
        <v>0</v>
      </c>
      <c r="T118" s="364">
        <f>$L118*'MWh Impact Summary'!$M$20</f>
        <v>0</v>
      </c>
      <c r="U118" s="368">
        <v>3852.3428816415203</v>
      </c>
      <c r="V118" s="368">
        <v>435092.95856140746</v>
      </c>
      <c r="W118" s="368">
        <v>87943.66223422419</v>
      </c>
      <c r="X118" s="368">
        <f t="shared" si="25"/>
        <v>678516.04226689972</v>
      </c>
      <c r="Y118" s="364">
        <f t="shared" si="26"/>
        <v>1158517.3569519164</v>
      </c>
      <c r="Z118" s="364"/>
      <c r="AA118" s="364">
        <v>4705494</v>
      </c>
      <c r="AB118" s="369">
        <f t="shared" si="35"/>
        <v>246.20525644107005</v>
      </c>
      <c r="AC118" s="370">
        <f t="shared" si="27"/>
        <v>102.00869763833865</v>
      </c>
      <c r="AD118" s="371">
        <f t="shared" si="28"/>
        <v>3.4002899212779549E-3</v>
      </c>
      <c r="AE118" s="370">
        <f t="shared" si="36"/>
        <v>144.19655880273137</v>
      </c>
      <c r="AF118" s="371">
        <f t="shared" si="29"/>
        <v>4.8065519600910458E-3</v>
      </c>
      <c r="AG118" s="372">
        <f t="shared" si="37"/>
        <v>8.2068418813690015E-3</v>
      </c>
      <c r="AH118" s="373">
        <f t="shared" si="30"/>
        <v>8.2068418813690015E-3</v>
      </c>
      <c r="AI118" s="374" t="b">
        <f t="shared" si="38"/>
        <v>1</v>
      </c>
      <c r="AJ118" s="375">
        <f t="shared" si="41"/>
        <v>1.0271312148260872E-3</v>
      </c>
      <c r="AL118" s="376">
        <f t="shared" si="31"/>
        <v>435092.95856140746</v>
      </c>
      <c r="AM118" s="384"/>
      <c r="AN118" s="383">
        <f t="shared" si="47"/>
        <v>92.464884358880795</v>
      </c>
      <c r="AO118" s="379">
        <f t="shared" si="46"/>
        <v>3.0821628119626935E-3</v>
      </c>
      <c r="AQ118" s="380">
        <f t="shared" si="32"/>
        <v>8.2068418813690015E-3</v>
      </c>
      <c r="AR118" s="381">
        <v>911564.45976524334</v>
      </c>
      <c r="AT118" s="382">
        <v>246.20525644107005</v>
      </c>
    </row>
    <row r="119" spans="1:46">
      <c r="A119" s="361">
        <v>2014</v>
      </c>
      <c r="B119" s="361">
        <v>7</v>
      </c>
      <c r="C119" s="362">
        <f t="shared" si="40"/>
        <v>322.31916585708109</v>
      </c>
      <c r="D119" s="389">
        <f t="shared" si="48"/>
        <v>0.16392960109808263</v>
      </c>
      <c r="E119" s="387">
        <v>251810.82974838352</v>
      </c>
      <c r="F119" s="364">
        <v>15559.768736090771</v>
      </c>
      <c r="G119" s="364">
        <v>214854.89307600987</v>
      </c>
      <c r="H119" s="364">
        <v>641.28548941177985</v>
      </c>
      <c r="I119" s="364">
        <v>86638.379386407702</v>
      </c>
      <c r="J119" s="365">
        <f t="shared" si="33"/>
        <v>569505.15643630363</v>
      </c>
      <c r="K119" s="366">
        <v>31</v>
      </c>
      <c r="L119" s="367">
        <f t="shared" si="34"/>
        <v>0.16392960109808263</v>
      </c>
      <c r="M119" s="368">
        <v>134022.87961072536</v>
      </c>
      <c r="N119" s="368">
        <v>587.84059355576767</v>
      </c>
      <c r="O119" s="368">
        <v>6621.7185979717697</v>
      </c>
      <c r="P119" s="368">
        <v>1836.0390338873094</v>
      </c>
      <c r="Q119" s="368">
        <v>36831.869246931048</v>
      </c>
      <c r="R119" s="368">
        <v>0</v>
      </c>
      <c r="S119" s="364">
        <f>$L122*'MWh Impact Summary'!$L$20</f>
        <v>0</v>
      </c>
      <c r="T119" s="364">
        <f>$L122*'MWh Impact Summary'!$M$20</f>
        <v>0</v>
      </c>
      <c r="U119" s="368">
        <v>4570.6731801249762</v>
      </c>
      <c r="V119" s="368">
        <v>516222.92658187851</v>
      </c>
      <c r="W119" s="368">
        <v>104342.14987754633</v>
      </c>
      <c r="X119" s="368">
        <f t="shared" si="25"/>
        <v>805036.09672262112</v>
      </c>
      <c r="Y119" s="364">
        <f t="shared" si="26"/>
        <v>1374541.2531589246</v>
      </c>
      <c r="Z119" s="364"/>
      <c r="AA119" s="364">
        <v>4709239</v>
      </c>
      <c r="AB119" s="369">
        <f t="shared" si="35"/>
        <v>291.88182064213021</v>
      </c>
      <c r="AC119" s="370">
        <f t="shared" si="27"/>
        <v>120.93358532796989</v>
      </c>
      <c r="AD119" s="371">
        <f t="shared" si="28"/>
        <v>3.9010833976764483E-3</v>
      </c>
      <c r="AE119" s="370">
        <f t="shared" si="36"/>
        <v>170.94823531416034</v>
      </c>
      <c r="AF119" s="371">
        <f t="shared" si="29"/>
        <v>5.5144592036825918E-3</v>
      </c>
      <c r="AG119" s="372">
        <f t="shared" si="37"/>
        <v>9.4155426013590397E-3</v>
      </c>
      <c r="AH119" s="373">
        <f t="shared" si="30"/>
        <v>9.4155426013590397E-3</v>
      </c>
      <c r="AI119" s="374" t="b">
        <f t="shared" si="38"/>
        <v>1</v>
      </c>
      <c r="AJ119" s="375">
        <f t="shared" si="41"/>
        <v>1.1847027997489764E-3</v>
      </c>
      <c r="AL119" s="376">
        <f t="shared" si="31"/>
        <v>516222.92658187851</v>
      </c>
      <c r="AM119" s="384"/>
      <c r="AN119" s="383">
        <f t="shared" si="47"/>
        <v>109.61918190643509</v>
      </c>
      <c r="AO119" s="379">
        <f t="shared" si="46"/>
        <v>3.5361026421430672E-3</v>
      </c>
      <c r="AQ119" s="380">
        <f t="shared" si="32"/>
        <v>9.4155426013590397E-3</v>
      </c>
      <c r="AR119" s="381">
        <v>960152.42672691226</v>
      </c>
      <c r="AT119" s="382">
        <v>291.88182064213021</v>
      </c>
    </row>
    <row r="120" spans="1:46">
      <c r="A120" s="361">
        <v>2014</v>
      </c>
      <c r="B120" s="361">
        <v>8</v>
      </c>
      <c r="C120" s="362">
        <f t="shared" si="40"/>
        <v>326.45437890907908</v>
      </c>
      <c r="D120" s="389">
        <f t="shared" si="48"/>
        <v>0.16603274573816959</v>
      </c>
      <c r="E120" s="387">
        <v>255041.45187735639</v>
      </c>
      <c r="F120" s="364">
        <v>15759.393721444832</v>
      </c>
      <c r="G120" s="364">
        <v>217611.38680101384</v>
      </c>
      <c r="H120" s="364">
        <v>649.51290002455232</v>
      </c>
      <c r="I120" s="364">
        <v>87749.911666189932</v>
      </c>
      <c r="J120" s="365">
        <f t="shared" si="33"/>
        <v>576811.65696602955</v>
      </c>
      <c r="K120" s="366">
        <v>31</v>
      </c>
      <c r="L120" s="367">
        <f t="shared" si="34"/>
        <v>0.16603274573816959</v>
      </c>
      <c r="M120" s="368">
        <v>135742.33417545445</v>
      </c>
      <c r="N120" s="368">
        <v>595.38232967469253</v>
      </c>
      <c r="O120" s="368">
        <v>6706.6723335033766</v>
      </c>
      <c r="P120" s="368">
        <v>1859.5946066895644</v>
      </c>
      <c r="Q120" s="368">
        <v>37304.405920431032</v>
      </c>
      <c r="R120" s="368">
        <v>0</v>
      </c>
      <c r="S120" s="364">
        <f>$L120*'MWh Impact Summary'!$L$20</f>
        <v>0</v>
      </c>
      <c r="T120" s="364">
        <f>$L120*'MWh Impact Summary'!$M$20</f>
        <v>0</v>
      </c>
      <c r="U120" s="368">
        <v>4629.3129055679574</v>
      </c>
      <c r="V120" s="368">
        <v>522845.83955097117</v>
      </c>
      <c r="W120" s="368">
        <v>105680.81374166938</v>
      </c>
      <c r="X120" s="368">
        <f t="shared" si="25"/>
        <v>815364.35556396167</v>
      </c>
      <c r="Y120" s="364">
        <f t="shared" si="26"/>
        <v>1392176.0125299911</v>
      </c>
      <c r="Z120" s="364"/>
      <c r="AA120" s="390">
        <v>4690934.8430871749</v>
      </c>
      <c r="AB120" s="369">
        <f t="shared" si="35"/>
        <v>296.78007883259772</v>
      </c>
      <c r="AC120" s="370">
        <f t="shared" si="27"/>
        <v>122.9630502789975</v>
      </c>
      <c r="AD120" s="371">
        <f t="shared" si="28"/>
        <v>3.966550008999919E-3</v>
      </c>
      <c r="AE120" s="370">
        <f t="shared" si="36"/>
        <v>173.81702855360021</v>
      </c>
      <c r="AF120" s="371">
        <f t="shared" si="29"/>
        <v>5.6070009210838776E-3</v>
      </c>
      <c r="AG120" s="372">
        <f t="shared" si="37"/>
        <v>9.5735509300837966E-3</v>
      </c>
      <c r="AH120" s="373">
        <f t="shared" si="30"/>
        <v>9.5735509300837983E-3</v>
      </c>
      <c r="AI120" s="374" t="b">
        <f t="shared" si="38"/>
        <v>1</v>
      </c>
      <c r="AJ120" s="375">
        <f t="shared" si="41"/>
        <v>1.2547697763188956E-3</v>
      </c>
      <c r="AL120" s="376">
        <f t="shared" si="31"/>
        <v>522845.83955097117</v>
      </c>
      <c r="AM120" s="384"/>
      <c r="AN120" s="383">
        <f t="shared" si="47"/>
        <v>111.458772513429</v>
      </c>
      <c r="AO120" s="379">
        <f t="shared" si="46"/>
        <v>3.5954442746267421E-3</v>
      </c>
      <c r="AQ120" s="380">
        <f t="shared" si="32"/>
        <v>9.5735509300837983E-3</v>
      </c>
      <c r="AR120" s="381">
        <v>998316.77050706814</v>
      </c>
      <c r="AT120" s="382">
        <v>296.78007883259772</v>
      </c>
    </row>
    <row r="121" spans="1:46">
      <c r="A121" s="361">
        <v>2014</v>
      </c>
      <c r="B121" s="361">
        <v>9</v>
      </c>
      <c r="C121" s="362">
        <f t="shared" si="40"/>
        <v>277.87653293728147</v>
      </c>
      <c r="D121" s="389">
        <f t="shared" si="48"/>
        <v>0.14132634365008559</v>
      </c>
      <c r="E121" s="387">
        <v>217090.16322525221</v>
      </c>
      <c r="F121" s="364">
        <v>13414.326691351551</v>
      </c>
      <c r="G121" s="364">
        <v>185229.85629419505</v>
      </c>
      <c r="H121" s="364">
        <v>552.86252664152039</v>
      </c>
      <c r="I121" s="364">
        <v>74692.339250700214</v>
      </c>
      <c r="J121" s="365">
        <f t="shared" si="33"/>
        <v>490979.54798814055</v>
      </c>
      <c r="K121" s="366">
        <v>30</v>
      </c>
      <c r="L121" s="367">
        <f t="shared" si="34"/>
        <v>0.14132634365008559</v>
      </c>
      <c r="M121" s="368">
        <v>115543.27841929313</v>
      </c>
      <c r="N121" s="368">
        <v>506.78682300108647</v>
      </c>
      <c r="O121" s="368">
        <v>5708.6900221955511</v>
      </c>
      <c r="P121" s="368">
        <v>1582.8787584426323</v>
      </c>
      <c r="Q121" s="368">
        <v>31753.346409672191</v>
      </c>
      <c r="R121" s="368">
        <v>0</v>
      </c>
      <c r="S121" s="364">
        <f>$L121*'MWh Impact Summary'!$L$20</f>
        <v>0</v>
      </c>
      <c r="T121" s="364">
        <f>$L121*'MWh Impact Summary'!$M$20</f>
        <v>0</v>
      </c>
      <c r="U121" s="368">
        <v>3940.4508047334425</v>
      </c>
      <c r="V121" s="368">
        <v>445044.08132191066</v>
      </c>
      <c r="W121" s="368">
        <v>89955.044311733669</v>
      </c>
      <c r="X121" s="368">
        <f t="shared" si="25"/>
        <v>694034.5568709824</v>
      </c>
      <c r="Y121" s="364">
        <f t="shared" si="26"/>
        <v>1185014.104859123</v>
      </c>
      <c r="Z121" s="364"/>
      <c r="AA121" s="390">
        <v>4693615.8603212107</v>
      </c>
      <c r="AB121" s="369">
        <f t="shared" si="35"/>
        <v>252.47360246861484</v>
      </c>
      <c r="AC121" s="370">
        <f t="shared" si="27"/>
        <v>104.60582258952483</v>
      </c>
      <c r="AD121" s="371">
        <f t="shared" si="28"/>
        <v>3.4868607529841612E-3</v>
      </c>
      <c r="AE121" s="370">
        <f t="shared" si="36"/>
        <v>147.86777987908999</v>
      </c>
      <c r="AF121" s="371">
        <f t="shared" si="29"/>
        <v>4.9289259959696659E-3</v>
      </c>
      <c r="AG121" s="372">
        <f t="shared" si="37"/>
        <v>8.4157867489538275E-3</v>
      </c>
      <c r="AH121" s="373">
        <f t="shared" si="30"/>
        <v>8.4157867489538275E-3</v>
      </c>
      <c r="AI121" s="374" t="b">
        <f t="shared" si="38"/>
        <v>1</v>
      </c>
      <c r="AJ121" s="375">
        <f t="shared" si="41"/>
        <v>1.1201861658049119E-3</v>
      </c>
      <c r="AL121" s="376">
        <f t="shared" si="31"/>
        <v>445044.08132191066</v>
      </c>
      <c r="AM121" s="384"/>
      <c r="AN121" s="383">
        <f t="shared" si="47"/>
        <v>94.819025366821094</v>
      </c>
      <c r="AO121" s="379">
        <f t="shared" si="46"/>
        <v>3.1606341788940366E-3</v>
      </c>
      <c r="AQ121" s="380">
        <f t="shared" si="32"/>
        <v>8.4157867489538275E-3</v>
      </c>
      <c r="AR121" s="381">
        <v>942105.70075468137</v>
      </c>
      <c r="AT121" s="382">
        <v>252.47360246861484</v>
      </c>
    </row>
    <row r="122" spans="1:46">
      <c r="A122" s="361">
        <v>2014</v>
      </c>
      <c r="B122" s="361">
        <v>10</v>
      </c>
      <c r="C122" s="362">
        <f t="shared" si="40"/>
        <v>198.89039579254836</v>
      </c>
      <c r="D122" s="389">
        <f t="shared" si="48"/>
        <v>0.10115446643644242</v>
      </c>
      <c r="E122" s="387">
        <v>155382.49318910533</v>
      </c>
      <c r="F122" s="364">
        <v>9601.3172351464309</v>
      </c>
      <c r="G122" s="364">
        <v>132578.44785066624</v>
      </c>
      <c r="H122" s="364">
        <v>395.71188534808289</v>
      </c>
      <c r="I122" s="364">
        <v>53461.113679563801</v>
      </c>
      <c r="J122" s="365">
        <f t="shared" si="33"/>
        <v>351419.08383982989</v>
      </c>
      <c r="K122" s="366">
        <v>31</v>
      </c>
      <c r="L122" s="367">
        <f t="shared" si="34"/>
        <v>0.10115446643644242</v>
      </c>
      <c r="M122" s="368">
        <v>82700.212691831228</v>
      </c>
      <c r="N122" s="368">
        <v>362.73315613839304</v>
      </c>
      <c r="O122" s="368">
        <v>4086.0003756694086</v>
      </c>
      <c r="P122" s="368">
        <v>1132.9469942297339</v>
      </c>
      <c r="Q122" s="368">
        <v>22727.488242351978</v>
      </c>
      <c r="R122" s="368">
        <v>0</v>
      </c>
      <c r="S122" s="364">
        <f>$L122*'MWh Impact Summary'!$L$20</f>
        <v>0</v>
      </c>
      <c r="T122" s="364">
        <f>$L122*'MWh Impact Summary'!$M$20</f>
        <v>0</v>
      </c>
      <c r="U122" s="368">
        <v>2820.3814545627361</v>
      </c>
      <c r="V122" s="368">
        <v>318540.72937934741</v>
      </c>
      <c r="W122" s="368">
        <v>64385.409511119433</v>
      </c>
      <c r="X122" s="368">
        <f t="shared" si="25"/>
        <v>496755.90180525027</v>
      </c>
      <c r="Y122" s="364">
        <f t="shared" si="26"/>
        <v>848174.98564508022</v>
      </c>
      <c r="Z122" s="364"/>
      <c r="AA122" s="390">
        <v>4698364.8716175416</v>
      </c>
      <c r="AB122" s="369">
        <f t="shared" si="35"/>
        <v>180.52556768607727</v>
      </c>
      <c r="AC122" s="370">
        <f t="shared" si="27"/>
        <v>74.796039354611509</v>
      </c>
      <c r="AD122" s="371">
        <f t="shared" si="28"/>
        <v>2.4127754630519842E-3</v>
      </c>
      <c r="AE122" s="370">
        <f t="shared" si="36"/>
        <v>105.72952833146574</v>
      </c>
      <c r="AF122" s="371">
        <f t="shared" si="29"/>
        <v>3.4106299461763145E-3</v>
      </c>
      <c r="AG122" s="372">
        <f t="shared" si="37"/>
        <v>5.8234054092282991E-3</v>
      </c>
      <c r="AH122" s="373">
        <f t="shared" si="30"/>
        <v>5.8234054092282982E-3</v>
      </c>
      <c r="AI122" s="374" t="b">
        <f t="shared" si="38"/>
        <v>1</v>
      </c>
      <c r="AJ122" s="375">
        <f t="shared" si="41"/>
        <v>7.820869368002463E-4</v>
      </c>
      <c r="AL122" s="376">
        <f t="shared" si="31"/>
        <v>318540.72937934741</v>
      </c>
      <c r="AM122" s="384"/>
      <c r="AN122" s="383">
        <f t="shared" si="47"/>
        <v>67.798210246212946</v>
      </c>
      <c r="AO122" s="379">
        <f t="shared" si="46"/>
        <v>2.1870390402004176E-3</v>
      </c>
      <c r="AQ122" s="380">
        <f t="shared" si="32"/>
        <v>5.8234054092282982E-3</v>
      </c>
      <c r="AR122" s="381">
        <v>756171.3491331538</v>
      </c>
      <c r="AT122" s="382">
        <v>180.52556768607727</v>
      </c>
    </row>
    <row r="123" spans="1:46">
      <c r="A123" s="361">
        <v>2014</v>
      </c>
      <c r="B123" s="361">
        <v>11</v>
      </c>
      <c r="C123" s="362">
        <f t="shared" si="40"/>
        <v>78.117279066674627</v>
      </c>
      <c r="D123" s="389">
        <f t="shared" si="48"/>
        <v>3.9729981188725644E-2</v>
      </c>
      <c r="E123" s="387">
        <v>61028.87740838703</v>
      </c>
      <c r="F123" s="364">
        <v>3771.0658419520687</v>
      </c>
      <c r="G123" s="364">
        <v>52072.235905144124</v>
      </c>
      <c r="H123" s="364">
        <v>155.421963210223</v>
      </c>
      <c r="I123" s="364">
        <v>20997.679248814529</v>
      </c>
      <c r="J123" s="365">
        <f t="shared" si="33"/>
        <v>138025.28036750798</v>
      </c>
      <c r="K123" s="366">
        <v>30</v>
      </c>
      <c r="L123" s="367">
        <f t="shared" si="34"/>
        <v>3.9729981188725644E-2</v>
      </c>
      <c r="M123" s="368">
        <v>32481.787609591396</v>
      </c>
      <c r="N123" s="368">
        <v>142.46905725077821</v>
      </c>
      <c r="O123" s="368">
        <v>1604.839843275445</v>
      </c>
      <c r="P123" s="368">
        <v>444.98245459929933</v>
      </c>
      <c r="Q123" s="368">
        <v>8926.5725196917392</v>
      </c>
      <c r="R123" s="368">
        <v>0</v>
      </c>
      <c r="S123" s="364">
        <f>$L123*'MWh Impact Summary'!$L$20</f>
        <v>0</v>
      </c>
      <c r="T123" s="364">
        <f>$L123*'MWh Impact Summary'!$M$20</f>
        <v>0</v>
      </c>
      <c r="U123" s="368">
        <v>1107.7484374376488</v>
      </c>
      <c r="V123" s="368">
        <v>125111.79814325075</v>
      </c>
      <c r="W123" s="368">
        <v>25288.365396227357</v>
      </c>
      <c r="X123" s="368">
        <f t="shared" si="25"/>
        <v>195108.56346132443</v>
      </c>
      <c r="Y123" s="364">
        <f t="shared" si="26"/>
        <v>333133.84382883238</v>
      </c>
      <c r="Z123" s="364"/>
      <c r="AA123" s="390">
        <v>4703584.8532984974</v>
      </c>
      <c r="AB123" s="369">
        <f t="shared" si="35"/>
        <v>70.825520155167311</v>
      </c>
      <c r="AC123" s="370">
        <f t="shared" si="27"/>
        <v>29.344698707989622</v>
      </c>
      <c r="AD123" s="371">
        <f t="shared" si="28"/>
        <v>9.7815662359965411E-4</v>
      </c>
      <c r="AE123" s="370">
        <f t="shared" si="36"/>
        <v>41.480821447177689</v>
      </c>
      <c r="AF123" s="371">
        <f t="shared" si="29"/>
        <v>1.3826940482392562E-3</v>
      </c>
      <c r="AG123" s="372">
        <f t="shared" si="37"/>
        <v>2.3608506718389103E-3</v>
      </c>
      <c r="AH123" s="373">
        <f t="shared" si="30"/>
        <v>2.3608506718389103E-3</v>
      </c>
      <c r="AI123" s="374" t="b">
        <f t="shared" si="38"/>
        <v>1</v>
      </c>
      <c r="AJ123" s="375">
        <f t="shared" si="41"/>
        <v>3.1905999564223837E-4</v>
      </c>
      <c r="AL123" s="376">
        <f t="shared" si="31"/>
        <v>125111.79814325075</v>
      </c>
      <c r="AM123" s="384"/>
      <c r="AN123" s="383">
        <f t="shared" si="47"/>
        <v>26.599243352761714</v>
      </c>
      <c r="AO123" s="379">
        <f t="shared" si="46"/>
        <v>8.8664144509205715E-4</v>
      </c>
      <c r="AQ123" s="380">
        <f t="shared" si="32"/>
        <v>2.3608506718389103E-3</v>
      </c>
      <c r="AR123" s="381">
        <v>579143.12720011803</v>
      </c>
      <c r="AT123" s="382">
        <v>70.825520155167311</v>
      </c>
    </row>
    <row r="124" spans="1:46">
      <c r="A124" s="361">
        <v>2014</v>
      </c>
      <c r="B124" s="361">
        <v>12</v>
      </c>
      <c r="C124" s="362">
        <f t="shared" si="40"/>
        <v>42.633806123140985</v>
      </c>
      <c r="D124" s="389">
        <f t="shared" si="48"/>
        <v>2.1683298951445065E-2</v>
      </c>
      <c r="E124" s="387">
        <v>33307.526304408842</v>
      </c>
      <c r="F124" s="364">
        <v>2058.1219917575395</v>
      </c>
      <c r="G124" s="364">
        <v>28419.290027799481</v>
      </c>
      <c r="H124" s="364">
        <v>84.824125032913415</v>
      </c>
      <c r="I124" s="364">
        <v>11459.833174242784</v>
      </c>
      <c r="J124" s="365">
        <f t="shared" si="33"/>
        <v>75329.595623241563</v>
      </c>
      <c r="K124" s="366">
        <v>31</v>
      </c>
      <c r="L124" s="367">
        <f t="shared" si="34"/>
        <v>2.1683298951445065E-2</v>
      </c>
      <c r="M124" s="368">
        <v>17727.476584257238</v>
      </c>
      <c r="N124" s="368">
        <v>77.754860870052511</v>
      </c>
      <c r="O124" s="368">
        <v>875.86807367546817</v>
      </c>
      <c r="P124" s="368">
        <v>242.85658594679853</v>
      </c>
      <c r="Q124" s="368">
        <v>4871.8256280261448</v>
      </c>
      <c r="R124" s="368">
        <v>0</v>
      </c>
      <c r="S124" s="364">
        <f>$L124*'MWh Impact Summary'!$L$20</f>
        <v>0</v>
      </c>
      <c r="T124" s="364">
        <f>$L124*'MWh Impact Summary'!$M$20</f>
        <v>0</v>
      </c>
      <c r="U124" s="368">
        <v>604.57215969618528</v>
      </c>
      <c r="V124" s="368">
        <v>68281.847620476343</v>
      </c>
      <c r="W124" s="368">
        <v>13801.546602176089</v>
      </c>
      <c r="X124" s="368">
        <f t="shared" si="25"/>
        <v>106483.74811512433</v>
      </c>
      <c r="Y124" s="364">
        <f t="shared" si="26"/>
        <v>181813.34373836589</v>
      </c>
      <c r="Z124" s="364">
        <f>SUM(Y113:Y124)</f>
        <v>8384948.4409866091</v>
      </c>
      <c r="AA124" s="390">
        <v>4709188.8960621478</v>
      </c>
      <c r="AB124" s="369">
        <f t="shared" si="35"/>
        <v>38.608207857280753</v>
      </c>
      <c r="AC124" s="370">
        <f t="shared" si="27"/>
        <v>15.996299423502128</v>
      </c>
      <c r="AD124" s="371">
        <f t="shared" si="28"/>
        <v>5.1600965882264921E-4</v>
      </c>
      <c r="AE124" s="370">
        <f t="shared" si="36"/>
        <v>22.611908433778623</v>
      </c>
      <c r="AF124" s="371">
        <f t="shared" si="29"/>
        <v>7.2941640108963306E-4</v>
      </c>
      <c r="AG124" s="372">
        <f t="shared" si="37"/>
        <v>1.2454260599122822E-3</v>
      </c>
      <c r="AH124" s="373">
        <f t="shared" si="30"/>
        <v>1.2454260599122824E-3</v>
      </c>
      <c r="AI124" s="374" t="b">
        <f t="shared" si="38"/>
        <v>1</v>
      </c>
      <c r="AJ124" s="375">
        <f t="shared" si="41"/>
        <v>1.6858152339310544E-4</v>
      </c>
      <c r="AL124" s="376">
        <f t="shared" si="31"/>
        <v>68281.847620476343</v>
      </c>
      <c r="AM124" s="377">
        <f>SUM(AL113:AL124)</f>
        <v>3149052.5391629003</v>
      </c>
      <c r="AN124" s="383">
        <f t="shared" si="47"/>
        <v>14.499704540961192</v>
      </c>
      <c r="AO124" s="379">
        <f t="shared" si="46"/>
        <v>4.6773240454713521E-4</v>
      </c>
      <c r="AQ124" s="380">
        <f t="shared" si="32"/>
        <v>1.2454260599122824E-3</v>
      </c>
      <c r="AR124" s="381">
        <v>475130.71205991617</v>
      </c>
      <c r="AT124" s="382">
        <v>38.608207857280753</v>
      </c>
    </row>
    <row r="125" spans="1:46">
      <c r="A125" s="361">
        <v>2015</v>
      </c>
      <c r="B125" s="361">
        <v>1</v>
      </c>
      <c r="C125" s="362">
        <f t="shared" si="40"/>
        <v>26.112829868525239</v>
      </c>
      <c r="D125" s="389">
        <f t="shared" si="48"/>
        <v>1.3280829182176284E-2</v>
      </c>
      <c r="E125" s="387">
        <v>23985.466685329604</v>
      </c>
      <c r="F125" s="364">
        <v>1826.9167860960506</v>
      </c>
      <c r="G125" s="364">
        <v>19878.765482832459</v>
      </c>
      <c r="H125" s="364">
        <v>64.754740061430709</v>
      </c>
      <c r="I125" s="364">
        <v>7898.618877553411</v>
      </c>
      <c r="J125" s="365">
        <f t="shared" si="33"/>
        <v>53654.522571872949</v>
      </c>
      <c r="K125" s="366">
        <v>31</v>
      </c>
      <c r="L125" s="367">
        <f t="shared" si="34"/>
        <v>1.3280829182176284E-2</v>
      </c>
      <c r="M125" s="368">
        <v>12751.069555258027</v>
      </c>
      <c r="N125" s="368">
        <v>112.73224137935446</v>
      </c>
      <c r="O125" s="368">
        <v>661.61099503885646</v>
      </c>
      <c r="P125" s="368">
        <v>163.22714826777295</v>
      </c>
      <c r="Q125" s="368">
        <v>3586.3235126886298</v>
      </c>
      <c r="R125" s="368">
        <v>529.95013076612975</v>
      </c>
      <c r="S125" s="364">
        <f>$L125*'MWh Impact Summary'!$L$21</f>
        <v>199.22613084055189</v>
      </c>
      <c r="T125" s="364">
        <f>$L125*'MWh Impact Summary'!$M$21</f>
        <v>584.27631237288995</v>
      </c>
      <c r="U125" s="368">
        <v>857.01443509764738</v>
      </c>
      <c r="V125" s="368">
        <v>44964.056505128137</v>
      </c>
      <c r="W125" s="368">
        <v>12623.146432004591</v>
      </c>
      <c r="X125" s="368">
        <f t="shared" si="25"/>
        <v>77032.63339884259</v>
      </c>
      <c r="Y125" s="364">
        <f t="shared" si="26"/>
        <v>130687.15597071554</v>
      </c>
      <c r="Z125" s="364"/>
      <c r="AA125" s="390">
        <v>4750858.3505916158</v>
      </c>
      <c r="AB125" s="369">
        <f t="shared" si="35"/>
        <v>27.508114603004593</v>
      </c>
      <c r="AC125" s="370">
        <f t="shared" si="27"/>
        <v>11.293648139433888</v>
      </c>
      <c r="AD125" s="371">
        <f t="shared" si="28"/>
        <v>3.6431123030431894E-4</v>
      </c>
      <c r="AE125" s="370">
        <f t="shared" si="36"/>
        <v>16.214466463570705</v>
      </c>
      <c r="AF125" s="371">
        <f t="shared" si="29"/>
        <v>5.2304730527647436E-4</v>
      </c>
      <c r="AG125" s="372">
        <f t="shared" si="37"/>
        <v>8.8735853558079324E-4</v>
      </c>
      <c r="AH125" s="373">
        <f t="shared" si="30"/>
        <v>8.8735853558079335E-4</v>
      </c>
      <c r="AI125" s="374" t="b">
        <f t="shared" si="38"/>
        <v>1</v>
      </c>
      <c r="AJ125" s="375">
        <f t="shared" si="41"/>
        <v>1.1971562282128343E-4</v>
      </c>
      <c r="AL125" s="376">
        <f t="shared" si="31"/>
        <v>44964.056505128137</v>
      </c>
      <c r="AM125" s="384"/>
      <c r="AN125" s="383">
        <f t="shared" si="47"/>
        <v>9.4644068896579174</v>
      </c>
      <c r="AO125" s="379">
        <f t="shared" si="46"/>
        <v>3.0530344805348119E-4</v>
      </c>
      <c r="AQ125" s="380">
        <f t="shared" si="32"/>
        <v>8.8735853558079335E-4</v>
      </c>
      <c r="AR125" s="381">
        <v>536870.30337730492</v>
      </c>
      <c r="AT125" s="382">
        <v>27.508114603004593</v>
      </c>
    </row>
    <row r="126" spans="1:46">
      <c r="A126" s="361">
        <v>2015</v>
      </c>
      <c r="B126" s="361">
        <v>2</v>
      </c>
      <c r="C126" s="362">
        <f t="shared" si="40"/>
        <v>35.042184420393127</v>
      </c>
      <c r="D126" s="389">
        <f t="shared" si="48"/>
        <v>1.7822245532205266E-2</v>
      </c>
      <c r="E126" s="387">
        <v>32187.363500177551</v>
      </c>
      <c r="F126" s="364">
        <v>2451.6360448644582</v>
      </c>
      <c r="G126" s="364">
        <v>26676.364438723373</v>
      </c>
      <c r="H126" s="364">
        <v>86.897802909609638</v>
      </c>
      <c r="I126" s="364">
        <v>10599.573495756744</v>
      </c>
      <c r="J126" s="365">
        <f t="shared" si="33"/>
        <v>72001.835282431741</v>
      </c>
      <c r="K126" s="366">
        <v>28</v>
      </c>
      <c r="L126" s="367">
        <f t="shared" si="34"/>
        <v>1.7822245532205266E-2</v>
      </c>
      <c r="M126" s="368">
        <v>17111.33313249925</v>
      </c>
      <c r="N126" s="368">
        <v>151.28134378500113</v>
      </c>
      <c r="O126" s="368">
        <v>887.85070861493648</v>
      </c>
      <c r="P126" s="368">
        <v>219.04312404334553</v>
      </c>
      <c r="Q126" s="368">
        <v>4812.6767782569941</v>
      </c>
      <c r="R126" s="368">
        <v>711.16804687269905</v>
      </c>
      <c r="S126" s="364">
        <f>$L126*'MWh Impact Summary'!$L$21</f>
        <v>267.35205848718959</v>
      </c>
      <c r="T126" s="364">
        <f>$L126*'MWh Impact Summary'!$M$21</f>
        <v>784.07121685867094</v>
      </c>
      <c r="U126" s="368">
        <v>1150.0728966119855</v>
      </c>
      <c r="V126" s="368">
        <v>60339.640256334431</v>
      </c>
      <c r="W126" s="368">
        <v>16939.666342677945</v>
      </c>
      <c r="X126" s="368">
        <f t="shared" si="25"/>
        <v>103374.15590504245</v>
      </c>
      <c r="Y126" s="364">
        <f t="shared" si="26"/>
        <v>175375.9911874742</v>
      </c>
      <c r="Z126" s="364"/>
      <c r="AA126" s="390">
        <v>4756547.362216427</v>
      </c>
      <c r="AB126" s="369">
        <f t="shared" si="35"/>
        <v>36.870439382265197</v>
      </c>
      <c r="AC126" s="370">
        <f t="shared" si="27"/>
        <v>15.137415818536233</v>
      </c>
      <c r="AD126" s="371">
        <f t="shared" si="28"/>
        <v>5.406219935191512E-4</v>
      </c>
      <c r="AE126" s="370">
        <f t="shared" si="36"/>
        <v>21.733023563728963</v>
      </c>
      <c r="AF126" s="371">
        <f t="shared" si="29"/>
        <v>7.7617941299032011E-4</v>
      </c>
      <c r="AG126" s="372">
        <f t="shared" si="37"/>
        <v>1.3168014065094713E-3</v>
      </c>
      <c r="AH126" s="373">
        <f t="shared" si="30"/>
        <v>1.3168014065094713E-3</v>
      </c>
      <c r="AI126" s="374" t="b">
        <f t="shared" si="38"/>
        <v>1</v>
      </c>
      <c r="AJ126" s="375">
        <f t="shared" si="41"/>
        <v>1.7812168219394722E-4</v>
      </c>
      <c r="AL126" s="376">
        <f t="shared" si="31"/>
        <v>60339.640256334431</v>
      </c>
      <c r="AM126" s="384"/>
      <c r="AN126" s="383">
        <f t="shared" si="47"/>
        <v>12.685596434010431</v>
      </c>
      <c r="AO126" s="379">
        <f t="shared" si="46"/>
        <v>4.5305701550037251E-4</v>
      </c>
      <c r="AQ126" s="380">
        <f t="shared" si="32"/>
        <v>1.3168014065094713E-3</v>
      </c>
      <c r="AR126" s="381">
        <v>498744.60648130899</v>
      </c>
      <c r="AT126" s="382">
        <v>36.870439382265197</v>
      </c>
    </row>
    <row r="127" spans="1:46">
      <c r="A127" s="361">
        <v>2015</v>
      </c>
      <c r="B127" s="361">
        <v>3</v>
      </c>
      <c r="C127" s="362">
        <f t="shared" si="40"/>
        <v>64.582270600115152</v>
      </c>
      <c r="D127" s="389">
        <f t="shared" si="48"/>
        <v>3.2846156787895278E-2</v>
      </c>
      <c r="E127" s="387">
        <v>59320.874364869735</v>
      </c>
      <c r="F127" s="364">
        <v>4518.3319784793321</v>
      </c>
      <c r="G127" s="364">
        <v>49164.177841787474</v>
      </c>
      <c r="H127" s="364">
        <v>160.15147214389677</v>
      </c>
      <c r="I127" s="364">
        <v>19534.870187784112</v>
      </c>
      <c r="J127" s="365">
        <f t="shared" si="33"/>
        <v>132698.40584506455</v>
      </c>
      <c r="K127" s="366">
        <v>31</v>
      </c>
      <c r="L127" s="367">
        <f t="shared" si="34"/>
        <v>3.2846156787895278E-2</v>
      </c>
      <c r="M127" s="368">
        <v>31535.954877535147</v>
      </c>
      <c r="N127" s="368">
        <v>278.80946472578336</v>
      </c>
      <c r="O127" s="368">
        <v>1636.2968138169094</v>
      </c>
      <c r="P127" s="368">
        <v>403.69350667047337</v>
      </c>
      <c r="Q127" s="368">
        <v>8869.6980266847386</v>
      </c>
      <c r="R127" s="368">
        <v>1310.6730646209176</v>
      </c>
      <c r="S127" s="364">
        <f>$L127*'MWh Impact Summary'!$L$21</f>
        <v>492.72621762327304</v>
      </c>
      <c r="T127" s="364">
        <f>$L127*'MWh Impact Summary'!$M$21</f>
        <v>1445.0326180995589</v>
      </c>
      <c r="U127" s="368">
        <v>2119.5687497046811</v>
      </c>
      <c r="V127" s="368">
        <v>111205.13858948734</v>
      </c>
      <c r="W127" s="368">
        <v>31219.575312257799</v>
      </c>
      <c r="X127" s="368">
        <f t="shared" si="25"/>
        <v>190517.16724122665</v>
      </c>
      <c r="Y127" s="364">
        <f t="shared" si="26"/>
        <v>323215.5730862912</v>
      </c>
      <c r="Z127" s="364"/>
      <c r="AA127" s="390">
        <v>4763239.2576674037</v>
      </c>
      <c r="AB127" s="369">
        <f t="shared" si="35"/>
        <v>67.856254032591352</v>
      </c>
      <c r="AC127" s="370">
        <f t="shared" si="27"/>
        <v>27.858857946608381</v>
      </c>
      <c r="AD127" s="371">
        <f t="shared" si="28"/>
        <v>8.986728369873671E-4</v>
      </c>
      <c r="AE127" s="370">
        <f t="shared" si="36"/>
        <v>39.99739608598297</v>
      </c>
      <c r="AF127" s="371">
        <f t="shared" si="29"/>
        <v>1.2902385834188054E-3</v>
      </c>
      <c r="AG127" s="372">
        <f t="shared" si="37"/>
        <v>2.1889114204061725E-3</v>
      </c>
      <c r="AH127" s="373">
        <f t="shared" si="30"/>
        <v>2.1889114204061725E-3</v>
      </c>
      <c r="AI127" s="374" t="b">
        <f t="shared" si="38"/>
        <v>1</v>
      </c>
      <c r="AJ127" s="375">
        <f t="shared" si="41"/>
        <v>2.9655906268764485E-4</v>
      </c>
      <c r="AL127" s="376">
        <f t="shared" si="31"/>
        <v>111205.13858948734</v>
      </c>
      <c r="AM127" s="384"/>
      <c r="AN127" s="383">
        <f t="shared" si="47"/>
        <v>23.34653637448088</v>
      </c>
      <c r="AO127" s="379">
        <f t="shared" si="46"/>
        <v>7.5311407659615752E-4</v>
      </c>
      <c r="AQ127" s="380">
        <f t="shared" si="32"/>
        <v>2.1889114204061725E-3</v>
      </c>
      <c r="AR127" s="381">
        <v>603983.5175966213</v>
      </c>
      <c r="AT127" s="382">
        <v>67.856254032591352</v>
      </c>
    </row>
    <row r="128" spans="1:46">
      <c r="A128" s="361">
        <v>2015</v>
      </c>
      <c r="B128" s="361">
        <v>4</v>
      </c>
      <c r="C128" s="362">
        <f t="shared" si="40"/>
        <v>114.03392869270741</v>
      </c>
      <c r="D128" s="389">
        <f t="shared" si="48"/>
        <v>5.7996974497419709E-2</v>
      </c>
      <c r="E128" s="387">
        <v>104743.79879267589</v>
      </c>
      <c r="F128" s="364">
        <v>7978.0896809003334</v>
      </c>
      <c r="G128" s="364">
        <v>86809.960352121489</v>
      </c>
      <c r="H128" s="364">
        <v>282.78196763271865</v>
      </c>
      <c r="I128" s="364">
        <v>34493.026852652918</v>
      </c>
      <c r="J128" s="365">
        <f t="shared" si="33"/>
        <v>234307.65764598336</v>
      </c>
      <c r="K128" s="366">
        <v>30</v>
      </c>
      <c r="L128" s="367">
        <f t="shared" si="34"/>
        <v>5.7996974497419709E-2</v>
      </c>
      <c r="M128" s="368">
        <v>55683.530423206721</v>
      </c>
      <c r="N128" s="368">
        <v>492.29824724272248</v>
      </c>
      <c r="O128" s="368">
        <v>2889.2349626767236</v>
      </c>
      <c r="P128" s="368">
        <v>712.80795991845594</v>
      </c>
      <c r="Q128" s="368">
        <v>15661.364998507988</v>
      </c>
      <c r="R128" s="368">
        <v>2314.2759986851174</v>
      </c>
      <c r="S128" s="364">
        <f>$L128*'MWh Impact Summary'!$L$21</f>
        <v>870.01441484436691</v>
      </c>
      <c r="T128" s="364">
        <f>$L128*'MWh Impact Summary'!$M$21</f>
        <v>2551.5167707762134</v>
      </c>
      <c r="U128" s="368">
        <v>3742.5558038940117</v>
      </c>
      <c r="V128" s="368">
        <v>196356.65835746619</v>
      </c>
      <c r="W128" s="368">
        <v>55124.894059829887</v>
      </c>
      <c r="X128" s="368">
        <f t="shared" si="25"/>
        <v>336399.15199704841</v>
      </c>
      <c r="Y128" s="364">
        <f t="shared" si="26"/>
        <v>570706.8096430318</v>
      </c>
      <c r="Z128" s="364"/>
      <c r="AA128" s="390">
        <v>4768634.0574928476</v>
      </c>
      <c r="AB128" s="369">
        <f t="shared" si="35"/>
        <v>119.67930496706768</v>
      </c>
      <c r="AC128" s="370">
        <f t="shared" si="27"/>
        <v>49.135172634566288</v>
      </c>
      <c r="AD128" s="371">
        <f t="shared" si="28"/>
        <v>1.6378390878188762E-3</v>
      </c>
      <c r="AE128" s="370">
        <f t="shared" si="36"/>
        <v>70.544132332501363</v>
      </c>
      <c r="AF128" s="371">
        <f t="shared" si="29"/>
        <v>2.3514710777500455E-3</v>
      </c>
      <c r="AG128" s="372">
        <f t="shared" si="37"/>
        <v>3.9893101655689217E-3</v>
      </c>
      <c r="AH128" s="373">
        <f t="shared" si="30"/>
        <v>3.9893101655689225E-3</v>
      </c>
      <c r="AI128" s="374" t="b">
        <f t="shared" si="38"/>
        <v>1</v>
      </c>
      <c r="AJ128" s="375">
        <f t="shared" si="41"/>
        <v>5.4005559431783779E-4</v>
      </c>
      <c r="AL128" s="376">
        <f t="shared" si="31"/>
        <v>196356.65835746619</v>
      </c>
      <c r="AM128" s="384"/>
      <c r="AN128" s="383">
        <f t="shared" si="47"/>
        <v>41.176709302936629</v>
      </c>
      <c r="AO128" s="379">
        <f t="shared" si="46"/>
        <v>1.3725569767645543E-3</v>
      </c>
      <c r="AQ128" s="380">
        <f t="shared" si="32"/>
        <v>3.9893101655689225E-3</v>
      </c>
      <c r="AR128" s="381">
        <v>709662.42917555431</v>
      </c>
      <c r="AT128" s="382">
        <v>119.67930496706768</v>
      </c>
    </row>
    <row r="129" spans="1:46">
      <c r="A129" s="361">
        <v>2015</v>
      </c>
      <c r="B129" s="361">
        <v>5</v>
      </c>
      <c r="C129" s="362">
        <f t="shared" si="40"/>
        <v>208.47875842628665</v>
      </c>
      <c r="D129" s="389">
        <f t="shared" si="48"/>
        <v>0.10603105035770212</v>
      </c>
      <c r="E129" s="387">
        <v>191494.3857103675</v>
      </c>
      <c r="F129" s="364">
        <v>14585.678581413626</v>
      </c>
      <c r="G129" s="364">
        <v>158707.43874847179</v>
      </c>
      <c r="H129" s="364">
        <v>516.98677922671391</v>
      </c>
      <c r="I129" s="364">
        <v>63060.735476226058</v>
      </c>
      <c r="J129" s="365">
        <f t="shared" si="33"/>
        <v>428365.22529570572</v>
      </c>
      <c r="K129" s="366">
        <v>31</v>
      </c>
      <c r="L129" s="367">
        <f t="shared" si="34"/>
        <v>0.10603105035770212</v>
      </c>
      <c r="M129" s="368">
        <v>101801.57274687402</v>
      </c>
      <c r="N129" s="368">
        <v>900.02798761035251</v>
      </c>
      <c r="O129" s="368">
        <v>5282.1482582067929</v>
      </c>
      <c r="P129" s="368">
        <v>1303.1675763853384</v>
      </c>
      <c r="Q129" s="368">
        <v>28632.372554210287</v>
      </c>
      <c r="R129" s="368">
        <v>4230.9985492281194</v>
      </c>
      <c r="S129" s="364">
        <f>$L129*'MWh Impact Summary'!$L$21</f>
        <v>1590.5750779533155</v>
      </c>
      <c r="T129" s="364">
        <f>$L129*'MWh Impact Summary'!$M$21</f>
        <v>4664.7261439944687</v>
      </c>
      <c r="U129" s="368">
        <v>6842.2038623213211</v>
      </c>
      <c r="V129" s="368">
        <v>358982.566087079</v>
      </c>
      <c r="W129" s="368">
        <v>100780.26429259442</v>
      </c>
      <c r="X129" s="368">
        <f t="shared" si="25"/>
        <v>615010.62313645741</v>
      </c>
      <c r="Y129" s="364">
        <f t="shared" si="26"/>
        <v>1043375.8484321631</v>
      </c>
      <c r="Z129" s="364"/>
      <c r="AA129" s="390">
        <v>4773261.6144614015</v>
      </c>
      <c r="AB129" s="369">
        <f t="shared" si="35"/>
        <v>218.58761004657276</v>
      </c>
      <c r="AC129" s="370">
        <f t="shared" si="27"/>
        <v>89.742666523431481</v>
      </c>
      <c r="AD129" s="371">
        <f t="shared" si="28"/>
        <v>2.8949247265623061E-3</v>
      </c>
      <c r="AE129" s="370">
        <f t="shared" si="36"/>
        <v>128.84494352314127</v>
      </c>
      <c r="AF129" s="371">
        <f t="shared" si="29"/>
        <v>4.1562885007464922E-3</v>
      </c>
      <c r="AG129" s="372">
        <f t="shared" si="37"/>
        <v>7.0512132273087983E-3</v>
      </c>
      <c r="AH129" s="373">
        <f t="shared" si="30"/>
        <v>7.0512132273087991E-3</v>
      </c>
      <c r="AI129" s="374" t="b">
        <f t="shared" si="38"/>
        <v>1</v>
      </c>
      <c r="AJ129" s="375">
        <f t="shared" si="41"/>
        <v>9.52321765748383E-4</v>
      </c>
      <c r="AL129" s="376">
        <f t="shared" si="31"/>
        <v>358982.566087079</v>
      </c>
      <c r="AM129" s="384"/>
      <c r="AN129" s="383">
        <f t="shared" si="47"/>
        <v>75.20697482817215</v>
      </c>
      <c r="AO129" s="379">
        <f t="shared" si="46"/>
        <v>2.4260314460700693E-3</v>
      </c>
      <c r="AQ129" s="380">
        <f t="shared" si="32"/>
        <v>7.0512132273087991E-3</v>
      </c>
      <c r="AR129" s="381">
        <v>853466.02375972236</v>
      </c>
      <c r="AT129" s="382">
        <v>218.58761004657276</v>
      </c>
    </row>
    <row r="130" spans="1:46">
      <c r="A130" s="361">
        <v>2015</v>
      </c>
      <c r="B130" s="361">
        <v>6</v>
      </c>
      <c r="C130" s="362">
        <f t="shared" si="40"/>
        <v>271.66325293295364</v>
      </c>
      <c r="D130" s="389">
        <f t="shared" si="48"/>
        <v>0.13816630657965029</v>
      </c>
      <c r="E130" s="387">
        <v>249531.35817369103</v>
      </c>
      <c r="F130" s="364">
        <v>19006.218760950389</v>
      </c>
      <c r="G130" s="364">
        <v>206807.53953315492</v>
      </c>
      <c r="H130" s="364">
        <v>673.6720384763729</v>
      </c>
      <c r="I130" s="364">
        <v>82172.805810685575</v>
      </c>
      <c r="J130" s="365">
        <f t="shared" si="33"/>
        <v>558191.59431695833</v>
      </c>
      <c r="K130" s="366">
        <v>30</v>
      </c>
      <c r="L130" s="367">
        <f t="shared" si="34"/>
        <v>0.13816630657965029</v>
      </c>
      <c r="M130" s="368">
        <v>132654.98420494937</v>
      </c>
      <c r="N130" s="368">
        <v>1172.8030840675774</v>
      </c>
      <c r="O130" s="368">
        <v>6883.0301424015988</v>
      </c>
      <c r="P130" s="368">
        <v>1698.123806904619</v>
      </c>
      <c r="Q130" s="368">
        <v>37310.100683543933</v>
      </c>
      <c r="R130" s="368">
        <v>5513.3042700094675</v>
      </c>
      <c r="S130" s="364">
        <f>$L130*'MWh Impact Summary'!$L$21</f>
        <v>2072.6370541182255</v>
      </c>
      <c r="T130" s="364">
        <f>$L130*'MWh Impact Summary'!$M$21</f>
        <v>6078.4834286462619</v>
      </c>
      <c r="U130" s="368">
        <v>8915.8980631873346</v>
      </c>
      <c r="V130" s="368">
        <v>467780.85396127577</v>
      </c>
      <c r="W130" s="368">
        <v>131324.14369615185</v>
      </c>
      <c r="X130" s="368">
        <f t="shared" si="25"/>
        <v>801404.36239525606</v>
      </c>
      <c r="Y130" s="364">
        <f t="shared" si="26"/>
        <v>1359595.9567122143</v>
      </c>
      <c r="Z130" s="364"/>
      <c r="AA130" s="390">
        <v>4777938.7874843441</v>
      </c>
      <c r="AB130" s="369">
        <f t="shared" si="35"/>
        <v>284.55700610347537</v>
      </c>
      <c r="AC130" s="370">
        <f t="shared" si="27"/>
        <v>116.8268617796283</v>
      </c>
      <c r="AD130" s="371">
        <f t="shared" si="28"/>
        <v>3.8942287259876099E-3</v>
      </c>
      <c r="AE130" s="370">
        <f t="shared" si="36"/>
        <v>167.7301443238471</v>
      </c>
      <c r="AF130" s="371">
        <f t="shared" si="29"/>
        <v>5.5910048107949027E-3</v>
      </c>
      <c r="AG130" s="372">
        <f t="shared" si="37"/>
        <v>9.4852335367825134E-3</v>
      </c>
      <c r="AH130" s="373">
        <f t="shared" si="30"/>
        <v>9.4852335367825134E-3</v>
      </c>
      <c r="AI130" s="374">
        <f>AG130-AH130</f>
        <v>0</v>
      </c>
      <c r="AJ130" s="375">
        <f t="shared" si="41"/>
        <v>1.2783916554135119E-3</v>
      </c>
      <c r="AL130" s="376">
        <f t="shared" si="31"/>
        <v>467780.85396127577</v>
      </c>
      <c r="AM130" s="384"/>
      <c r="AN130" s="383">
        <f t="shared" si="47"/>
        <v>97.90432124970134</v>
      </c>
      <c r="AO130" s="379">
        <f t="shared" si="46"/>
        <v>3.263477374990045E-3</v>
      </c>
      <c r="AQ130" s="380">
        <f t="shared" si="32"/>
        <v>9.4852335367825134E-3</v>
      </c>
      <c r="AR130" s="381">
        <v>1041990.050347965</v>
      </c>
      <c r="AT130" s="382">
        <v>284.55700610347537</v>
      </c>
    </row>
    <row r="131" spans="1:46">
      <c r="A131" s="361">
        <v>2015</v>
      </c>
      <c r="B131" s="361">
        <v>7</v>
      </c>
      <c r="C131" s="362">
        <f t="shared" si="40"/>
        <v>322.31916585708109</v>
      </c>
      <c r="D131" s="389">
        <f t="shared" si="48"/>
        <v>0.16392960109808263</v>
      </c>
      <c r="E131" s="387">
        <v>296060.42905471061</v>
      </c>
      <c r="F131" s="364">
        <v>22550.229046394605</v>
      </c>
      <c r="G131" s="364">
        <v>245370.0782701479</v>
      </c>
      <c r="H131" s="364">
        <v>799.28885176286008</v>
      </c>
      <c r="I131" s="364">
        <v>97495.225942732781</v>
      </c>
      <c r="J131" s="365">
        <f t="shared" si="33"/>
        <v>662275.25116574881</v>
      </c>
      <c r="K131" s="366">
        <v>31</v>
      </c>
      <c r="L131" s="367">
        <f t="shared" si="34"/>
        <v>0.16392960109808263</v>
      </c>
      <c r="M131" s="368">
        <v>157390.60544296738</v>
      </c>
      <c r="N131" s="368">
        <v>1391.4907801850113</v>
      </c>
      <c r="O131" s="368">
        <v>8166.4800451151268</v>
      </c>
      <c r="P131" s="368">
        <v>2014.7658656602723</v>
      </c>
      <c r="Q131" s="368">
        <v>44267.159435551424</v>
      </c>
      <c r="R131" s="368">
        <v>6541.3471061701102</v>
      </c>
      <c r="S131" s="364">
        <f>$L131*'MWh Impact Summary'!$L$21</f>
        <v>2459.1130349629543</v>
      </c>
      <c r="T131" s="364">
        <f>$L131*'MWh Impact Summary'!$M$21</f>
        <v>7211.9128636101768</v>
      </c>
      <c r="U131" s="368">
        <v>10578.408362438884</v>
      </c>
      <c r="V131" s="368">
        <v>555005.99740636477</v>
      </c>
      <c r="W131" s="368">
        <v>155811.60865906923</v>
      </c>
      <c r="X131" s="368">
        <f t="shared" si="25"/>
        <v>950838.88900209544</v>
      </c>
      <c r="Y131" s="364">
        <f t="shared" si="26"/>
        <v>1613114.1401678442</v>
      </c>
      <c r="Z131" s="364"/>
      <c r="AA131" s="390">
        <v>4784923.7420767779</v>
      </c>
      <c r="AB131" s="369">
        <f t="shared" si="35"/>
        <v>337.12431527021829</v>
      </c>
      <c r="AC131" s="370">
        <f t="shared" si="27"/>
        <v>138.40873687117627</v>
      </c>
      <c r="AD131" s="371">
        <f t="shared" si="28"/>
        <v>4.4647979635863318E-3</v>
      </c>
      <c r="AE131" s="370">
        <f t="shared" si="36"/>
        <v>198.71557839904202</v>
      </c>
      <c r="AF131" s="371">
        <f t="shared" si="29"/>
        <v>6.4101799483561941E-3</v>
      </c>
      <c r="AG131" s="372">
        <f t="shared" si="37"/>
        <v>1.0874977911942526E-2</v>
      </c>
      <c r="AH131" s="373">
        <f t="shared" si="30"/>
        <v>1.0874977911942526E-2</v>
      </c>
      <c r="AI131" s="374" t="b">
        <f t="shared" si="38"/>
        <v>1</v>
      </c>
      <c r="AJ131" s="375">
        <f t="shared" si="41"/>
        <v>1.4594353105834863E-3</v>
      </c>
      <c r="AL131" s="376">
        <f t="shared" si="31"/>
        <v>555005.99740636477</v>
      </c>
      <c r="AM131" s="384"/>
      <c r="AN131" s="383">
        <f t="shared" si="47"/>
        <v>115.99056271803366</v>
      </c>
      <c r="AO131" s="379">
        <f t="shared" si="46"/>
        <v>3.7416310554204404E-3</v>
      </c>
      <c r="AQ131" s="380">
        <f t="shared" si="32"/>
        <v>1.0874977911942526E-2</v>
      </c>
      <c r="AR131" s="381">
        <v>1096095.832950097</v>
      </c>
      <c r="AT131" s="382">
        <v>337.12431527021829</v>
      </c>
    </row>
    <row r="132" spans="1:46">
      <c r="A132" s="361">
        <v>2015</v>
      </c>
      <c r="B132" s="361">
        <v>8</v>
      </c>
      <c r="C132" s="362">
        <f t="shared" si="40"/>
        <v>326.45437890907908</v>
      </c>
      <c r="D132" s="389">
        <f t="shared" si="48"/>
        <v>0.16603274573816959</v>
      </c>
      <c r="E132" s="387">
        <v>299858.75406945712</v>
      </c>
      <c r="F132" s="364">
        <v>22839.538561173951</v>
      </c>
      <c r="G132" s="364">
        <v>248518.06839209551</v>
      </c>
      <c r="H132" s="364">
        <v>809.54337598060965</v>
      </c>
      <c r="I132" s="364">
        <v>98746.046785960731</v>
      </c>
      <c r="J132" s="365">
        <f t="shared" si="33"/>
        <v>670771.95118466788</v>
      </c>
      <c r="K132" s="366">
        <v>31</v>
      </c>
      <c r="L132" s="367">
        <f t="shared" si="34"/>
        <v>0.16603274573816959</v>
      </c>
      <c r="M132" s="368">
        <v>159409.85764647493</v>
      </c>
      <c r="N132" s="368">
        <v>1409.3429945286887</v>
      </c>
      <c r="O132" s="368">
        <v>8271.2523901962613</v>
      </c>
      <c r="P132" s="368">
        <v>2040.6144250602204</v>
      </c>
      <c r="Q132" s="368">
        <v>44835.087610055132</v>
      </c>
      <c r="R132" s="368">
        <v>6625.2697108317207</v>
      </c>
      <c r="S132" s="364">
        <f>$L132*'MWh Impact Summary'!$L$21</f>
        <v>2490.6623729971257</v>
      </c>
      <c r="T132" s="364">
        <f>$L132*'MWh Impact Summary'!$M$21</f>
        <v>7304.4385318377281</v>
      </c>
      <c r="U132" s="368">
        <v>10714.12468639189</v>
      </c>
      <c r="V132" s="368">
        <v>562126.4801065143</v>
      </c>
      <c r="W132" s="368">
        <v>157810.60302872295</v>
      </c>
      <c r="X132" s="368">
        <f t="shared" si="25"/>
        <v>963037.73350361094</v>
      </c>
      <c r="Y132" s="364">
        <f t="shared" si="26"/>
        <v>1633809.6846882789</v>
      </c>
      <c r="Z132" s="364"/>
      <c r="AA132" s="390">
        <v>4793100.8139620237</v>
      </c>
      <c r="AB132" s="369">
        <f t="shared" si="35"/>
        <v>340.86695609011321</v>
      </c>
      <c r="AC132" s="370">
        <f t="shared" si="27"/>
        <v>139.94530414022341</v>
      </c>
      <c r="AD132" s="371">
        <f t="shared" si="28"/>
        <v>4.5143646496846263E-3</v>
      </c>
      <c r="AE132" s="370">
        <f t="shared" si="36"/>
        <v>200.92165194988974</v>
      </c>
      <c r="AF132" s="371">
        <f t="shared" si="29"/>
        <v>6.4813436112867657E-3</v>
      </c>
      <c r="AG132" s="372">
        <f t="shared" si="37"/>
        <v>1.0995708260971392E-2</v>
      </c>
      <c r="AH132" s="373">
        <f t="shared" si="30"/>
        <v>1.0995708260971394E-2</v>
      </c>
      <c r="AI132" s="374" t="b">
        <f t="shared" si="38"/>
        <v>1</v>
      </c>
      <c r="AJ132" s="375">
        <f t="shared" si="41"/>
        <v>1.4221573308875954E-3</v>
      </c>
      <c r="AL132" s="376">
        <f t="shared" si="31"/>
        <v>562126.4801065143</v>
      </c>
      <c r="AM132" s="384"/>
      <c r="AN132" s="383">
        <f t="shared" si="47"/>
        <v>117.278250953761</v>
      </c>
      <c r="AO132" s="379">
        <f t="shared" si="46"/>
        <v>3.7831693856051935E-3</v>
      </c>
      <c r="AQ132" s="380">
        <f t="shared" si="32"/>
        <v>1.0995708260971394E-2</v>
      </c>
      <c r="AR132" s="381">
        <v>1139559.6309116844</v>
      </c>
      <c r="AT132" s="382">
        <v>340.86695609011321</v>
      </c>
    </row>
    <row r="133" spans="1:46">
      <c r="A133" s="361">
        <v>2015</v>
      </c>
      <c r="B133" s="361">
        <v>9</v>
      </c>
      <c r="C133" s="362">
        <f t="shared" si="40"/>
        <v>277.87653293728147</v>
      </c>
      <c r="D133" s="389">
        <f>D121</f>
        <v>0.14132634365008559</v>
      </c>
      <c r="E133" s="387">
        <v>255238.45393086364</v>
      </c>
      <c r="F133" s="364">
        <v>19440.914869865934</v>
      </c>
      <c r="G133" s="364">
        <v>211537.48786533778</v>
      </c>
      <c r="H133" s="364">
        <v>689.07976462611862</v>
      </c>
      <c r="I133" s="364">
        <v>84052.201149329543</v>
      </c>
      <c r="J133" s="365">
        <f t="shared" si="33"/>
        <v>570958.13758002303</v>
      </c>
      <c r="K133" s="366">
        <v>30</v>
      </c>
      <c r="L133" s="367">
        <f t="shared" si="34"/>
        <v>0.14132634365008559</v>
      </c>
      <c r="M133" s="368">
        <v>135688.97040638261</v>
      </c>
      <c r="N133" s="368">
        <v>1199.6265645073465</v>
      </c>
      <c r="O133" s="368">
        <v>7040.4536919293832</v>
      </c>
      <c r="P133" s="368">
        <v>1736.9620324666075</v>
      </c>
      <c r="Q133" s="368">
        <v>38163.429575227841</v>
      </c>
      <c r="R133" s="368">
        <v>5639.4004674479911</v>
      </c>
      <c r="S133" s="364">
        <f>$L133*'MWh Impact Summary'!$L$21</f>
        <v>2120.0408683093192</v>
      </c>
      <c r="T133" s="364">
        <f>$L133*'MWh Impact Summary'!$M$21</f>
        <v>6217.5059837253884</v>
      </c>
      <c r="U133" s="368">
        <v>9119.8158568474846</v>
      </c>
      <c r="V133" s="368">
        <v>478479.58996972046</v>
      </c>
      <c r="W133" s="368">
        <v>134327.69190262994</v>
      </c>
      <c r="X133" s="368">
        <f t="shared" ref="X133:X196" si="49">SUM(M133:W133)</f>
        <v>819733.48731919436</v>
      </c>
      <c r="Y133" s="364">
        <f t="shared" ref="Y133:Y196" si="50">X133+J133</f>
        <v>1390691.6248992174</v>
      </c>
      <c r="Z133" s="364"/>
      <c r="AA133" s="390">
        <v>4797009.9970391067</v>
      </c>
      <c r="AB133" s="369">
        <f t="shared" si="35"/>
        <v>289.90801056441495</v>
      </c>
      <c r="AC133" s="370">
        <f t="shared" ref="AC133:AC196" si="51">+J133*1000/AA133</f>
        <v>119.02375394932254</v>
      </c>
      <c r="AD133" s="371">
        <f t="shared" ref="AD133:AD196" si="52">+AC133/K133/1000</f>
        <v>3.9674584649774178E-3</v>
      </c>
      <c r="AE133" s="370">
        <f t="shared" si="36"/>
        <v>170.8842566150924</v>
      </c>
      <c r="AF133" s="371">
        <f t="shared" ref="AF133:AF196" si="53">+AE133/K133/1000</f>
        <v>5.6961418871697466E-3</v>
      </c>
      <c r="AG133" s="372">
        <f t="shared" si="37"/>
        <v>9.6636003521471635E-3</v>
      </c>
      <c r="AH133" s="373">
        <f t="shared" ref="AH133:AH196" si="54">+AB133/K133/1000</f>
        <v>9.6636003521471652E-3</v>
      </c>
      <c r="AI133" s="374" t="b">
        <f t="shared" si="38"/>
        <v>0</v>
      </c>
      <c r="AJ133" s="375">
        <f t="shared" si="41"/>
        <v>1.2478136031933377E-3</v>
      </c>
      <c r="AL133" s="376">
        <f t="shared" ref="AL133:AL196" si="55">+V133</f>
        <v>478479.58996972046</v>
      </c>
      <c r="AM133" s="384"/>
      <c r="AN133" s="383">
        <f t="shared" si="47"/>
        <v>99.745381032154597</v>
      </c>
      <c r="AO133" s="379">
        <f t="shared" si="46"/>
        <v>3.3248460344051534E-3</v>
      </c>
      <c r="AQ133" s="380">
        <f t="shared" ref="AQ133:AQ196" si="56">AH133</f>
        <v>9.6636003521471652E-3</v>
      </c>
      <c r="AR133" s="381">
        <v>1076339.5223995293</v>
      </c>
      <c r="AT133" s="382">
        <v>289.90801056441495</v>
      </c>
    </row>
    <row r="134" spans="1:46">
      <c r="A134" s="361">
        <v>2015</v>
      </c>
      <c r="B134" s="361">
        <v>10</v>
      </c>
      <c r="C134" s="362">
        <f t="shared" si="40"/>
        <v>198.89039579254836</v>
      </c>
      <c r="D134" s="389">
        <f t="shared" si="48"/>
        <v>0.10115446643644242</v>
      </c>
      <c r="E134" s="387">
        <v>182687.16896379826</v>
      </c>
      <c r="F134" s="364">
        <v>13914.853522048203</v>
      </c>
      <c r="G134" s="364">
        <v>151408.16045806403</v>
      </c>
      <c r="H134" s="364">
        <v>493.20950448902482</v>
      </c>
      <c r="I134" s="364">
        <v>60160.443838552623</v>
      </c>
      <c r="J134" s="365">
        <f t="shared" ref="J134:J197" si="57">SUM(E134:I134)</f>
        <v>408663.83628695214</v>
      </c>
      <c r="K134" s="366">
        <v>31</v>
      </c>
      <c r="L134" s="367">
        <f t="shared" ref="L134:L197" si="58">+D134</f>
        <v>0.10115446643644242</v>
      </c>
      <c r="M134" s="368">
        <v>97119.511113592336</v>
      </c>
      <c r="N134" s="368">
        <v>858.63386769682143</v>
      </c>
      <c r="O134" s="368">
        <v>5039.2115035600909</v>
      </c>
      <c r="P134" s="368">
        <v>1243.2322458546239</v>
      </c>
      <c r="Q134" s="368">
        <v>27315.511435185854</v>
      </c>
      <c r="R134" s="368">
        <v>4036.4063101959405</v>
      </c>
      <c r="S134" s="364">
        <f>$L134*'MWh Impact Summary'!$L$21</f>
        <v>1517.4212911659899</v>
      </c>
      <c r="T134" s="364">
        <f>$L134*'MWh Impact Summary'!$M$21</f>
        <v>4450.1858896619715</v>
      </c>
      <c r="U134" s="368">
        <v>6527.5169736371763</v>
      </c>
      <c r="V134" s="368">
        <v>342472.22686204058</v>
      </c>
      <c r="W134" s="368">
        <v>96145.174714856708</v>
      </c>
      <c r="X134" s="368">
        <f t="shared" si="49"/>
        <v>586725.03220744804</v>
      </c>
      <c r="Y134" s="364">
        <f t="shared" si="50"/>
        <v>995388.86849440017</v>
      </c>
      <c r="Z134" s="364"/>
      <c r="AA134" s="390">
        <v>4802322.38639032</v>
      </c>
      <c r="AB134" s="369">
        <f t="shared" ref="AB134:AB197" si="59">+Y134*1000/AA134</f>
        <v>207.27239622964737</v>
      </c>
      <c r="AC134" s="370">
        <f t="shared" si="51"/>
        <v>85.097126641288554</v>
      </c>
      <c r="AD134" s="371">
        <f t="shared" si="52"/>
        <v>2.745068601331889E-3</v>
      </c>
      <c r="AE134" s="370">
        <f t="shared" ref="AE134:AE197" si="60">+X134*1000/AA134</f>
        <v>122.17526958835882</v>
      </c>
      <c r="AF134" s="371">
        <f t="shared" si="53"/>
        <v>3.9411377286567364E-3</v>
      </c>
      <c r="AG134" s="372">
        <f t="shared" ref="AG134:AG197" si="61">AD134+AF134</f>
        <v>6.6862063299886251E-3</v>
      </c>
      <c r="AH134" s="373">
        <f t="shared" si="54"/>
        <v>6.6862063299886251E-3</v>
      </c>
      <c r="AI134" s="374" t="b">
        <f t="shared" ref="AI134:AI197" si="62">AG134=AH134</f>
        <v>1</v>
      </c>
      <c r="AJ134" s="375">
        <f t="shared" si="41"/>
        <v>8.6280092076032686E-4</v>
      </c>
      <c r="AL134" s="376">
        <f t="shared" si="55"/>
        <v>342472.22686204058</v>
      </c>
      <c r="AM134" s="384"/>
      <c r="AN134" s="383">
        <f t="shared" si="47"/>
        <v>71.313876767748795</v>
      </c>
      <c r="AO134" s="379">
        <f t="shared" si="46"/>
        <v>2.300447637669316E-3</v>
      </c>
      <c r="AQ134" s="380">
        <f t="shared" si="56"/>
        <v>6.6862063299886251E-3</v>
      </c>
      <c r="AR134" s="381">
        <v>866680.06276977342</v>
      </c>
      <c r="AT134" s="382">
        <v>207.27239622964737</v>
      </c>
    </row>
    <row r="135" spans="1:46">
      <c r="A135" s="361">
        <v>2015</v>
      </c>
      <c r="B135" s="361">
        <v>11</v>
      </c>
      <c r="C135" s="362">
        <f t="shared" si="40"/>
        <v>78.117279066674627</v>
      </c>
      <c r="D135" s="389">
        <f t="shared" si="48"/>
        <v>3.9729981188725644E-2</v>
      </c>
      <c r="E135" s="387">
        <v>71753.211124035821</v>
      </c>
      <c r="F135" s="364">
        <v>5465.2739335262813</v>
      </c>
      <c r="G135" s="364">
        <v>59467.896759636147</v>
      </c>
      <c r="H135" s="364">
        <v>193.71566106536434</v>
      </c>
      <c r="I135" s="364">
        <v>23628.944783302075</v>
      </c>
      <c r="J135" s="365">
        <f t="shared" si="57"/>
        <v>160509.04226156569</v>
      </c>
      <c r="K135" s="366">
        <v>30</v>
      </c>
      <c r="L135" s="367">
        <f t="shared" si="58"/>
        <v>3.9729981188725644E-2</v>
      </c>
      <c r="M135" s="368">
        <v>38145.190079428379</v>
      </c>
      <c r="N135" s="368">
        <v>337.24173151594573</v>
      </c>
      <c r="O135" s="368">
        <v>1979.2282565026155</v>
      </c>
      <c r="P135" s="368">
        <v>488.29869289119745</v>
      </c>
      <c r="Q135" s="368">
        <v>10728.58958889608</v>
      </c>
      <c r="R135" s="368">
        <v>1585.3610070189034</v>
      </c>
      <c r="S135" s="364">
        <f>$L135*'MWh Impact Summary'!$L$21</f>
        <v>595.99068115569844</v>
      </c>
      <c r="T135" s="364">
        <f>$L135*'MWh Impact Summary'!$M$21</f>
        <v>1747.8793365362014</v>
      </c>
      <c r="U135" s="368">
        <v>2563.783248608604</v>
      </c>
      <c r="V135" s="368">
        <v>134511.26391377946</v>
      </c>
      <c r="W135" s="368">
        <v>37762.504389344889</v>
      </c>
      <c r="X135" s="368">
        <f t="shared" si="49"/>
        <v>230445.33092567799</v>
      </c>
      <c r="Y135" s="364">
        <f t="shared" si="50"/>
        <v>390954.37318724371</v>
      </c>
      <c r="Z135" s="364"/>
      <c r="AA135" s="390">
        <v>4807951.5017482825</v>
      </c>
      <c r="AB135" s="369">
        <f t="shared" si="59"/>
        <v>81.314125786228004</v>
      </c>
      <c r="AC135" s="370">
        <f t="shared" si="51"/>
        <v>33.384080975692221</v>
      </c>
      <c r="AD135" s="371">
        <f t="shared" si="52"/>
        <v>1.1128026991897406E-3</v>
      </c>
      <c r="AE135" s="370">
        <f t="shared" si="60"/>
        <v>47.930044810535783</v>
      </c>
      <c r="AF135" s="371">
        <f t="shared" si="53"/>
        <v>1.5976681603511928E-3</v>
      </c>
      <c r="AG135" s="372">
        <f t="shared" si="61"/>
        <v>2.7104708595409336E-3</v>
      </c>
      <c r="AH135" s="373">
        <f t="shared" si="54"/>
        <v>2.7104708595409336E-3</v>
      </c>
      <c r="AI135" s="374" t="b">
        <f t="shared" si="62"/>
        <v>1</v>
      </c>
      <c r="AJ135" s="375">
        <f t="shared" si="41"/>
        <v>3.4962018770202333E-4</v>
      </c>
      <c r="AL135" s="376">
        <f t="shared" si="55"/>
        <v>134511.26391377946</v>
      </c>
      <c r="AM135" s="384"/>
      <c r="AN135" s="383">
        <f t="shared" si="47"/>
        <v>27.976834596785775</v>
      </c>
      <c r="AO135" s="379">
        <f t="shared" si="46"/>
        <v>9.3256115322619252E-4</v>
      </c>
      <c r="AQ135" s="380">
        <f t="shared" si="56"/>
        <v>2.7104708595409336E-3</v>
      </c>
      <c r="AR135" s="381">
        <v>668118.62592751079</v>
      </c>
      <c r="AT135" s="382">
        <v>81.314125786228004</v>
      </c>
    </row>
    <row r="136" spans="1:46">
      <c r="A136" s="361">
        <v>2015</v>
      </c>
      <c r="B136" s="361">
        <v>12</v>
      </c>
      <c r="C136" s="362">
        <f t="shared" si="40"/>
        <v>42.633806123140985</v>
      </c>
      <c r="D136" s="389">
        <f t="shared" si="48"/>
        <v>2.1683298951445065E-2</v>
      </c>
      <c r="E136" s="387">
        <v>39160.51004751373</v>
      </c>
      <c r="F136" s="364">
        <v>2982.7642754036642</v>
      </c>
      <c r="G136" s="364">
        <v>32455.595116636447</v>
      </c>
      <c r="H136" s="364">
        <v>105.72354843321867</v>
      </c>
      <c r="I136" s="364">
        <v>12895.890164401088</v>
      </c>
      <c r="J136" s="365">
        <f t="shared" si="57"/>
        <v>87600.483152388158</v>
      </c>
      <c r="K136" s="366">
        <v>31</v>
      </c>
      <c r="L136" s="367">
        <f t="shared" si="58"/>
        <v>2.1683298951445065E-2</v>
      </c>
      <c r="M136" s="368">
        <v>20818.372808257354</v>
      </c>
      <c r="N136" s="368">
        <v>184.055291862014</v>
      </c>
      <c r="O136" s="368">
        <v>1080.196785773262</v>
      </c>
      <c r="P136" s="368">
        <v>266.49714444275349</v>
      </c>
      <c r="Q136" s="368">
        <v>5855.306456812762</v>
      </c>
      <c r="R136" s="368">
        <v>865.23717436115646</v>
      </c>
      <c r="S136" s="364">
        <f>$L136*'MWh Impact Summary'!$L$21</f>
        <v>325.27184068845258</v>
      </c>
      <c r="T136" s="364">
        <f>$L136*'MWh Impact Summary'!$M$21</f>
        <v>953.93425949879145</v>
      </c>
      <c r="U136" s="368">
        <v>1399.2274086971568</v>
      </c>
      <c r="V136" s="368">
        <v>73411.762616360735</v>
      </c>
      <c r="W136" s="368">
        <v>20609.515719120973</v>
      </c>
      <c r="X136" s="368">
        <f t="shared" si="49"/>
        <v>125769.37750587541</v>
      </c>
      <c r="Y136" s="364">
        <f t="shared" si="50"/>
        <v>213369.86065826355</v>
      </c>
      <c r="Z136" s="364">
        <f>SUM(Y125:Y136)</f>
        <v>9840285.8871271405</v>
      </c>
      <c r="AA136" s="390">
        <v>4813839.2600633735</v>
      </c>
      <c r="AB136" s="369">
        <f t="shared" si="59"/>
        <v>44.324259521589134</v>
      </c>
      <c r="AC136" s="370">
        <f t="shared" si="51"/>
        <v>18.197633618376138</v>
      </c>
      <c r="AD136" s="371">
        <f t="shared" si="52"/>
        <v>5.8702043930245601E-4</v>
      </c>
      <c r="AE136" s="370">
        <f t="shared" si="60"/>
        <v>26.126625903212993</v>
      </c>
      <c r="AF136" s="371">
        <f t="shared" si="53"/>
        <v>8.4279438397461275E-4</v>
      </c>
      <c r="AG136" s="372">
        <f t="shared" si="61"/>
        <v>1.4298148232770687E-3</v>
      </c>
      <c r="AH136" s="373">
        <f t="shared" si="54"/>
        <v>1.4298148232770689E-3</v>
      </c>
      <c r="AI136" s="374" t="b">
        <f t="shared" si="62"/>
        <v>1</v>
      </c>
      <c r="AJ136" s="375">
        <f t="shared" si="41"/>
        <v>1.8438876336478649E-4</v>
      </c>
      <c r="AL136" s="376">
        <f t="shared" si="55"/>
        <v>73411.762616360735</v>
      </c>
      <c r="AM136" s="377">
        <f>SUM(AL125:AL136)</f>
        <v>3385636.2346315514</v>
      </c>
      <c r="AN136" s="383">
        <f t="shared" si="47"/>
        <v>15.250148301668528</v>
      </c>
      <c r="AO136" s="379">
        <f t="shared" si="46"/>
        <v>4.9194026779575894E-4</v>
      </c>
      <c r="AQ136" s="380">
        <f t="shared" si="56"/>
        <v>1.4298148232770689E-3</v>
      </c>
      <c r="AR136" s="381">
        <v>550596.06631922</v>
      </c>
      <c r="AT136" s="382">
        <v>44.324259521589134</v>
      </c>
    </row>
    <row r="137" spans="1:46">
      <c r="A137" s="361">
        <v>2016</v>
      </c>
      <c r="B137" s="361">
        <v>1</v>
      </c>
      <c r="C137" s="362">
        <f t="shared" si="40"/>
        <v>26.112829868525239</v>
      </c>
      <c r="D137" s="389">
        <f t="shared" si="48"/>
        <v>1.3280829182176284E-2</v>
      </c>
      <c r="E137" s="387">
        <v>27470.366647375555</v>
      </c>
      <c r="F137" s="364">
        <v>2436.9032296743749</v>
      </c>
      <c r="G137" s="364">
        <v>22099.85470608377</v>
      </c>
      <c r="H137" s="364">
        <v>76.293020643730046</v>
      </c>
      <c r="I137" s="364">
        <v>8688.849208168589</v>
      </c>
      <c r="J137" s="365">
        <f t="shared" si="57"/>
        <v>60772.266811946021</v>
      </c>
      <c r="K137" s="366">
        <v>31</v>
      </c>
      <c r="L137" s="367">
        <f t="shared" si="58"/>
        <v>1.3280829182176284E-2</v>
      </c>
      <c r="M137" s="368">
        <v>14377.019837876243</v>
      </c>
      <c r="N137" s="368">
        <v>283.2845893161105</v>
      </c>
      <c r="O137" s="368">
        <v>777.66577322812327</v>
      </c>
      <c r="P137" s="368">
        <v>177.70678164178497</v>
      </c>
      <c r="Q137" s="368">
        <v>4138.2266852201756</v>
      </c>
      <c r="R137" s="368">
        <v>1046.7091253103847</v>
      </c>
      <c r="S137" s="364">
        <f>$L137*'MWh Impact Summary'!$L$22</f>
        <v>380.18547909932414</v>
      </c>
      <c r="T137" s="364">
        <f>$L137*'MWh Impact Summary'!$M$22</f>
        <v>1154.0092404152897</v>
      </c>
      <c r="U137" s="368">
        <v>1668.7173589168751</v>
      </c>
      <c r="V137" s="368">
        <v>47696.257881458878</v>
      </c>
      <c r="W137" s="368">
        <v>16217.055035550944</v>
      </c>
      <c r="X137" s="368">
        <f t="shared" si="49"/>
        <v>87916.837788034129</v>
      </c>
      <c r="Y137" s="364">
        <f t="shared" si="50"/>
        <v>148689.10459998014</v>
      </c>
      <c r="Z137" s="364"/>
      <c r="AA137" s="390">
        <v>4820575.9363739984</v>
      </c>
      <c r="AB137" s="369">
        <f t="shared" si="59"/>
        <v>30.844676354548412</v>
      </c>
      <c r="AC137" s="370">
        <f t="shared" si="51"/>
        <v>12.606847732318572</v>
      </c>
      <c r="AD137" s="371">
        <f t="shared" si="52"/>
        <v>4.0667250749414747E-4</v>
      </c>
      <c r="AE137" s="370">
        <f t="shared" si="60"/>
        <v>18.237828622229841</v>
      </c>
      <c r="AF137" s="371">
        <f t="shared" si="53"/>
        <v>5.8831705232999492E-4</v>
      </c>
      <c r="AG137" s="372">
        <f t="shared" si="61"/>
        <v>9.9498955982414228E-4</v>
      </c>
      <c r="AH137" s="373">
        <f t="shared" si="54"/>
        <v>9.9498955982414228E-4</v>
      </c>
      <c r="AI137" s="374" t="b">
        <f t="shared" si="62"/>
        <v>1</v>
      </c>
      <c r="AJ137" s="375">
        <f t="shared" si="41"/>
        <v>1.0763102424334893E-4</v>
      </c>
      <c r="AL137" s="376">
        <f t="shared" si="55"/>
        <v>47696.257881458878</v>
      </c>
      <c r="AM137" s="384"/>
      <c r="AN137" s="383">
        <f t="shared" si="47"/>
        <v>9.8943069274281878</v>
      </c>
      <c r="AO137" s="379">
        <f t="shared" si="46"/>
        <v>3.1917119120736085E-4</v>
      </c>
      <c r="AQ137" s="380">
        <f t="shared" si="56"/>
        <v>9.9498955982414228E-4</v>
      </c>
      <c r="AR137" s="381">
        <v>607892.27708418097</v>
      </c>
      <c r="AT137" s="382">
        <v>30.844676354548412</v>
      </c>
    </row>
    <row r="138" spans="1:46">
      <c r="A138" s="361">
        <v>2016</v>
      </c>
      <c r="B138" s="361">
        <v>2</v>
      </c>
      <c r="C138" s="362">
        <f t="shared" si="40"/>
        <v>35.042184420393127</v>
      </c>
      <c r="D138" s="389">
        <f t="shared" si="48"/>
        <v>1.7822245532205266E-2</v>
      </c>
      <c r="E138" s="387">
        <v>36863.934663528526</v>
      </c>
      <c r="F138" s="364">
        <v>3270.2090435564064</v>
      </c>
      <c r="G138" s="364">
        <v>29656.961278177139</v>
      </c>
      <c r="H138" s="364">
        <v>102.38163051829498</v>
      </c>
      <c r="I138" s="364">
        <v>11660.02527824941</v>
      </c>
      <c r="J138" s="365">
        <f t="shared" si="57"/>
        <v>81553.511894029783</v>
      </c>
      <c r="K138" s="366">
        <v>29</v>
      </c>
      <c r="L138" s="367">
        <f t="shared" si="58"/>
        <v>1.7822245532205266E-2</v>
      </c>
      <c r="M138" s="368">
        <v>19293.281620992035</v>
      </c>
      <c r="N138" s="368">
        <v>380.15453982778581</v>
      </c>
      <c r="O138" s="368">
        <v>1043.5907398812521</v>
      </c>
      <c r="P138" s="368">
        <v>238.4741081835744</v>
      </c>
      <c r="Q138" s="368">
        <v>5553.3047703752118</v>
      </c>
      <c r="R138" s="368">
        <v>1404.6342119298763</v>
      </c>
      <c r="S138" s="364">
        <f>$L138*'MWh Impact Summary'!$L$22</f>
        <v>510.19095745774274</v>
      </c>
      <c r="T138" s="364">
        <f>$L138*'MWh Impact Summary'!$M$22</f>
        <v>1548.6258988043651</v>
      </c>
      <c r="U138" s="368">
        <v>2239.3398850715594</v>
      </c>
      <c r="V138" s="368">
        <v>64006.125466289988</v>
      </c>
      <c r="W138" s="368">
        <v>21762.521954635464</v>
      </c>
      <c r="X138" s="368">
        <f t="shared" si="49"/>
        <v>117980.24415344886</v>
      </c>
      <c r="Y138" s="364">
        <f t="shared" si="50"/>
        <v>199533.75604747864</v>
      </c>
      <c r="Z138" s="364"/>
      <c r="AA138" s="390">
        <v>4826494.7966620158</v>
      </c>
      <c r="AB138" s="369">
        <f t="shared" si="59"/>
        <v>41.341338684437282</v>
      </c>
      <c r="AC138" s="370">
        <f t="shared" si="51"/>
        <v>16.89704751167076</v>
      </c>
      <c r="AD138" s="371">
        <f t="shared" si="52"/>
        <v>5.8265681074726758E-4</v>
      </c>
      <c r="AE138" s="370">
        <f t="shared" si="60"/>
        <v>24.444291172766523</v>
      </c>
      <c r="AF138" s="371">
        <f t="shared" si="53"/>
        <v>8.4290659216436283E-4</v>
      </c>
      <c r="AG138" s="372">
        <f t="shared" si="61"/>
        <v>1.4255634029116304E-3</v>
      </c>
      <c r="AH138" s="373">
        <f t="shared" si="54"/>
        <v>1.4255634029116304E-3</v>
      </c>
      <c r="AI138" s="374" t="b">
        <f t="shared" si="62"/>
        <v>1</v>
      </c>
      <c r="AJ138" s="375">
        <f t="shared" si="41"/>
        <v>1.087619964021591E-4</v>
      </c>
      <c r="AL138" s="376">
        <f t="shared" si="55"/>
        <v>64006.125466289988</v>
      </c>
      <c r="AM138" s="384"/>
      <c r="AN138" s="383">
        <f t="shared" si="47"/>
        <v>13.261409814542091</v>
      </c>
      <c r="AO138" s="379">
        <f t="shared" si="46"/>
        <v>4.5728999360489968E-4</v>
      </c>
      <c r="AQ138" s="380">
        <f t="shared" si="56"/>
        <v>1.4255634029116304E-3</v>
      </c>
      <c r="AR138" s="381">
        <v>582164.70607935276</v>
      </c>
      <c r="AT138" s="382">
        <v>41.341338684437282</v>
      </c>
    </row>
    <row r="139" spans="1:46">
      <c r="A139" s="361">
        <v>2016</v>
      </c>
      <c r="B139" s="361">
        <v>3</v>
      </c>
      <c r="C139" s="362">
        <f t="shared" si="40"/>
        <v>64.582270600115152</v>
      </c>
      <c r="D139" s="389">
        <f t="shared" si="48"/>
        <v>3.2846156787895278E-2</v>
      </c>
      <c r="E139" s="387">
        <v>67939.73158932013</v>
      </c>
      <c r="F139" s="364">
        <v>6026.9509125405784</v>
      </c>
      <c r="G139" s="364">
        <v>54657.377390255904</v>
      </c>
      <c r="H139" s="364">
        <v>188.68795641534257</v>
      </c>
      <c r="I139" s="364">
        <v>21489.268439722411</v>
      </c>
      <c r="J139" s="365">
        <f t="shared" si="57"/>
        <v>150302.01628825438</v>
      </c>
      <c r="K139" s="366">
        <v>31</v>
      </c>
      <c r="L139" s="367">
        <f t="shared" si="58"/>
        <v>3.2846156787895278E-2</v>
      </c>
      <c r="M139" s="368">
        <v>35557.25634746709</v>
      </c>
      <c r="N139" s="368">
        <v>700.61966076328542</v>
      </c>
      <c r="O139" s="368">
        <v>1923.3235790963656</v>
      </c>
      <c r="P139" s="368">
        <v>439.50454689319724</v>
      </c>
      <c r="Q139" s="368">
        <v>10234.665370819905</v>
      </c>
      <c r="R139" s="368">
        <v>2588.7218011512614</v>
      </c>
      <c r="S139" s="364">
        <f>$L139*'MWh Impact Summary'!$L$22</f>
        <v>940.27501473602865</v>
      </c>
      <c r="T139" s="364">
        <f>$L139*'MWh Impact Summary'!$M$22</f>
        <v>2854.0965270625679</v>
      </c>
      <c r="U139" s="368">
        <v>4127.0730354115221</v>
      </c>
      <c r="V139" s="368">
        <v>117962.42110190024</v>
      </c>
      <c r="W139" s="368">
        <v>40108.032791394318</v>
      </c>
      <c r="X139" s="368">
        <f t="shared" si="49"/>
        <v>217435.98977669579</v>
      </c>
      <c r="Y139" s="364">
        <f t="shared" si="50"/>
        <v>367738.00606495014</v>
      </c>
      <c r="Z139" s="364"/>
      <c r="AA139" s="390">
        <v>4833093.7745679663</v>
      </c>
      <c r="AB139" s="369">
        <f t="shared" si="59"/>
        <v>76.087496584487965</v>
      </c>
      <c r="AC139" s="370">
        <f t="shared" si="51"/>
        <v>31.098510250132687</v>
      </c>
      <c r="AD139" s="371">
        <f t="shared" si="52"/>
        <v>1.0031777500042803E-3</v>
      </c>
      <c r="AE139" s="370">
        <f t="shared" si="60"/>
        <v>44.988986334355275</v>
      </c>
      <c r="AF139" s="371">
        <f t="shared" si="53"/>
        <v>1.4512576236888799E-3</v>
      </c>
      <c r="AG139" s="372">
        <f t="shared" si="61"/>
        <v>2.4544353736931602E-3</v>
      </c>
      <c r="AH139" s="373">
        <f t="shared" si="54"/>
        <v>2.4544353736931602E-3</v>
      </c>
      <c r="AI139" s="374" t="b">
        <f t="shared" si="62"/>
        <v>1</v>
      </c>
      <c r="AJ139" s="375">
        <f t="shared" si="41"/>
        <v>2.6552395328698769E-4</v>
      </c>
      <c r="AL139" s="376">
        <f t="shared" si="55"/>
        <v>117962.42110190024</v>
      </c>
      <c r="AM139" s="384"/>
      <c r="AN139" s="383">
        <f t="shared" si="47"/>
        <v>24.407227875988188</v>
      </c>
      <c r="AO139" s="379">
        <f t="shared" si="46"/>
        <v>7.8732993148348997E-4</v>
      </c>
      <c r="AQ139" s="380">
        <f t="shared" si="56"/>
        <v>2.4544353736931602E-3</v>
      </c>
      <c r="AR139" s="381">
        <v>682340.71158247255</v>
      </c>
      <c r="AT139" s="382">
        <v>76.087496584487965</v>
      </c>
    </row>
    <row r="140" spans="1:46">
      <c r="A140" s="361">
        <v>2016</v>
      </c>
      <c r="B140" s="361">
        <v>4</v>
      </c>
      <c r="C140" s="362">
        <f t="shared" si="40"/>
        <v>114.03392869270741</v>
      </c>
      <c r="D140" s="389">
        <f t="shared" si="48"/>
        <v>5.7996974497419709E-2</v>
      </c>
      <c r="E140" s="387">
        <v>119962.25025021646</v>
      </c>
      <c r="F140" s="364">
        <v>10641.881807634596</v>
      </c>
      <c r="G140" s="364">
        <v>96509.389000016454</v>
      </c>
      <c r="H140" s="364">
        <v>333.16928573585164</v>
      </c>
      <c r="I140" s="364">
        <v>37943.938516608665</v>
      </c>
      <c r="J140" s="365">
        <f t="shared" si="57"/>
        <v>265390.62886021199</v>
      </c>
      <c r="K140" s="366">
        <v>30</v>
      </c>
      <c r="L140" s="367">
        <f t="shared" si="58"/>
        <v>5.7996974497419709E-2</v>
      </c>
      <c r="M140" s="368">
        <v>62784.005535230441</v>
      </c>
      <c r="N140" s="368">
        <v>1237.095129883013</v>
      </c>
      <c r="O140" s="368">
        <v>3396.0426264617381</v>
      </c>
      <c r="P140" s="368">
        <v>776.04007562487539</v>
      </c>
      <c r="Q140" s="368">
        <v>18071.509258575337</v>
      </c>
      <c r="R140" s="368">
        <v>4570.946709284849</v>
      </c>
      <c r="S140" s="364">
        <f>$L140*'MWh Impact Summary'!$L$22</f>
        <v>1660.2583493208972</v>
      </c>
      <c r="T140" s="364">
        <f>$L140*'MWh Impact Summary'!$M$22</f>
        <v>5039.5230273705556</v>
      </c>
      <c r="U140" s="368">
        <v>7287.2376250715752</v>
      </c>
      <c r="V140" s="368">
        <v>208288.09813214015</v>
      </c>
      <c r="W140" s="368">
        <v>70819.382917925381</v>
      </c>
      <c r="X140" s="368">
        <f t="shared" si="49"/>
        <v>383930.13938688883</v>
      </c>
      <c r="Y140" s="364">
        <f t="shared" si="50"/>
        <v>649320.76824710076</v>
      </c>
      <c r="Z140" s="364"/>
      <c r="AA140" s="390">
        <v>4838808.8957821839</v>
      </c>
      <c r="AB140" s="369">
        <f t="shared" si="59"/>
        <v>134.19020718365016</v>
      </c>
      <c r="AC140" s="370">
        <f t="shared" si="51"/>
        <v>54.846272001265326</v>
      </c>
      <c r="AD140" s="371">
        <f t="shared" si="52"/>
        <v>1.8282090667088443E-3</v>
      </c>
      <c r="AE140" s="370">
        <f t="shared" si="60"/>
        <v>79.343935182384854</v>
      </c>
      <c r="AF140" s="371">
        <f t="shared" si="53"/>
        <v>2.6447978394128287E-3</v>
      </c>
      <c r="AG140" s="372">
        <f t="shared" si="61"/>
        <v>4.4730069061216732E-3</v>
      </c>
      <c r="AH140" s="373">
        <f t="shared" si="54"/>
        <v>4.4730069061216715E-3</v>
      </c>
      <c r="AI140" s="374" t="b">
        <f t="shared" si="62"/>
        <v>1</v>
      </c>
      <c r="AJ140" s="375">
        <f t="shared" si="41"/>
        <v>4.8369674055274894E-4</v>
      </c>
      <c r="AL140" s="376">
        <f t="shared" si="55"/>
        <v>208288.09813214015</v>
      </c>
      <c r="AM140" s="384"/>
      <c r="AN140" s="383">
        <f t="shared" si="47"/>
        <v>43.045324297410758</v>
      </c>
      <c r="AO140" s="379">
        <f t="shared" si="46"/>
        <v>1.4348441432470254E-3</v>
      </c>
      <c r="AQ140" s="380">
        <f t="shared" si="56"/>
        <v>4.4730069061216715E-3</v>
      </c>
      <c r="AR140" s="381">
        <v>799569.9281839102</v>
      </c>
      <c r="AT140" s="382">
        <v>134.19020718365016</v>
      </c>
    </row>
    <row r="141" spans="1:46">
      <c r="A141" s="361">
        <v>2016</v>
      </c>
      <c r="B141" s="361">
        <v>5</v>
      </c>
      <c r="C141" s="362">
        <f t="shared" si="40"/>
        <v>208.47875842628665</v>
      </c>
      <c r="D141" s="389">
        <f t="shared" si="48"/>
        <v>0.10603105035770212</v>
      </c>
      <c r="E141" s="387">
        <v>219317.01623280137</v>
      </c>
      <c r="F141" s="364">
        <v>19455.66843139756</v>
      </c>
      <c r="G141" s="364">
        <v>176440.09836249432</v>
      </c>
      <c r="H141" s="364">
        <v>609.10572697321311</v>
      </c>
      <c r="I141" s="364">
        <v>69369.75058592204</v>
      </c>
      <c r="J141" s="365">
        <f t="shared" si="57"/>
        <v>485191.63933958852</v>
      </c>
      <c r="K141" s="366">
        <v>31</v>
      </c>
      <c r="L141" s="367">
        <f t="shared" si="58"/>
        <v>0.10603105035770212</v>
      </c>
      <c r="M141" s="368">
        <v>114782.78152010223</v>
      </c>
      <c r="N141" s="368">
        <v>2261.6782539187379</v>
      </c>
      <c r="O141" s="368">
        <v>6208.7026067073166</v>
      </c>
      <c r="P141" s="368">
        <v>1418.7696005045395</v>
      </c>
      <c r="Q141" s="368">
        <v>33038.639081439171</v>
      </c>
      <c r="R141" s="368">
        <v>8356.6821358261932</v>
      </c>
      <c r="S141" s="364">
        <f>$L141*'MWh Impact Summary'!$L$22</f>
        <v>3035.3124136065308</v>
      </c>
      <c r="T141" s="364">
        <f>$L141*'MWh Impact Summary'!$M$22</f>
        <v>9213.3412910651041</v>
      </c>
      <c r="U141" s="368">
        <v>13322.65116048221</v>
      </c>
      <c r="V141" s="368">
        <v>380795.82621920243</v>
      </c>
      <c r="W141" s="368">
        <v>129473.19444751405</v>
      </c>
      <c r="X141" s="368">
        <f t="shared" si="49"/>
        <v>701907.5787303684</v>
      </c>
      <c r="Y141" s="364">
        <f t="shared" si="50"/>
        <v>1187099.2180699569</v>
      </c>
      <c r="Z141" s="364"/>
      <c r="AA141" s="390">
        <v>4843834.8322112709</v>
      </c>
      <c r="AB141" s="369">
        <f t="shared" si="59"/>
        <v>245.07425607822205</v>
      </c>
      <c r="AC141" s="370">
        <f t="shared" si="51"/>
        <v>100.16684221210171</v>
      </c>
      <c r="AD141" s="371">
        <f t="shared" si="52"/>
        <v>3.2311884584548941E-3</v>
      </c>
      <c r="AE141" s="370">
        <f t="shared" si="60"/>
        <v>144.90741386612038</v>
      </c>
      <c r="AF141" s="371">
        <f t="shared" si="53"/>
        <v>4.674432705358722E-3</v>
      </c>
      <c r="AG141" s="372">
        <f t="shared" si="61"/>
        <v>7.905621163813617E-3</v>
      </c>
      <c r="AH141" s="373">
        <f t="shared" si="54"/>
        <v>7.9056211638136135E-3</v>
      </c>
      <c r="AI141" s="374" t="b">
        <f t="shared" si="62"/>
        <v>0</v>
      </c>
      <c r="AJ141" s="375">
        <f t="shared" si="41"/>
        <v>8.5440793650481441E-4</v>
      </c>
      <c r="AL141" s="376">
        <f t="shared" si="55"/>
        <v>380795.82621920243</v>
      </c>
      <c r="AM141" s="384"/>
      <c r="AN141" s="383">
        <f t="shared" si="47"/>
        <v>78.614535674694835</v>
      </c>
      <c r="AO141" s="379">
        <f t="shared" si="46"/>
        <v>2.5359527636998336E-3</v>
      </c>
      <c r="AQ141" s="380">
        <f t="shared" si="56"/>
        <v>7.9056211638136135E-3</v>
      </c>
      <c r="AR141" s="381">
        <v>958692.5151507766</v>
      </c>
      <c r="AT141" s="382">
        <v>245.07425607822205</v>
      </c>
    </row>
    <row r="142" spans="1:46">
      <c r="A142" s="361">
        <v>2016</v>
      </c>
      <c r="B142" s="361">
        <v>6</v>
      </c>
      <c r="C142" s="362">
        <f t="shared" si="40"/>
        <v>271.66325293295364</v>
      </c>
      <c r="D142" s="389">
        <f t="shared" si="48"/>
        <v>0.13816630657965029</v>
      </c>
      <c r="E142" s="387">
        <v>285786.30505619821</v>
      </c>
      <c r="F142" s="364">
        <v>25352.175991240038</v>
      </c>
      <c r="G142" s="364">
        <v>229914.50750563288</v>
      </c>
      <c r="H142" s="364">
        <v>793.70984563946161</v>
      </c>
      <c r="I142" s="364">
        <v>90393.91946485755</v>
      </c>
      <c r="J142" s="365">
        <f t="shared" si="57"/>
        <v>632240.61786356813</v>
      </c>
      <c r="K142" s="366">
        <v>30</v>
      </c>
      <c r="L142" s="367">
        <f t="shared" si="58"/>
        <v>0.13816630657965029</v>
      </c>
      <c r="M142" s="368">
        <v>149570.46004986079</v>
      </c>
      <c r="N142" s="368">
        <v>2947.1341645797938</v>
      </c>
      <c r="O142" s="368">
        <v>8090.3990380765272</v>
      </c>
      <c r="P142" s="368">
        <v>1848.7618006979289</v>
      </c>
      <c r="Q142" s="368">
        <v>43051.792101472376</v>
      </c>
      <c r="R142" s="368">
        <v>10889.375348750164</v>
      </c>
      <c r="S142" s="364">
        <f>$L142*'MWh Impact Summary'!$L$22</f>
        <v>3955.2367357352555</v>
      </c>
      <c r="T142" s="364">
        <f>$L142*'MWh Impact Summary'!$M$22</f>
        <v>12005.665634262794</v>
      </c>
      <c r="U142" s="368">
        <v>17360.400547604371</v>
      </c>
      <c r="V142" s="368">
        <v>496205.14643738721</v>
      </c>
      <c r="W142" s="368">
        <v>168713.1554156339</v>
      </c>
      <c r="X142" s="368">
        <f t="shared" si="49"/>
        <v>914637.52727406111</v>
      </c>
      <c r="Y142" s="364">
        <f t="shared" si="50"/>
        <v>1546878.1451376292</v>
      </c>
      <c r="Z142" s="364"/>
      <c r="AA142" s="390">
        <v>4848895.9460375952</v>
      </c>
      <c r="AB142" s="369">
        <f t="shared" si="59"/>
        <v>319.01656838021074</v>
      </c>
      <c r="AC142" s="370">
        <f t="shared" si="51"/>
        <v>130.38857193465256</v>
      </c>
      <c r="AD142" s="371">
        <f t="shared" si="52"/>
        <v>4.3462857311550853E-3</v>
      </c>
      <c r="AE142" s="370">
        <f t="shared" si="60"/>
        <v>188.62799644555821</v>
      </c>
      <c r="AF142" s="371">
        <f t="shared" si="53"/>
        <v>6.2875998815186069E-3</v>
      </c>
      <c r="AG142" s="372">
        <f t="shared" si="61"/>
        <v>1.0633885612673692E-2</v>
      </c>
      <c r="AH142" s="373">
        <f t="shared" si="54"/>
        <v>1.063388561267369E-2</v>
      </c>
      <c r="AI142" s="374" t="b">
        <f t="shared" si="62"/>
        <v>1</v>
      </c>
      <c r="AJ142" s="375">
        <f t="shared" si="41"/>
        <v>1.148652075891177E-3</v>
      </c>
      <c r="AL142" s="376">
        <f t="shared" si="55"/>
        <v>496205.14643738721</v>
      </c>
      <c r="AM142" s="384"/>
      <c r="AN142" s="383">
        <f t="shared" si="47"/>
        <v>102.33363469943596</v>
      </c>
      <c r="AO142" s="379">
        <f t="shared" si="46"/>
        <v>3.4111211566478653E-3</v>
      </c>
      <c r="AQ142" s="380">
        <f t="shared" si="56"/>
        <v>1.063388561267369E-2</v>
      </c>
      <c r="AR142" s="381">
        <v>1168219.7004325814</v>
      </c>
      <c r="AT142" s="382">
        <v>319.01656838021074</v>
      </c>
    </row>
    <row r="143" spans="1:46">
      <c r="A143" s="361">
        <v>2016</v>
      </c>
      <c r="B143" s="361">
        <v>7</v>
      </c>
      <c r="C143" s="362">
        <f t="shared" si="40"/>
        <v>322.31916585708109</v>
      </c>
      <c r="D143" s="389">
        <f t="shared" si="48"/>
        <v>0.16392960109808263</v>
      </c>
      <c r="E143" s="387">
        <v>339075.68456387776</v>
      </c>
      <c r="F143" s="364">
        <v>30079.490435075983</v>
      </c>
      <c r="G143" s="364">
        <v>272785.70611810533</v>
      </c>
      <c r="H143" s="364">
        <v>941.70960782171767</v>
      </c>
      <c r="I143" s="364">
        <v>107249.29634725285</v>
      </c>
      <c r="J143" s="365">
        <f t="shared" si="57"/>
        <v>750131.88707213383</v>
      </c>
      <c r="K143" s="366">
        <v>31</v>
      </c>
      <c r="L143" s="367">
        <f t="shared" si="58"/>
        <v>0.16392960109808263</v>
      </c>
      <c r="M143" s="368">
        <v>177460.23946797496</v>
      </c>
      <c r="N143" s="368">
        <v>3496.6739716935658</v>
      </c>
      <c r="O143" s="368">
        <v>9598.9819795293934</v>
      </c>
      <c r="P143" s="368">
        <v>2193.4926974332352</v>
      </c>
      <c r="Q143" s="368">
        <v>51079.480087885648</v>
      </c>
      <c r="R143" s="368">
        <v>12919.87172067046</v>
      </c>
      <c r="S143" s="364">
        <f>$L143*'MWh Impact Summary'!$L$22</f>
        <v>4692.7532217399457</v>
      </c>
      <c r="T143" s="364">
        <f>$L143*'MWh Impact Summary'!$M$22</f>
        <v>14244.311996623399</v>
      </c>
      <c r="U143" s="368">
        <v>20597.521980014146</v>
      </c>
      <c r="V143" s="368">
        <v>588730.44906504767</v>
      </c>
      <c r="W143" s="368">
        <v>200172.39334207645</v>
      </c>
      <c r="X143" s="368">
        <f t="shared" si="49"/>
        <v>1085186.1695306888</v>
      </c>
      <c r="Y143" s="364">
        <f t="shared" si="50"/>
        <v>1835318.0566028226</v>
      </c>
      <c r="Z143" s="364"/>
      <c r="AA143" s="390">
        <v>4855525.4877184592</v>
      </c>
      <c r="AB143" s="369">
        <f t="shared" si="59"/>
        <v>377.98546444562311</v>
      </c>
      <c r="AC143" s="370">
        <f t="shared" si="51"/>
        <v>154.49036133566045</v>
      </c>
      <c r="AD143" s="371">
        <f t="shared" si="52"/>
        <v>4.9835600430858211E-3</v>
      </c>
      <c r="AE143" s="370">
        <f t="shared" si="60"/>
        <v>223.49510310996266</v>
      </c>
      <c r="AF143" s="371">
        <f t="shared" si="53"/>
        <v>7.209519455160086E-3</v>
      </c>
      <c r="AG143" s="372">
        <f t="shared" si="61"/>
        <v>1.2193079498245907E-2</v>
      </c>
      <c r="AH143" s="373">
        <f t="shared" si="54"/>
        <v>1.2193079498245905E-2</v>
      </c>
      <c r="AI143" s="374" t="b">
        <f t="shared" si="62"/>
        <v>1</v>
      </c>
      <c r="AJ143" s="375">
        <f t="shared" si="41"/>
        <v>1.3181015863033795E-3</v>
      </c>
      <c r="AL143" s="376">
        <f t="shared" si="55"/>
        <v>588730.44906504767</v>
      </c>
      <c r="AM143" s="384"/>
      <c r="AN143" s="383">
        <f t="shared" si="47"/>
        <v>121.24958473684863</v>
      </c>
      <c r="AO143" s="379">
        <f t="shared" si="46"/>
        <v>3.9112769269951169E-3</v>
      </c>
      <c r="AQ143" s="380">
        <f t="shared" si="56"/>
        <v>1.2193079498245905E-2</v>
      </c>
      <c r="AR143" s="381">
        <v>1227840.8440896038</v>
      </c>
      <c r="AT143" s="382">
        <v>377.98546444562311</v>
      </c>
    </row>
    <row r="144" spans="1:46">
      <c r="A144" s="361">
        <v>2016</v>
      </c>
      <c r="B144" s="361">
        <v>8</v>
      </c>
      <c r="C144" s="362">
        <f t="shared" si="40"/>
        <v>326.45437890907908</v>
      </c>
      <c r="D144" s="389">
        <f t="shared" si="48"/>
        <v>0.16603274573816959</v>
      </c>
      <c r="E144" s="387">
        <v>343425.8763766893</v>
      </c>
      <c r="F144" s="364">
        <v>30465.397060001073</v>
      </c>
      <c r="G144" s="364">
        <v>276285.42668029573</v>
      </c>
      <c r="H144" s="364">
        <v>953.79132766329542</v>
      </c>
      <c r="I144" s="364">
        <v>108625.25762120767</v>
      </c>
      <c r="J144" s="365">
        <f t="shared" si="57"/>
        <v>759755.74906585715</v>
      </c>
      <c r="K144" s="366">
        <v>31</v>
      </c>
      <c r="L144" s="367">
        <f t="shared" si="58"/>
        <v>0.16603274573816959</v>
      </c>
      <c r="M144" s="368">
        <v>179736.97624379565</v>
      </c>
      <c r="N144" s="368">
        <v>3541.5347599370439</v>
      </c>
      <c r="O144" s="368">
        <v>9722.1326940148119</v>
      </c>
      <c r="P144" s="368">
        <v>2221.6342434308758</v>
      </c>
      <c r="Q144" s="368">
        <v>51734.807338398445</v>
      </c>
      <c r="R144" s="368">
        <v>13085.627989080345</v>
      </c>
      <c r="S144" s="364">
        <f>$L144*'MWh Impact Summary'!$L$22</f>
        <v>4752.9591803919648</v>
      </c>
      <c r="T144" s="364">
        <f>$L144*'MWh Impact Summary'!$M$22</f>
        <v>14427.060250915194</v>
      </c>
      <c r="U144" s="368">
        <v>20861.779122477521</v>
      </c>
      <c r="V144" s="368">
        <v>596283.60163854971</v>
      </c>
      <c r="W144" s="368">
        <v>202740.51705695622</v>
      </c>
      <c r="X144" s="368">
        <f t="shared" si="49"/>
        <v>1099108.6305179477</v>
      </c>
      <c r="Y144" s="364">
        <f t="shared" si="50"/>
        <v>1858864.3795838049</v>
      </c>
      <c r="Z144" s="364"/>
      <c r="AA144" s="390">
        <v>4862964.3023347482</v>
      </c>
      <c r="AB144" s="369">
        <f t="shared" si="59"/>
        <v>382.24923400966549</v>
      </c>
      <c r="AC144" s="370">
        <f t="shared" si="51"/>
        <v>156.23305083713905</v>
      </c>
      <c r="AD144" s="371">
        <f t="shared" si="52"/>
        <v>5.0397758334560982E-3</v>
      </c>
      <c r="AE144" s="370">
        <f t="shared" si="60"/>
        <v>226.01618317252644</v>
      </c>
      <c r="AF144" s="371">
        <f t="shared" si="53"/>
        <v>7.2908446184685944E-3</v>
      </c>
      <c r="AG144" s="372">
        <f t="shared" si="61"/>
        <v>1.2330620451924693E-2</v>
      </c>
      <c r="AH144" s="373">
        <f t="shared" si="54"/>
        <v>1.2330620451924693E-2</v>
      </c>
      <c r="AI144" s="374" t="b">
        <f t="shared" si="62"/>
        <v>1</v>
      </c>
      <c r="AJ144" s="375">
        <f t="shared" si="41"/>
        <v>1.3349121909532989E-3</v>
      </c>
      <c r="AL144" s="376">
        <f t="shared" si="55"/>
        <v>596283.60163854971</v>
      </c>
      <c r="AM144" s="384"/>
      <c r="AN144" s="383">
        <f t="shared" si="47"/>
        <v>122.61731005351389</v>
      </c>
      <c r="AO144" s="379">
        <f t="shared" si="46"/>
        <v>3.9553970985004476E-3</v>
      </c>
      <c r="AQ144" s="380">
        <f t="shared" si="56"/>
        <v>1.2330620451924693E-2</v>
      </c>
      <c r="AR144" s="381">
        <v>1276453.2668340718</v>
      </c>
      <c r="AT144" s="382">
        <v>382.24923400966549</v>
      </c>
    </row>
    <row r="145" spans="1:46">
      <c r="A145" s="361">
        <v>2016</v>
      </c>
      <c r="B145" s="361">
        <v>9</v>
      </c>
      <c r="C145" s="362">
        <f t="shared" si="40"/>
        <v>277.87653293728147</v>
      </c>
      <c r="D145" s="389">
        <f t="shared" si="48"/>
        <v>0.14132634365008559</v>
      </c>
      <c r="E145" s="387">
        <v>292322.59701157233</v>
      </c>
      <c r="F145" s="364">
        <v>25932.012117222996</v>
      </c>
      <c r="G145" s="364">
        <v>235172.94123476959</v>
      </c>
      <c r="H145" s="364">
        <v>811.86298729519717</v>
      </c>
      <c r="I145" s="364">
        <v>92461.342004564955</v>
      </c>
      <c r="J145" s="365">
        <f t="shared" si="57"/>
        <v>646700.75535542495</v>
      </c>
      <c r="K145" s="366">
        <v>30</v>
      </c>
      <c r="L145" s="367">
        <f t="shared" si="58"/>
        <v>0.14132634365008559</v>
      </c>
      <c r="M145" s="368">
        <v>152991.32444220199</v>
      </c>
      <c r="N145" s="368">
        <v>3014.5388267015951</v>
      </c>
      <c r="O145" s="368">
        <v>8275.4366315957377</v>
      </c>
      <c r="P145" s="368">
        <v>1891.0453064905826</v>
      </c>
      <c r="Q145" s="368">
        <v>44036.440691690703</v>
      </c>
      <c r="R145" s="368">
        <v>11138.429048076616</v>
      </c>
      <c r="S145" s="364">
        <f>$L145*'MWh Impact Summary'!$L$22</f>
        <v>4045.6979705810004</v>
      </c>
      <c r="T145" s="364">
        <f>$L145*'MWh Impact Summary'!$M$22</f>
        <v>12280.250295304239</v>
      </c>
      <c r="U145" s="368">
        <v>17757.454725617081</v>
      </c>
      <c r="V145" s="368">
        <v>507553.98173667188</v>
      </c>
      <c r="W145" s="368">
        <v>172571.83730835837</v>
      </c>
      <c r="X145" s="368">
        <f t="shared" si="49"/>
        <v>935556.4369832899</v>
      </c>
      <c r="Y145" s="364">
        <f t="shared" si="50"/>
        <v>1582257.1923387148</v>
      </c>
      <c r="Z145" s="364"/>
      <c r="AA145" s="390">
        <v>4867498.8173319157</v>
      </c>
      <c r="AB145" s="369">
        <f t="shared" si="59"/>
        <v>325.06575794219043</v>
      </c>
      <c r="AC145" s="370">
        <f t="shared" si="51"/>
        <v>132.86099896987943</v>
      </c>
      <c r="AD145" s="371">
        <f t="shared" si="52"/>
        <v>4.4286999656626474E-3</v>
      </c>
      <c r="AE145" s="370">
        <f t="shared" si="60"/>
        <v>192.20475897231103</v>
      </c>
      <c r="AF145" s="371">
        <f t="shared" si="53"/>
        <v>6.4068252990770336E-3</v>
      </c>
      <c r="AG145" s="372">
        <f t="shared" si="61"/>
        <v>1.083552526473968E-2</v>
      </c>
      <c r="AH145" s="373">
        <f t="shared" si="54"/>
        <v>1.0835525264739682E-2</v>
      </c>
      <c r="AI145" s="374" t="b">
        <f t="shared" si="62"/>
        <v>1</v>
      </c>
      <c r="AJ145" s="375">
        <f t="shared" si="41"/>
        <v>1.1719249125925167E-3</v>
      </c>
      <c r="AL145" s="376">
        <f t="shared" si="55"/>
        <v>507553.98173667188</v>
      </c>
      <c r="AM145" s="384"/>
      <c r="AN145" s="383">
        <f t="shared" si="47"/>
        <v>104.27408424413011</v>
      </c>
      <c r="AO145" s="379">
        <f t="shared" si="46"/>
        <v>3.4758028081376706E-3</v>
      </c>
      <c r="AQ145" s="380">
        <f t="shared" si="56"/>
        <v>1.0835525264739682E-2</v>
      </c>
      <c r="AR145" s="381">
        <v>1206323.4397606517</v>
      </c>
      <c r="AT145" s="382">
        <v>325.06575794219043</v>
      </c>
    </row>
    <row r="146" spans="1:46">
      <c r="A146" s="361">
        <v>2016</v>
      </c>
      <c r="B146" s="361">
        <v>10</v>
      </c>
      <c r="C146" s="362">
        <f t="shared" ref="C146:C209" si="63">+C134</f>
        <v>198.89039579254836</v>
      </c>
      <c r="D146" s="389">
        <f t="shared" si="48"/>
        <v>0.10115446643644242</v>
      </c>
      <c r="E146" s="387">
        <v>209230.1800521595</v>
      </c>
      <c r="F146" s="364">
        <v>18560.86262187441</v>
      </c>
      <c r="G146" s="364">
        <v>168325.25894670692</v>
      </c>
      <c r="H146" s="364">
        <v>581.09171424312979</v>
      </c>
      <c r="I146" s="364">
        <v>66179.294496051487</v>
      </c>
      <c r="J146" s="365">
        <f t="shared" si="57"/>
        <v>462876.68783103541</v>
      </c>
      <c r="K146" s="366">
        <v>31</v>
      </c>
      <c r="L146" s="367">
        <f t="shared" si="58"/>
        <v>0.10115446643644242</v>
      </c>
      <c r="M146" s="368">
        <v>109503.68766118023</v>
      </c>
      <c r="N146" s="368">
        <v>2157.6590654742686</v>
      </c>
      <c r="O146" s="368">
        <v>5923.1517307930453</v>
      </c>
      <c r="P146" s="368">
        <v>1353.5174974795136</v>
      </c>
      <c r="Q146" s="368">
        <v>31519.124792169045</v>
      </c>
      <c r="R146" s="368">
        <v>7972.3413073503025</v>
      </c>
      <c r="S146" s="364">
        <f>$L146*'MWh Impact Summary'!$L$22</f>
        <v>2895.7122147755445</v>
      </c>
      <c r="T146" s="364">
        <f>$L146*'MWh Impact Summary'!$M$22</f>
        <v>8789.6009635901482</v>
      </c>
      <c r="U146" s="368">
        <v>12709.915304159156</v>
      </c>
      <c r="V146" s="368">
        <v>363282.25074146531</v>
      </c>
      <c r="W146" s="368">
        <v>123518.45858337938</v>
      </c>
      <c r="X146" s="368">
        <f t="shared" si="49"/>
        <v>669625.41986181599</v>
      </c>
      <c r="Y146" s="364">
        <f t="shared" si="50"/>
        <v>1132502.1076928515</v>
      </c>
      <c r="Z146" s="364"/>
      <c r="AA146" s="390">
        <v>4872985.9866431234</v>
      </c>
      <c r="AB146" s="369">
        <f t="shared" si="59"/>
        <v>232.40413799609621</v>
      </c>
      <c r="AC146" s="370">
        <f t="shared" si="51"/>
        <v>94.988306779412568</v>
      </c>
      <c r="AD146" s="371">
        <f t="shared" si="52"/>
        <v>3.0641389283681477E-3</v>
      </c>
      <c r="AE146" s="370">
        <f t="shared" si="60"/>
        <v>137.41583121668361</v>
      </c>
      <c r="AF146" s="371">
        <f t="shared" si="53"/>
        <v>4.4327687489252778E-3</v>
      </c>
      <c r="AG146" s="372">
        <f t="shared" si="61"/>
        <v>7.496907677293425E-3</v>
      </c>
      <c r="AH146" s="373">
        <f t="shared" si="54"/>
        <v>7.4969076772934259E-3</v>
      </c>
      <c r="AI146" s="374" t="b">
        <f t="shared" si="62"/>
        <v>1</v>
      </c>
      <c r="AJ146" s="375">
        <f t="shared" si="41"/>
        <v>8.1070134730480085E-4</v>
      </c>
      <c r="AL146" s="376">
        <f t="shared" si="55"/>
        <v>363282.25074146531</v>
      </c>
      <c r="AM146" s="384"/>
      <c r="AN146" s="383">
        <f t="shared" si="47"/>
        <v>74.550235058591099</v>
      </c>
      <c r="AO146" s="379">
        <f t="shared" si="46"/>
        <v>2.4048462922126161E-3</v>
      </c>
      <c r="AQ146" s="380">
        <f t="shared" si="56"/>
        <v>7.4969076772934259E-3</v>
      </c>
      <c r="AR146" s="381">
        <v>973350.79860718851</v>
      </c>
      <c r="AT146" s="382">
        <v>232.40413799609621</v>
      </c>
    </row>
    <row r="147" spans="1:46">
      <c r="A147" s="361">
        <v>2016</v>
      </c>
      <c r="B147" s="361">
        <v>11</v>
      </c>
      <c r="C147" s="362">
        <f t="shared" si="63"/>
        <v>78.117279066674627</v>
      </c>
      <c r="D147" s="389">
        <f t="shared" si="48"/>
        <v>3.9729981188725644E-2</v>
      </c>
      <c r="E147" s="387">
        <v>82178.389253914313</v>
      </c>
      <c r="F147" s="364">
        <v>7290.0658645353069</v>
      </c>
      <c r="G147" s="364">
        <v>66112.34883772512</v>
      </c>
      <c r="H147" s="364">
        <v>228.23275816802223</v>
      </c>
      <c r="I147" s="364">
        <v>25992.941469008769</v>
      </c>
      <c r="J147" s="365">
        <f t="shared" si="57"/>
        <v>181801.97818335154</v>
      </c>
      <c r="K147" s="366">
        <v>30</v>
      </c>
      <c r="L147" s="367">
        <f t="shared" si="58"/>
        <v>3.9729981188725644E-2</v>
      </c>
      <c r="M147" s="368">
        <v>43009.266957167369</v>
      </c>
      <c r="N147" s="368">
        <v>847.45396919114955</v>
      </c>
      <c r="O147" s="368">
        <v>2326.4094521247498</v>
      </c>
      <c r="P147" s="368">
        <v>531.61493118309556</v>
      </c>
      <c r="Q147" s="368">
        <v>12379.623749632361</v>
      </c>
      <c r="R147" s="368">
        <v>3131.2603519108397</v>
      </c>
      <c r="S147" s="364">
        <f>$L147*'MWh Impact Summary'!$L$22</f>
        <v>1137.3357586071768</v>
      </c>
      <c r="T147" s="364">
        <f>$L147*'MWh Impact Summary'!$M$22</f>
        <v>3452.2517219668016</v>
      </c>
      <c r="U147" s="368">
        <v>4992.0158123894598</v>
      </c>
      <c r="V147" s="368">
        <v>142684.72264865364</v>
      </c>
      <c r="W147" s="368">
        <v>48513.784994965783</v>
      </c>
      <c r="X147" s="368">
        <f t="shared" si="49"/>
        <v>263005.74034779245</v>
      </c>
      <c r="Y147" s="364">
        <f t="shared" si="50"/>
        <v>444807.71853114397</v>
      </c>
      <c r="Z147" s="364"/>
      <c r="AA147" s="390">
        <v>4878687.6758089541</v>
      </c>
      <c r="AB147" s="369">
        <f t="shared" si="59"/>
        <v>91.173640964296553</v>
      </c>
      <c r="AC147" s="370">
        <f t="shared" si="51"/>
        <v>37.26452486081849</v>
      </c>
      <c r="AD147" s="371">
        <f t="shared" si="52"/>
        <v>1.2421508286939499E-3</v>
      </c>
      <c r="AE147" s="370">
        <f t="shared" si="60"/>
        <v>53.909116103478063</v>
      </c>
      <c r="AF147" s="371">
        <f t="shared" si="53"/>
        <v>1.796970536782602E-3</v>
      </c>
      <c r="AG147" s="372">
        <f t="shared" si="61"/>
        <v>3.0391213654765519E-3</v>
      </c>
      <c r="AH147" s="373">
        <f t="shared" si="54"/>
        <v>3.0391213654765519E-3</v>
      </c>
      <c r="AI147" s="374" t="b">
        <f t="shared" si="62"/>
        <v>1</v>
      </c>
      <c r="AJ147" s="375">
        <f t="shared" si="41"/>
        <v>3.2865050593561826E-4</v>
      </c>
      <c r="AL147" s="376">
        <f t="shared" si="55"/>
        <v>142684.72264865364</v>
      </c>
      <c r="AM147" s="384"/>
      <c r="AN147" s="383">
        <f t="shared" si="47"/>
        <v>29.246537620384672</v>
      </c>
      <c r="AO147" s="379">
        <f t="shared" si="46"/>
        <v>9.7488458734615573E-4</v>
      </c>
      <c r="AQ147" s="380">
        <f t="shared" si="56"/>
        <v>3.0391213654765519E-3</v>
      </c>
      <c r="AR147" s="381">
        <v>753485.54449138115</v>
      </c>
      <c r="AT147" s="382">
        <v>91.173640964296553</v>
      </c>
    </row>
    <row r="148" spans="1:46">
      <c r="A148" s="361">
        <v>2016</v>
      </c>
      <c r="B148" s="361">
        <v>12</v>
      </c>
      <c r="C148" s="362">
        <f t="shared" si="63"/>
        <v>42.633806123140985</v>
      </c>
      <c r="D148" s="389">
        <f t="shared" si="48"/>
        <v>2.1683298951445065E-2</v>
      </c>
      <c r="E148" s="387">
        <v>44850.224647136303</v>
      </c>
      <c r="F148" s="364">
        <v>3978.6748643440305</v>
      </c>
      <c r="G148" s="364">
        <v>36081.915504088276</v>
      </c>
      <c r="H148" s="364">
        <v>124.56182907215788</v>
      </c>
      <c r="I148" s="364">
        <v>14186.080728874589</v>
      </c>
      <c r="J148" s="365">
        <f t="shared" si="57"/>
        <v>99221.457573515348</v>
      </c>
      <c r="K148" s="366">
        <v>31</v>
      </c>
      <c r="L148" s="367">
        <f t="shared" si="58"/>
        <v>2.1683298951445065E-2</v>
      </c>
      <c r="M148" s="368">
        <v>23473.023777303257</v>
      </c>
      <c r="N148" s="368">
        <v>462.51211834892433</v>
      </c>
      <c r="O148" s="368">
        <v>1269.6767057167212</v>
      </c>
      <c r="P148" s="368">
        <v>290.13770293870846</v>
      </c>
      <c r="Q148" s="368">
        <v>6756.3858486261179</v>
      </c>
      <c r="R148" s="368">
        <v>1708.9374893677771</v>
      </c>
      <c r="S148" s="364">
        <f>$L148*'MWh Impact Summary'!$L$22</f>
        <v>620.71993301235671</v>
      </c>
      <c r="T148" s="364">
        <f>$L148*'MWh Impact Summary'!$M$22</f>
        <v>1884.1238758071563</v>
      </c>
      <c r="U148" s="368">
        <v>2724.4757735022104</v>
      </c>
      <c r="V148" s="368">
        <v>77872.563852930893</v>
      </c>
      <c r="W148" s="368">
        <v>26477.206176238673</v>
      </c>
      <c r="X148" s="368">
        <f t="shared" si="49"/>
        <v>143539.76325379277</v>
      </c>
      <c r="Y148" s="364">
        <f t="shared" si="50"/>
        <v>242761.22082730813</v>
      </c>
      <c r="Z148" s="364">
        <f>SUM(Y137:Y148)</f>
        <v>11195769.673743742</v>
      </c>
      <c r="AA148" s="390">
        <v>4884563.5171767101</v>
      </c>
      <c r="AB148" s="369">
        <f t="shared" si="59"/>
        <v>49.699675308475619</v>
      </c>
      <c r="AC148" s="370">
        <f t="shared" si="51"/>
        <v>20.313270003471182</v>
      </c>
      <c r="AD148" s="371">
        <f t="shared" si="52"/>
        <v>6.5526677430552199E-4</v>
      </c>
      <c r="AE148" s="370">
        <f t="shared" si="60"/>
        <v>29.386405305004427</v>
      </c>
      <c r="AF148" s="371">
        <f t="shared" si="53"/>
        <v>9.479485582259493E-4</v>
      </c>
      <c r="AG148" s="372">
        <f t="shared" si="61"/>
        <v>1.6032153325314714E-3</v>
      </c>
      <c r="AH148" s="373">
        <f t="shared" si="54"/>
        <v>1.6032153325314716E-3</v>
      </c>
      <c r="AI148" s="374" t="b">
        <f t="shared" si="62"/>
        <v>1</v>
      </c>
      <c r="AJ148" s="375">
        <f t="shared" si="41"/>
        <v>1.7340050925440274E-4</v>
      </c>
      <c r="AL148" s="376">
        <f t="shared" si="55"/>
        <v>77872.563852930893</v>
      </c>
      <c r="AM148" s="377">
        <f>SUM(AL137:AL148)</f>
        <v>3591361.4449216989</v>
      </c>
      <c r="AN148" s="383">
        <f t="shared" si="47"/>
        <v>15.94258393387449</v>
      </c>
      <c r="AO148" s="379">
        <f t="shared" si="46"/>
        <v>5.1427690109272554E-4</v>
      </c>
      <c r="AQ148" s="380">
        <f t="shared" si="56"/>
        <v>1.6032153325314716E-3</v>
      </c>
      <c r="AR148" s="381">
        <v>622720.01777752733</v>
      </c>
      <c r="AT148" s="382">
        <v>49.699675308475619</v>
      </c>
    </row>
    <row r="149" spans="1:46">
      <c r="A149" s="361">
        <v>2017</v>
      </c>
      <c r="B149" s="361">
        <v>1</v>
      </c>
      <c r="C149" s="362">
        <f t="shared" si="63"/>
        <v>26.112829868525239</v>
      </c>
      <c r="D149" s="389">
        <f t="shared" si="48"/>
        <v>1.3280829182176284E-2</v>
      </c>
      <c r="E149" s="387">
        <v>30957.787989516721</v>
      </c>
      <c r="F149" s="364">
        <v>3018.7763612055201</v>
      </c>
      <c r="G149" s="364">
        <v>24294.878037527571</v>
      </c>
      <c r="H149" s="364">
        <v>87.700181019450525</v>
      </c>
      <c r="I149" s="364">
        <v>9469.8056842779806</v>
      </c>
      <c r="J149" s="365">
        <f t="shared" si="57"/>
        <v>67828.948253547234</v>
      </c>
      <c r="K149" s="366">
        <v>31</v>
      </c>
      <c r="L149" s="367">
        <f t="shared" si="58"/>
        <v>1.3280829182176284E-2</v>
      </c>
      <c r="M149" s="368">
        <v>16118.107083520013</v>
      </c>
      <c r="N149" s="368">
        <v>534.4598005246005</v>
      </c>
      <c r="O149" s="368">
        <v>961.76290443757023</v>
      </c>
      <c r="P149" s="368">
        <v>192.186415015797</v>
      </c>
      <c r="Q149" s="368">
        <v>4753.2239970623978</v>
      </c>
      <c r="R149" s="368">
        <v>1563.8007155143659</v>
      </c>
      <c r="S149" s="364">
        <f>$L149*'MWh Impact Summary'!$L$23</f>
        <v>559.24870148916125</v>
      </c>
      <c r="T149" s="364">
        <f>$L149*'MWh Impact Summary'!$M$23</f>
        <v>1724.1088591221412</v>
      </c>
      <c r="U149" s="368">
        <v>3838.9679324025315</v>
      </c>
      <c r="V149" s="368">
        <v>50015.163369615853</v>
      </c>
      <c r="W149" s="368">
        <v>19027.612556247412</v>
      </c>
      <c r="X149" s="368">
        <f t="shared" si="49"/>
        <v>99288.642334951845</v>
      </c>
      <c r="Y149" s="364">
        <f t="shared" si="50"/>
        <v>167117.59058849909</v>
      </c>
      <c r="Z149" s="364"/>
      <c r="AA149" s="390">
        <v>4891015.7222528467</v>
      </c>
      <c r="AB149" s="369">
        <f t="shared" si="59"/>
        <v>34.168279162988092</v>
      </c>
      <c r="AC149" s="370">
        <f t="shared" si="51"/>
        <v>13.868069968563626</v>
      </c>
      <c r="AD149" s="371">
        <f t="shared" si="52"/>
        <v>4.4735709576011696E-4</v>
      </c>
      <c r="AE149" s="370">
        <f t="shared" si="60"/>
        <v>20.300209194424465</v>
      </c>
      <c r="AF149" s="371">
        <f t="shared" si="53"/>
        <v>6.5484545788466024E-4</v>
      </c>
      <c r="AG149" s="372">
        <f t="shared" si="61"/>
        <v>1.1022025536447772E-3</v>
      </c>
      <c r="AH149" s="373">
        <f t="shared" si="54"/>
        <v>1.1022025536447772E-3</v>
      </c>
      <c r="AI149" s="374" t="b">
        <f t="shared" si="62"/>
        <v>1</v>
      </c>
      <c r="AJ149" s="375">
        <f t="shared" si="41"/>
        <v>1.0721299382063492E-4</v>
      </c>
      <c r="AL149" s="376">
        <f t="shared" si="55"/>
        <v>50015.163369615853</v>
      </c>
      <c r="AM149" s="384"/>
      <c r="AN149" s="383">
        <f t="shared" si="47"/>
        <v>10.22592569924891</v>
      </c>
      <c r="AO149" s="379">
        <f t="shared" si="46"/>
        <v>3.2986857094351326E-4</v>
      </c>
      <c r="AQ149" s="380">
        <f t="shared" si="56"/>
        <v>1.1022025536447772E-3</v>
      </c>
      <c r="AR149" s="381">
        <v>677896.61789944256</v>
      </c>
      <c r="AT149" s="382">
        <v>34.168279162988092</v>
      </c>
    </row>
    <row r="150" spans="1:46">
      <c r="A150" s="361">
        <v>2017</v>
      </c>
      <c r="B150" s="361">
        <v>2</v>
      </c>
      <c r="C150" s="362">
        <f t="shared" si="63"/>
        <v>35.042184420393127</v>
      </c>
      <c r="D150" s="389">
        <f t="shared" si="48"/>
        <v>1.7822245532205266E-2</v>
      </c>
      <c r="E150" s="387">
        <v>41543.889399886924</v>
      </c>
      <c r="F150" s="364">
        <v>4051.0553052234727</v>
      </c>
      <c r="G150" s="364">
        <v>32602.578921871587</v>
      </c>
      <c r="H150" s="364">
        <v>117.68950100232894</v>
      </c>
      <c r="I150" s="364">
        <v>12708.031985983196</v>
      </c>
      <c r="J150" s="365">
        <f t="shared" si="57"/>
        <v>91023.24511396751</v>
      </c>
      <c r="K150" s="366">
        <v>28</v>
      </c>
      <c r="L150" s="367">
        <f t="shared" si="58"/>
        <v>1.7822245532205266E-2</v>
      </c>
      <c r="M150" s="368">
        <v>21629.738476148232</v>
      </c>
      <c r="N150" s="368">
        <v>717.21981070477136</v>
      </c>
      <c r="O150" s="368">
        <v>1290.6403953796239</v>
      </c>
      <c r="P150" s="368">
        <v>257.90509232380327</v>
      </c>
      <c r="Q150" s="368">
        <v>6378.6021176227896</v>
      </c>
      <c r="R150" s="368">
        <v>2098.5467046544964</v>
      </c>
      <c r="S150" s="364">
        <f>$L150*'MWh Impact Summary'!$L$23</f>
        <v>750.48534506288502</v>
      </c>
      <c r="T150" s="364">
        <f>$L150*'MWh Impact Summary'!$M$23</f>
        <v>2313.6726623035966</v>
      </c>
      <c r="U150" s="368">
        <v>5151.7136575601007</v>
      </c>
      <c r="V150" s="368">
        <v>67117.987113556475</v>
      </c>
      <c r="W150" s="368">
        <v>25534.157409706528</v>
      </c>
      <c r="X150" s="368">
        <f t="shared" si="49"/>
        <v>133240.6687850233</v>
      </c>
      <c r="Y150" s="364">
        <f t="shared" si="50"/>
        <v>224263.91389899081</v>
      </c>
      <c r="Z150" s="364"/>
      <c r="AA150" s="390">
        <v>4896910.5000386564</v>
      </c>
      <c r="AB150" s="369">
        <f t="shared" si="59"/>
        <v>45.797021182482396</v>
      </c>
      <c r="AC150" s="370">
        <f t="shared" si="51"/>
        <v>18.587892327876723</v>
      </c>
      <c r="AD150" s="371">
        <f t="shared" si="52"/>
        <v>6.6385329742416868E-4</v>
      </c>
      <c r="AE150" s="370">
        <f t="shared" si="60"/>
        <v>27.209128854605673</v>
      </c>
      <c r="AF150" s="371">
        <f t="shared" si="53"/>
        <v>9.7175460195020259E-4</v>
      </c>
      <c r="AG150" s="372">
        <f t="shared" si="61"/>
        <v>1.6356078993743713E-3</v>
      </c>
      <c r="AH150" s="373">
        <f t="shared" si="54"/>
        <v>1.6356078993743713E-3</v>
      </c>
      <c r="AI150" s="374" t="b">
        <f t="shared" si="62"/>
        <v>1</v>
      </c>
      <c r="AJ150" s="375">
        <f t="shared" ref="AJ150:AJ213" si="64">AH150-AH138</f>
        <v>2.1004449646274087E-4</v>
      </c>
      <c r="AL150" s="376">
        <f t="shared" si="55"/>
        <v>67117.987113556475</v>
      </c>
      <c r="AM150" s="384"/>
      <c r="AN150" s="383">
        <f t="shared" si="47"/>
        <v>13.706190283246272</v>
      </c>
      <c r="AO150" s="379">
        <f t="shared" si="46"/>
        <v>4.89506795830224E-4</v>
      </c>
      <c r="AQ150" s="380">
        <f t="shared" si="56"/>
        <v>1.6356078993743713E-3</v>
      </c>
      <c r="AR150" s="381">
        <v>629113.27704088669</v>
      </c>
      <c r="AT150" s="382">
        <v>45.797021182482396</v>
      </c>
    </row>
    <row r="151" spans="1:46">
      <c r="A151" s="361">
        <v>2017</v>
      </c>
      <c r="B151" s="361">
        <v>3</v>
      </c>
      <c r="C151" s="362">
        <f t="shared" si="63"/>
        <v>64.582270600115152</v>
      </c>
      <c r="D151" s="389">
        <f t="shared" si="48"/>
        <v>3.2846156787895278E-2</v>
      </c>
      <c r="E151" s="387">
        <v>76564.824692930866</v>
      </c>
      <c r="F151" s="364">
        <v>7466.0399819629538</v>
      </c>
      <c r="G151" s="364">
        <v>60086.110755372254</v>
      </c>
      <c r="H151" s="364">
        <v>216.90015409261014</v>
      </c>
      <c r="I151" s="364">
        <v>23420.730587676026</v>
      </c>
      <c r="J151" s="365">
        <f t="shared" si="57"/>
        <v>167754.60617203469</v>
      </c>
      <c r="K151" s="366">
        <v>31</v>
      </c>
      <c r="L151" s="367">
        <f t="shared" si="58"/>
        <v>3.2846156787895278E-2</v>
      </c>
      <c r="M151" s="368">
        <v>39863.314641520745</v>
      </c>
      <c r="N151" s="368">
        <v>1321.8263832817095</v>
      </c>
      <c r="O151" s="368">
        <v>2378.6327433782562</v>
      </c>
      <c r="P151" s="368">
        <v>475.31558711592118</v>
      </c>
      <c r="Q151" s="368">
        <v>11755.677188065009</v>
      </c>
      <c r="R151" s="368">
        <v>3867.593113519039</v>
      </c>
      <c r="S151" s="364">
        <f>$L151*'MWh Impact Summary'!$L$23</f>
        <v>1383.1343119142311</v>
      </c>
      <c r="T151" s="364">
        <f>$L151*'MWh Impact Summary'!$M$23</f>
        <v>4264.0673356545112</v>
      </c>
      <c r="U151" s="368">
        <v>9494.538396791042</v>
      </c>
      <c r="V151" s="368">
        <v>123697.53991078727</v>
      </c>
      <c r="W151" s="368">
        <v>47059.105779373735</v>
      </c>
      <c r="X151" s="368">
        <f t="shared" si="49"/>
        <v>245560.74539140146</v>
      </c>
      <c r="Y151" s="364">
        <f t="shared" si="50"/>
        <v>413315.35156343615</v>
      </c>
      <c r="Z151" s="364"/>
      <c r="AA151" s="390">
        <v>4903267.7157294145</v>
      </c>
      <c r="AB151" s="369">
        <f t="shared" si="59"/>
        <v>84.293857795596821</v>
      </c>
      <c r="AC151" s="370">
        <f t="shared" si="51"/>
        <v>34.212818042524397</v>
      </c>
      <c r="AD151" s="371">
        <f t="shared" si="52"/>
        <v>1.1036392916943354E-3</v>
      </c>
      <c r="AE151" s="370">
        <f t="shared" si="60"/>
        <v>50.081039753072432</v>
      </c>
      <c r="AF151" s="371">
        <f t="shared" si="53"/>
        <v>1.6155174113894333E-3</v>
      </c>
      <c r="AG151" s="372">
        <f t="shared" si="61"/>
        <v>2.7191567030837686E-3</v>
      </c>
      <c r="AH151" s="373">
        <f t="shared" si="54"/>
        <v>2.7191567030837686E-3</v>
      </c>
      <c r="AI151" s="374" t="b">
        <f t="shared" si="62"/>
        <v>1</v>
      </c>
      <c r="AJ151" s="375">
        <f t="shared" si="64"/>
        <v>2.6472132939060842E-4</v>
      </c>
      <c r="AL151" s="376">
        <f t="shared" si="55"/>
        <v>123697.53991078727</v>
      </c>
      <c r="AM151" s="384"/>
      <c r="AN151" s="383">
        <f t="shared" si="47"/>
        <v>25.227572117666007</v>
      </c>
      <c r="AO151" s="379">
        <f t="shared" si="46"/>
        <v>8.1379264895696806E-4</v>
      </c>
      <c r="AQ151" s="380">
        <f t="shared" si="56"/>
        <v>2.7191567030837686E-3</v>
      </c>
      <c r="AR151" s="381">
        <v>759520.3270257822</v>
      </c>
      <c r="AT151" s="382">
        <v>84.293857795596821</v>
      </c>
    </row>
    <row r="152" spans="1:46">
      <c r="A152" s="361">
        <v>2017</v>
      </c>
      <c r="B152" s="361">
        <v>4</v>
      </c>
      <c r="C152" s="362">
        <f t="shared" si="63"/>
        <v>114.03392869270741</v>
      </c>
      <c r="D152" s="389">
        <f t="shared" si="48"/>
        <v>5.7996974497419709E-2</v>
      </c>
      <c r="E152" s="387">
        <v>135191.71249745056</v>
      </c>
      <c r="F152" s="364">
        <v>13182.903961238982</v>
      </c>
      <c r="G152" s="364">
        <v>106094.98869629433</v>
      </c>
      <c r="H152" s="364">
        <v>382.98400591059192</v>
      </c>
      <c r="I152" s="364">
        <v>41354.351541820783</v>
      </c>
      <c r="J152" s="365">
        <f t="shared" si="57"/>
        <v>296206.94070271525</v>
      </c>
      <c r="K152" s="366">
        <v>30</v>
      </c>
      <c r="L152" s="367">
        <f t="shared" si="58"/>
        <v>5.7996974497419709E-2</v>
      </c>
      <c r="M152" s="368">
        <v>70387.280240314591</v>
      </c>
      <c r="N152" s="368">
        <v>2333.9695884742864</v>
      </c>
      <c r="O152" s="368">
        <v>4199.9891630327938</v>
      </c>
      <c r="P152" s="368">
        <v>839.27219133129495</v>
      </c>
      <c r="Q152" s="368">
        <v>20757.183693629719</v>
      </c>
      <c r="R152" s="368">
        <v>6829.0698549494773</v>
      </c>
      <c r="S152" s="364">
        <f>$L152*'MWh Impact Summary'!$L$23</f>
        <v>2442.2219601703368</v>
      </c>
      <c r="T152" s="364">
        <f>$L152*'MWh Impact Summary'!$M$23</f>
        <v>7529.1306108717445</v>
      </c>
      <c r="U152" s="368">
        <v>16764.655445668268</v>
      </c>
      <c r="V152" s="368">
        <v>218414.68741461207</v>
      </c>
      <c r="W152" s="368">
        <v>83093.00157647462</v>
      </c>
      <c r="X152" s="368">
        <f t="shared" si="49"/>
        <v>433590.46173952922</v>
      </c>
      <c r="Y152" s="364">
        <f t="shared" si="50"/>
        <v>729797.40244224446</v>
      </c>
      <c r="Z152" s="364"/>
      <c r="AA152" s="390">
        <v>4909023.0862381933</v>
      </c>
      <c r="AB152" s="369">
        <f t="shared" si="59"/>
        <v>148.66448774464646</v>
      </c>
      <c r="AC152" s="370">
        <f t="shared" si="51"/>
        <v>60.339284517339678</v>
      </c>
      <c r="AD152" s="371">
        <f t="shared" si="52"/>
        <v>2.0113094839113227E-3</v>
      </c>
      <c r="AE152" s="370">
        <f t="shared" si="60"/>
        <v>88.325203227306787</v>
      </c>
      <c r="AF152" s="371">
        <f t="shared" si="53"/>
        <v>2.9441734409102263E-3</v>
      </c>
      <c r="AG152" s="372">
        <f t="shared" si="61"/>
        <v>4.955482924821549E-3</v>
      </c>
      <c r="AH152" s="373">
        <f t="shared" si="54"/>
        <v>4.955482924821549E-3</v>
      </c>
      <c r="AI152" s="374" t="b">
        <f t="shared" si="62"/>
        <v>1</v>
      </c>
      <c r="AJ152" s="375">
        <f t="shared" si="64"/>
        <v>4.824760186998775E-4</v>
      </c>
      <c r="AL152" s="376">
        <f t="shared" si="55"/>
        <v>218414.68741461207</v>
      </c>
      <c r="AM152" s="384"/>
      <c r="AN152" s="383">
        <f t="shared" si="47"/>
        <v>44.492495467562414</v>
      </c>
      <c r="AO152" s="379">
        <f t="shared" si="46"/>
        <v>1.4830831822520805E-3</v>
      </c>
      <c r="AQ152" s="380">
        <f t="shared" si="56"/>
        <v>4.955482924821549E-3</v>
      </c>
      <c r="AR152" s="381">
        <v>888047.99240206345</v>
      </c>
      <c r="AT152" s="382">
        <v>148.66448774464646</v>
      </c>
    </row>
    <row r="153" spans="1:46">
      <c r="A153" s="361">
        <v>2017</v>
      </c>
      <c r="B153" s="361">
        <v>5</v>
      </c>
      <c r="C153" s="362">
        <f t="shared" si="63"/>
        <v>208.47875842628665</v>
      </c>
      <c r="D153" s="389">
        <f t="shared" si="48"/>
        <v>0.10603105035770212</v>
      </c>
      <c r="E153" s="387">
        <v>247159.77686730729</v>
      </c>
      <c r="F153" s="364">
        <v>24101.208138660222</v>
      </c>
      <c r="G153" s="364">
        <v>193964.65396064939</v>
      </c>
      <c r="H153" s="364">
        <v>700.17784149597537</v>
      </c>
      <c r="I153" s="364">
        <v>75604.72539883951</v>
      </c>
      <c r="J153" s="365">
        <f t="shared" si="57"/>
        <v>541530.54220695235</v>
      </c>
      <c r="K153" s="366">
        <v>31</v>
      </c>
      <c r="L153" s="367">
        <f t="shared" si="58"/>
        <v>0.10603105035770212</v>
      </c>
      <c r="M153" s="368">
        <v>128683.21701909689</v>
      </c>
      <c r="N153" s="368">
        <v>4267.00270338882</v>
      </c>
      <c r="O153" s="368">
        <v>7678.4912714222019</v>
      </c>
      <c r="P153" s="368">
        <v>1534.3716246237409</v>
      </c>
      <c r="Q153" s="368">
        <v>37948.634537845493</v>
      </c>
      <c r="R153" s="368">
        <v>12485.021088791942</v>
      </c>
      <c r="S153" s="364">
        <f>$L153*'MWh Impact Summary'!$L$23</f>
        <v>4464.9115214626881</v>
      </c>
      <c r="T153" s="364">
        <f>$L153*'MWh Impact Summary'!$M$23</f>
        <v>13764.884011088818</v>
      </c>
      <c r="U153" s="368">
        <v>30649.42682257092</v>
      </c>
      <c r="V153" s="368">
        <v>399309.42813492514</v>
      </c>
      <c r="W153" s="368">
        <v>151912.03180641396</v>
      </c>
      <c r="X153" s="368">
        <f t="shared" si="49"/>
        <v>792697.42054163059</v>
      </c>
      <c r="Y153" s="364">
        <f t="shared" si="50"/>
        <v>1334227.9627485829</v>
      </c>
      <c r="Z153" s="364"/>
      <c r="AA153" s="390">
        <v>4914208.6423511496</v>
      </c>
      <c r="AB153" s="369">
        <f t="shared" si="59"/>
        <v>271.50413420587614</v>
      </c>
      <c r="AC153" s="370">
        <f t="shared" si="51"/>
        <v>110.19689671699876</v>
      </c>
      <c r="AD153" s="371">
        <f t="shared" si="52"/>
        <v>3.5547386037741539E-3</v>
      </c>
      <c r="AE153" s="370">
        <f t="shared" si="60"/>
        <v>161.3072374888774</v>
      </c>
      <c r="AF153" s="371">
        <f t="shared" si="53"/>
        <v>5.2034592738347558E-3</v>
      </c>
      <c r="AG153" s="372">
        <f t="shared" si="61"/>
        <v>8.7581978776089097E-3</v>
      </c>
      <c r="AH153" s="373">
        <f t="shared" si="54"/>
        <v>8.758197877608908E-3</v>
      </c>
      <c r="AI153" s="374" t="b">
        <f t="shared" si="62"/>
        <v>1</v>
      </c>
      <c r="AJ153" s="375">
        <f t="shared" si="64"/>
        <v>8.5257671379529443E-4</v>
      </c>
      <c r="AL153" s="376">
        <f t="shared" si="55"/>
        <v>399309.42813492514</v>
      </c>
      <c r="AM153" s="384"/>
      <c r="AN153" s="383">
        <f t="shared" si="47"/>
        <v>81.256099851690436</v>
      </c>
      <c r="AO153" s="379">
        <f t="shared" si="46"/>
        <v>2.6211645113448528E-3</v>
      </c>
      <c r="AQ153" s="380">
        <f t="shared" si="56"/>
        <v>8.758197877608908E-3</v>
      </c>
      <c r="AR153" s="381">
        <v>1062138.4092348372</v>
      </c>
      <c r="AT153" s="382">
        <v>271.50413420587614</v>
      </c>
    </row>
    <row r="154" spans="1:46">
      <c r="A154" s="361">
        <v>2017</v>
      </c>
      <c r="B154" s="361">
        <v>6</v>
      </c>
      <c r="C154" s="362">
        <f t="shared" si="63"/>
        <v>271.66325293295364</v>
      </c>
      <c r="D154" s="389">
        <f t="shared" si="48"/>
        <v>0.13816630657965029</v>
      </c>
      <c r="E154" s="387">
        <v>322067.48296467983</v>
      </c>
      <c r="F154" s="364">
        <v>31405.658072727005</v>
      </c>
      <c r="G154" s="364">
        <v>252750.30054246887</v>
      </c>
      <c r="H154" s="364">
        <v>912.38355162991581</v>
      </c>
      <c r="I154" s="364">
        <v>98518.553132181914</v>
      </c>
      <c r="J154" s="365">
        <f t="shared" si="57"/>
        <v>705654.3782636876</v>
      </c>
      <c r="K154" s="366">
        <v>30</v>
      </c>
      <c r="L154" s="367">
        <f t="shared" si="58"/>
        <v>0.13816630657965029</v>
      </c>
      <c r="M154" s="368">
        <v>167683.75635566542</v>
      </c>
      <c r="N154" s="368">
        <v>5560.2203477539242</v>
      </c>
      <c r="O154" s="368">
        <v>10005.642455652842</v>
      </c>
      <c r="P154" s="368">
        <v>1999.3997944912392</v>
      </c>
      <c r="Q154" s="368">
        <v>49449.879597973799</v>
      </c>
      <c r="R154" s="368">
        <v>16268.906566406768</v>
      </c>
      <c r="S154" s="364">
        <f>$L154*'MWh Impact Summary'!$L$23</f>
        <v>5818.1101860660274</v>
      </c>
      <c r="T154" s="364">
        <f>$L154*'MWh Impact Summary'!$M$23</f>
        <v>17936.662684123581</v>
      </c>
      <c r="U154" s="368">
        <v>39938.471688923331</v>
      </c>
      <c r="V154" s="368">
        <v>520329.74003098009</v>
      </c>
      <c r="W154" s="368">
        <v>197952.62132077827</v>
      </c>
      <c r="X154" s="368">
        <f t="shared" si="49"/>
        <v>1032943.4110288152</v>
      </c>
      <c r="Y154" s="364">
        <f t="shared" si="50"/>
        <v>1738597.7892925027</v>
      </c>
      <c r="Z154" s="364"/>
      <c r="AA154" s="390">
        <v>4919416.2556081917</v>
      </c>
      <c r="AB154" s="369">
        <f t="shared" si="59"/>
        <v>353.41546617659787</v>
      </c>
      <c r="AC154" s="370">
        <f t="shared" si="51"/>
        <v>143.44270571924736</v>
      </c>
      <c r="AD154" s="371">
        <f t="shared" si="52"/>
        <v>4.781423523974912E-3</v>
      </c>
      <c r="AE154" s="370">
        <f t="shared" si="60"/>
        <v>209.97276045735055</v>
      </c>
      <c r="AF154" s="371">
        <f t="shared" si="53"/>
        <v>6.9990920152450181E-3</v>
      </c>
      <c r="AG154" s="372">
        <f t="shared" si="61"/>
        <v>1.1780515539219931E-2</v>
      </c>
      <c r="AH154" s="373">
        <f t="shared" si="54"/>
        <v>1.1780515539219929E-2</v>
      </c>
      <c r="AI154" s="374" t="b">
        <f t="shared" si="62"/>
        <v>1</v>
      </c>
      <c r="AJ154" s="375">
        <f t="shared" si="64"/>
        <v>1.1466299265462387E-3</v>
      </c>
      <c r="AL154" s="376">
        <f t="shared" si="55"/>
        <v>520329.74003098009</v>
      </c>
      <c r="AM154" s="384"/>
      <c r="AN154" s="383">
        <f t="shared" si="47"/>
        <v>105.77062663436909</v>
      </c>
      <c r="AO154" s="379">
        <f t="shared" si="46"/>
        <v>3.5256875544789697E-3</v>
      </c>
      <c r="AQ154" s="380">
        <f t="shared" si="56"/>
        <v>1.1780515539219929E-2</v>
      </c>
      <c r="AR154" s="381">
        <v>1292227.9054156456</v>
      </c>
      <c r="AT154" s="382">
        <v>353.41546617659787</v>
      </c>
    </row>
    <row r="155" spans="1:46">
      <c r="A155" s="361">
        <v>2017</v>
      </c>
      <c r="B155" s="361">
        <v>7</v>
      </c>
      <c r="C155" s="362">
        <f t="shared" si="63"/>
        <v>322.31916585708109</v>
      </c>
      <c r="D155" s="389">
        <f t="shared" si="48"/>
        <v>0.16392960109808263</v>
      </c>
      <c r="E155" s="387">
        <v>382122.06228895142</v>
      </c>
      <c r="F155" s="364">
        <v>37261.740054671056</v>
      </c>
      <c r="G155" s="364">
        <v>299879.59417198377</v>
      </c>
      <c r="H155" s="364">
        <v>1082.5119044556757</v>
      </c>
      <c r="I155" s="364">
        <v>116888.89654445968</v>
      </c>
      <c r="J155" s="365">
        <f t="shared" si="57"/>
        <v>837234.80496452167</v>
      </c>
      <c r="K155" s="366">
        <v>31</v>
      </c>
      <c r="L155" s="367">
        <f t="shared" si="58"/>
        <v>0.16392960109808263</v>
      </c>
      <c r="M155" s="368">
        <v>198951.04653583397</v>
      </c>
      <c r="N155" s="368">
        <v>6597.0114291163254</v>
      </c>
      <c r="O155" s="368">
        <v>11871.35284346371</v>
      </c>
      <c r="P155" s="368">
        <v>2372.2195292061983</v>
      </c>
      <c r="Q155" s="368">
        <v>58670.592255941425</v>
      </c>
      <c r="R155" s="368">
        <v>19302.501671748669</v>
      </c>
      <c r="S155" s="364">
        <f>$L155*'MWh Impact Summary'!$L$23</f>
        <v>6902.9889092147814</v>
      </c>
      <c r="T155" s="364">
        <f>$L155*'MWh Impact Summary'!$M$23</f>
        <v>21281.237311964956</v>
      </c>
      <c r="U155" s="368">
        <v>47385.63181218128</v>
      </c>
      <c r="V155" s="368">
        <v>617353.45493639016</v>
      </c>
      <c r="W155" s="368">
        <v>234864.02041678663</v>
      </c>
      <c r="X155" s="368">
        <f t="shared" si="49"/>
        <v>1225552.0576518481</v>
      </c>
      <c r="Y155" s="364">
        <f t="shared" si="50"/>
        <v>2062786.8626163697</v>
      </c>
      <c r="Z155" s="364"/>
      <c r="AA155" s="390">
        <v>4925689.6397420345</v>
      </c>
      <c r="AB155" s="369">
        <f t="shared" si="59"/>
        <v>418.78133083602091</v>
      </c>
      <c r="AC155" s="370">
        <f t="shared" si="51"/>
        <v>169.97311365487673</v>
      </c>
      <c r="AD155" s="371">
        <f t="shared" si="52"/>
        <v>5.4830036662863466E-3</v>
      </c>
      <c r="AE155" s="370">
        <f t="shared" si="60"/>
        <v>248.80821718114422</v>
      </c>
      <c r="AF155" s="371">
        <f t="shared" si="53"/>
        <v>8.0260715219723933E-3</v>
      </c>
      <c r="AG155" s="372">
        <f t="shared" si="61"/>
        <v>1.3509075188258741E-2</v>
      </c>
      <c r="AH155" s="373">
        <f t="shared" si="54"/>
        <v>1.3509075188258739E-2</v>
      </c>
      <c r="AI155" s="374" t="b">
        <f t="shared" si="62"/>
        <v>1</v>
      </c>
      <c r="AJ155" s="375">
        <f t="shared" si="64"/>
        <v>1.3159956900128337E-3</v>
      </c>
      <c r="AL155" s="376">
        <f t="shared" si="55"/>
        <v>617353.45493639016</v>
      </c>
      <c r="AM155" s="384"/>
      <c r="AN155" s="383">
        <f t="shared" si="47"/>
        <v>125.33340508410957</v>
      </c>
      <c r="AO155" s="379">
        <f t="shared" si="46"/>
        <v>4.0430130672293417E-3</v>
      </c>
      <c r="AQ155" s="380">
        <f t="shared" si="56"/>
        <v>1.3509075188258739E-2</v>
      </c>
      <c r="AR155" s="381">
        <v>1357227.0173592614</v>
      </c>
      <c r="AT155" s="382">
        <v>418.78133083602091</v>
      </c>
    </row>
    <row r="156" spans="1:46">
      <c r="A156" s="361">
        <v>2017</v>
      </c>
      <c r="B156" s="361">
        <v>8</v>
      </c>
      <c r="C156" s="362">
        <f t="shared" si="63"/>
        <v>326.45437890907908</v>
      </c>
      <c r="D156" s="389">
        <f t="shared" si="48"/>
        <v>0.16603274573816959</v>
      </c>
      <c r="E156" s="387">
        <v>387024.52018416178</v>
      </c>
      <c r="F156" s="364">
        <v>37739.791781457156</v>
      </c>
      <c r="G156" s="364">
        <v>303726.91739444988</v>
      </c>
      <c r="H156" s="364">
        <v>1096.4000557989104</v>
      </c>
      <c r="I156" s="364">
        <v>118388.52964675748</v>
      </c>
      <c r="J156" s="365">
        <f t="shared" si="57"/>
        <v>847976.15906262526</v>
      </c>
      <c r="K156" s="366">
        <v>31</v>
      </c>
      <c r="L156" s="367">
        <f t="shared" si="58"/>
        <v>0.16603274573816959</v>
      </c>
      <c r="M156" s="368">
        <v>201503.50090867892</v>
      </c>
      <c r="N156" s="368">
        <v>6681.6481825446281</v>
      </c>
      <c r="O156" s="368">
        <v>12023.657076110341</v>
      </c>
      <c r="P156" s="368">
        <v>2402.6540618015315</v>
      </c>
      <c r="Q156" s="368">
        <v>59423.310134880092</v>
      </c>
      <c r="R156" s="368">
        <v>19550.144273568447</v>
      </c>
      <c r="S156" s="364">
        <f>$L156*'MWh Impact Summary'!$L$23</f>
        <v>6991.5512190584341</v>
      </c>
      <c r="T156" s="364">
        <f>$L156*'MWh Impact Summary'!$M$23</f>
        <v>21554.266221248388</v>
      </c>
      <c r="U156" s="368">
        <v>47993.56861490244</v>
      </c>
      <c r="V156" s="368">
        <v>625273.82807883306</v>
      </c>
      <c r="W156" s="368">
        <v>237877.22243997277</v>
      </c>
      <c r="X156" s="368">
        <f t="shared" si="49"/>
        <v>1241275.3512115991</v>
      </c>
      <c r="Y156" s="364">
        <f t="shared" si="50"/>
        <v>2089251.5102742244</v>
      </c>
      <c r="Z156" s="364"/>
      <c r="AA156" s="390">
        <v>4932512.8426490845</v>
      </c>
      <c r="AB156" s="369">
        <f t="shared" si="59"/>
        <v>423.5673736537417</v>
      </c>
      <c r="AC156" s="370">
        <f t="shared" si="51"/>
        <v>171.91565153780851</v>
      </c>
      <c r="AD156" s="371">
        <f t="shared" si="52"/>
        <v>5.5456661786389841E-3</v>
      </c>
      <c r="AE156" s="370">
        <f t="shared" si="60"/>
        <v>251.65172211593318</v>
      </c>
      <c r="AF156" s="371">
        <f t="shared" si="53"/>
        <v>8.1177974876107482E-3</v>
      </c>
      <c r="AG156" s="372">
        <f t="shared" si="61"/>
        <v>1.3663463666249733E-2</v>
      </c>
      <c r="AH156" s="373">
        <f t="shared" si="54"/>
        <v>1.3663463666249733E-2</v>
      </c>
      <c r="AI156" s="374" t="b">
        <f t="shared" si="62"/>
        <v>1</v>
      </c>
      <c r="AJ156" s="375">
        <f t="shared" si="64"/>
        <v>1.3328432143250406E-3</v>
      </c>
      <c r="AL156" s="376">
        <f t="shared" si="55"/>
        <v>625273.82807883306</v>
      </c>
      <c r="AM156" s="384"/>
      <c r="AN156" s="383">
        <f t="shared" si="47"/>
        <v>126.76577801731983</v>
      </c>
      <c r="AO156" s="379">
        <f t="shared" si="46"/>
        <v>4.0892186457199943E-3</v>
      </c>
      <c r="AQ156" s="380">
        <f t="shared" si="56"/>
        <v>1.3663463666249733E-2</v>
      </c>
      <c r="AR156" s="381">
        <v>1410892.9277387722</v>
      </c>
      <c r="AT156" s="382">
        <v>423.5673736537417</v>
      </c>
    </row>
    <row r="157" spans="1:46">
      <c r="A157" s="361">
        <v>2017</v>
      </c>
      <c r="B157" s="361">
        <v>9</v>
      </c>
      <c r="C157" s="362">
        <f t="shared" si="63"/>
        <v>277.87653293728147</v>
      </c>
      <c r="D157" s="389">
        <f t="shared" si="48"/>
        <v>0.14132634365008559</v>
      </c>
      <c r="E157" s="387">
        <v>329433.57105478499</v>
      </c>
      <c r="F157" s="364">
        <v>32123.944941559395</v>
      </c>
      <c r="G157" s="364">
        <v>258531.01755698523</v>
      </c>
      <c r="H157" s="364">
        <v>933.25091008350421</v>
      </c>
      <c r="I157" s="364">
        <v>100771.79625440342</v>
      </c>
      <c r="J157" s="365">
        <f t="shared" si="57"/>
        <v>721793.5807178166</v>
      </c>
      <c r="K157" s="366">
        <v>30</v>
      </c>
      <c r="L157" s="367">
        <f t="shared" si="58"/>
        <v>0.14132634365008559</v>
      </c>
      <c r="M157" s="368">
        <v>171518.89459820266</v>
      </c>
      <c r="N157" s="368">
        <v>5687.3895748517189</v>
      </c>
      <c r="O157" s="368">
        <v>10234.484073092741</v>
      </c>
      <c r="P157" s="368">
        <v>2045.1285805145576</v>
      </c>
      <c r="Q157" s="368">
        <v>50580.860489961931</v>
      </c>
      <c r="R157" s="368">
        <v>16640.996905346648</v>
      </c>
      <c r="S157" s="364">
        <f>$L157*'MWh Impact Summary'!$L$23</f>
        <v>5951.1776778661861</v>
      </c>
      <c r="T157" s="364">
        <f>$L157*'MWh Impact Summary'!$M$23</f>
        <v>18346.896701409474</v>
      </c>
      <c r="U157" s="368">
        <v>40851.9147286761</v>
      </c>
      <c r="V157" s="368">
        <v>532230.33510406304</v>
      </c>
      <c r="W157" s="368">
        <v>202480.04654512476</v>
      </c>
      <c r="X157" s="368">
        <f t="shared" si="49"/>
        <v>1056568.12497911</v>
      </c>
      <c r="Y157" s="364">
        <f t="shared" si="50"/>
        <v>1778361.7056969265</v>
      </c>
      <c r="Z157" s="364"/>
      <c r="AA157" s="390">
        <v>4937360.4766257806</v>
      </c>
      <c r="AB157" s="369">
        <f t="shared" si="59"/>
        <v>360.18470073553726</v>
      </c>
      <c r="AC157" s="370">
        <f t="shared" si="51"/>
        <v>146.19017269144067</v>
      </c>
      <c r="AD157" s="371">
        <f t="shared" si="52"/>
        <v>4.8730057563813557E-3</v>
      </c>
      <c r="AE157" s="370">
        <f t="shared" si="60"/>
        <v>213.99452804409665</v>
      </c>
      <c r="AF157" s="371">
        <f t="shared" si="53"/>
        <v>7.1331509348032222E-3</v>
      </c>
      <c r="AG157" s="372">
        <f t="shared" si="61"/>
        <v>1.2006156691184579E-2</v>
      </c>
      <c r="AH157" s="373">
        <f t="shared" si="54"/>
        <v>1.2006156691184575E-2</v>
      </c>
      <c r="AI157" s="374" t="b">
        <f t="shared" si="62"/>
        <v>1</v>
      </c>
      <c r="AJ157" s="375">
        <f t="shared" si="64"/>
        <v>1.1706314264448934E-3</v>
      </c>
      <c r="AL157" s="376">
        <f t="shared" si="55"/>
        <v>532230.33510406304</v>
      </c>
      <c r="AM157" s="384"/>
      <c r="AN157" s="383">
        <f t="shared" si="47"/>
        <v>107.79653169415577</v>
      </c>
      <c r="AO157" s="379">
        <f t="shared" si="46"/>
        <v>3.5932177231385257E-3</v>
      </c>
      <c r="AQ157" s="380">
        <f t="shared" si="56"/>
        <v>1.2006156691184575E-2</v>
      </c>
      <c r="AR157" s="381">
        <v>1334004.0496220316</v>
      </c>
      <c r="AT157" s="382">
        <v>360.18470073553726</v>
      </c>
    </row>
    <row r="158" spans="1:46">
      <c r="A158" s="361">
        <v>2017</v>
      </c>
      <c r="B158" s="361">
        <v>10</v>
      </c>
      <c r="C158" s="362">
        <f t="shared" si="63"/>
        <v>198.89039579254836</v>
      </c>
      <c r="D158" s="389">
        <f t="shared" si="48"/>
        <v>0.10115446643644242</v>
      </c>
      <c r="E158" s="387">
        <v>235792.39542774681</v>
      </c>
      <c r="F158" s="364">
        <v>22992.74449809999</v>
      </c>
      <c r="G158" s="364">
        <v>185043.82454694269</v>
      </c>
      <c r="H158" s="364">
        <v>667.9752367651663</v>
      </c>
      <c r="I158" s="364">
        <v>72127.510120791922</v>
      </c>
      <c r="J158" s="365">
        <f t="shared" si="57"/>
        <v>516624.44983034657</v>
      </c>
      <c r="K158" s="366">
        <v>31</v>
      </c>
      <c r="L158" s="367">
        <f t="shared" si="58"/>
        <v>0.10115446643644242</v>
      </c>
      <c r="M158" s="368">
        <v>122764.81382555806</v>
      </c>
      <c r="N158" s="368">
        <v>4070.7545599900782</v>
      </c>
      <c r="O158" s="368">
        <v>7325.3418218276911</v>
      </c>
      <c r="P158" s="368">
        <v>1463.8027491044036</v>
      </c>
      <c r="Q158" s="368">
        <v>36203.299559113249</v>
      </c>
      <c r="R158" s="368">
        <v>11910.809545165859</v>
      </c>
      <c r="S158" s="364">
        <f>$L158*'MWh Impact Summary'!$L$23</f>
        <v>4259.5611485110121</v>
      </c>
      <c r="T158" s="364">
        <f>$L158*'MWh Impact Summary'!$M$23</f>
        <v>13131.808965429756</v>
      </c>
      <c r="U158" s="368">
        <v>29239.797270335537</v>
      </c>
      <c r="V158" s="368">
        <v>380944.37440508878</v>
      </c>
      <c r="W158" s="368">
        <v>144925.28811903298</v>
      </c>
      <c r="X158" s="368">
        <f t="shared" si="49"/>
        <v>756239.65196915739</v>
      </c>
      <c r="Y158" s="364">
        <f t="shared" si="50"/>
        <v>1272864.1017995039</v>
      </c>
      <c r="Z158" s="364"/>
      <c r="AA158" s="390">
        <v>4942855.5525092389</v>
      </c>
      <c r="AB158" s="369">
        <f t="shared" si="59"/>
        <v>257.51594160046511</v>
      </c>
      <c r="AC158" s="370">
        <f t="shared" si="51"/>
        <v>104.51943099330151</v>
      </c>
      <c r="AD158" s="371">
        <f t="shared" si="52"/>
        <v>3.3715945481710167E-3</v>
      </c>
      <c r="AE158" s="370">
        <f t="shared" si="60"/>
        <v>152.9965106071636</v>
      </c>
      <c r="AF158" s="371">
        <f t="shared" si="53"/>
        <v>4.9353713099085034E-3</v>
      </c>
      <c r="AG158" s="372">
        <f t="shared" si="61"/>
        <v>8.3069658580795201E-3</v>
      </c>
      <c r="AH158" s="373">
        <f t="shared" si="54"/>
        <v>8.3069658580795201E-3</v>
      </c>
      <c r="AI158" s="374" t="b">
        <f t="shared" si="62"/>
        <v>1</v>
      </c>
      <c r="AJ158" s="375">
        <f t="shared" si="64"/>
        <v>8.1005818078609421E-4</v>
      </c>
      <c r="AL158" s="376">
        <f t="shared" si="55"/>
        <v>380944.37440508878</v>
      </c>
      <c r="AM158" s="384"/>
      <c r="AN158" s="383">
        <f t="shared" si="47"/>
        <v>77.069695919336041</v>
      </c>
      <c r="AO158" s="379">
        <f t="shared" si="46"/>
        <v>2.4861192232043883E-3</v>
      </c>
      <c r="AQ158" s="380">
        <f t="shared" si="56"/>
        <v>8.3069658580795201E-3</v>
      </c>
      <c r="AR158" s="381">
        <v>1078209.4451565538</v>
      </c>
      <c r="AT158" s="382">
        <v>257.51594160046511</v>
      </c>
    </row>
    <row r="159" spans="1:46">
      <c r="A159" s="361">
        <v>2017</v>
      </c>
      <c r="B159" s="361">
        <v>11</v>
      </c>
      <c r="C159" s="362">
        <f t="shared" si="63"/>
        <v>78.117279066674627</v>
      </c>
      <c r="D159" s="389">
        <f t="shared" si="48"/>
        <v>3.9729981188725644E-2</v>
      </c>
      <c r="E159" s="387">
        <v>92611.110164622121</v>
      </c>
      <c r="F159" s="364">
        <v>9030.7560166971034</v>
      </c>
      <c r="G159" s="364">
        <v>72678.824053302407</v>
      </c>
      <c r="H159" s="364">
        <v>262.35760541418529</v>
      </c>
      <c r="I159" s="364">
        <v>28329.195153129658</v>
      </c>
      <c r="J159" s="365">
        <f t="shared" si="57"/>
        <v>202912.24299316548</v>
      </c>
      <c r="K159" s="366">
        <v>30</v>
      </c>
      <c r="L159" s="367">
        <f t="shared" si="58"/>
        <v>3.9729981188725644E-2</v>
      </c>
      <c r="M159" s="368">
        <v>48217.779360157394</v>
      </c>
      <c r="N159" s="368">
        <v>1598.8518133694481</v>
      </c>
      <c r="O159" s="368">
        <v>2877.141297216604</v>
      </c>
      <c r="P159" s="368">
        <v>574.93116947499368</v>
      </c>
      <c r="Q159" s="368">
        <v>14219.405836687594</v>
      </c>
      <c r="R159" s="368">
        <v>4678.1546662525834</v>
      </c>
      <c r="S159" s="364">
        <f>$L159*'MWh Impact Summary'!$L$23</f>
        <v>1673.008521169962</v>
      </c>
      <c r="T159" s="364">
        <f>$L159*'MWh Impact Summary'!$M$23</f>
        <v>5157.7210730311672</v>
      </c>
      <c r="U159" s="368">
        <v>11484.382612432659</v>
      </c>
      <c r="V159" s="368">
        <v>149621.79488707634</v>
      </c>
      <c r="W159" s="368">
        <v>56921.648381761042</v>
      </c>
      <c r="X159" s="368">
        <f t="shared" si="49"/>
        <v>297024.81961862976</v>
      </c>
      <c r="Y159" s="364">
        <f t="shared" si="50"/>
        <v>499937.06261179526</v>
      </c>
      <c r="Z159" s="364"/>
      <c r="AA159" s="390">
        <v>4948496.4210517863</v>
      </c>
      <c r="AB159" s="369">
        <f t="shared" si="59"/>
        <v>101.02807399940188</v>
      </c>
      <c r="AC159" s="370">
        <f t="shared" si="51"/>
        <v>41.00482767451151</v>
      </c>
      <c r="AD159" s="371">
        <f t="shared" si="52"/>
        <v>1.3668275891503836E-3</v>
      </c>
      <c r="AE159" s="370">
        <f t="shared" si="60"/>
        <v>60.023246324890366</v>
      </c>
      <c r="AF159" s="371">
        <f t="shared" si="53"/>
        <v>2.0007748774963459E-3</v>
      </c>
      <c r="AG159" s="372">
        <f t="shared" si="61"/>
        <v>3.3676024666467294E-3</v>
      </c>
      <c r="AH159" s="373">
        <f t="shared" si="54"/>
        <v>3.3676024666467294E-3</v>
      </c>
      <c r="AI159" s="374" t="b">
        <f t="shared" si="62"/>
        <v>1</v>
      </c>
      <c r="AJ159" s="375">
        <f t="shared" si="64"/>
        <v>3.2848110117017753E-4</v>
      </c>
      <c r="AL159" s="376">
        <f t="shared" si="55"/>
        <v>149621.79488707634</v>
      </c>
      <c r="AM159" s="384"/>
      <c r="AN159" s="383">
        <f t="shared" si="47"/>
        <v>30.235809457304757</v>
      </c>
      <c r="AO159" s="379">
        <f t="shared" si="46"/>
        <v>1.0078603152434919E-3</v>
      </c>
      <c r="AQ159" s="380">
        <f t="shared" si="56"/>
        <v>3.3676024666467294E-3</v>
      </c>
      <c r="AR159" s="381">
        <v>837522.03634758166</v>
      </c>
      <c r="AT159" s="382">
        <v>101.02807399940188</v>
      </c>
    </row>
    <row r="160" spans="1:46">
      <c r="A160" s="361">
        <v>2017</v>
      </c>
      <c r="B160" s="361">
        <v>12</v>
      </c>
      <c r="C160" s="362">
        <f t="shared" si="63"/>
        <v>42.633806123140985</v>
      </c>
      <c r="D160" s="389">
        <f t="shared" si="48"/>
        <v>2.1683298951445065E-2</v>
      </c>
      <c r="E160" s="387">
        <v>50544.055845024304</v>
      </c>
      <c r="F160" s="364">
        <v>4928.6855067319357</v>
      </c>
      <c r="G160" s="364">
        <v>39665.678720090546</v>
      </c>
      <c r="H160" s="364">
        <v>143.18603281884697</v>
      </c>
      <c r="I160" s="364">
        <v>15461.13008816257</v>
      </c>
      <c r="J160" s="365">
        <f t="shared" si="57"/>
        <v>110742.73619282819</v>
      </c>
      <c r="K160" s="366">
        <v>31</v>
      </c>
      <c r="L160" s="367">
        <f t="shared" si="58"/>
        <v>2.1683298951445065E-2</v>
      </c>
      <c r="M160" s="368">
        <v>26315.656170957423</v>
      </c>
      <c r="N160" s="368">
        <v>872.60000662139248</v>
      </c>
      <c r="O160" s="368">
        <v>1570.2477828204867</v>
      </c>
      <c r="P160" s="368">
        <v>313.77826143466342</v>
      </c>
      <c r="Q160" s="368">
        <v>7760.4775648953582</v>
      </c>
      <c r="R160" s="368">
        <v>2553.1808255232186</v>
      </c>
      <c r="S160" s="364">
        <f>$L160*'MWh Impact Summary'!$L$23</f>
        <v>913.07226501123034</v>
      </c>
      <c r="T160" s="364">
        <f>$L160*'MWh Impact Summary'!$M$23</f>
        <v>2814.9121793805216</v>
      </c>
      <c r="U160" s="368">
        <v>6267.7930874233671</v>
      </c>
      <c r="V160" s="368">
        <v>81658.586566583108</v>
      </c>
      <c r="W160" s="368">
        <v>31065.937655691927</v>
      </c>
      <c r="X160" s="368">
        <f t="shared" si="49"/>
        <v>162106.24236634269</v>
      </c>
      <c r="Y160" s="364">
        <f t="shared" si="50"/>
        <v>272848.97855917085</v>
      </c>
      <c r="Z160" s="364">
        <f>SUM(Y149:Y160)</f>
        <v>12583370.232092246</v>
      </c>
      <c r="AA160" s="390">
        <v>4954254.5070241485</v>
      </c>
      <c r="AB160" s="369">
        <f t="shared" si="59"/>
        <v>55.073670150034722</v>
      </c>
      <c r="AC160" s="370">
        <f t="shared" si="51"/>
        <v>22.353057566141789</v>
      </c>
      <c r="AD160" s="371">
        <f t="shared" si="52"/>
        <v>7.2106637310134802E-4</v>
      </c>
      <c r="AE160" s="370">
        <f t="shared" si="60"/>
        <v>32.720612583892944</v>
      </c>
      <c r="AF160" s="371">
        <f t="shared" si="53"/>
        <v>1.055503631738482E-3</v>
      </c>
      <c r="AG160" s="372">
        <f t="shared" si="61"/>
        <v>1.77657000483983E-3</v>
      </c>
      <c r="AH160" s="373">
        <f t="shared" si="54"/>
        <v>1.7765700048398298E-3</v>
      </c>
      <c r="AI160" s="374" t="b">
        <f t="shared" si="62"/>
        <v>1</v>
      </c>
      <c r="AJ160" s="375">
        <f t="shared" si="64"/>
        <v>1.733546723083582E-4</v>
      </c>
      <c r="AL160" s="376">
        <f t="shared" si="55"/>
        <v>81658.586566583108</v>
      </c>
      <c r="AM160" s="377">
        <f>SUM(AL149:AL160)</f>
        <v>3765966.9199525113</v>
      </c>
      <c r="AN160" s="383">
        <f t="shared" si="47"/>
        <v>16.48251749093783</v>
      </c>
      <c r="AO160" s="379">
        <f t="shared" si="46"/>
        <v>5.3169411261089769E-4</v>
      </c>
      <c r="AQ160" s="380">
        <f t="shared" si="56"/>
        <v>1.7765700048398298E-3</v>
      </c>
      <c r="AR160" s="381">
        <v>693785.17810445942</v>
      </c>
      <c r="AT160" s="382">
        <v>55.073670150034722</v>
      </c>
    </row>
    <row r="161" spans="1:46">
      <c r="A161" s="361">
        <v>2018</v>
      </c>
      <c r="B161" s="361">
        <v>1</v>
      </c>
      <c r="C161" s="362">
        <f t="shared" si="63"/>
        <v>26.112829868525239</v>
      </c>
      <c r="D161" s="389">
        <f t="shared" si="48"/>
        <v>1.3280829182176284E-2</v>
      </c>
      <c r="E161" s="387">
        <v>34436.708096721777</v>
      </c>
      <c r="F161" s="364">
        <v>3746.203134958469</v>
      </c>
      <c r="G161" s="364">
        <v>26459.338190352402</v>
      </c>
      <c r="H161" s="364">
        <v>98.953301802887808</v>
      </c>
      <c r="I161" s="364">
        <v>10239.888238488184</v>
      </c>
      <c r="J161" s="365">
        <f t="shared" si="57"/>
        <v>74981.090962323724</v>
      </c>
      <c r="K161" s="366">
        <v>31</v>
      </c>
      <c r="L161" s="367">
        <f t="shared" si="58"/>
        <v>1.3280829182176284E-2</v>
      </c>
      <c r="M161" s="368">
        <v>17823.766301983174</v>
      </c>
      <c r="N161" s="368">
        <v>879.43221910974682</v>
      </c>
      <c r="O161" s="368">
        <v>1144.0897097396432</v>
      </c>
      <c r="P161" s="368">
        <v>206.66604838980902</v>
      </c>
      <c r="Q161" s="368">
        <v>5428.8758563194424</v>
      </c>
      <c r="R161" s="368">
        <v>2079.7709064309274</v>
      </c>
      <c r="S161" s="364">
        <f>$L161*'MWh Impact Summary'!$L$24</f>
        <v>758.99522054133035</v>
      </c>
      <c r="T161" s="364">
        <f>$L161*'MWh Impact Summary'!$M$24</f>
        <v>2417.7803861976868</v>
      </c>
      <c r="U161" s="368">
        <v>6395.7072858164556</v>
      </c>
      <c r="V161" s="368">
        <v>51504.156142219392</v>
      </c>
      <c r="W161" s="368">
        <v>19216.799936044055</v>
      </c>
      <c r="X161" s="368">
        <f t="shared" si="49"/>
        <v>107856.04001279167</v>
      </c>
      <c r="Y161" s="364">
        <f t="shared" si="50"/>
        <v>182837.1309751154</v>
      </c>
      <c r="Z161" s="364"/>
      <c r="AA161" s="390">
        <v>4960404.0012794416</v>
      </c>
      <c r="AB161" s="369">
        <f t="shared" si="59"/>
        <v>36.859322532591314</v>
      </c>
      <c r="AC161" s="370">
        <f t="shared" si="51"/>
        <v>15.115924215645295</v>
      </c>
      <c r="AD161" s="371">
        <f t="shared" si="52"/>
        <v>4.8761045856920304E-4</v>
      </c>
      <c r="AE161" s="370">
        <f t="shared" si="60"/>
        <v>21.74339831694601</v>
      </c>
      <c r="AF161" s="371">
        <f t="shared" si="53"/>
        <v>7.013999457079358E-4</v>
      </c>
      <c r="AG161" s="372">
        <f t="shared" si="61"/>
        <v>1.1890104042771388E-3</v>
      </c>
      <c r="AH161" s="373">
        <f t="shared" si="54"/>
        <v>1.1890104042771392E-3</v>
      </c>
      <c r="AI161" s="374" t="b">
        <f t="shared" si="62"/>
        <v>1</v>
      </c>
      <c r="AJ161" s="375">
        <f t="shared" si="64"/>
        <v>8.6807850632362018E-5</v>
      </c>
      <c r="AL161" s="376">
        <f t="shared" si="55"/>
        <v>51504.156142219392</v>
      </c>
      <c r="AM161" s="384"/>
      <c r="AN161" s="383">
        <f t="shared" si="47"/>
        <v>10.383056728632361</v>
      </c>
      <c r="AO161" s="379">
        <f t="shared" si="46"/>
        <v>3.3493731382685041E-4</v>
      </c>
      <c r="AQ161" s="380">
        <f t="shared" si="56"/>
        <v>1.1890104042771392E-3</v>
      </c>
      <c r="AR161" s="381">
        <v>720512.05106462038</v>
      </c>
      <c r="AT161" s="382">
        <v>36.859322532591314</v>
      </c>
    </row>
    <row r="162" spans="1:46">
      <c r="A162" s="361">
        <v>2018</v>
      </c>
      <c r="B162" s="361">
        <v>2</v>
      </c>
      <c r="C162" s="362">
        <f t="shared" si="63"/>
        <v>35.042184420393127</v>
      </c>
      <c r="D162" s="389">
        <f t="shared" si="48"/>
        <v>1.7822245532205266E-2</v>
      </c>
      <c r="E162" s="387">
        <v>46212.435880459474</v>
      </c>
      <c r="F162" s="364">
        <v>5027.2276805088959</v>
      </c>
      <c r="G162" s="364">
        <v>35507.182223304713</v>
      </c>
      <c r="H162" s="364">
        <v>132.7906576285387</v>
      </c>
      <c r="I162" s="364">
        <v>13741.446404084538</v>
      </c>
      <c r="J162" s="365">
        <f t="shared" si="57"/>
        <v>100621.08284598617</v>
      </c>
      <c r="K162" s="366">
        <v>28</v>
      </c>
      <c r="L162" s="367">
        <f t="shared" si="58"/>
        <v>1.7822245532205266E-2</v>
      </c>
      <c r="M162" s="368">
        <v>23918.652592031656</v>
      </c>
      <c r="N162" s="368">
        <v>1180.1565040035921</v>
      </c>
      <c r="O162" s="368">
        <v>1535.3143571196883</v>
      </c>
      <c r="P162" s="368">
        <v>277.33607646403215</v>
      </c>
      <c r="Q162" s="368">
        <v>7285.2950028931364</v>
      </c>
      <c r="R162" s="368">
        <v>2790.954332497121</v>
      </c>
      <c r="S162" s="364">
        <f>$L162*'MWh Impact Summary'!$L$24</f>
        <v>1018.5357399530421</v>
      </c>
      <c r="T162" s="364">
        <f>$L162*'MWh Impact Summary'!$M$24</f>
        <v>3244.5470907490576</v>
      </c>
      <c r="U162" s="368">
        <v>8582.7371195249816</v>
      </c>
      <c r="V162" s="368">
        <v>69116.145091872619</v>
      </c>
      <c r="W162" s="368">
        <v>25788.037938405403</v>
      </c>
      <c r="X162" s="368">
        <f t="shared" si="49"/>
        <v>144737.71184551434</v>
      </c>
      <c r="Y162" s="364">
        <f t="shared" si="50"/>
        <v>245358.79469150049</v>
      </c>
      <c r="Z162" s="364"/>
      <c r="AA162" s="390">
        <v>4966174.0780797284</v>
      </c>
      <c r="AB162" s="369">
        <f t="shared" si="59"/>
        <v>49.405999635512863</v>
      </c>
      <c r="AC162" s="370">
        <f t="shared" si="51"/>
        <v>20.261287917819697</v>
      </c>
      <c r="AD162" s="371">
        <f t="shared" si="52"/>
        <v>7.2361742563641768E-4</v>
      </c>
      <c r="AE162" s="370">
        <f t="shared" si="60"/>
        <v>29.14471171769317</v>
      </c>
      <c r="AF162" s="371">
        <f t="shared" si="53"/>
        <v>1.0408825613461847E-3</v>
      </c>
      <c r="AG162" s="372">
        <f t="shared" si="61"/>
        <v>1.7644999869826025E-3</v>
      </c>
      <c r="AH162" s="373">
        <f t="shared" si="54"/>
        <v>1.7644999869826023E-3</v>
      </c>
      <c r="AI162" s="374" t="b">
        <f t="shared" si="62"/>
        <v>1</v>
      </c>
      <c r="AJ162" s="375">
        <f t="shared" si="64"/>
        <v>1.2889208760823103E-4</v>
      </c>
      <c r="AL162" s="376">
        <f t="shared" si="55"/>
        <v>69116.145091872619</v>
      </c>
      <c r="AM162" s="384"/>
      <c r="AN162" s="383">
        <f t="shared" si="47"/>
        <v>13.917382678336917</v>
      </c>
      <c r="AO162" s="379">
        <f t="shared" si="46"/>
        <v>4.9704938136917556E-4</v>
      </c>
      <c r="AQ162" s="380">
        <f t="shared" si="56"/>
        <v>1.7644999869826023E-3</v>
      </c>
      <c r="AR162" s="381">
        <v>669054.7350160582</v>
      </c>
      <c r="AT162" s="382">
        <v>49.405999635512863</v>
      </c>
    </row>
    <row r="163" spans="1:46">
      <c r="A163" s="361">
        <v>2018</v>
      </c>
      <c r="B163" s="361">
        <v>3</v>
      </c>
      <c r="C163" s="362">
        <f t="shared" si="63"/>
        <v>64.582270600115152</v>
      </c>
      <c r="D163" s="389">
        <f t="shared" si="48"/>
        <v>3.2846156787895278E-2</v>
      </c>
      <c r="E163" s="387">
        <v>85168.892535861567</v>
      </c>
      <c r="F163" s="364">
        <v>9265.1124295228055</v>
      </c>
      <c r="G163" s="364">
        <v>65439.255243989661</v>
      </c>
      <c r="H163" s="364">
        <v>244.73138093362394</v>
      </c>
      <c r="I163" s="364">
        <v>25325.299343756233</v>
      </c>
      <c r="J163" s="365">
        <f t="shared" si="57"/>
        <v>185443.2909340639</v>
      </c>
      <c r="K163" s="366">
        <v>31</v>
      </c>
      <c r="L163" s="367">
        <f t="shared" si="58"/>
        <v>3.2846156787895278E-2</v>
      </c>
      <c r="M163" s="368">
        <v>44081.752311929777</v>
      </c>
      <c r="N163" s="368">
        <v>2175.0124300952702</v>
      </c>
      <c r="O163" s="368">
        <v>2829.5635362857661</v>
      </c>
      <c r="P163" s="368">
        <v>511.12662733864505</v>
      </c>
      <c r="Q163" s="368">
        <v>13426.699877896277</v>
      </c>
      <c r="R163" s="368">
        <v>5143.6909803201906</v>
      </c>
      <c r="S163" s="364">
        <f>$L163*'MWh Impact Summary'!$L$24</f>
        <v>1877.147554056447</v>
      </c>
      <c r="T163" s="364">
        <f>$L163*'MWh Impact Summary'!$M$24</f>
        <v>5979.6562815766747</v>
      </c>
      <c r="U163" s="368">
        <v>15817.868101288785</v>
      </c>
      <c r="V163" s="368">
        <v>127380.11796326429</v>
      </c>
      <c r="W163" s="368">
        <v>47527.004150315159</v>
      </c>
      <c r="X163" s="368">
        <f t="shared" si="49"/>
        <v>266749.63981436728</v>
      </c>
      <c r="Y163" s="364">
        <f t="shared" si="50"/>
        <v>452192.93074843119</v>
      </c>
      <c r="Z163" s="364"/>
      <c r="AA163" s="390">
        <v>4972258.3870254578</v>
      </c>
      <c r="AB163" s="369">
        <f t="shared" si="59"/>
        <v>90.943168184577289</v>
      </c>
      <c r="AC163" s="370">
        <f t="shared" si="51"/>
        <v>37.295586130028376</v>
      </c>
      <c r="AD163" s="371">
        <f t="shared" si="52"/>
        <v>1.2030834235493024E-3</v>
      </c>
      <c r="AE163" s="370">
        <f t="shared" si="60"/>
        <v>53.64758205454892</v>
      </c>
      <c r="AF163" s="371">
        <f t="shared" si="53"/>
        <v>1.7305671630499652E-3</v>
      </c>
      <c r="AG163" s="372">
        <f t="shared" si="61"/>
        <v>2.9336505865992677E-3</v>
      </c>
      <c r="AH163" s="373">
        <f t="shared" si="54"/>
        <v>2.9336505865992673E-3</v>
      </c>
      <c r="AI163" s="374" t="b">
        <f t="shared" si="62"/>
        <v>1</v>
      </c>
      <c r="AJ163" s="375">
        <f t="shared" si="64"/>
        <v>2.1449388351549867E-4</v>
      </c>
      <c r="AL163" s="376">
        <f t="shared" si="55"/>
        <v>127380.11796326429</v>
      </c>
      <c r="AM163" s="384"/>
      <c r="AN163" s="383">
        <f t="shared" si="47"/>
        <v>25.618161416479925</v>
      </c>
      <c r="AO163" s="379">
        <f t="shared" si="46"/>
        <v>8.2639230375741691E-4</v>
      </c>
      <c r="AQ163" s="380">
        <f t="shared" si="56"/>
        <v>2.9336505865992673E-3</v>
      </c>
      <c r="AR163" s="381">
        <v>809172.95227528678</v>
      </c>
      <c r="AT163" s="382">
        <v>90.943168184577289</v>
      </c>
    </row>
    <row r="164" spans="1:46">
      <c r="A164" s="361">
        <v>2018</v>
      </c>
      <c r="B164" s="361">
        <v>4</v>
      </c>
      <c r="C164" s="362">
        <f t="shared" si="63"/>
        <v>114.03392869270741</v>
      </c>
      <c r="D164" s="389">
        <f t="shared" si="48"/>
        <v>5.7996974497419709E-2</v>
      </c>
      <c r="E164" s="387">
        <v>150384.05011195102</v>
      </c>
      <c r="F164" s="364">
        <v>16359.554414865011</v>
      </c>
      <c r="G164" s="364">
        <v>115547.1199271165</v>
      </c>
      <c r="H164" s="364">
        <v>432.12603990115707</v>
      </c>
      <c r="I164" s="364">
        <v>44717.278482962138</v>
      </c>
      <c r="J164" s="365">
        <f t="shared" si="57"/>
        <v>327440.12897679582</v>
      </c>
      <c r="K164" s="366">
        <v>30</v>
      </c>
      <c r="L164" s="367">
        <f t="shared" si="58"/>
        <v>5.7996974497419709E-2</v>
      </c>
      <c r="M164" s="368">
        <v>77835.84183519287</v>
      </c>
      <c r="N164" s="368">
        <v>3840.4535804412244</v>
      </c>
      <c r="O164" s="368">
        <v>4996.2047405580179</v>
      </c>
      <c r="P164" s="368">
        <v>902.5043070377144</v>
      </c>
      <c r="Q164" s="368">
        <v>23707.734680540594</v>
      </c>
      <c r="R164" s="368">
        <v>9082.2958842532407</v>
      </c>
      <c r="S164" s="364">
        <f>$L164*'MWh Impact Summary'!$L$24</f>
        <v>3314.5088944051668</v>
      </c>
      <c r="T164" s="364">
        <f>$L164*'MWh Impact Summary'!$M$24</f>
        <v>10558.372935543683</v>
      </c>
      <c r="U164" s="368">
        <v>27929.857937354715</v>
      </c>
      <c r="V164" s="368">
        <v>224917.07327282539</v>
      </c>
      <c r="W164" s="368">
        <v>83919.177072807724</v>
      </c>
      <c r="X164" s="368">
        <f t="shared" si="49"/>
        <v>471004.02514096041</v>
      </c>
      <c r="Y164" s="364">
        <f t="shared" si="50"/>
        <v>798444.15411775629</v>
      </c>
      <c r="Z164" s="364"/>
      <c r="AA164" s="390">
        <v>4977933.1022701599</v>
      </c>
      <c r="AB164" s="369">
        <f t="shared" si="59"/>
        <v>160.39672243759765</v>
      </c>
      <c r="AC164" s="370">
        <f t="shared" si="51"/>
        <v>65.778330533905418</v>
      </c>
      <c r="AD164" s="371">
        <f t="shared" si="52"/>
        <v>2.1926110177968475E-3</v>
      </c>
      <c r="AE164" s="370">
        <f t="shared" si="60"/>
        <v>94.618391903692228</v>
      </c>
      <c r="AF164" s="371">
        <f t="shared" si="53"/>
        <v>3.1539463967897412E-3</v>
      </c>
      <c r="AG164" s="372">
        <f t="shared" si="61"/>
        <v>5.3465574145865891E-3</v>
      </c>
      <c r="AH164" s="373">
        <f t="shared" si="54"/>
        <v>5.3465574145865882E-3</v>
      </c>
      <c r="AI164" s="374" t="b">
        <f t="shared" si="62"/>
        <v>1</v>
      </c>
      <c r="AJ164" s="375">
        <f t="shared" si="64"/>
        <v>3.9107448976503922E-4</v>
      </c>
      <c r="AL164" s="376">
        <f t="shared" si="55"/>
        <v>224917.07327282539</v>
      </c>
      <c r="AM164" s="384"/>
      <c r="AN164" s="383">
        <f t="shared" si="47"/>
        <v>45.182823604088441</v>
      </c>
      <c r="AO164" s="379">
        <f t="shared" si="46"/>
        <v>1.5060941201362815E-3</v>
      </c>
      <c r="AQ164" s="380">
        <f t="shared" si="56"/>
        <v>5.3465574145865882E-3</v>
      </c>
      <c r="AR164" s="381">
        <v>948781.63662367896</v>
      </c>
      <c r="AT164" s="382">
        <v>160.39672243759765</v>
      </c>
    </row>
    <row r="165" spans="1:46">
      <c r="A165" s="361">
        <v>2018</v>
      </c>
      <c r="B165" s="361">
        <v>5</v>
      </c>
      <c r="C165" s="362">
        <f t="shared" si="63"/>
        <v>208.47875842628665</v>
      </c>
      <c r="D165" s="389">
        <f t="shared" si="48"/>
        <v>0.10603105035770212</v>
      </c>
      <c r="E165" s="387">
        <v>274934.66561992624</v>
      </c>
      <c r="F165" s="364">
        <v>29908.814261842115</v>
      </c>
      <c r="G165" s="364">
        <v>211245.2002513443</v>
      </c>
      <c r="H165" s="364">
        <v>790.02013975181512</v>
      </c>
      <c r="I165" s="364">
        <v>81752.885349171003</v>
      </c>
      <c r="J165" s="365">
        <f t="shared" si="57"/>
        <v>598631.58562203543</v>
      </c>
      <c r="K165" s="366">
        <v>31</v>
      </c>
      <c r="L165" s="367">
        <f t="shared" si="58"/>
        <v>0.10603105035770212</v>
      </c>
      <c r="M165" s="368">
        <v>142300.80339153984</v>
      </c>
      <c r="N165" s="368">
        <v>7021.1822342956448</v>
      </c>
      <c r="O165" s="368">
        <v>9134.1460659653203</v>
      </c>
      <c r="P165" s="368">
        <v>1649.973648742942</v>
      </c>
      <c r="Q165" s="368">
        <v>43342.881789312611</v>
      </c>
      <c r="R165" s="368">
        <v>16604.407050744521</v>
      </c>
      <c r="S165" s="364">
        <f>$L165*'MWh Impact Summary'!$L$24</f>
        <v>6059.6412578273621</v>
      </c>
      <c r="T165" s="364">
        <f>$L165*'MWh Impact Summary'!$M$24</f>
        <v>19302.996098078165</v>
      </c>
      <c r="U165" s="368">
        <v>51061.838985598777</v>
      </c>
      <c r="V165" s="368">
        <v>411197.20001185464</v>
      </c>
      <c r="W165" s="368">
        <v>153422.45983158433</v>
      </c>
      <c r="X165" s="368">
        <f t="shared" si="49"/>
        <v>861097.53036554425</v>
      </c>
      <c r="Y165" s="364">
        <f t="shared" si="50"/>
        <v>1459729.1159875798</v>
      </c>
      <c r="Z165" s="364"/>
      <c r="AA165" s="390">
        <v>4983179.119985274</v>
      </c>
      <c r="AB165" s="369">
        <f t="shared" si="59"/>
        <v>292.93129563279547</v>
      </c>
      <c r="AC165" s="370">
        <f t="shared" si="51"/>
        <v>120.13045712549149</v>
      </c>
      <c r="AD165" s="371">
        <f t="shared" si="52"/>
        <v>3.875176036306177E-3</v>
      </c>
      <c r="AE165" s="370">
        <f t="shared" si="60"/>
        <v>172.80083850730392</v>
      </c>
      <c r="AF165" s="371">
        <f t="shared" si="53"/>
        <v>5.574220597009804E-3</v>
      </c>
      <c r="AG165" s="372">
        <f t="shared" si="61"/>
        <v>9.4493966333159818E-3</v>
      </c>
      <c r="AH165" s="373">
        <f t="shared" si="54"/>
        <v>9.4493966333159835E-3</v>
      </c>
      <c r="AI165" s="374" t="b">
        <f t="shared" si="62"/>
        <v>1</v>
      </c>
      <c r="AJ165" s="375">
        <f t="shared" si="64"/>
        <v>6.9119875570707555E-4</v>
      </c>
      <c r="AL165" s="376">
        <f t="shared" si="55"/>
        <v>411197.20001185464</v>
      </c>
      <c r="AM165" s="384"/>
      <c r="AN165" s="383">
        <f t="shared" si="47"/>
        <v>82.517041854411559</v>
      </c>
      <c r="AO165" s="379">
        <f t="shared" si="46"/>
        <v>2.6618400598197277E-3</v>
      </c>
      <c r="AQ165" s="380">
        <f t="shared" si="56"/>
        <v>9.4493966333159835E-3</v>
      </c>
      <c r="AR165" s="381">
        <v>1138391.8949239727</v>
      </c>
      <c r="AT165" s="382">
        <v>292.93129563279547</v>
      </c>
    </row>
    <row r="166" spans="1:46">
      <c r="A166" s="361">
        <v>2018</v>
      </c>
      <c r="B166" s="361">
        <v>6</v>
      </c>
      <c r="C166" s="362">
        <f t="shared" si="63"/>
        <v>271.66325293295364</v>
      </c>
      <c r="D166" s="389">
        <f t="shared" si="48"/>
        <v>0.13816630657965029</v>
      </c>
      <c r="E166" s="387">
        <v>358260.21878747712</v>
      </c>
      <c r="F166" s="364">
        <v>38973.398705328553</v>
      </c>
      <c r="G166" s="364">
        <v>275268.13139116194</v>
      </c>
      <c r="H166" s="364">
        <v>1029.4547159988449</v>
      </c>
      <c r="I166" s="364">
        <v>106530.060607893</v>
      </c>
      <c r="J166" s="365">
        <f t="shared" si="57"/>
        <v>780061.26420785952</v>
      </c>
      <c r="K166" s="366">
        <v>30</v>
      </c>
      <c r="L166" s="367">
        <f t="shared" si="58"/>
        <v>0.13816630657965029</v>
      </c>
      <c r="M166" s="368">
        <v>185428.479314294</v>
      </c>
      <c r="N166" s="368">
        <v>9149.120129081306</v>
      </c>
      <c r="O166" s="368">
        <v>11902.468394266894</v>
      </c>
      <c r="P166" s="368">
        <v>2150.0377882845492</v>
      </c>
      <c r="Q166" s="368">
        <v>56478.983025680274</v>
      </c>
      <c r="R166" s="368">
        <v>21636.77137411122</v>
      </c>
      <c r="S166" s="364">
        <f>$L166*'MWh Impact Summary'!$L$24</f>
        <v>7896.1610676042483</v>
      </c>
      <c r="T166" s="364">
        <f>$L166*'MWh Impact Summary'!$M$24</f>
        <v>25153.232640773589</v>
      </c>
      <c r="U166" s="368">
        <v>66537.355576545058</v>
      </c>
      <c r="V166" s="368">
        <v>535820.38666850515</v>
      </c>
      <c r="W166" s="368">
        <v>199920.82083297923</v>
      </c>
      <c r="X166" s="368">
        <f t="shared" si="49"/>
        <v>1122073.8168121255</v>
      </c>
      <c r="Y166" s="364">
        <f t="shared" si="50"/>
        <v>1902135.081019985</v>
      </c>
      <c r="Z166" s="364"/>
      <c r="AA166" s="390">
        <v>4988439.4249103442</v>
      </c>
      <c r="AB166" s="369">
        <f t="shared" si="59"/>
        <v>381.30864565007153</v>
      </c>
      <c r="AC166" s="370">
        <f t="shared" si="51"/>
        <v>156.37380706930793</v>
      </c>
      <c r="AD166" s="371">
        <f t="shared" si="52"/>
        <v>5.2124602356435979E-3</v>
      </c>
      <c r="AE166" s="370">
        <f t="shared" si="60"/>
        <v>224.9348385807636</v>
      </c>
      <c r="AF166" s="371">
        <f t="shared" si="53"/>
        <v>7.4978279526921199E-3</v>
      </c>
      <c r="AG166" s="372">
        <f t="shared" si="61"/>
        <v>1.2710288188335719E-2</v>
      </c>
      <c r="AH166" s="373">
        <f t="shared" si="54"/>
        <v>1.2710288188335717E-2</v>
      </c>
      <c r="AI166" s="374" t="b">
        <f t="shared" si="62"/>
        <v>1</v>
      </c>
      <c r="AJ166" s="375">
        <f t="shared" si="64"/>
        <v>9.2977264911578775E-4</v>
      </c>
      <c r="AL166" s="376">
        <f t="shared" si="55"/>
        <v>535820.38666850515</v>
      </c>
      <c r="AM166" s="384"/>
      <c r="AN166" s="383">
        <f t="shared" si="47"/>
        <v>107.41242721978834</v>
      </c>
      <c r="AO166" s="379">
        <f t="shared" si="46"/>
        <v>3.5804142406596117E-3</v>
      </c>
      <c r="AQ166" s="380">
        <f t="shared" si="56"/>
        <v>1.2710288188335717E-2</v>
      </c>
      <c r="AR166" s="381">
        <v>1387807.9406546159</v>
      </c>
      <c r="AT166" s="382">
        <v>381.30864565007153</v>
      </c>
    </row>
    <row r="167" spans="1:46">
      <c r="A167" s="361">
        <v>2018</v>
      </c>
      <c r="B167" s="361">
        <v>7</v>
      </c>
      <c r="C167" s="362">
        <f t="shared" si="63"/>
        <v>322.31916585708109</v>
      </c>
      <c r="D167" s="389">
        <f t="shared" si="48"/>
        <v>0.16392960109808263</v>
      </c>
      <c r="E167" s="387">
        <v>425063.50650175702</v>
      </c>
      <c r="F167" s="364">
        <v>46240.605697293955</v>
      </c>
      <c r="G167" s="364">
        <v>326596.23095558607</v>
      </c>
      <c r="H167" s="364">
        <v>1221.4128402205258</v>
      </c>
      <c r="I167" s="364">
        <v>126394.27638126176</v>
      </c>
      <c r="J167" s="365">
        <f t="shared" si="57"/>
        <v>925516.03237611928</v>
      </c>
      <c r="K167" s="366">
        <v>31</v>
      </c>
      <c r="L167" s="367">
        <f t="shared" si="58"/>
        <v>0.16392960109808263</v>
      </c>
      <c r="M167" s="368">
        <v>220004.55392279636</v>
      </c>
      <c r="N167" s="368">
        <v>10855.118373553132</v>
      </c>
      <c r="O167" s="368">
        <v>14121.87199800334</v>
      </c>
      <c r="P167" s="368">
        <v>2550.946360979161</v>
      </c>
      <c r="Q167" s="368">
        <v>67010.383262201125</v>
      </c>
      <c r="R167" s="368">
        <v>25671.289826103442</v>
      </c>
      <c r="S167" s="364">
        <f>$L167*'MWh Impact Summary'!$L$24</f>
        <v>9368.52526540086</v>
      </c>
      <c r="T167" s="364">
        <f>$L167*'MWh Impact Summary'!$M$24</f>
        <v>29843.450948384772</v>
      </c>
      <c r="U167" s="368">
        <v>78944.298561649528</v>
      </c>
      <c r="V167" s="368">
        <v>635732.57779856888</v>
      </c>
      <c r="W167" s="368">
        <v>237199.2218772856</v>
      </c>
      <c r="X167" s="368">
        <f t="shared" si="49"/>
        <v>1331302.2381949259</v>
      </c>
      <c r="Y167" s="364">
        <f t="shared" si="50"/>
        <v>2256818.2705710451</v>
      </c>
      <c r="Z167" s="364"/>
      <c r="AA167" s="390">
        <v>4994424.4728166815</v>
      </c>
      <c r="AB167" s="369">
        <f t="shared" si="59"/>
        <v>451.86753405808901</v>
      </c>
      <c r="AC167" s="370">
        <f t="shared" si="51"/>
        <v>185.30984649251496</v>
      </c>
      <c r="AD167" s="371">
        <f t="shared" si="52"/>
        <v>5.9777369836295146E-3</v>
      </c>
      <c r="AE167" s="370">
        <f t="shared" si="60"/>
        <v>266.5576875655741</v>
      </c>
      <c r="AF167" s="371">
        <f t="shared" si="53"/>
        <v>8.598635082760455E-3</v>
      </c>
      <c r="AG167" s="372">
        <f t="shared" si="61"/>
        <v>1.4576372066389971E-2</v>
      </c>
      <c r="AH167" s="373">
        <f t="shared" si="54"/>
        <v>1.4576372066389969E-2</v>
      </c>
      <c r="AI167" s="374" t="b">
        <f t="shared" si="62"/>
        <v>1</v>
      </c>
      <c r="AJ167" s="375">
        <f t="shared" si="64"/>
        <v>1.0672968781312298E-3</v>
      </c>
      <c r="AL167" s="376">
        <f t="shared" si="55"/>
        <v>635732.57779856888</v>
      </c>
      <c r="AM167" s="384"/>
      <c r="AN167" s="383">
        <f t="shared" si="47"/>
        <v>127.28845560858743</v>
      </c>
      <c r="AO167" s="379">
        <f t="shared" si="46"/>
        <v>4.1060792131802403E-3</v>
      </c>
      <c r="AQ167" s="380">
        <f t="shared" si="56"/>
        <v>1.4576372066389969E-2</v>
      </c>
      <c r="AR167" s="381">
        <v>1458921.5818659998</v>
      </c>
      <c r="AT167" s="382">
        <v>451.86753405808901</v>
      </c>
    </row>
    <row r="168" spans="1:46">
      <c r="A168" s="361">
        <v>2018</v>
      </c>
      <c r="B168" s="361">
        <v>8</v>
      </c>
      <c r="C168" s="362">
        <f t="shared" si="63"/>
        <v>326.45437890907908</v>
      </c>
      <c r="D168" s="389">
        <f t="shared" si="48"/>
        <v>0.16603274573816959</v>
      </c>
      <c r="E168" s="387">
        <v>430516.8842285829</v>
      </c>
      <c r="F168" s="364">
        <v>46833.852318863239</v>
      </c>
      <c r="G168" s="364">
        <v>330786.31687055068</v>
      </c>
      <c r="H168" s="364">
        <v>1237.0830294422162</v>
      </c>
      <c r="I168" s="364">
        <v>128015.85932374616</v>
      </c>
      <c r="J168" s="365">
        <f t="shared" si="57"/>
        <v>937389.99577118515</v>
      </c>
      <c r="K168" s="366">
        <v>31</v>
      </c>
      <c r="L168" s="367">
        <f t="shared" si="58"/>
        <v>0.16603274573816959</v>
      </c>
      <c r="M168" s="368">
        <v>222827.11553020615</v>
      </c>
      <c r="N168" s="368">
        <v>10994.384765174424</v>
      </c>
      <c r="O168" s="368">
        <v>14303.049400996131</v>
      </c>
      <c r="P168" s="368">
        <v>2583.6738801721872</v>
      </c>
      <c r="Q168" s="368">
        <v>67870.096989581871</v>
      </c>
      <c r="R168" s="368">
        <v>26000.641177172638</v>
      </c>
      <c r="S168" s="364">
        <f>$L168*'MWh Impact Summary'!$L$24</f>
        <v>9488.7193216632058</v>
      </c>
      <c r="T168" s="364">
        <f>$L168*'MWh Impact Summary'!$M$24</f>
        <v>30226.329290571673</v>
      </c>
      <c r="U168" s="368">
        <v>79957.119170454753</v>
      </c>
      <c r="V168" s="368">
        <v>643888.74699906446</v>
      </c>
      <c r="W168" s="368">
        <v>240242.38350753643</v>
      </c>
      <c r="X168" s="368">
        <f t="shared" si="49"/>
        <v>1348382.260032594</v>
      </c>
      <c r="Y168" s="364">
        <f t="shared" si="50"/>
        <v>2285772.2558037792</v>
      </c>
      <c r="Z168" s="364"/>
      <c r="AA168" s="390">
        <v>5000782.228093843</v>
      </c>
      <c r="AB168" s="369">
        <f t="shared" si="59"/>
        <v>457.08294253698205</v>
      </c>
      <c r="AC168" s="370">
        <f t="shared" si="51"/>
        <v>187.44867363050355</v>
      </c>
      <c r="AD168" s="371">
        <f t="shared" si="52"/>
        <v>6.0467314074355988E-3</v>
      </c>
      <c r="AE168" s="370">
        <f t="shared" si="60"/>
        <v>269.6342689064785</v>
      </c>
      <c r="AF168" s="371">
        <f t="shared" si="53"/>
        <v>8.6978796421444682E-3</v>
      </c>
      <c r="AG168" s="372">
        <f t="shared" si="61"/>
        <v>1.4744611049580067E-2</v>
      </c>
      <c r="AH168" s="373">
        <f t="shared" si="54"/>
        <v>1.4744611049580065E-2</v>
      </c>
      <c r="AI168" s="374" t="b">
        <f t="shared" si="62"/>
        <v>1</v>
      </c>
      <c r="AJ168" s="375">
        <f t="shared" si="64"/>
        <v>1.0811473833303321E-3</v>
      </c>
      <c r="AL168" s="376">
        <f t="shared" si="55"/>
        <v>643888.74699906446</v>
      </c>
      <c r="AM168" s="384"/>
      <c r="AN168" s="383">
        <f t="shared" si="47"/>
        <v>128.75760583649662</v>
      </c>
      <c r="AO168" s="379">
        <f t="shared" si="46"/>
        <v>4.1534711560160201E-3</v>
      </c>
      <c r="AQ168" s="380">
        <f t="shared" si="56"/>
        <v>1.4744611049580065E-2</v>
      </c>
      <c r="AR168" s="381">
        <v>1516703.6736954609</v>
      </c>
      <c r="AT168" s="382">
        <v>457.08294253698205</v>
      </c>
    </row>
    <row r="169" spans="1:46">
      <c r="A169" s="361">
        <v>2018</v>
      </c>
      <c r="B169" s="361">
        <v>9</v>
      </c>
      <c r="C169" s="362">
        <f t="shared" si="63"/>
        <v>277.87653293728147</v>
      </c>
      <c r="D169" s="389">
        <f t="shared" si="48"/>
        <v>0.14132634365008559</v>
      </c>
      <c r="E169" s="387">
        <v>366454.0802306651</v>
      </c>
      <c r="F169" s="364">
        <v>39864.769313101846</v>
      </c>
      <c r="G169" s="364">
        <v>281563.85949621967</v>
      </c>
      <c r="H169" s="364">
        <v>1052.9996391094257</v>
      </c>
      <c r="I169" s="364">
        <v>108966.53697445632</v>
      </c>
      <c r="J169" s="365">
        <f t="shared" si="57"/>
        <v>797902.24565355235</v>
      </c>
      <c r="K169" s="366">
        <v>30</v>
      </c>
      <c r="L169" s="367">
        <f t="shared" si="58"/>
        <v>0.14132634365008559</v>
      </c>
      <c r="M169" s="368">
        <v>189669.46167137698</v>
      </c>
      <c r="N169" s="368">
        <v>9358.3720044876718</v>
      </c>
      <c r="O169" s="368">
        <v>12174.692804737657</v>
      </c>
      <c r="P169" s="368">
        <v>2199.2118545385324</v>
      </c>
      <c r="Q169" s="368">
        <v>57770.728346807082</v>
      </c>
      <c r="R169" s="368">
        <v>22131.631527207293</v>
      </c>
      <c r="S169" s="364">
        <f>$L169*'MWh Impact Summary'!$L$24</f>
        <v>8076.7561946323631</v>
      </c>
      <c r="T169" s="364">
        <f>$L169*'MWh Impact Summary'!$M$24</f>
        <v>25728.518682311551</v>
      </c>
      <c r="U169" s="368">
        <v>68059.14851865721</v>
      </c>
      <c r="V169" s="368">
        <v>548075.27229788504</v>
      </c>
      <c r="W169" s="368">
        <v>204493.26125368246</v>
      </c>
      <c r="X169" s="368">
        <f t="shared" si="49"/>
        <v>1147737.0551563238</v>
      </c>
      <c r="Y169" s="364">
        <f t="shared" si="50"/>
        <v>1945639.3008098761</v>
      </c>
      <c r="Z169" s="364"/>
      <c r="AA169" s="390">
        <v>5005798.6680340152</v>
      </c>
      <c r="AB169" s="369">
        <f t="shared" si="59"/>
        <v>388.67709826891803</v>
      </c>
      <c r="AC169" s="370">
        <f t="shared" si="51"/>
        <v>159.39559270507411</v>
      </c>
      <c r="AD169" s="371">
        <f t="shared" si="52"/>
        <v>5.3131864235024702E-3</v>
      </c>
      <c r="AE169" s="370">
        <f t="shared" si="60"/>
        <v>229.28150556384398</v>
      </c>
      <c r="AF169" s="371">
        <f t="shared" si="53"/>
        <v>7.6427168521281327E-3</v>
      </c>
      <c r="AG169" s="372">
        <f t="shared" si="61"/>
        <v>1.2955903275630603E-2</v>
      </c>
      <c r="AH169" s="373">
        <f t="shared" si="54"/>
        <v>1.2955903275630599E-2</v>
      </c>
      <c r="AI169" s="374" t="b">
        <f t="shared" si="62"/>
        <v>1</v>
      </c>
      <c r="AJ169" s="375">
        <f t="shared" si="64"/>
        <v>9.4974658444602414E-4</v>
      </c>
      <c r="AL169" s="376">
        <f t="shared" si="55"/>
        <v>548075.27229788504</v>
      </c>
      <c r="AM169" s="384"/>
      <c r="AN169" s="383">
        <f t="shared" si="47"/>
        <v>109.48807745660633</v>
      </c>
      <c r="AO169" s="379">
        <f t="shared" ref="AO169:AO232" si="65">+AN169/K169/1000</f>
        <v>3.6496025818868777E-3</v>
      </c>
      <c r="AQ169" s="380">
        <f t="shared" si="56"/>
        <v>1.2955903275630599E-2</v>
      </c>
      <c r="AR169" s="381">
        <v>1433185.8171820336</v>
      </c>
      <c r="AT169" s="382">
        <v>388.67709826891803</v>
      </c>
    </row>
    <row r="170" spans="1:46">
      <c r="A170" s="361">
        <v>2018</v>
      </c>
      <c r="B170" s="361">
        <v>10</v>
      </c>
      <c r="C170" s="362">
        <f t="shared" si="63"/>
        <v>198.89039579254836</v>
      </c>
      <c r="D170" s="389">
        <f t="shared" si="48"/>
        <v>0.10115446643644242</v>
      </c>
      <c r="E170" s="387">
        <v>262289.86048750539</v>
      </c>
      <c r="F170" s="364">
        <v>28533.24698941391</v>
      </c>
      <c r="G170" s="364">
        <v>201529.60332465442</v>
      </c>
      <c r="H170" s="364">
        <v>753.68550477472058</v>
      </c>
      <c r="I170" s="364">
        <v>77992.903675261317</v>
      </c>
      <c r="J170" s="365">
        <f t="shared" si="57"/>
        <v>571099.2999816098</v>
      </c>
      <c r="K170" s="366">
        <v>31</v>
      </c>
      <c r="L170" s="367">
        <f t="shared" si="58"/>
        <v>0.10115446643644242</v>
      </c>
      <c r="M170" s="368">
        <v>135756.09967069142</v>
      </c>
      <c r="N170" s="368">
        <v>6698.2637658235162</v>
      </c>
      <c r="O170" s="368">
        <v>8714.0480881611384</v>
      </c>
      <c r="P170" s="368">
        <v>1574.0880007292933</v>
      </c>
      <c r="Q170" s="368">
        <v>41349.454394961918</v>
      </c>
      <c r="R170" s="368">
        <v>15840.73655825628</v>
      </c>
      <c r="S170" s="364">
        <f>$L170*'MWh Impact Summary'!$L$24</f>
        <v>5780.9460168877231</v>
      </c>
      <c r="T170" s="364">
        <f>$L170*'MWh Impact Summary'!$M$24</f>
        <v>18415.212000057214</v>
      </c>
      <c r="U170" s="368">
        <v>48713.40103136668</v>
      </c>
      <c r="V170" s="368">
        <v>392285.4034458485</v>
      </c>
      <c r="W170" s="368">
        <v>146366.24848358019</v>
      </c>
      <c r="X170" s="368">
        <f t="shared" si="49"/>
        <v>821493.90145636385</v>
      </c>
      <c r="Y170" s="364">
        <f t="shared" si="50"/>
        <v>1392593.2014379737</v>
      </c>
      <c r="Z170" s="364"/>
      <c r="AA170" s="390">
        <v>5011255.4649064513</v>
      </c>
      <c r="AB170" s="369">
        <f t="shared" si="59"/>
        <v>277.89307713211349</v>
      </c>
      <c r="AC170" s="370">
        <f t="shared" si="51"/>
        <v>113.96331797111264</v>
      </c>
      <c r="AD170" s="371">
        <f t="shared" si="52"/>
        <v>3.6762360635842792E-3</v>
      </c>
      <c r="AE170" s="370">
        <f t="shared" si="60"/>
        <v>163.92975916100082</v>
      </c>
      <c r="AF170" s="371">
        <f t="shared" si="53"/>
        <v>5.2880567471290585E-3</v>
      </c>
      <c r="AG170" s="372">
        <f t="shared" si="61"/>
        <v>8.9642928107133372E-3</v>
      </c>
      <c r="AH170" s="373">
        <f t="shared" si="54"/>
        <v>8.9642928107133389E-3</v>
      </c>
      <c r="AI170" s="374" t="b">
        <f t="shared" si="62"/>
        <v>1</v>
      </c>
      <c r="AJ170" s="375">
        <f t="shared" si="64"/>
        <v>6.573269526338188E-4</v>
      </c>
      <c r="AL170" s="376">
        <f t="shared" si="55"/>
        <v>392285.4034458485</v>
      </c>
      <c r="AM170" s="384"/>
      <c r="AN170" s="383">
        <f t="shared" si="47"/>
        <v>78.280863187479028</v>
      </c>
      <c r="AO170" s="379">
        <f t="shared" si="65"/>
        <v>2.5251891350799686E-3</v>
      </c>
      <c r="AQ170" s="380">
        <f t="shared" si="56"/>
        <v>8.9642928107133389E-3</v>
      </c>
      <c r="AR170" s="381">
        <v>1155848.495995641</v>
      </c>
      <c r="AT170" s="382">
        <v>277.89307713211349</v>
      </c>
    </row>
    <row r="171" spans="1:46">
      <c r="A171" s="361">
        <v>2018</v>
      </c>
      <c r="B171" s="361">
        <v>11</v>
      </c>
      <c r="C171" s="362">
        <f t="shared" si="63"/>
        <v>78.117279066674627</v>
      </c>
      <c r="D171" s="389">
        <f t="shared" si="48"/>
        <v>3.9729981188725644E-2</v>
      </c>
      <c r="E171" s="387">
        <v>103018.39938733366</v>
      </c>
      <c r="F171" s="364">
        <v>11206.874061808818</v>
      </c>
      <c r="G171" s="364">
        <v>79153.868643958398</v>
      </c>
      <c r="H171" s="364">
        <v>296.02163880454316</v>
      </c>
      <c r="I171" s="364">
        <v>30632.919188192027</v>
      </c>
      <c r="J171" s="365">
        <f t="shared" si="57"/>
        <v>224308.08292009745</v>
      </c>
      <c r="K171" s="366">
        <v>30</v>
      </c>
      <c r="L171" s="367">
        <f t="shared" si="58"/>
        <v>3.9729981188725644E-2</v>
      </c>
      <c r="M171" s="368">
        <v>53320.307804304844</v>
      </c>
      <c r="N171" s="368">
        <v>2630.8466920786054</v>
      </c>
      <c r="O171" s="368">
        <v>3422.5771616107863</v>
      </c>
      <c r="P171" s="368">
        <v>618.2474077668918</v>
      </c>
      <c r="Q171" s="368">
        <v>16240.637740975299</v>
      </c>
      <c r="R171" s="368">
        <v>6221.6942824814996</v>
      </c>
      <c r="S171" s="364">
        <f>$L171*'MWh Impact Summary'!$L$24</f>
        <v>2270.5559585774563</v>
      </c>
      <c r="T171" s="364">
        <f>$L171*'MWh Impact Summary'!$M$24</f>
        <v>7232.8593301252877</v>
      </c>
      <c r="U171" s="368">
        <v>19132.941676194696</v>
      </c>
      <c r="V171" s="368">
        <v>154076.15944776809</v>
      </c>
      <c r="W171" s="368">
        <v>57487.60785141166</v>
      </c>
      <c r="X171" s="368">
        <f t="shared" si="49"/>
        <v>322654.43535329518</v>
      </c>
      <c r="Y171" s="364">
        <f t="shared" si="50"/>
        <v>546962.51827339269</v>
      </c>
      <c r="Z171" s="364"/>
      <c r="AA171" s="390">
        <v>5016812.6063650586</v>
      </c>
      <c r="AB171" s="369">
        <f t="shared" si="59"/>
        <v>109.02590174076593</v>
      </c>
      <c r="AC171" s="370">
        <f t="shared" si="51"/>
        <v>44.711273974137995</v>
      </c>
      <c r="AD171" s="371">
        <f t="shared" si="52"/>
        <v>1.4903757991379331E-3</v>
      </c>
      <c r="AE171" s="370">
        <f t="shared" si="60"/>
        <v>64.314627766627922</v>
      </c>
      <c r="AF171" s="371">
        <f t="shared" si="53"/>
        <v>2.1438209255542641E-3</v>
      </c>
      <c r="AG171" s="372">
        <f t="shared" si="61"/>
        <v>3.634196724692197E-3</v>
      </c>
      <c r="AH171" s="373">
        <f t="shared" si="54"/>
        <v>3.6341967246921974E-3</v>
      </c>
      <c r="AI171" s="374" t="b">
        <f t="shared" si="62"/>
        <v>1</v>
      </c>
      <c r="AJ171" s="375">
        <f t="shared" si="64"/>
        <v>2.6659425804546801E-4</v>
      </c>
      <c r="AL171" s="376">
        <f t="shared" si="55"/>
        <v>154076.15944776809</v>
      </c>
      <c r="AM171" s="384"/>
      <c r="AN171" s="383">
        <f t="shared" ref="AN171:AN234" si="66">+AL171*1000/AA171</f>
        <v>30.711962263107985</v>
      </c>
      <c r="AO171" s="379">
        <f t="shared" si="65"/>
        <v>1.0237320754369328E-3</v>
      </c>
      <c r="AQ171" s="380">
        <f t="shared" si="56"/>
        <v>3.6341967246921974E-3</v>
      </c>
      <c r="AR171" s="381">
        <v>893899.58279067918</v>
      </c>
      <c r="AT171" s="382">
        <v>109.02590174076593</v>
      </c>
    </row>
    <row r="172" spans="1:46">
      <c r="A172" s="361">
        <v>2018</v>
      </c>
      <c r="B172" s="361">
        <v>12</v>
      </c>
      <c r="C172" s="362">
        <f t="shared" si="63"/>
        <v>42.633806123140985</v>
      </c>
      <c r="D172" s="389">
        <f t="shared" si="48"/>
        <v>2.1683298951445065E-2</v>
      </c>
      <c r="E172" s="387">
        <v>56224.007275614073</v>
      </c>
      <c r="F172" s="364">
        <v>6116.3381739116912</v>
      </c>
      <c r="G172" s="364">
        <v>43199.542149730754</v>
      </c>
      <c r="H172" s="364">
        <v>161.55873972870319</v>
      </c>
      <c r="I172" s="364">
        <v>16718.42584968339</v>
      </c>
      <c r="J172" s="365">
        <f t="shared" si="57"/>
        <v>122419.87218866861</v>
      </c>
      <c r="K172" s="366">
        <v>31</v>
      </c>
      <c r="L172" s="367">
        <f t="shared" si="58"/>
        <v>2.1683298951445065E-2</v>
      </c>
      <c r="M172" s="368">
        <v>29100.446053870775</v>
      </c>
      <c r="N172" s="368">
        <v>1435.8283999376467</v>
      </c>
      <c r="O172" s="368">
        <v>1867.9284902519582</v>
      </c>
      <c r="P172" s="368">
        <v>337.41881993061838</v>
      </c>
      <c r="Q172" s="368">
        <v>8863.598541033798</v>
      </c>
      <c r="R172" s="368">
        <v>3395.5932793098323</v>
      </c>
      <c r="S172" s="364">
        <f>$L172*'MWh Impact Summary'!$L$24</f>
        <v>1239.1937313524584</v>
      </c>
      <c r="T172" s="364">
        <f>$L172*'MWh Impact Summary'!$M$24</f>
        <v>3947.453445393533</v>
      </c>
      <c r="U172" s="368">
        <v>10442.121586083715</v>
      </c>
      <c r="V172" s="368">
        <v>84089.630214688586</v>
      </c>
      <c r="W172" s="368">
        <v>31374.81946252042</v>
      </c>
      <c r="X172" s="368">
        <f t="shared" si="49"/>
        <v>176094.03202437336</v>
      </c>
      <c r="Y172" s="364">
        <f t="shared" si="50"/>
        <v>298513.904213042</v>
      </c>
      <c r="Z172" s="364">
        <f>SUM(Y161:Y172)</f>
        <v>13766996.658649478</v>
      </c>
      <c r="AA172" s="390">
        <v>5022446.1507833218</v>
      </c>
      <c r="AB172" s="369">
        <f t="shared" si="59"/>
        <v>59.435959142435912</v>
      </c>
      <c r="AC172" s="370">
        <f t="shared" si="51"/>
        <v>24.374551466236326</v>
      </c>
      <c r="AD172" s="371">
        <f t="shared" si="52"/>
        <v>7.8627585374955891E-4</v>
      </c>
      <c r="AE172" s="370">
        <f t="shared" si="60"/>
        <v>35.061407676199572</v>
      </c>
      <c r="AF172" s="371">
        <f t="shared" si="53"/>
        <v>1.1310131508451475E-3</v>
      </c>
      <c r="AG172" s="372">
        <f t="shared" si="61"/>
        <v>1.9172890045947065E-3</v>
      </c>
      <c r="AH172" s="373">
        <f t="shared" si="54"/>
        <v>1.917289004594707E-3</v>
      </c>
      <c r="AI172" s="374" t="b">
        <f t="shared" si="62"/>
        <v>1</v>
      </c>
      <c r="AJ172" s="375">
        <f t="shared" si="64"/>
        <v>1.4071899975487715E-4</v>
      </c>
      <c r="AL172" s="376">
        <f t="shared" si="55"/>
        <v>84089.630214688586</v>
      </c>
      <c r="AM172" s="377">
        <f>SUM(AL161:AL172)</f>
        <v>3878082.8693543649</v>
      </c>
      <c r="AN172" s="383">
        <f t="shared" si="66"/>
        <v>16.742763922232122</v>
      </c>
      <c r="AO172" s="379">
        <f t="shared" si="65"/>
        <v>5.4008915878168138E-4</v>
      </c>
      <c r="AQ172" s="380">
        <f t="shared" si="56"/>
        <v>1.917289004594707E-3</v>
      </c>
      <c r="AR172" s="381">
        <v>738281.07191137853</v>
      </c>
      <c r="AT172" s="382">
        <v>59.435959142435912</v>
      </c>
    </row>
    <row r="173" spans="1:46">
      <c r="A173" s="361">
        <v>2019</v>
      </c>
      <c r="B173" s="361">
        <v>1</v>
      </c>
      <c r="C173" s="362">
        <f t="shared" si="63"/>
        <v>26.112829868525239</v>
      </c>
      <c r="D173" s="389">
        <f t="shared" si="48"/>
        <v>1.3280829182176284E-2</v>
      </c>
      <c r="E173" s="387">
        <v>37901.875731165361</v>
      </c>
      <c r="F173" s="364">
        <v>4428.7198558267801</v>
      </c>
      <c r="G173" s="364">
        <v>28612.968655251218</v>
      </c>
      <c r="H173" s="364">
        <v>110.15232217588711</v>
      </c>
      <c r="I173" s="364">
        <v>11006.117751685633</v>
      </c>
      <c r="J173" s="365">
        <f t="shared" si="57"/>
        <v>82059.834316104883</v>
      </c>
      <c r="K173" s="366">
        <v>31</v>
      </c>
      <c r="L173" s="367">
        <f t="shared" si="58"/>
        <v>1.3280829182176284E-2</v>
      </c>
      <c r="M173" s="368">
        <v>19516.872033029915</v>
      </c>
      <c r="N173" s="368">
        <v>1320.0458952686949</v>
      </c>
      <c r="O173" s="368">
        <v>1325.7892217440176</v>
      </c>
      <c r="P173" s="368">
        <v>221.14568176382107</v>
      </c>
      <c r="Q173" s="368">
        <v>6101.8069376911935</v>
      </c>
      <c r="R173" s="368">
        <v>2707.1305620660814</v>
      </c>
      <c r="S173" s="364">
        <f>$L173*'MWh Impact Summary'!$L$25</f>
        <v>957.95394949674983</v>
      </c>
      <c r="T173" s="364">
        <f>$L173*'MWh Impact Summary'!$M$25</f>
        <v>3105.1101421388162</v>
      </c>
      <c r="U173" s="368">
        <v>9759.9516552269615</v>
      </c>
      <c r="V173" s="368">
        <v>52828.729767708726</v>
      </c>
      <c r="W173" s="368">
        <v>19363.446585011894</v>
      </c>
      <c r="X173" s="368">
        <f t="shared" si="49"/>
        <v>117207.98243114687</v>
      </c>
      <c r="Y173" s="364">
        <f t="shared" si="50"/>
        <v>199267.81674725175</v>
      </c>
      <c r="Z173" s="364"/>
      <c r="AA173" s="390">
        <v>5028344.8487463314</v>
      </c>
      <c r="AB173" s="369">
        <f t="shared" si="59"/>
        <v>39.628908267286654</v>
      </c>
      <c r="AC173" s="370">
        <f t="shared" si="51"/>
        <v>16.319452381346533</v>
      </c>
      <c r="AD173" s="371">
        <f t="shared" si="52"/>
        <v>5.2643394778537197E-4</v>
      </c>
      <c r="AE173" s="370">
        <f t="shared" si="60"/>
        <v>23.309455885940125</v>
      </c>
      <c r="AF173" s="371">
        <f t="shared" si="53"/>
        <v>7.519179318045201E-4</v>
      </c>
      <c r="AG173" s="372">
        <f t="shared" si="61"/>
        <v>1.2783518795898921E-3</v>
      </c>
      <c r="AH173" s="373">
        <f t="shared" si="54"/>
        <v>1.2783518795898921E-3</v>
      </c>
      <c r="AI173" s="374" t="b">
        <f t="shared" si="62"/>
        <v>1</v>
      </c>
      <c r="AJ173" s="375">
        <f t="shared" si="64"/>
        <v>8.9341475312752858E-5</v>
      </c>
      <c r="AL173" s="376">
        <f t="shared" si="55"/>
        <v>52828.729767708726</v>
      </c>
      <c r="AM173" s="384"/>
      <c r="AN173" s="383">
        <f t="shared" si="66"/>
        <v>10.506186698965168</v>
      </c>
      <c r="AO173" s="379">
        <f t="shared" si="65"/>
        <v>3.3890924835371512E-4</v>
      </c>
      <c r="AQ173" s="380">
        <f t="shared" si="56"/>
        <v>1.2783518795898921E-3</v>
      </c>
      <c r="AR173" s="381">
        <v>761448.87440197717</v>
      </c>
      <c r="AT173" s="382">
        <v>39.628908267286654</v>
      </c>
    </row>
    <row r="174" spans="1:46">
      <c r="A174" s="361">
        <v>2019</v>
      </c>
      <c r="B174" s="361">
        <v>2</v>
      </c>
      <c r="C174" s="362">
        <f t="shared" si="63"/>
        <v>35.042184420393127</v>
      </c>
      <c r="D174" s="389">
        <f t="shared" si="48"/>
        <v>1.7822245532205266E-2</v>
      </c>
      <c r="E174" s="387">
        <v>50862.527192091315</v>
      </c>
      <c r="F174" s="364">
        <v>5943.1328858461866</v>
      </c>
      <c r="G174" s="364">
        <v>38397.252595008307</v>
      </c>
      <c r="H174" s="364">
        <v>147.8192140590082</v>
      </c>
      <c r="I174" s="364">
        <v>14769.690223119136</v>
      </c>
      <c r="J174" s="365">
        <f t="shared" si="57"/>
        <v>110120.42211012395</v>
      </c>
      <c r="K174" s="366">
        <v>28</v>
      </c>
      <c r="L174" s="367">
        <f t="shared" si="58"/>
        <v>1.7822245532205266E-2</v>
      </c>
      <c r="M174" s="368">
        <v>26190.720520681443</v>
      </c>
      <c r="N174" s="368">
        <v>1771.4392479975595</v>
      </c>
      <c r="O174" s="368">
        <v>1779.1465208802038</v>
      </c>
      <c r="P174" s="368">
        <v>296.76706060426102</v>
      </c>
      <c r="Q174" s="368">
        <v>8188.3367327389888</v>
      </c>
      <c r="R174" s="368">
        <v>3632.8413612629915</v>
      </c>
      <c r="S174" s="364">
        <f>$L174*'MWh Impact Summary'!$L$25</f>
        <v>1285.5289577393062</v>
      </c>
      <c r="T174" s="364">
        <f>$L174*'MWh Impact Summary'!$M$25</f>
        <v>4166.9111618428624</v>
      </c>
      <c r="U174" s="368">
        <v>13097.394175911271</v>
      </c>
      <c r="V174" s="368">
        <v>70893.660339989525</v>
      </c>
      <c r="W174" s="368">
        <v>25984.830815456146</v>
      </c>
      <c r="X174" s="368">
        <f t="shared" si="49"/>
        <v>157287.57689510455</v>
      </c>
      <c r="Y174" s="364">
        <f t="shared" si="50"/>
        <v>267407.99900522851</v>
      </c>
      <c r="Z174" s="364"/>
      <c r="AA174" s="390">
        <v>5033985.8735689241</v>
      </c>
      <c r="AB174" s="369">
        <f t="shared" si="59"/>
        <v>53.120530275871708</v>
      </c>
      <c r="AC174" s="370">
        <f t="shared" si="51"/>
        <v>21.875393550131744</v>
      </c>
      <c r="AD174" s="371">
        <f t="shared" si="52"/>
        <v>7.8126405536184797E-4</v>
      </c>
      <c r="AE174" s="370">
        <f t="shared" si="60"/>
        <v>31.245136725739961</v>
      </c>
      <c r="AF174" s="371">
        <f t="shared" si="53"/>
        <v>1.1158977402049984E-3</v>
      </c>
      <c r="AG174" s="372">
        <f t="shared" si="61"/>
        <v>1.8971617955668464E-3</v>
      </c>
      <c r="AH174" s="373">
        <f t="shared" si="54"/>
        <v>1.8971617955668466E-3</v>
      </c>
      <c r="AI174" s="374" t="b">
        <f t="shared" si="62"/>
        <v>1</v>
      </c>
      <c r="AJ174" s="375">
        <f t="shared" si="64"/>
        <v>1.3266180858424433E-4</v>
      </c>
      <c r="AL174" s="376">
        <f t="shared" si="55"/>
        <v>70893.660339989525</v>
      </c>
      <c r="AM174" s="384"/>
      <c r="AN174" s="383">
        <f t="shared" si="66"/>
        <v>14.083007406162691</v>
      </c>
      <c r="AO174" s="379">
        <f t="shared" si="65"/>
        <v>5.0296455022009611E-4</v>
      </c>
      <c r="AQ174" s="380">
        <f t="shared" si="56"/>
        <v>1.8971617955668466E-3</v>
      </c>
      <c r="AR174" s="381">
        <v>707451.56583231059</v>
      </c>
      <c r="AT174" s="382">
        <v>53.120530275871708</v>
      </c>
    </row>
    <row r="175" spans="1:46">
      <c r="A175" s="361">
        <v>2019</v>
      </c>
      <c r="B175" s="361">
        <v>3</v>
      </c>
      <c r="C175" s="362">
        <f t="shared" si="63"/>
        <v>64.582270600115152</v>
      </c>
      <c r="D175" s="389">
        <f t="shared" si="48"/>
        <v>3.2846156787895278E-2</v>
      </c>
      <c r="E175" s="387">
        <v>93738.947752747001</v>
      </c>
      <c r="F175" s="364">
        <v>10953.113300288253</v>
      </c>
      <c r="G175" s="364">
        <v>70765.615740229608</v>
      </c>
      <c r="H175" s="364">
        <v>272.42880659858463</v>
      </c>
      <c r="I175" s="364">
        <v>27220.338755886674</v>
      </c>
      <c r="J175" s="365">
        <f t="shared" si="57"/>
        <v>202950.44435575014</v>
      </c>
      <c r="K175" s="366">
        <v>31</v>
      </c>
      <c r="L175" s="367">
        <f t="shared" si="58"/>
        <v>3.2846156787895278E-2</v>
      </c>
      <c r="M175" s="368">
        <v>48269.142687756619</v>
      </c>
      <c r="N175" s="368">
        <v>3264.738507547625</v>
      </c>
      <c r="O175" s="368">
        <v>3278.9429069345015</v>
      </c>
      <c r="P175" s="368">
        <v>546.93766756136904</v>
      </c>
      <c r="Q175" s="368">
        <v>15090.993537801818</v>
      </c>
      <c r="R175" s="368">
        <v>6695.2773555931517</v>
      </c>
      <c r="S175" s="364">
        <f>$L175*'MWh Impact Summary'!$L$25</f>
        <v>2369.2124331349678</v>
      </c>
      <c r="T175" s="364">
        <f>$L175*'MWh Impact Summary'!$M$25</f>
        <v>7679.5607543280248</v>
      </c>
      <c r="U175" s="368">
        <v>24138.319822688285</v>
      </c>
      <c r="V175" s="368">
        <v>130656.05445662142</v>
      </c>
      <c r="W175" s="368">
        <v>47889.69075356442</v>
      </c>
      <c r="X175" s="368">
        <f t="shared" si="49"/>
        <v>289878.87088353216</v>
      </c>
      <c r="Y175" s="364">
        <f t="shared" si="50"/>
        <v>492829.31523928232</v>
      </c>
      <c r="Z175" s="364"/>
      <c r="AA175" s="390">
        <v>5039839.6897841692</v>
      </c>
      <c r="AB175" s="369">
        <f t="shared" si="59"/>
        <v>97.786704652184625</v>
      </c>
      <c r="AC175" s="370">
        <f t="shared" si="51"/>
        <v>40.269226175414616</v>
      </c>
      <c r="AD175" s="371">
        <f t="shared" si="52"/>
        <v>1.2990072959811168E-3</v>
      </c>
      <c r="AE175" s="370">
        <f t="shared" si="60"/>
        <v>57.517478476770002</v>
      </c>
      <c r="AF175" s="371">
        <f t="shared" si="53"/>
        <v>1.8554025315087098E-3</v>
      </c>
      <c r="AG175" s="372">
        <f t="shared" si="61"/>
        <v>3.1544098274898266E-3</v>
      </c>
      <c r="AH175" s="373">
        <f t="shared" si="54"/>
        <v>3.1544098274898266E-3</v>
      </c>
      <c r="AI175" s="374" t="b">
        <f t="shared" si="62"/>
        <v>1</v>
      </c>
      <c r="AJ175" s="375">
        <f t="shared" si="64"/>
        <v>2.207592408905593E-4</v>
      </c>
      <c r="AL175" s="376">
        <f t="shared" si="55"/>
        <v>130656.05445662142</v>
      </c>
      <c r="AM175" s="384"/>
      <c r="AN175" s="383">
        <f t="shared" si="66"/>
        <v>25.924644928977248</v>
      </c>
      <c r="AO175" s="379">
        <f t="shared" si="65"/>
        <v>8.3627886867668547E-4</v>
      </c>
      <c r="AQ175" s="380">
        <f t="shared" si="56"/>
        <v>3.1544098274898266E-3</v>
      </c>
      <c r="AR175" s="381">
        <v>857008.83732047398</v>
      </c>
      <c r="AT175" s="382">
        <v>97.786704652184625</v>
      </c>
    </row>
    <row r="176" spans="1:46">
      <c r="A176" s="361">
        <v>2019</v>
      </c>
      <c r="B176" s="361">
        <v>4</v>
      </c>
      <c r="C176" s="362">
        <f t="shared" si="63"/>
        <v>114.03392869270741</v>
      </c>
      <c r="D176" s="389">
        <f t="shared" si="48"/>
        <v>5.7996974497419709E-2</v>
      </c>
      <c r="E176" s="387">
        <v>165516.33109888082</v>
      </c>
      <c r="F176" s="364">
        <v>19340.084042291142</v>
      </c>
      <c r="G176" s="364">
        <v>124951.95824227472</v>
      </c>
      <c r="H176" s="364">
        <v>481.03181905541396</v>
      </c>
      <c r="I176" s="364">
        <v>48063.379311946737</v>
      </c>
      <c r="J176" s="365">
        <f t="shared" si="57"/>
        <v>358352.78451444884</v>
      </c>
      <c r="K176" s="366">
        <v>30</v>
      </c>
      <c r="L176" s="367">
        <f t="shared" si="58"/>
        <v>5.7996974497419709E-2</v>
      </c>
      <c r="M176" s="368">
        <v>85229.582734800017</v>
      </c>
      <c r="N176" s="368">
        <v>5764.6000165463065</v>
      </c>
      <c r="O176" s="368">
        <v>5789.6809474543461</v>
      </c>
      <c r="P176" s="368">
        <v>965.73642274413396</v>
      </c>
      <c r="Q176" s="368">
        <v>26646.404113712473</v>
      </c>
      <c r="R176" s="368">
        <v>11821.956296226082</v>
      </c>
      <c r="S176" s="364">
        <f>$L176*'MWh Impact Summary'!$L$25</f>
        <v>4183.3555734026331</v>
      </c>
      <c r="T176" s="364">
        <f>$L176*'MWh Impact Summary'!$M$25</f>
        <v>13559.920939800384</v>
      </c>
      <c r="U176" s="368">
        <v>42621.410115259918</v>
      </c>
      <c r="V176" s="368">
        <v>230701.44574864631</v>
      </c>
      <c r="W176" s="368">
        <v>84559.578499831128</v>
      </c>
      <c r="X176" s="368">
        <f t="shared" si="49"/>
        <v>511843.67140842369</v>
      </c>
      <c r="Y176" s="364">
        <f t="shared" si="50"/>
        <v>870196.45592287253</v>
      </c>
      <c r="Z176" s="364"/>
      <c r="AA176" s="390">
        <v>5045414.9673927901</v>
      </c>
      <c r="AB176" s="369">
        <f t="shared" si="59"/>
        <v>172.47272257023988</v>
      </c>
      <c r="AC176" s="370">
        <f t="shared" si="51"/>
        <v>71.025433354915307</v>
      </c>
      <c r="AD176" s="371">
        <f t="shared" si="52"/>
        <v>2.3675144451638435E-3</v>
      </c>
      <c r="AE176" s="370">
        <f t="shared" si="60"/>
        <v>101.44728921532455</v>
      </c>
      <c r="AF176" s="371">
        <f t="shared" si="53"/>
        <v>3.3815763071774847E-3</v>
      </c>
      <c r="AG176" s="372">
        <f t="shared" si="61"/>
        <v>5.7490907523413282E-3</v>
      </c>
      <c r="AH176" s="373">
        <f t="shared" si="54"/>
        <v>5.7490907523413291E-3</v>
      </c>
      <c r="AI176" s="374" t="b">
        <f t="shared" si="62"/>
        <v>1</v>
      </c>
      <c r="AJ176" s="375">
        <f t="shared" si="64"/>
        <v>4.025333377547409E-4</v>
      </c>
      <c r="AL176" s="376">
        <f t="shared" si="55"/>
        <v>230701.44574864631</v>
      </c>
      <c r="AM176" s="384"/>
      <c r="AN176" s="383">
        <f t="shared" si="66"/>
        <v>45.724969549503854</v>
      </c>
      <c r="AO176" s="379">
        <f t="shared" si="65"/>
        <v>1.5241656516501285E-3</v>
      </c>
      <c r="AQ176" s="380">
        <f t="shared" si="56"/>
        <v>5.7490907523413291E-3</v>
      </c>
      <c r="AR176" s="381">
        <v>1007481.0355190123</v>
      </c>
      <c r="AT176" s="382">
        <v>172.47272257023988</v>
      </c>
    </row>
    <row r="177" spans="1:46">
      <c r="A177" s="361">
        <v>2019</v>
      </c>
      <c r="B177" s="361">
        <v>5</v>
      </c>
      <c r="C177" s="362">
        <f t="shared" si="63"/>
        <v>208.47875842628665</v>
      </c>
      <c r="D177" s="389">
        <f t="shared" si="48"/>
        <v>0.10603105035770212</v>
      </c>
      <c r="E177" s="387">
        <v>302599.75782957999</v>
      </c>
      <c r="F177" s="364">
        <v>35357.868971278782</v>
      </c>
      <c r="G177" s="364">
        <v>228439.28483320388</v>
      </c>
      <c r="H177" s="364">
        <v>879.43051291737368</v>
      </c>
      <c r="I177" s="364">
        <v>87870.283516480558</v>
      </c>
      <c r="J177" s="365">
        <f t="shared" si="57"/>
        <v>655146.62566346058</v>
      </c>
      <c r="K177" s="366">
        <v>31</v>
      </c>
      <c r="L177" s="367">
        <f t="shared" si="58"/>
        <v>0.10603105035770212</v>
      </c>
      <c r="M177" s="368">
        <v>155818.16564106417</v>
      </c>
      <c r="N177" s="368">
        <v>10538.939314388295</v>
      </c>
      <c r="O177" s="368">
        <v>10584.792696761659</v>
      </c>
      <c r="P177" s="368">
        <v>1765.5756728621432</v>
      </c>
      <c r="Q177" s="368">
        <v>48715.40698314234</v>
      </c>
      <c r="R177" s="368">
        <v>21613.100583849759</v>
      </c>
      <c r="S177" s="364">
        <f>$L177*'MWh Impact Summary'!$L$25</f>
        <v>7648.0814613417924</v>
      </c>
      <c r="T177" s="364">
        <f>$L177*'MWh Impact Summary'!$M$25</f>
        <v>24790.476959766249</v>
      </c>
      <c r="U177" s="368">
        <v>77921.18332738991</v>
      </c>
      <c r="V177" s="368">
        <v>421772.28767093178</v>
      </c>
      <c r="W177" s="368">
        <v>154593.25255907196</v>
      </c>
      <c r="X177" s="368">
        <f t="shared" si="49"/>
        <v>935761.26287057006</v>
      </c>
      <c r="Y177" s="364">
        <f t="shared" si="50"/>
        <v>1590907.8885340306</v>
      </c>
      <c r="Z177" s="364"/>
      <c r="AA177" s="390">
        <v>5050667.5493750526</v>
      </c>
      <c r="AB177" s="369">
        <f t="shared" si="59"/>
        <v>314.98962720895827</v>
      </c>
      <c r="AC177" s="370">
        <f t="shared" si="51"/>
        <v>129.71485833482063</v>
      </c>
      <c r="AD177" s="371">
        <f t="shared" si="52"/>
        <v>4.1843502688651817E-3</v>
      </c>
      <c r="AE177" s="370">
        <f t="shared" si="60"/>
        <v>185.27476887413764</v>
      </c>
      <c r="AF177" s="371">
        <f t="shared" si="53"/>
        <v>5.9766054475528267E-3</v>
      </c>
      <c r="AG177" s="372">
        <f t="shared" si="61"/>
        <v>1.0160955716418008E-2</v>
      </c>
      <c r="AH177" s="373">
        <f t="shared" si="54"/>
        <v>1.0160955716418009E-2</v>
      </c>
      <c r="AI177" s="374" t="b">
        <f t="shared" si="62"/>
        <v>1</v>
      </c>
      <c r="AJ177" s="375">
        <f t="shared" si="64"/>
        <v>7.1155908310202576E-4</v>
      </c>
      <c r="AL177" s="376">
        <f t="shared" si="55"/>
        <v>421772.28767093178</v>
      </c>
      <c r="AM177" s="384"/>
      <c r="AN177" s="383">
        <f t="shared" si="66"/>
        <v>83.508226100353809</v>
      </c>
      <c r="AO177" s="379">
        <f t="shared" si="65"/>
        <v>2.6938137451727037E-3</v>
      </c>
      <c r="AQ177" s="380">
        <f t="shared" si="56"/>
        <v>1.0160955716418009E-2</v>
      </c>
      <c r="AR177" s="381">
        <v>1212333.667608062</v>
      </c>
      <c r="AT177" s="382">
        <v>314.98962720895827</v>
      </c>
    </row>
    <row r="178" spans="1:46">
      <c r="A178" s="361">
        <v>2019</v>
      </c>
      <c r="B178" s="361">
        <v>6</v>
      </c>
      <c r="C178" s="362">
        <f t="shared" si="63"/>
        <v>271.66325293295364</v>
      </c>
      <c r="D178" s="389">
        <f t="shared" ref="D178:D216" si="67">D166</f>
        <v>0.13816630657965029</v>
      </c>
      <c r="E178" s="387">
        <v>394309.88158812159</v>
      </c>
      <c r="F178" s="364">
        <v>46073.920307382316</v>
      </c>
      <c r="G178" s="364">
        <v>297673.2962337177</v>
      </c>
      <c r="H178" s="364">
        <v>1145.963050005895</v>
      </c>
      <c r="I178" s="364">
        <v>114501.48320347126</v>
      </c>
      <c r="J178" s="365">
        <f t="shared" si="57"/>
        <v>853704.54438269872</v>
      </c>
      <c r="K178" s="366">
        <v>30</v>
      </c>
      <c r="L178" s="367">
        <f t="shared" si="58"/>
        <v>0.13816630657965029</v>
      </c>
      <c r="M178" s="368">
        <v>203042.60282259993</v>
      </c>
      <c r="N178" s="368">
        <v>13733.017973732911</v>
      </c>
      <c r="O178" s="368">
        <v>13792.768324836095</v>
      </c>
      <c r="P178" s="368">
        <v>2300.6757820778594</v>
      </c>
      <c r="Q178" s="368">
        <v>63479.781004511686</v>
      </c>
      <c r="R178" s="368">
        <v>28163.469769759628</v>
      </c>
      <c r="S178" s="364">
        <f>$L178*'MWh Impact Summary'!$L$25</f>
        <v>9966.0162223143579</v>
      </c>
      <c r="T178" s="364">
        <f>$L178*'MWh Impact Summary'!$M$25</f>
        <v>32303.826363349915</v>
      </c>
      <c r="U178" s="368">
        <v>101537.06926736333</v>
      </c>
      <c r="V178" s="368">
        <v>549600.50861091306</v>
      </c>
      <c r="W178" s="368">
        <v>201446.45041395156</v>
      </c>
      <c r="X178" s="368">
        <f t="shared" si="49"/>
        <v>1219366.1865554105</v>
      </c>
      <c r="Y178" s="364">
        <f t="shared" si="50"/>
        <v>2073070.7309381091</v>
      </c>
      <c r="Z178" s="364"/>
      <c r="AA178" s="390">
        <v>5055929.9660004415</v>
      </c>
      <c r="AB178" s="369">
        <f t="shared" si="59"/>
        <v>410.02758046073933</v>
      </c>
      <c r="AC178" s="370">
        <f t="shared" si="51"/>
        <v>168.85213009744928</v>
      </c>
      <c r="AD178" s="371">
        <f t="shared" si="52"/>
        <v>5.6284043365816419E-3</v>
      </c>
      <c r="AE178" s="370">
        <f t="shared" si="60"/>
        <v>241.17545036329008</v>
      </c>
      <c r="AF178" s="371">
        <f t="shared" si="53"/>
        <v>8.0391816787763349E-3</v>
      </c>
      <c r="AG178" s="372">
        <f t="shared" si="61"/>
        <v>1.3667586015357978E-2</v>
      </c>
      <c r="AH178" s="373">
        <f t="shared" si="54"/>
        <v>1.3667586015357978E-2</v>
      </c>
      <c r="AI178" s="374" t="b">
        <f t="shared" si="62"/>
        <v>1</v>
      </c>
      <c r="AJ178" s="375">
        <f t="shared" si="64"/>
        <v>9.5729782702226075E-4</v>
      </c>
      <c r="AL178" s="376">
        <f t="shared" si="55"/>
        <v>549600.50861091306</v>
      </c>
      <c r="AM178" s="384"/>
      <c r="AN178" s="383">
        <f t="shared" si="66"/>
        <v>108.70413797398416</v>
      </c>
      <c r="AO178" s="379">
        <f t="shared" si="65"/>
        <v>3.6234712657994719E-3</v>
      </c>
      <c r="AQ178" s="380">
        <f t="shared" si="56"/>
        <v>1.3667586015357978E-2</v>
      </c>
      <c r="AR178" s="381">
        <v>1480669.7439639654</v>
      </c>
      <c r="AT178" s="382">
        <v>410.02758046073933</v>
      </c>
    </row>
    <row r="179" spans="1:46">
      <c r="A179" s="361">
        <v>2019</v>
      </c>
      <c r="B179" s="361">
        <v>7</v>
      </c>
      <c r="C179" s="362">
        <f t="shared" si="63"/>
        <v>322.31916585708109</v>
      </c>
      <c r="D179" s="389">
        <f t="shared" si="67"/>
        <v>0.16392960109808263</v>
      </c>
      <c r="E179" s="387">
        <v>467835.19946311775</v>
      </c>
      <c r="F179" s="364">
        <v>54665.131926790986</v>
      </c>
      <c r="G179" s="364">
        <v>353179.19337312464</v>
      </c>
      <c r="H179" s="364">
        <v>1359.645996995022</v>
      </c>
      <c r="I179" s="364">
        <v>135852.09687763633</v>
      </c>
      <c r="J179" s="365">
        <f t="shared" si="57"/>
        <v>1012891.2676376647</v>
      </c>
      <c r="K179" s="366">
        <v>31</v>
      </c>
      <c r="L179" s="367">
        <f t="shared" si="58"/>
        <v>0.16392960109808263</v>
      </c>
      <c r="M179" s="368">
        <v>240903.10952502181</v>
      </c>
      <c r="N179" s="368">
        <v>16293.756517324524</v>
      </c>
      <c r="O179" s="368">
        <v>16364.648267015818</v>
      </c>
      <c r="P179" s="368">
        <v>2729.6731927521241</v>
      </c>
      <c r="Q179" s="368">
        <v>75316.59082067346</v>
      </c>
      <c r="R179" s="368">
        <v>33414.994430882398</v>
      </c>
      <c r="S179" s="364">
        <f>$L179*'MWh Impact Summary'!$L$25</f>
        <v>11824.337671783975</v>
      </c>
      <c r="T179" s="364">
        <f>$L179*'MWh Impact Summary'!$M$25</f>
        <v>38327.386037730481</v>
      </c>
      <c r="U179" s="368">
        <v>120470.26278488355</v>
      </c>
      <c r="V179" s="368">
        <v>652082.2215650077</v>
      </c>
      <c r="W179" s="368">
        <v>239009.32923864908</v>
      </c>
      <c r="X179" s="368">
        <f t="shared" si="49"/>
        <v>1446736.3100517248</v>
      </c>
      <c r="Y179" s="364">
        <f t="shared" si="50"/>
        <v>2459627.5776893897</v>
      </c>
      <c r="Z179" s="364"/>
      <c r="AA179" s="390">
        <v>5061685.0368930642</v>
      </c>
      <c r="AB179" s="369">
        <f t="shared" si="59"/>
        <v>485.93058630908905</v>
      </c>
      <c r="AC179" s="370">
        <f t="shared" si="51"/>
        <v>200.10950113549382</v>
      </c>
      <c r="AD179" s="371">
        <f t="shared" si="52"/>
        <v>6.4551451979191557E-3</v>
      </c>
      <c r="AE179" s="370">
        <f t="shared" si="60"/>
        <v>285.82108517359518</v>
      </c>
      <c r="AF179" s="371">
        <f t="shared" si="53"/>
        <v>9.2200350055998449E-3</v>
      </c>
      <c r="AG179" s="372">
        <f t="shared" si="61"/>
        <v>1.5675180203519001E-2</v>
      </c>
      <c r="AH179" s="373">
        <f t="shared" si="54"/>
        <v>1.5675180203519001E-2</v>
      </c>
      <c r="AI179" s="374" t="b">
        <f t="shared" si="62"/>
        <v>1</v>
      </c>
      <c r="AJ179" s="375">
        <f t="shared" si="64"/>
        <v>1.0988081371290318E-3</v>
      </c>
      <c r="AL179" s="376">
        <f t="shared" si="55"/>
        <v>652082.2215650077</v>
      </c>
      <c r="AM179" s="384"/>
      <c r="AN179" s="383">
        <f t="shared" si="66"/>
        <v>128.82710338793922</v>
      </c>
      <c r="AO179" s="379">
        <f t="shared" si="65"/>
        <v>4.1557130125141678E-3</v>
      </c>
      <c r="AQ179" s="380">
        <f t="shared" si="56"/>
        <v>1.5675180203519001E-2</v>
      </c>
      <c r="AR179" s="381">
        <v>1557805.0600731373</v>
      </c>
      <c r="AT179" s="382">
        <v>485.93058630908905</v>
      </c>
    </row>
    <row r="180" spans="1:46">
      <c r="A180" s="361">
        <v>2019</v>
      </c>
      <c r="B180" s="361">
        <v>8</v>
      </c>
      <c r="C180" s="362">
        <f t="shared" si="63"/>
        <v>326.45437890907908</v>
      </c>
      <c r="D180" s="389">
        <f t="shared" si="67"/>
        <v>0.16603274573816959</v>
      </c>
      <c r="E180" s="387">
        <v>473837.31918770709</v>
      </c>
      <c r="F180" s="364">
        <v>55366.461512426271</v>
      </c>
      <c r="G180" s="364">
        <v>357710.32699729846</v>
      </c>
      <c r="H180" s="364">
        <v>1377.0896567845973</v>
      </c>
      <c r="I180" s="364">
        <v>137595.01949489946</v>
      </c>
      <c r="J180" s="365">
        <f t="shared" si="57"/>
        <v>1025886.2168491159</v>
      </c>
      <c r="K180" s="366">
        <v>31</v>
      </c>
      <c r="L180" s="367">
        <f t="shared" si="58"/>
        <v>0.16603274573816959</v>
      </c>
      <c r="M180" s="368">
        <v>243993.79040378932</v>
      </c>
      <c r="N180" s="368">
        <v>16502.798242899087</v>
      </c>
      <c r="O180" s="368">
        <v>16574.599502540939</v>
      </c>
      <c r="P180" s="368">
        <v>2764.6936985428433</v>
      </c>
      <c r="Q180" s="368">
        <v>76282.869535640537</v>
      </c>
      <c r="R180" s="368">
        <v>33843.694104187882</v>
      </c>
      <c r="S180" s="364">
        <f>$L180*'MWh Impact Summary'!$L$25</f>
        <v>11976.038720468352</v>
      </c>
      <c r="T180" s="364">
        <f>$L180*'MWh Impact Summary'!$M$25</f>
        <v>38819.109533510637</v>
      </c>
      <c r="U180" s="368">
        <v>122015.84323996135</v>
      </c>
      <c r="V180" s="368">
        <v>660448.14949988923</v>
      </c>
      <c r="W180" s="368">
        <v>242075.7137497557</v>
      </c>
      <c r="X180" s="368">
        <f t="shared" si="49"/>
        <v>1465297.3002311857</v>
      </c>
      <c r="Y180" s="364">
        <f t="shared" si="50"/>
        <v>2491183.5170803014</v>
      </c>
      <c r="Z180" s="364"/>
      <c r="AA180" s="390">
        <v>5067694.0549152512</v>
      </c>
      <c r="AB180" s="369">
        <f t="shared" si="59"/>
        <v>491.5812774182877</v>
      </c>
      <c r="AC180" s="370">
        <f t="shared" si="51"/>
        <v>202.43649394226745</v>
      </c>
      <c r="AD180" s="371">
        <f t="shared" si="52"/>
        <v>6.5302094820086269E-3</v>
      </c>
      <c r="AE180" s="370">
        <f t="shared" si="60"/>
        <v>289.14478347602028</v>
      </c>
      <c r="AF180" s="371">
        <f t="shared" si="53"/>
        <v>9.3272510798716231E-3</v>
      </c>
      <c r="AG180" s="372">
        <f t="shared" si="61"/>
        <v>1.5857460561880251E-2</v>
      </c>
      <c r="AH180" s="373">
        <f t="shared" si="54"/>
        <v>1.5857460561880247E-2</v>
      </c>
      <c r="AI180" s="374" t="b">
        <f t="shared" si="62"/>
        <v>0</v>
      </c>
      <c r="AJ180" s="375">
        <f t="shared" si="64"/>
        <v>1.1128495123001823E-3</v>
      </c>
      <c r="AL180" s="376">
        <f t="shared" si="55"/>
        <v>660448.14949988923</v>
      </c>
      <c r="AM180" s="384"/>
      <c r="AN180" s="383">
        <f t="shared" si="66"/>
        <v>130.32518189595686</v>
      </c>
      <c r="AO180" s="379">
        <f t="shared" si="65"/>
        <v>4.2040381256760271E-3</v>
      </c>
      <c r="AQ180" s="380">
        <f t="shared" si="56"/>
        <v>1.5857460561880247E-2</v>
      </c>
      <c r="AR180" s="381">
        <v>1619595.3729790451</v>
      </c>
      <c r="AT180" s="382">
        <v>491.5812774182877</v>
      </c>
    </row>
    <row r="181" spans="1:46">
      <c r="A181" s="361">
        <v>2019</v>
      </c>
      <c r="B181" s="361">
        <v>9</v>
      </c>
      <c r="C181" s="362">
        <f t="shared" si="63"/>
        <v>277.87653293728147</v>
      </c>
      <c r="D181" s="389">
        <f t="shared" si="67"/>
        <v>0.14132634365008559</v>
      </c>
      <c r="E181" s="387">
        <v>403328.2441245704</v>
      </c>
      <c r="F181" s="364">
        <v>47127.688767695588</v>
      </c>
      <c r="G181" s="364">
        <v>304481.45861616475</v>
      </c>
      <c r="H181" s="364">
        <v>1172.172665135761</v>
      </c>
      <c r="I181" s="364">
        <v>117120.27602279154</v>
      </c>
      <c r="J181" s="365">
        <f t="shared" si="57"/>
        <v>873229.84019635804</v>
      </c>
      <c r="K181" s="366">
        <v>30</v>
      </c>
      <c r="L181" s="367">
        <f t="shared" si="58"/>
        <v>0.14132634365008559</v>
      </c>
      <c r="M181" s="368">
        <v>207686.44232067035</v>
      </c>
      <c r="N181" s="368">
        <v>14047.109353608746</v>
      </c>
      <c r="O181" s="368">
        <v>14108.226270332247</v>
      </c>
      <c r="P181" s="368">
        <v>2353.2951285625077</v>
      </c>
      <c r="Q181" s="368">
        <v>64931.643373588842</v>
      </c>
      <c r="R181" s="368">
        <v>28807.603717519305</v>
      </c>
      <c r="S181" s="364">
        <f>$L181*'MWh Impact Summary'!$L$25</f>
        <v>10193.951537997982</v>
      </c>
      <c r="T181" s="364">
        <f>$L181*'MWh Impact Summary'!$M$25</f>
        <v>33042.655469751793</v>
      </c>
      <c r="U181" s="368">
        <v>103859.3496470828</v>
      </c>
      <c r="V181" s="368">
        <v>562170.56294712971</v>
      </c>
      <c r="W181" s="368">
        <v>206053.78390048954</v>
      </c>
      <c r="X181" s="368">
        <f t="shared" si="49"/>
        <v>1247254.6236667337</v>
      </c>
      <c r="Y181" s="364">
        <f t="shared" si="50"/>
        <v>2120484.4638630915</v>
      </c>
      <c r="Z181" s="364"/>
      <c r="AA181" s="390">
        <v>5072789.4203578094</v>
      </c>
      <c r="AB181" s="369">
        <f t="shared" si="59"/>
        <v>418.01152938722282</v>
      </c>
      <c r="AC181" s="370">
        <f t="shared" si="51"/>
        <v>172.13997425005763</v>
      </c>
      <c r="AD181" s="371">
        <f t="shared" si="52"/>
        <v>5.7379991416685872E-3</v>
      </c>
      <c r="AE181" s="370">
        <f t="shared" si="60"/>
        <v>245.87155513716527</v>
      </c>
      <c r="AF181" s="371">
        <f t="shared" si="53"/>
        <v>8.1957185045721751E-3</v>
      </c>
      <c r="AG181" s="372">
        <f t="shared" si="61"/>
        <v>1.3933717646240762E-2</v>
      </c>
      <c r="AH181" s="373">
        <f t="shared" si="54"/>
        <v>1.3933717646240761E-2</v>
      </c>
      <c r="AI181" s="374" t="b">
        <f t="shared" si="62"/>
        <v>1</v>
      </c>
      <c r="AJ181" s="375">
        <f t="shared" si="64"/>
        <v>9.7781437061016108E-4</v>
      </c>
      <c r="AL181" s="376">
        <f t="shared" si="55"/>
        <v>562170.56294712971</v>
      </c>
      <c r="AM181" s="384"/>
      <c r="AN181" s="383">
        <f t="shared" si="66"/>
        <v>110.82079628439948</v>
      </c>
      <c r="AO181" s="379">
        <f t="shared" si="65"/>
        <v>3.694026542813316E-3</v>
      </c>
      <c r="AQ181" s="380">
        <f t="shared" si="56"/>
        <v>1.3933717646240761E-2</v>
      </c>
      <c r="AR181" s="381">
        <v>1529578.6557736564</v>
      </c>
      <c r="AT181" s="382">
        <v>418.01152938722282</v>
      </c>
    </row>
    <row r="182" spans="1:46">
      <c r="A182" s="361">
        <v>2019</v>
      </c>
      <c r="B182" s="361">
        <v>10</v>
      </c>
      <c r="C182" s="362">
        <f t="shared" si="63"/>
        <v>198.89039579254836</v>
      </c>
      <c r="D182" s="389">
        <f t="shared" si="67"/>
        <v>0.10115446643644242</v>
      </c>
      <c r="E182" s="387">
        <v>288682.57877089287</v>
      </c>
      <c r="F182" s="364">
        <v>33731.688576633467</v>
      </c>
      <c r="G182" s="364">
        <v>217932.89694358563</v>
      </c>
      <c r="H182" s="364">
        <v>838.98371280844208</v>
      </c>
      <c r="I182" s="364">
        <v>83828.950243751417</v>
      </c>
      <c r="J182" s="365">
        <f t="shared" si="57"/>
        <v>625015.09824767185</v>
      </c>
      <c r="K182" s="366">
        <v>31</v>
      </c>
      <c r="L182" s="367">
        <f t="shared" si="58"/>
        <v>0.10115446643644242</v>
      </c>
      <c r="M182" s="368">
        <v>148651.77090440958</v>
      </c>
      <c r="N182" s="368">
        <v>10054.232034451928</v>
      </c>
      <c r="O182" s="368">
        <v>10097.976526396847</v>
      </c>
      <c r="P182" s="368">
        <v>1684.3732523541833</v>
      </c>
      <c r="Q182" s="368">
        <v>46474.886214837439</v>
      </c>
      <c r="R182" s="368">
        <v>20619.070076369135</v>
      </c>
      <c r="S182" s="364">
        <f>$L182*'MWh Impact Summary'!$L$25</f>
        <v>7296.3306208376034</v>
      </c>
      <c r="T182" s="364">
        <f>$L182*'MWh Impact Summary'!$M$25</f>
        <v>23650.312442537419</v>
      </c>
      <c r="U182" s="368">
        <v>74337.429432111487</v>
      </c>
      <c r="V182" s="368">
        <v>402374.12128900667</v>
      </c>
      <c r="W182" s="368">
        <v>147483.19406939816</v>
      </c>
      <c r="X182" s="368">
        <f t="shared" si="49"/>
        <v>892723.69686271041</v>
      </c>
      <c r="Y182" s="364">
        <f t="shared" si="50"/>
        <v>1517738.7951103821</v>
      </c>
      <c r="Z182" s="364"/>
      <c r="AA182" s="390">
        <v>5078184.2010707669</v>
      </c>
      <c r="AB182" s="369">
        <f t="shared" si="59"/>
        <v>298.87430920492358</v>
      </c>
      <c r="AC182" s="370">
        <f t="shared" si="51"/>
        <v>123.07846141459058</v>
      </c>
      <c r="AD182" s="371">
        <f t="shared" si="52"/>
        <v>3.9702729488577601E-3</v>
      </c>
      <c r="AE182" s="370">
        <f t="shared" si="60"/>
        <v>175.795847790333</v>
      </c>
      <c r="AF182" s="371">
        <f t="shared" si="53"/>
        <v>5.6708337996881613E-3</v>
      </c>
      <c r="AG182" s="372">
        <f t="shared" si="61"/>
        <v>9.6411067485459214E-3</v>
      </c>
      <c r="AH182" s="373">
        <f t="shared" si="54"/>
        <v>9.6411067485459214E-3</v>
      </c>
      <c r="AI182" s="374" t="b">
        <f t="shared" si="62"/>
        <v>1</v>
      </c>
      <c r="AJ182" s="375">
        <f t="shared" si="64"/>
        <v>6.7681393783258249E-4</v>
      </c>
      <c r="AL182" s="376">
        <f t="shared" si="55"/>
        <v>402374.12128900667</v>
      </c>
      <c r="AM182" s="384"/>
      <c r="AN182" s="383">
        <f t="shared" si="66"/>
        <v>79.235826302670063</v>
      </c>
      <c r="AO182" s="379">
        <f t="shared" si="65"/>
        <v>2.5559943968603248E-3</v>
      </c>
      <c r="AQ182" s="380">
        <f t="shared" si="56"/>
        <v>9.6411067485459214E-3</v>
      </c>
      <c r="AR182" s="381">
        <v>1231148.637096449</v>
      </c>
      <c r="AT182" s="382">
        <v>298.87430920492358</v>
      </c>
    </row>
    <row r="183" spans="1:46">
      <c r="A183" s="361">
        <v>2019</v>
      </c>
      <c r="B183" s="361">
        <v>11</v>
      </c>
      <c r="C183" s="362">
        <f t="shared" si="63"/>
        <v>78.117279066674627</v>
      </c>
      <c r="D183" s="389">
        <f t="shared" si="67"/>
        <v>3.9729981188725644E-2</v>
      </c>
      <c r="E183" s="387">
        <v>113384.54769356952</v>
      </c>
      <c r="F183" s="364">
        <v>13248.642396385443</v>
      </c>
      <c r="G183" s="364">
        <v>85596.515912754563</v>
      </c>
      <c r="H183" s="364">
        <v>329.52382926630668</v>
      </c>
      <c r="I183" s="364">
        <v>32925.116740618694</v>
      </c>
      <c r="J183" s="365">
        <f t="shared" si="57"/>
        <v>245484.34657259451</v>
      </c>
      <c r="K183" s="366">
        <v>30</v>
      </c>
      <c r="L183" s="367">
        <f t="shared" si="58"/>
        <v>3.9729981188725644E-2</v>
      </c>
      <c r="M183" s="368">
        <v>58385.282131004802</v>
      </c>
      <c r="N183" s="368">
        <v>3948.9551343424255</v>
      </c>
      <c r="O183" s="368">
        <v>3966.1364601237642</v>
      </c>
      <c r="P183" s="368">
        <v>661.56364605878991</v>
      </c>
      <c r="Q183" s="368">
        <v>18253.730360229016</v>
      </c>
      <c r="R183" s="368">
        <v>8098.4586753554759</v>
      </c>
      <c r="S183" s="364">
        <f>$L183*'MWh Impact Summary'!$L$25</f>
        <v>2865.7466993288012</v>
      </c>
      <c r="T183" s="364">
        <f>$L183*'MWh Impact Summary'!$M$25</f>
        <v>9289.0259970861862</v>
      </c>
      <c r="U183" s="368">
        <v>29197.175142154607</v>
      </c>
      <c r="V183" s="368">
        <v>158038.65941685135</v>
      </c>
      <c r="W183" s="368">
        <v>57926.305505372991</v>
      </c>
      <c r="X183" s="368">
        <f t="shared" si="49"/>
        <v>350631.03916790819</v>
      </c>
      <c r="Y183" s="364">
        <f t="shared" si="50"/>
        <v>596115.38574050274</v>
      </c>
      <c r="Z183" s="364"/>
      <c r="AA183" s="390">
        <v>5083645.8651113315</v>
      </c>
      <c r="AB183" s="369">
        <f t="shared" si="59"/>
        <v>117.2613910484199</v>
      </c>
      <c r="AC183" s="370">
        <f t="shared" si="51"/>
        <v>48.289033714432122</v>
      </c>
      <c r="AD183" s="371">
        <f t="shared" si="52"/>
        <v>1.6096344571477374E-3</v>
      </c>
      <c r="AE183" s="370">
        <f t="shared" si="60"/>
        <v>68.972357333987773</v>
      </c>
      <c r="AF183" s="371">
        <f t="shared" si="53"/>
        <v>2.2990785777995924E-3</v>
      </c>
      <c r="AG183" s="372">
        <f t="shared" si="61"/>
        <v>3.90871303494733E-3</v>
      </c>
      <c r="AH183" s="373">
        <f t="shared" si="54"/>
        <v>3.90871303494733E-3</v>
      </c>
      <c r="AI183" s="374" t="b">
        <f t="shared" si="62"/>
        <v>1</v>
      </c>
      <c r="AJ183" s="375">
        <f t="shared" si="64"/>
        <v>2.7451631025513261E-4</v>
      </c>
      <c r="AL183" s="376">
        <f t="shared" si="55"/>
        <v>158038.65941685135</v>
      </c>
      <c r="AM183" s="384"/>
      <c r="AN183" s="383">
        <f t="shared" si="66"/>
        <v>31.087661023254675</v>
      </c>
      <c r="AO183" s="379">
        <f t="shared" si="65"/>
        <v>1.0362553674418224E-3</v>
      </c>
      <c r="AQ183" s="380">
        <f t="shared" si="56"/>
        <v>3.90871303494733E-3</v>
      </c>
      <c r="AR183" s="381">
        <v>948328.38809993269</v>
      </c>
      <c r="AT183" s="382">
        <v>117.2613910484199</v>
      </c>
    </row>
    <row r="184" spans="1:46">
      <c r="A184" s="361">
        <v>2019</v>
      </c>
      <c r="B184" s="361">
        <v>12</v>
      </c>
      <c r="C184" s="362">
        <f t="shared" si="63"/>
        <v>42.633806123140985</v>
      </c>
      <c r="D184" s="389">
        <f t="shared" si="67"/>
        <v>2.1683298951445065E-2</v>
      </c>
      <c r="E184" s="387">
        <v>61881.505365819889</v>
      </c>
      <c r="F184" s="364">
        <v>7230.6672489222383</v>
      </c>
      <c r="G184" s="364">
        <v>46715.724201376455</v>
      </c>
      <c r="H184" s="364">
        <v>179.84311816472459</v>
      </c>
      <c r="I184" s="364">
        <v>17969.430841327892</v>
      </c>
      <c r="J184" s="365">
        <f t="shared" si="57"/>
        <v>133977.17077561119</v>
      </c>
      <c r="K184" s="366">
        <v>31</v>
      </c>
      <c r="L184" s="367">
        <f t="shared" si="58"/>
        <v>2.1683298951445065E-2</v>
      </c>
      <c r="M184" s="368">
        <v>31864.740151709291</v>
      </c>
      <c r="N184" s="368">
        <v>2155.2080358922826</v>
      </c>
      <c r="O184" s="368">
        <v>2164.5850305988556</v>
      </c>
      <c r="P184" s="368">
        <v>361.05937842657335</v>
      </c>
      <c r="Q184" s="368">
        <v>9962.2773668021036</v>
      </c>
      <c r="R184" s="368">
        <v>4419.8687049337886</v>
      </c>
      <c r="S184" s="364">
        <f>$L184*'MWh Impact Summary'!$L$25</f>
        <v>1564.0289912419282</v>
      </c>
      <c r="T184" s="364">
        <f>$L184*'MWh Impact Summary'!$M$25</f>
        <v>5069.6406501124093</v>
      </c>
      <c r="U184" s="368">
        <v>15934.844623704328</v>
      </c>
      <c r="V184" s="368">
        <v>86252.230569734966</v>
      </c>
      <c r="W184" s="368">
        <v>31614.246013843342</v>
      </c>
      <c r="X184" s="368">
        <f t="shared" si="49"/>
        <v>191362.72951699985</v>
      </c>
      <c r="Y184" s="364">
        <f t="shared" si="50"/>
        <v>325339.90029261104</v>
      </c>
      <c r="Z184" s="364">
        <f>SUM(Y173:Y184)</f>
        <v>15004169.846163051</v>
      </c>
      <c r="AA184" s="390">
        <v>5089162.3387235999</v>
      </c>
      <c r="AB184" s="369">
        <f t="shared" si="59"/>
        <v>63.927986304757717</v>
      </c>
      <c r="AC184" s="370">
        <f t="shared" si="51"/>
        <v>26.325977019081233</v>
      </c>
      <c r="AD184" s="371">
        <f t="shared" si="52"/>
        <v>8.4922506513165268E-4</v>
      </c>
      <c r="AE184" s="370">
        <f t="shared" si="60"/>
        <v>37.60200928567648</v>
      </c>
      <c r="AF184" s="371">
        <f t="shared" si="53"/>
        <v>1.212968041473435E-3</v>
      </c>
      <c r="AG184" s="372">
        <f t="shared" si="61"/>
        <v>2.0621931066050875E-3</v>
      </c>
      <c r="AH184" s="373">
        <f t="shared" si="54"/>
        <v>2.0621931066050875E-3</v>
      </c>
      <c r="AI184" s="374" t="b">
        <f t="shared" si="62"/>
        <v>1</v>
      </c>
      <c r="AJ184" s="375">
        <f t="shared" si="64"/>
        <v>1.4490410201038056E-4</v>
      </c>
      <c r="AL184" s="376">
        <f t="shared" si="55"/>
        <v>86252.230569734966</v>
      </c>
      <c r="AM184" s="377">
        <f>SUM(AL173:AL184)</f>
        <v>3977818.631882431</v>
      </c>
      <c r="AN184" s="383">
        <f t="shared" si="66"/>
        <v>16.948217570785463</v>
      </c>
      <c r="AO184" s="379">
        <f t="shared" si="65"/>
        <v>5.4671669583178915E-4</v>
      </c>
      <c r="AQ184" s="380">
        <f t="shared" si="56"/>
        <v>2.0621931066050875E-3</v>
      </c>
      <c r="AR184" s="381">
        <v>781088.61044894578</v>
      </c>
      <c r="AT184" s="382">
        <v>63.927986304757717</v>
      </c>
    </row>
    <row r="185" spans="1:46">
      <c r="A185" s="361">
        <v>2020</v>
      </c>
      <c r="B185" s="361">
        <v>1</v>
      </c>
      <c r="C185" s="362">
        <f t="shared" si="63"/>
        <v>26.112829868525239</v>
      </c>
      <c r="D185" s="389">
        <f t="shared" si="67"/>
        <v>1.3280829182176284E-2</v>
      </c>
      <c r="E185" s="387">
        <v>41343.430840338558</v>
      </c>
      <c r="F185" s="364">
        <v>5030.4660222114398</v>
      </c>
      <c r="G185" s="364">
        <v>30041.525371417025</v>
      </c>
      <c r="H185" s="364">
        <v>121.30390475057224</v>
      </c>
      <c r="I185" s="364">
        <v>11152.592178293675</v>
      </c>
      <c r="J185" s="365">
        <f t="shared" si="57"/>
        <v>87689.318317011275</v>
      </c>
      <c r="K185" s="366">
        <v>31</v>
      </c>
      <c r="L185" s="367">
        <f t="shared" si="58"/>
        <v>1.3280829182176284E-2</v>
      </c>
      <c r="M185" s="368">
        <v>21199.084847987768</v>
      </c>
      <c r="N185" s="368">
        <v>1855.3733602560778</v>
      </c>
      <c r="O185" s="368">
        <v>1408.5838859657533</v>
      </c>
      <c r="P185" s="368">
        <v>235.62531513783301</v>
      </c>
      <c r="Q185" s="368">
        <v>6772.3771448119805</v>
      </c>
      <c r="R185" s="368">
        <v>3327.4374651578573</v>
      </c>
      <c r="S185" s="364">
        <f>$L185*'MWh Impact Summary'!$L$26</f>
        <v>1156.2290969791525</v>
      </c>
      <c r="T185" s="364">
        <f>$L185*'MWh Impact Summary'!$M$26</f>
        <v>3685.8546354936079</v>
      </c>
      <c r="U185" s="368">
        <v>13742.569158767468</v>
      </c>
      <c r="V185" s="368">
        <v>53991.755073581277</v>
      </c>
      <c r="W185" s="368">
        <v>19473.300751656716</v>
      </c>
      <c r="X185" s="368">
        <f t="shared" si="49"/>
        <v>126848.19073579549</v>
      </c>
      <c r="Y185" s="364">
        <f t="shared" si="50"/>
        <v>214537.50905280677</v>
      </c>
      <c r="Z185" s="364"/>
      <c r="AA185" s="390">
        <v>5094859.9289051732</v>
      </c>
      <c r="AB185" s="369">
        <f t="shared" si="59"/>
        <v>42.108617714031723</v>
      </c>
      <c r="AC185" s="370">
        <f t="shared" si="51"/>
        <v>17.211330545029274</v>
      </c>
      <c r="AD185" s="371">
        <f t="shared" si="52"/>
        <v>5.5520421112997657E-4</v>
      </c>
      <c r="AE185" s="370">
        <f t="shared" si="60"/>
        <v>24.89728716900245</v>
      </c>
      <c r="AF185" s="371">
        <f t="shared" si="53"/>
        <v>8.0313829577427249E-4</v>
      </c>
      <c r="AG185" s="372">
        <f t="shared" si="61"/>
        <v>1.3583425069042491E-3</v>
      </c>
      <c r="AH185" s="373">
        <f t="shared" si="54"/>
        <v>1.3583425069042493E-3</v>
      </c>
      <c r="AI185" s="374" t="b">
        <f t="shared" si="62"/>
        <v>1</v>
      </c>
      <c r="AJ185" s="375">
        <f t="shared" si="64"/>
        <v>7.9990627314357196E-5</v>
      </c>
      <c r="AL185" s="376">
        <f t="shared" si="55"/>
        <v>53991.755073581277</v>
      </c>
      <c r="AM185" s="384"/>
      <c r="AN185" s="383">
        <f t="shared" si="66"/>
        <v>10.59729920488383</v>
      </c>
      <c r="AO185" s="379">
        <f t="shared" si="65"/>
        <v>3.4184836144786552E-4</v>
      </c>
      <c r="AQ185" s="380">
        <f t="shared" si="56"/>
        <v>1.3583425069042493E-3</v>
      </c>
      <c r="AR185" s="381">
        <v>791250.87450248061</v>
      </c>
      <c r="AT185" s="382">
        <v>42.108617714031723</v>
      </c>
    </row>
    <row r="186" spans="1:46">
      <c r="A186" s="361">
        <v>2020</v>
      </c>
      <c r="B186" s="361">
        <v>2</v>
      </c>
      <c r="C186" s="362">
        <f t="shared" si="63"/>
        <v>35.042184420393127</v>
      </c>
      <c r="D186" s="389">
        <f t="shared" si="67"/>
        <v>1.7822245532205266E-2</v>
      </c>
      <c r="E186" s="387">
        <v>55480.93160998846</v>
      </c>
      <c r="F186" s="364">
        <v>6750.6478217180793</v>
      </c>
      <c r="G186" s="364">
        <v>40314.308239873986</v>
      </c>
      <c r="H186" s="364">
        <v>162.78411120454416</v>
      </c>
      <c r="I186" s="364">
        <v>14966.25198589679</v>
      </c>
      <c r="J186" s="365">
        <f t="shared" si="57"/>
        <v>117674.92376868185</v>
      </c>
      <c r="K186" s="366">
        <v>29</v>
      </c>
      <c r="L186" s="367">
        <f t="shared" si="58"/>
        <v>1.7822245532205266E-2</v>
      </c>
      <c r="M186" s="368">
        <v>28448.170670393269</v>
      </c>
      <c r="N186" s="368">
        <v>2489.8234234331135</v>
      </c>
      <c r="O186" s="368">
        <v>1890.2530500189562</v>
      </c>
      <c r="P186" s="368">
        <v>316.19804474448983</v>
      </c>
      <c r="Q186" s="368">
        <v>9088.2102808399995</v>
      </c>
      <c r="R186" s="368">
        <v>4465.2639292047843</v>
      </c>
      <c r="S186" s="364">
        <f>$L186*'MWh Impact Summary'!$L$26</f>
        <v>1551.604841473136</v>
      </c>
      <c r="T186" s="364">
        <f>$L186*'MWh Impact Summary'!$M$26</f>
        <v>4946.2428443808658</v>
      </c>
      <c r="U186" s="368">
        <v>18441.878773621171</v>
      </c>
      <c r="V186" s="368">
        <v>72454.385372824559</v>
      </c>
      <c r="W186" s="368">
        <v>26132.249918873826</v>
      </c>
      <c r="X186" s="368">
        <f t="shared" si="49"/>
        <v>170224.28114980817</v>
      </c>
      <c r="Y186" s="364">
        <f t="shared" si="50"/>
        <v>287899.20491849002</v>
      </c>
      <c r="Z186" s="364"/>
      <c r="AA186" s="390">
        <v>5100381.4721688107</v>
      </c>
      <c r="AB186" s="369">
        <f t="shared" si="59"/>
        <v>56.446602374639255</v>
      </c>
      <c r="AC186" s="370">
        <f t="shared" si="51"/>
        <v>23.071788730077774</v>
      </c>
      <c r="AD186" s="371">
        <f t="shared" si="52"/>
        <v>7.9557892172681978E-4</v>
      </c>
      <c r="AE186" s="370">
        <f t="shared" si="60"/>
        <v>33.374813644561478</v>
      </c>
      <c r="AF186" s="371">
        <f t="shared" si="53"/>
        <v>1.1508556429159129E-3</v>
      </c>
      <c r="AG186" s="372">
        <f t="shared" si="61"/>
        <v>1.9464345646427327E-3</v>
      </c>
      <c r="AH186" s="373">
        <f t="shared" si="54"/>
        <v>1.9464345646427331E-3</v>
      </c>
      <c r="AI186" s="374" t="b">
        <f t="shared" si="62"/>
        <v>1</v>
      </c>
      <c r="AJ186" s="375">
        <f t="shared" si="64"/>
        <v>4.927276907588647E-5</v>
      </c>
      <c r="AL186" s="376">
        <f t="shared" si="55"/>
        <v>72454.385372824559</v>
      </c>
      <c r="AM186" s="384"/>
      <c r="AN186" s="383">
        <f t="shared" si="66"/>
        <v>14.205679666939723</v>
      </c>
      <c r="AO186" s="379">
        <f t="shared" si="65"/>
        <v>4.8985102299792152E-4</v>
      </c>
      <c r="AQ186" s="380">
        <f t="shared" si="56"/>
        <v>1.9464345646427331E-3</v>
      </c>
      <c r="AR186" s="381">
        <v>757160.94458751928</v>
      </c>
      <c r="AT186" s="382">
        <v>56.446602374639255</v>
      </c>
    </row>
    <row r="187" spans="1:46">
      <c r="A187" s="361">
        <v>2020</v>
      </c>
      <c r="B187" s="361">
        <v>3</v>
      </c>
      <c r="C187" s="362">
        <f t="shared" si="63"/>
        <v>64.582270600115152</v>
      </c>
      <c r="D187" s="389">
        <f t="shared" si="67"/>
        <v>3.2846156787895278E-2</v>
      </c>
      <c r="E187" s="387">
        <v>102250.60445425735</v>
      </c>
      <c r="F187" s="364">
        <v>12441.352374555647</v>
      </c>
      <c r="G187" s="364">
        <v>74298.723292170413</v>
      </c>
      <c r="H187" s="364">
        <v>300.00890906484096</v>
      </c>
      <c r="I187" s="364">
        <v>27582.59941866529</v>
      </c>
      <c r="J187" s="365">
        <f t="shared" si="57"/>
        <v>216873.28844871352</v>
      </c>
      <c r="K187" s="366">
        <v>31</v>
      </c>
      <c r="L187" s="367">
        <f t="shared" si="58"/>
        <v>3.2846156787895278E-2</v>
      </c>
      <c r="M187" s="368">
        <v>52429.59269526571</v>
      </c>
      <c r="N187" s="368">
        <v>4588.7107992355714</v>
      </c>
      <c r="O187" s="368">
        <v>3483.7107331691768</v>
      </c>
      <c r="P187" s="368">
        <v>582.74870778409274</v>
      </c>
      <c r="Q187" s="368">
        <v>16749.448281722522</v>
      </c>
      <c r="R187" s="368">
        <v>8229.4208579363913</v>
      </c>
      <c r="S187" s="364">
        <f>$L187*'MWh Impact Summary'!$L$26</f>
        <v>2859.5866779969042</v>
      </c>
      <c r="T187" s="364">
        <f>$L187*'MWh Impact Summary'!$M$26</f>
        <v>9115.8584749581842</v>
      </c>
      <c r="U187" s="368">
        <v>33988.132447570759</v>
      </c>
      <c r="V187" s="368">
        <v>133532.44952359868</v>
      </c>
      <c r="W187" s="368">
        <v>48161.382161677844</v>
      </c>
      <c r="X187" s="368">
        <f t="shared" si="49"/>
        <v>313721.04136091587</v>
      </c>
      <c r="Y187" s="364">
        <f t="shared" si="50"/>
        <v>530594.32980962936</v>
      </c>
      <c r="Z187" s="364"/>
      <c r="AA187" s="390">
        <v>5106049.1589007676</v>
      </c>
      <c r="AB187" s="369">
        <f t="shared" si="59"/>
        <v>103.91484948489136</v>
      </c>
      <c r="AC187" s="370">
        <f t="shared" si="51"/>
        <v>42.473795629378955</v>
      </c>
      <c r="AD187" s="371">
        <f t="shared" si="52"/>
        <v>1.3701224396573857E-3</v>
      </c>
      <c r="AE187" s="370">
        <f t="shared" si="60"/>
        <v>61.441053855512408</v>
      </c>
      <c r="AF187" s="371">
        <f t="shared" si="53"/>
        <v>1.9819694792100775E-3</v>
      </c>
      <c r="AG187" s="372">
        <f t="shared" si="61"/>
        <v>3.3520919188674632E-3</v>
      </c>
      <c r="AH187" s="373">
        <f t="shared" si="54"/>
        <v>3.3520919188674632E-3</v>
      </c>
      <c r="AI187" s="374" t="b">
        <f t="shared" si="62"/>
        <v>1</v>
      </c>
      <c r="AJ187" s="375">
        <f t="shared" si="64"/>
        <v>1.976820913776366E-4</v>
      </c>
      <c r="AL187" s="376">
        <f t="shared" si="55"/>
        <v>133532.44952359868</v>
      </c>
      <c r="AM187" s="384"/>
      <c r="AN187" s="383">
        <f t="shared" si="66"/>
        <v>26.151814322200064</v>
      </c>
      <c r="AO187" s="379">
        <f t="shared" si="65"/>
        <v>8.4360691361935693E-4</v>
      </c>
      <c r="AQ187" s="380">
        <f t="shared" si="56"/>
        <v>3.3520919188674632E-3</v>
      </c>
      <c r="AR187" s="381">
        <v>884832.37801699457</v>
      </c>
      <c r="AT187" s="382">
        <v>103.91484948489136</v>
      </c>
    </row>
    <row r="188" spans="1:46">
      <c r="A188" s="361">
        <v>2020</v>
      </c>
      <c r="B188" s="361">
        <v>4</v>
      </c>
      <c r="C188" s="362">
        <f t="shared" si="63"/>
        <v>114.03392869270741</v>
      </c>
      <c r="D188" s="389">
        <f t="shared" si="67"/>
        <v>5.7996974497419709E-2</v>
      </c>
      <c r="E188" s="387">
        <v>180545.49691076085</v>
      </c>
      <c r="F188" s="364">
        <v>21967.891130764841</v>
      </c>
      <c r="G188" s="364">
        <v>131190.42169204023</v>
      </c>
      <c r="H188" s="364">
        <v>529.73043879655745</v>
      </c>
      <c r="I188" s="364">
        <v>48703.028649196822</v>
      </c>
      <c r="J188" s="365">
        <f t="shared" si="57"/>
        <v>382936.56882155931</v>
      </c>
      <c r="K188" s="366">
        <v>30</v>
      </c>
      <c r="L188" s="367">
        <f t="shared" si="58"/>
        <v>5.7996974497419709E-2</v>
      </c>
      <c r="M188" s="368">
        <v>92575.754603291425</v>
      </c>
      <c r="N188" s="368">
        <v>8102.3586691693763</v>
      </c>
      <c r="O188" s="368">
        <v>6151.242711672714</v>
      </c>
      <c r="P188" s="368">
        <v>1028.9685384505531</v>
      </c>
      <c r="Q188" s="368">
        <v>29574.763681299413</v>
      </c>
      <c r="R188" s="368">
        <v>14530.817553734694</v>
      </c>
      <c r="S188" s="364">
        <f>$L188*'MWh Impact Summary'!$L$26</f>
        <v>5049.2170730326343</v>
      </c>
      <c r="T188" s="364">
        <f>$L188*'MWh Impact Summary'!$M$26</f>
        <v>16096.014365037523</v>
      </c>
      <c r="U188" s="368">
        <v>60013.378840812511</v>
      </c>
      <c r="V188" s="368">
        <v>235780.34165787679</v>
      </c>
      <c r="W188" s="368">
        <v>85039.308282809259</v>
      </c>
      <c r="X188" s="368">
        <f t="shared" si="49"/>
        <v>553942.16597718687</v>
      </c>
      <c r="Y188" s="364">
        <f t="shared" si="50"/>
        <v>936878.73479874618</v>
      </c>
      <c r="Z188" s="364"/>
      <c r="AA188" s="390">
        <v>5111527.3694814648</v>
      </c>
      <c r="AB188" s="369">
        <f t="shared" si="59"/>
        <v>183.28743388764974</v>
      </c>
      <c r="AC188" s="370">
        <f t="shared" si="51"/>
        <v>74.916270840667735</v>
      </c>
      <c r="AD188" s="371">
        <f t="shared" si="52"/>
        <v>2.4972090280222575E-3</v>
      </c>
      <c r="AE188" s="370">
        <f t="shared" si="60"/>
        <v>108.37116304698202</v>
      </c>
      <c r="AF188" s="371">
        <f t="shared" si="53"/>
        <v>3.6123721015660672E-3</v>
      </c>
      <c r="AG188" s="372">
        <f t="shared" si="61"/>
        <v>6.1095811295883247E-3</v>
      </c>
      <c r="AH188" s="373">
        <f t="shared" si="54"/>
        <v>6.1095811295883247E-3</v>
      </c>
      <c r="AI188" s="374" t="b">
        <f t="shared" si="62"/>
        <v>1</v>
      </c>
      <c r="AJ188" s="375">
        <f t="shared" si="64"/>
        <v>3.6049037724699556E-4</v>
      </c>
      <c r="AL188" s="376">
        <f t="shared" si="55"/>
        <v>235780.34165787679</v>
      </c>
      <c r="AM188" s="384"/>
      <c r="AN188" s="383">
        <f t="shared" si="66"/>
        <v>46.127179728237543</v>
      </c>
      <c r="AO188" s="379">
        <f t="shared" si="65"/>
        <v>1.5375726576079181E-3</v>
      </c>
      <c r="AQ188" s="380">
        <f t="shared" si="56"/>
        <v>6.1095811295883247E-3</v>
      </c>
      <c r="AR188" s="381">
        <v>1032189.2219764603</v>
      </c>
      <c r="AT188" s="382">
        <v>183.28743388764974</v>
      </c>
    </row>
    <row r="189" spans="1:46">
      <c r="A189" s="361">
        <v>2020</v>
      </c>
      <c r="B189" s="361">
        <v>5</v>
      </c>
      <c r="C189" s="362">
        <f t="shared" si="63"/>
        <v>208.47875842628665</v>
      </c>
      <c r="D189" s="389">
        <f t="shared" si="67"/>
        <v>0.10603105035770212</v>
      </c>
      <c r="E189" s="387">
        <v>330076.33313101414</v>
      </c>
      <c r="F189" s="364">
        <v>40162.070365278698</v>
      </c>
      <c r="G189" s="364">
        <v>239844.549296201</v>
      </c>
      <c r="H189" s="364">
        <v>968.46215373776681</v>
      </c>
      <c r="I189" s="364">
        <v>89039.701260715694</v>
      </c>
      <c r="J189" s="365">
        <f t="shared" si="57"/>
        <v>700091.11620694736</v>
      </c>
      <c r="K189" s="366">
        <v>31</v>
      </c>
      <c r="L189" s="367">
        <f t="shared" si="58"/>
        <v>0.10603105035770212</v>
      </c>
      <c r="M189" s="368">
        <v>169248.56138281105</v>
      </c>
      <c r="N189" s="368">
        <v>14812.869248982703</v>
      </c>
      <c r="O189" s="368">
        <v>11245.806033430848</v>
      </c>
      <c r="P189" s="368">
        <v>1881.1776969813438</v>
      </c>
      <c r="Q189" s="368">
        <v>54069.083506218274</v>
      </c>
      <c r="R189" s="368">
        <v>26565.486581496971</v>
      </c>
      <c r="S189" s="364">
        <f>$L189*'MWh Impact Summary'!$L$26</f>
        <v>9231.0641094133516</v>
      </c>
      <c r="T189" s="364">
        <f>$L189*'MWh Impact Summary'!$M$26</f>
        <v>29427.005882410649</v>
      </c>
      <c r="U189" s="368">
        <v>109717.47490533578</v>
      </c>
      <c r="V189" s="368">
        <v>431057.61113098753</v>
      </c>
      <c r="W189" s="368">
        <v>155470.30266759626</v>
      </c>
      <c r="X189" s="368">
        <f t="shared" si="49"/>
        <v>1012726.4431456648</v>
      </c>
      <c r="Y189" s="364">
        <f t="shared" si="50"/>
        <v>1712817.5593526121</v>
      </c>
      <c r="Z189" s="364"/>
      <c r="AA189" s="390">
        <v>5116441.1678385669</v>
      </c>
      <c r="AB189" s="369">
        <f t="shared" si="59"/>
        <v>334.76737114055186</v>
      </c>
      <c r="AC189" s="370">
        <f t="shared" si="51"/>
        <v>136.83165568435527</v>
      </c>
      <c r="AD189" s="371">
        <f t="shared" si="52"/>
        <v>4.4139243769146857E-3</v>
      </c>
      <c r="AE189" s="370">
        <f t="shared" si="60"/>
        <v>197.93571545619659</v>
      </c>
      <c r="AF189" s="371">
        <f t="shared" si="53"/>
        <v>6.3850230792321487E-3</v>
      </c>
      <c r="AG189" s="372">
        <f t="shared" si="61"/>
        <v>1.0798947456146835E-2</v>
      </c>
      <c r="AH189" s="373">
        <f t="shared" si="54"/>
        <v>1.0798947456146834E-2</v>
      </c>
      <c r="AI189" s="374" t="b">
        <f t="shared" si="62"/>
        <v>1</v>
      </c>
      <c r="AJ189" s="375">
        <f t="shared" si="64"/>
        <v>6.3799173972882428E-4</v>
      </c>
      <c r="AL189" s="376">
        <f t="shared" si="55"/>
        <v>431057.61113098753</v>
      </c>
      <c r="AM189" s="384"/>
      <c r="AN189" s="383">
        <f t="shared" si="66"/>
        <v>84.249500187859525</v>
      </c>
      <c r="AO189" s="379">
        <f t="shared" si="65"/>
        <v>2.7177258125115978E-3</v>
      </c>
      <c r="AQ189" s="380">
        <f t="shared" si="56"/>
        <v>1.0798947456146834E-2</v>
      </c>
      <c r="AR189" s="381">
        <v>1231330.71450657</v>
      </c>
      <c r="AT189" s="382">
        <v>334.76737114055186</v>
      </c>
    </row>
    <row r="190" spans="1:46">
      <c r="A190" s="361">
        <v>2020</v>
      </c>
      <c r="B190" s="361">
        <v>6</v>
      </c>
      <c r="C190" s="362">
        <f t="shared" si="63"/>
        <v>271.66325293295364</v>
      </c>
      <c r="D190" s="389">
        <f t="shared" si="67"/>
        <v>0.13816630657965029</v>
      </c>
      <c r="E190" s="387">
        <v>430113.89290414291</v>
      </c>
      <c r="F190" s="364">
        <v>52334.150310145451</v>
      </c>
      <c r="G190" s="364">
        <v>312535.1999977596</v>
      </c>
      <c r="H190" s="364">
        <v>1261.9778677350505</v>
      </c>
      <c r="I190" s="364">
        <v>116025.32107949526</v>
      </c>
      <c r="J190" s="365">
        <f t="shared" si="57"/>
        <v>912270.5421592783</v>
      </c>
      <c r="K190" s="366">
        <v>30</v>
      </c>
      <c r="L190" s="367">
        <f t="shared" si="58"/>
        <v>0.13816630657965029</v>
      </c>
      <c r="M190" s="368">
        <v>220543.40253438393</v>
      </c>
      <c r="N190" s="368">
        <v>19302.265016471658</v>
      </c>
      <c r="O190" s="368">
        <v>14654.117627888045</v>
      </c>
      <c r="P190" s="368">
        <v>2451.3137758711687</v>
      </c>
      <c r="Q190" s="368">
        <v>70456.017770253151</v>
      </c>
      <c r="R190" s="368">
        <v>34616.795279063968</v>
      </c>
      <c r="S190" s="364">
        <f>$L190*'MWh Impact Summary'!$L$26</f>
        <v>12028.75977833756</v>
      </c>
      <c r="T190" s="364">
        <f>$L190*'MWh Impact Summary'!$M$26</f>
        <v>38345.566725539662</v>
      </c>
      <c r="U190" s="368">
        <v>142969.99061855034</v>
      </c>
      <c r="V190" s="368">
        <v>561699.97233918204</v>
      </c>
      <c r="W190" s="368">
        <v>202589.31162084595</v>
      </c>
      <c r="X190" s="368">
        <f t="shared" si="49"/>
        <v>1319657.5130863874</v>
      </c>
      <c r="Y190" s="364">
        <f t="shared" si="50"/>
        <v>2231928.0552456658</v>
      </c>
      <c r="Z190" s="364"/>
      <c r="AA190" s="390">
        <v>5121360.7767743841</v>
      </c>
      <c r="AB190" s="369">
        <f t="shared" si="59"/>
        <v>435.80762077289427</v>
      </c>
      <c r="AC190" s="370">
        <f t="shared" si="51"/>
        <v>178.13049732728629</v>
      </c>
      <c r="AD190" s="371">
        <f t="shared" si="52"/>
        <v>5.9376832442428768E-3</v>
      </c>
      <c r="AE190" s="370">
        <f t="shared" si="60"/>
        <v>257.67712344560789</v>
      </c>
      <c r="AF190" s="371">
        <f t="shared" si="53"/>
        <v>8.5892374481869298E-3</v>
      </c>
      <c r="AG190" s="372">
        <f t="shared" si="61"/>
        <v>1.4526920692429807E-2</v>
      </c>
      <c r="AH190" s="373">
        <f t="shared" si="54"/>
        <v>1.4526920692429808E-2</v>
      </c>
      <c r="AI190" s="374" t="b">
        <f t="shared" si="62"/>
        <v>1</v>
      </c>
      <c r="AJ190" s="375">
        <f t="shared" si="64"/>
        <v>8.5933467707183069E-4</v>
      </c>
      <c r="AL190" s="376">
        <f t="shared" si="55"/>
        <v>561699.97233918204</v>
      </c>
      <c r="AM190" s="384"/>
      <c r="AN190" s="383">
        <f t="shared" si="66"/>
        <v>109.67787602203661</v>
      </c>
      <c r="AO190" s="379">
        <f t="shared" si="65"/>
        <v>3.655929200734554E-3</v>
      </c>
      <c r="AQ190" s="380">
        <f t="shared" si="56"/>
        <v>1.4526920692429808E-2</v>
      </c>
      <c r="AR190" s="381">
        <v>1495581.1010643367</v>
      </c>
      <c r="AT190" s="382">
        <v>435.80762077289427</v>
      </c>
    </row>
    <row r="191" spans="1:46">
      <c r="A191" s="361">
        <v>2020</v>
      </c>
      <c r="B191" s="361">
        <v>7</v>
      </c>
      <c r="C191" s="362">
        <f t="shared" si="63"/>
        <v>322.31916585708109</v>
      </c>
      <c r="D191" s="389">
        <f t="shared" si="67"/>
        <v>0.16392960109808263</v>
      </c>
      <c r="E191" s="387">
        <v>510315.43533280172</v>
      </c>
      <c r="F191" s="364">
        <v>62092.680889631665</v>
      </c>
      <c r="G191" s="364">
        <v>370812.33430240751</v>
      </c>
      <c r="H191" s="364">
        <v>1497.2936135710906</v>
      </c>
      <c r="I191" s="364">
        <v>137660.07844230786</v>
      </c>
      <c r="J191" s="365">
        <f t="shared" si="57"/>
        <v>1082377.8225807198</v>
      </c>
      <c r="K191" s="366">
        <v>31</v>
      </c>
      <c r="L191" s="367">
        <f t="shared" si="58"/>
        <v>0.16392960109808263</v>
      </c>
      <c r="M191" s="368">
        <v>261667.21031537134</v>
      </c>
      <c r="N191" s="368">
        <v>22901.477811564462</v>
      </c>
      <c r="O191" s="368">
        <v>17386.609779564598</v>
      </c>
      <c r="P191" s="368">
        <v>2908.4000245250859</v>
      </c>
      <c r="Q191" s="368">
        <v>83593.657339162935</v>
      </c>
      <c r="R191" s="368">
        <v>41071.644613439654</v>
      </c>
      <c r="S191" s="364">
        <f>$L191*'MWh Impact Summary'!$L$26</f>
        <v>14271.712409354963</v>
      </c>
      <c r="T191" s="364">
        <f>$L191*'MWh Impact Summary'!$M$26</f>
        <v>45495.704508637791</v>
      </c>
      <c r="U191" s="368">
        <v>169629.00805041476</v>
      </c>
      <c r="V191" s="368">
        <v>666437.82179473829</v>
      </c>
      <c r="W191" s="368">
        <v>240365.29500479388</v>
      </c>
      <c r="X191" s="368">
        <f t="shared" si="49"/>
        <v>1565728.5416515679</v>
      </c>
      <c r="Y191" s="364">
        <f t="shared" si="50"/>
        <v>2648106.3642322877</v>
      </c>
      <c r="Z191" s="364"/>
      <c r="AA191" s="390">
        <v>5126615.2635603016</v>
      </c>
      <c r="AB191" s="369">
        <f t="shared" si="59"/>
        <v>516.54088089170295</v>
      </c>
      <c r="AC191" s="370">
        <f t="shared" si="51"/>
        <v>211.12913041752944</v>
      </c>
      <c r="AD191" s="371">
        <f t="shared" si="52"/>
        <v>6.8106171102428848E-3</v>
      </c>
      <c r="AE191" s="370">
        <f t="shared" si="60"/>
        <v>305.41175047417346</v>
      </c>
      <c r="AF191" s="371">
        <f t="shared" si="53"/>
        <v>9.8519919507797891E-3</v>
      </c>
      <c r="AG191" s="372">
        <f t="shared" si="61"/>
        <v>1.6662609061022675E-2</v>
      </c>
      <c r="AH191" s="373">
        <f t="shared" si="54"/>
        <v>1.6662609061022675E-2</v>
      </c>
      <c r="AI191" s="374" t="b">
        <f t="shared" si="62"/>
        <v>1</v>
      </c>
      <c r="AJ191" s="375">
        <f t="shared" si="64"/>
        <v>9.8742885750367423E-4</v>
      </c>
      <c r="AL191" s="376">
        <f t="shared" si="55"/>
        <v>666437.82179473829</v>
      </c>
      <c r="AM191" s="384"/>
      <c r="AN191" s="383">
        <f t="shared" si="66"/>
        <v>129.99567697848161</v>
      </c>
      <c r="AO191" s="379">
        <f t="shared" si="65"/>
        <v>4.1934089347897292E-3</v>
      </c>
      <c r="AQ191" s="380">
        <f t="shared" si="56"/>
        <v>1.6662609061022675E-2</v>
      </c>
      <c r="AR191" s="381">
        <v>1569649.5181221459</v>
      </c>
      <c r="AT191" s="382">
        <v>516.54088089170295</v>
      </c>
    </row>
    <row r="192" spans="1:46">
      <c r="A192" s="361">
        <v>2020</v>
      </c>
      <c r="B192" s="361">
        <v>8</v>
      </c>
      <c r="C192" s="362">
        <f t="shared" si="63"/>
        <v>326.45437890907908</v>
      </c>
      <c r="D192" s="389">
        <f t="shared" si="67"/>
        <v>0.16603274573816959</v>
      </c>
      <c r="E192" s="387">
        <v>516862.55778893252</v>
      </c>
      <c r="F192" s="364">
        <v>62889.302659750676</v>
      </c>
      <c r="G192" s="364">
        <v>375569.69336472615</v>
      </c>
      <c r="H192" s="364">
        <v>1516.5032317054893</v>
      </c>
      <c r="I192" s="364">
        <v>139426.19666739073</v>
      </c>
      <c r="J192" s="365">
        <f t="shared" si="57"/>
        <v>1096264.2537125056</v>
      </c>
      <c r="K192" s="366">
        <v>31</v>
      </c>
      <c r="L192" s="367">
        <f t="shared" si="58"/>
        <v>0.16603274573816959</v>
      </c>
      <c r="M192" s="368">
        <v>265024.28546943096</v>
      </c>
      <c r="N192" s="368">
        <v>23195.293693423679</v>
      </c>
      <c r="O192" s="368">
        <v>17609.672331551752</v>
      </c>
      <c r="P192" s="368">
        <v>2945.7135169134976</v>
      </c>
      <c r="Q192" s="368">
        <v>84666.127174997746</v>
      </c>
      <c r="R192" s="368">
        <v>41598.575739055152</v>
      </c>
      <c r="S192" s="364">
        <f>$L192*'MWh Impact Summary'!$L$26</f>
        <v>14454.812198883752</v>
      </c>
      <c r="T192" s="364">
        <f>$L192*'MWh Impact Summary'!$M$26</f>
        <v>46079.394375772114</v>
      </c>
      <c r="U192" s="368">
        <v>171805.27357350991</v>
      </c>
      <c r="V192" s="368">
        <v>674987.92576296674</v>
      </c>
      <c r="W192" s="368">
        <v>243449.07595994783</v>
      </c>
      <c r="X192" s="368">
        <f t="shared" si="49"/>
        <v>1585816.1497964533</v>
      </c>
      <c r="Y192" s="364">
        <f t="shared" si="50"/>
        <v>2682080.4035089589</v>
      </c>
      <c r="Z192" s="364"/>
      <c r="AA192" s="390">
        <v>5132042.3812502129</v>
      </c>
      <c r="AB192" s="369">
        <f t="shared" si="59"/>
        <v>522.6146247949689</v>
      </c>
      <c r="AC192" s="370">
        <f t="shared" si="51"/>
        <v>213.61169146180072</v>
      </c>
      <c r="AD192" s="371">
        <f t="shared" si="52"/>
        <v>6.8906997245742167E-3</v>
      </c>
      <c r="AE192" s="370">
        <f t="shared" si="60"/>
        <v>309.00293333316819</v>
      </c>
      <c r="AF192" s="371">
        <f t="shared" si="53"/>
        <v>9.9678365591344582E-3</v>
      </c>
      <c r="AG192" s="372">
        <f t="shared" si="61"/>
        <v>1.6858536283708675E-2</v>
      </c>
      <c r="AH192" s="373">
        <f t="shared" si="54"/>
        <v>1.6858536283708675E-2</v>
      </c>
      <c r="AI192" s="374" t="b">
        <f t="shared" si="62"/>
        <v>1</v>
      </c>
      <c r="AJ192" s="375">
        <f t="shared" si="64"/>
        <v>1.0010757218284275E-3</v>
      </c>
      <c r="AL192" s="376">
        <f t="shared" si="55"/>
        <v>674987.92576296674</v>
      </c>
      <c r="AM192" s="384"/>
      <c r="AN192" s="383">
        <f t="shared" si="66"/>
        <v>131.52423063165224</v>
      </c>
      <c r="AO192" s="379">
        <f t="shared" si="65"/>
        <v>4.2427171171500726E-3</v>
      </c>
      <c r="AQ192" s="380">
        <f t="shared" si="56"/>
        <v>1.6858536283708675E-2</v>
      </c>
      <c r="AR192" s="381">
        <v>1631630.4343088379</v>
      </c>
      <c r="AT192" s="382">
        <v>522.6146247949689</v>
      </c>
    </row>
    <row r="193" spans="1:46">
      <c r="A193" s="361">
        <v>2020</v>
      </c>
      <c r="B193" s="361">
        <v>9</v>
      </c>
      <c r="C193" s="362">
        <f t="shared" si="63"/>
        <v>277.87653293728147</v>
      </c>
      <c r="D193" s="389">
        <f t="shared" si="67"/>
        <v>0.14132634365008559</v>
      </c>
      <c r="E193" s="387">
        <v>439951.13817567943</v>
      </c>
      <c r="F193" s="364">
        <v>53531.098098095878</v>
      </c>
      <c r="G193" s="364">
        <v>319683.27279682143</v>
      </c>
      <c r="H193" s="364">
        <v>1290.8408875467057</v>
      </c>
      <c r="I193" s="364">
        <v>118678.9659861064</v>
      </c>
      <c r="J193" s="365">
        <f t="shared" si="57"/>
        <v>933135.31594424974</v>
      </c>
      <c r="K193" s="366">
        <v>30</v>
      </c>
      <c r="L193" s="367">
        <f t="shared" si="58"/>
        <v>0.14132634365008559</v>
      </c>
      <c r="M193" s="368">
        <v>225587.50731579695</v>
      </c>
      <c r="N193" s="368">
        <v>19743.732075303789</v>
      </c>
      <c r="O193" s="368">
        <v>14989.275714436086</v>
      </c>
      <c r="P193" s="368">
        <v>2507.378402586482</v>
      </c>
      <c r="Q193" s="368">
        <v>72067.435441470254</v>
      </c>
      <c r="R193" s="368">
        <v>35408.524891366011</v>
      </c>
      <c r="S193" s="364">
        <f>$L193*'MWh Impact Summary'!$L$26</f>
        <v>12303.872631477301</v>
      </c>
      <c r="T193" s="364">
        <f>$L193*'MWh Impact Summary'!$M$26</f>
        <v>39222.578026914365</v>
      </c>
      <c r="U193" s="368">
        <v>146239.8939799314</v>
      </c>
      <c r="V193" s="368">
        <v>574546.75661672978</v>
      </c>
      <c r="W193" s="368">
        <v>207222.78377946364</v>
      </c>
      <c r="X193" s="368">
        <f t="shared" si="49"/>
        <v>1349839.7388754762</v>
      </c>
      <c r="Y193" s="364">
        <f t="shared" si="50"/>
        <v>2282975.0548197259</v>
      </c>
      <c r="Z193" s="364"/>
      <c r="AA193" s="390">
        <v>5136848.4535763171</v>
      </c>
      <c r="AB193" s="369">
        <f t="shared" si="59"/>
        <v>444.4310700328914</v>
      </c>
      <c r="AC193" s="370">
        <f t="shared" si="51"/>
        <v>181.65521610718204</v>
      </c>
      <c r="AD193" s="371">
        <f t="shared" si="52"/>
        <v>6.055173870239401E-3</v>
      </c>
      <c r="AE193" s="370">
        <f t="shared" si="60"/>
        <v>262.77585392570933</v>
      </c>
      <c r="AF193" s="371">
        <f t="shared" si="53"/>
        <v>8.7591951308569772E-3</v>
      </c>
      <c r="AG193" s="372">
        <f t="shared" si="61"/>
        <v>1.4814369001096377E-2</v>
      </c>
      <c r="AH193" s="373">
        <f t="shared" si="54"/>
        <v>1.4814369001096379E-2</v>
      </c>
      <c r="AI193" s="374" t="b">
        <f t="shared" si="62"/>
        <v>1</v>
      </c>
      <c r="AJ193" s="375">
        <f t="shared" si="64"/>
        <v>8.806513548556185E-4</v>
      </c>
      <c r="AL193" s="376">
        <f t="shared" si="55"/>
        <v>574546.75661672978</v>
      </c>
      <c r="AM193" s="384"/>
      <c r="AN193" s="383">
        <f t="shared" si="66"/>
        <v>111.84810332816524</v>
      </c>
      <c r="AO193" s="379">
        <f t="shared" si="65"/>
        <v>3.7282701109388416E-3</v>
      </c>
      <c r="AQ193" s="380">
        <f t="shared" si="56"/>
        <v>1.4814369001096379E-2</v>
      </c>
      <c r="AR193" s="381">
        <v>1543477.4099642611</v>
      </c>
      <c r="AT193" s="382">
        <v>444.4310700328914</v>
      </c>
    </row>
    <row r="194" spans="1:46">
      <c r="A194" s="361">
        <v>2020</v>
      </c>
      <c r="B194" s="361">
        <v>10</v>
      </c>
      <c r="C194" s="362">
        <f t="shared" si="63"/>
        <v>198.89039579254836</v>
      </c>
      <c r="D194" s="389">
        <f t="shared" si="67"/>
        <v>0.10115446643644242</v>
      </c>
      <c r="E194" s="387">
        <v>314895.45042255439</v>
      </c>
      <c r="F194" s="364">
        <v>38314.934965534056</v>
      </c>
      <c r="G194" s="364">
        <v>228813.61006892897</v>
      </c>
      <c r="H194" s="364">
        <v>923.92060716878041</v>
      </c>
      <c r="I194" s="364">
        <v>84944.584084596616</v>
      </c>
      <c r="J194" s="365">
        <f t="shared" si="57"/>
        <v>667892.50014878286</v>
      </c>
      <c r="K194" s="366">
        <v>31</v>
      </c>
      <c r="L194" s="367">
        <f t="shared" si="58"/>
        <v>0.10115446643644242</v>
      </c>
      <c r="M194" s="368">
        <v>161464.47539713641</v>
      </c>
      <c r="N194" s="368">
        <v>14131.595228178248</v>
      </c>
      <c r="O194" s="368">
        <v>10728.588513664476</v>
      </c>
      <c r="P194" s="368">
        <v>1794.6585039790725</v>
      </c>
      <c r="Q194" s="368">
        <v>51582.336252709443</v>
      </c>
      <c r="R194" s="368">
        <v>25343.685757240983</v>
      </c>
      <c r="S194" s="364">
        <f>$L194*'MWh Impact Summary'!$L$26</f>
        <v>8806.5086734328706</v>
      </c>
      <c r="T194" s="364">
        <f>$L194*'MWh Impact Summary'!$M$26</f>
        <v>28073.597958478356</v>
      </c>
      <c r="U194" s="368">
        <v>104671.34481231526</v>
      </c>
      <c r="V194" s="368">
        <v>411232.39381505537</v>
      </c>
      <c r="W194" s="368">
        <v>148319.90685745887</v>
      </c>
      <c r="X194" s="368">
        <f t="shared" si="49"/>
        <v>966149.09176964941</v>
      </c>
      <c r="Y194" s="364">
        <f t="shared" si="50"/>
        <v>1634041.5919184322</v>
      </c>
      <c r="Z194" s="364"/>
      <c r="AA194" s="390">
        <v>5141857.9398052078</v>
      </c>
      <c r="AB194" s="369">
        <f t="shared" si="59"/>
        <v>317.79205319319567</v>
      </c>
      <c r="AC194" s="370">
        <f t="shared" si="51"/>
        <v>129.89322302710002</v>
      </c>
      <c r="AD194" s="371">
        <f t="shared" si="52"/>
        <v>4.1901039686161297E-3</v>
      </c>
      <c r="AE194" s="370">
        <f t="shared" si="60"/>
        <v>187.89883016609568</v>
      </c>
      <c r="AF194" s="371">
        <f t="shared" si="53"/>
        <v>6.0612525860030868E-3</v>
      </c>
      <c r="AG194" s="372">
        <f t="shared" si="61"/>
        <v>1.0251356554619217E-2</v>
      </c>
      <c r="AH194" s="373">
        <f t="shared" si="54"/>
        <v>1.0251356554619217E-2</v>
      </c>
      <c r="AI194" s="374" t="b">
        <f t="shared" si="62"/>
        <v>1</v>
      </c>
      <c r="AJ194" s="375">
        <f t="shared" si="64"/>
        <v>6.1024980607329513E-4</v>
      </c>
      <c r="AL194" s="376">
        <f t="shared" si="55"/>
        <v>411232.39381505537</v>
      </c>
      <c r="AM194" s="384"/>
      <c r="AN194" s="383">
        <f t="shared" si="66"/>
        <v>79.977393119233923</v>
      </c>
      <c r="AO194" s="379">
        <f t="shared" si="65"/>
        <v>2.5799159070720619E-3</v>
      </c>
      <c r="AQ194" s="380">
        <f t="shared" si="56"/>
        <v>1.0251356554619217E-2</v>
      </c>
      <c r="AR194" s="381">
        <v>1249756.1416365989</v>
      </c>
      <c r="AT194" s="382">
        <v>317.79205319319567</v>
      </c>
    </row>
    <row r="195" spans="1:46">
      <c r="A195" s="361">
        <v>2020</v>
      </c>
      <c r="B195" s="361">
        <v>11</v>
      </c>
      <c r="C195" s="362">
        <f t="shared" si="63"/>
        <v>78.117279066674627</v>
      </c>
      <c r="D195" s="389">
        <f t="shared" si="67"/>
        <v>3.9729981188725644E-2</v>
      </c>
      <c r="E195" s="387">
        <v>123680.05845361439</v>
      </c>
      <c r="F195" s="364">
        <v>15048.783301965006</v>
      </c>
      <c r="G195" s="364">
        <v>89870.08427823479</v>
      </c>
      <c r="H195" s="364">
        <v>362.88410819462581</v>
      </c>
      <c r="I195" s="364">
        <v>33363.299186453994</v>
      </c>
      <c r="J195" s="365">
        <f t="shared" si="57"/>
        <v>262325.1093284628</v>
      </c>
      <c r="K195" s="366">
        <v>30</v>
      </c>
      <c r="L195" s="367">
        <f t="shared" si="58"/>
        <v>3.9729981188725644E-2</v>
      </c>
      <c r="M195" s="368">
        <v>63417.669986983303</v>
      </c>
      <c r="N195" s="368">
        <v>5550.4025908235799</v>
      </c>
      <c r="O195" s="368">
        <v>4213.8190714226912</v>
      </c>
      <c r="P195" s="368">
        <v>704.87988435068769</v>
      </c>
      <c r="Q195" s="368">
        <v>20259.760356487357</v>
      </c>
      <c r="R195" s="368">
        <v>9954.1245568312934</v>
      </c>
      <c r="S195" s="364">
        <f>$L195*'MWh Impact Summary'!$L$26</f>
        <v>3458.8924865089966</v>
      </c>
      <c r="T195" s="364">
        <f>$L195*'MWh Impact Summary'!$M$26</f>
        <v>11026.339795791411</v>
      </c>
      <c r="U195" s="368">
        <v>41111.289564310391</v>
      </c>
      <c r="V195" s="368">
        <v>161517.88295707587</v>
      </c>
      <c r="W195" s="368">
        <v>58254.937393821587</v>
      </c>
      <c r="X195" s="368">
        <f t="shared" si="49"/>
        <v>379469.9986444072</v>
      </c>
      <c r="Y195" s="364">
        <f t="shared" si="50"/>
        <v>641795.10797287</v>
      </c>
      <c r="Z195" s="364"/>
      <c r="AA195" s="390">
        <v>5146914.2029780019</v>
      </c>
      <c r="AB195" s="369">
        <f t="shared" si="59"/>
        <v>124.69512462467854</v>
      </c>
      <c r="AC195" s="370">
        <f t="shared" si="51"/>
        <v>50.967453309534797</v>
      </c>
      <c r="AD195" s="371">
        <f t="shared" si="52"/>
        <v>1.6989151103178265E-3</v>
      </c>
      <c r="AE195" s="370">
        <f t="shared" si="60"/>
        <v>73.727671315143752</v>
      </c>
      <c r="AF195" s="371">
        <f t="shared" si="53"/>
        <v>2.457589043838125E-3</v>
      </c>
      <c r="AG195" s="372">
        <f t="shared" si="61"/>
        <v>4.156504154155952E-3</v>
      </c>
      <c r="AH195" s="373">
        <f t="shared" si="54"/>
        <v>4.1565041541559511E-3</v>
      </c>
      <c r="AI195" s="374" t="b">
        <f t="shared" si="62"/>
        <v>1</v>
      </c>
      <c r="AJ195" s="375">
        <f t="shared" si="64"/>
        <v>2.4779111920862108E-4</v>
      </c>
      <c r="AL195" s="376">
        <f t="shared" si="55"/>
        <v>161517.88295707587</v>
      </c>
      <c r="AM195" s="384"/>
      <c r="AN195" s="383">
        <f t="shared" si="66"/>
        <v>31.381499008400354</v>
      </c>
      <c r="AO195" s="379">
        <f t="shared" si="65"/>
        <v>1.0460499669466786E-3</v>
      </c>
      <c r="AQ195" s="380">
        <f t="shared" si="56"/>
        <v>4.1565041541559511E-3</v>
      </c>
      <c r="AR195" s="381">
        <v>974261.26226112701</v>
      </c>
      <c r="AT195" s="382">
        <v>124.69512462467854</v>
      </c>
    </row>
    <row r="196" spans="1:46">
      <c r="A196" s="361">
        <v>2020</v>
      </c>
      <c r="B196" s="361">
        <v>12</v>
      </c>
      <c r="C196" s="362">
        <f t="shared" si="63"/>
        <v>42.633806123140985</v>
      </c>
      <c r="D196" s="389">
        <f t="shared" si="67"/>
        <v>2.1683298951445065E-2</v>
      </c>
      <c r="E196" s="387">
        <v>67500.451838697205</v>
      </c>
      <c r="F196" s="364">
        <v>8213.124130162425</v>
      </c>
      <c r="G196" s="364">
        <v>49048.095314716978</v>
      </c>
      <c r="H196" s="364">
        <v>198.05004601777901</v>
      </c>
      <c r="I196" s="364">
        <v>18208.576209235052</v>
      </c>
      <c r="J196" s="365">
        <f t="shared" si="57"/>
        <v>143168.29753882944</v>
      </c>
      <c r="K196" s="366">
        <v>31</v>
      </c>
      <c r="L196" s="367">
        <f t="shared" si="58"/>
        <v>2.1683298951445065E-2</v>
      </c>
      <c r="M196" s="368">
        <v>34611.249640411705</v>
      </c>
      <c r="N196" s="368">
        <v>3029.2246579732955</v>
      </c>
      <c r="O196" s="368">
        <v>2299.7619409617841</v>
      </c>
      <c r="P196" s="368">
        <v>384.6999369225282</v>
      </c>
      <c r="Q196" s="368">
        <v>11057.101648440053</v>
      </c>
      <c r="R196" s="368">
        <v>5432.6292665585997</v>
      </c>
      <c r="S196" s="364">
        <f>$L196*'MWh Impact Summary'!$L$26</f>
        <v>1887.7481836604766</v>
      </c>
      <c r="T196" s="364">
        <f>$L196*'MWh Impact Summary'!$M$26</f>
        <v>6017.8085913669602</v>
      </c>
      <c r="U196" s="368">
        <v>22437.171003628126</v>
      </c>
      <c r="V196" s="368">
        <v>88151.074764581979</v>
      </c>
      <c r="W196" s="368">
        <v>31793.602340451194</v>
      </c>
      <c r="X196" s="368">
        <f t="shared" si="49"/>
        <v>207102.07197495672</v>
      </c>
      <c r="Y196" s="364">
        <f t="shared" si="50"/>
        <v>350270.36951378617</v>
      </c>
      <c r="Z196" s="364">
        <f>SUM(Y185:Y196)</f>
        <v>16153924.285144012</v>
      </c>
      <c r="AA196" s="390">
        <v>5152004.6812553955</v>
      </c>
      <c r="AB196" s="369">
        <f t="shared" si="59"/>
        <v>67.987199388265168</v>
      </c>
      <c r="AC196" s="370">
        <f t="shared" si="51"/>
        <v>27.788852378127778</v>
      </c>
      <c r="AD196" s="371">
        <f t="shared" si="52"/>
        <v>8.9641459284283158E-4</v>
      </c>
      <c r="AE196" s="370">
        <f t="shared" si="60"/>
        <v>40.198347010137404</v>
      </c>
      <c r="AF196" s="371">
        <f t="shared" si="53"/>
        <v>1.2967208712947548E-3</v>
      </c>
      <c r="AG196" s="372">
        <f t="shared" si="61"/>
        <v>2.1931354641375866E-3</v>
      </c>
      <c r="AH196" s="373">
        <f t="shared" si="54"/>
        <v>2.1931354641375861E-3</v>
      </c>
      <c r="AI196" s="374" t="b">
        <f t="shared" si="62"/>
        <v>1</v>
      </c>
      <c r="AJ196" s="375">
        <f t="shared" si="64"/>
        <v>1.3094235753249861E-4</v>
      </c>
      <c r="AL196" s="376">
        <f t="shared" si="55"/>
        <v>88151.074764581979</v>
      </c>
      <c r="AM196" s="377">
        <f>SUM(AL185:AL196)</f>
        <v>4065390.3708091988</v>
      </c>
      <c r="AN196" s="383">
        <f t="shared" si="66"/>
        <v>17.110053312898405</v>
      </c>
      <c r="AO196" s="379">
        <f t="shared" si="65"/>
        <v>5.5193720364188402E-4</v>
      </c>
      <c r="AQ196" s="380">
        <f t="shared" si="56"/>
        <v>2.1931354641375861E-3</v>
      </c>
      <c r="AR196" s="381">
        <v>809014.09152322926</v>
      </c>
      <c r="AT196" s="382">
        <v>67.987199388265168</v>
      </c>
    </row>
    <row r="197" spans="1:46">
      <c r="A197" s="361">
        <v>2021</v>
      </c>
      <c r="B197" s="361">
        <v>1</v>
      </c>
      <c r="C197" s="362">
        <f t="shared" si="63"/>
        <v>26.112829868525239</v>
      </c>
      <c r="D197" s="389">
        <f t="shared" si="67"/>
        <v>1.3280829182176284E-2</v>
      </c>
      <c r="E197" s="387">
        <v>44188.525024514463</v>
      </c>
      <c r="F197" s="364">
        <v>5806.5634564263446</v>
      </c>
      <c r="G197" s="364">
        <v>30797.346728658675</v>
      </c>
      <c r="H197" s="364">
        <v>132.42883687676476</v>
      </c>
      <c r="I197" s="364">
        <v>11297.177537782454</v>
      </c>
      <c r="J197" s="365">
        <f t="shared" si="57"/>
        <v>92222.041584258695</v>
      </c>
      <c r="K197" s="366">
        <v>31</v>
      </c>
      <c r="L197" s="367">
        <f t="shared" si="58"/>
        <v>1.3280829182176284E-2</v>
      </c>
      <c r="M197" s="368">
        <v>22875.14294509255</v>
      </c>
      <c r="N197" s="368">
        <v>2450.37595578836</v>
      </c>
      <c r="O197" s="368">
        <v>1495.9674263740317</v>
      </c>
      <c r="P197" s="368">
        <v>250.10494851184501</v>
      </c>
      <c r="Q197" s="368">
        <v>6987.9021474640658</v>
      </c>
      <c r="R197" s="368">
        <v>3849.190625852566</v>
      </c>
      <c r="S197" s="364">
        <f>$L197*'MWh Impact Summary'!$L$27</f>
        <v>1354.1180071067784</v>
      </c>
      <c r="T197" s="364">
        <f>$L197*'MWh Impact Summary'!$M$27</f>
        <v>4231.3329990447501</v>
      </c>
      <c r="U197" s="368">
        <v>18377.046991779498</v>
      </c>
      <c r="V197" s="368">
        <v>54914.482999448053</v>
      </c>
      <c r="W197" s="368">
        <v>19473.300751656716</v>
      </c>
      <c r="X197" s="368">
        <f t="shared" ref="X197:X260" si="68">SUM(M197:W197)</f>
        <v>136258.9657981192</v>
      </c>
      <c r="Y197" s="364">
        <f t="shared" ref="Y197:Y260" si="69">X197+J197</f>
        <v>228481.00738237789</v>
      </c>
      <c r="Z197" s="364"/>
      <c r="AA197" s="390">
        <v>5157217.8149424428</v>
      </c>
      <c r="AB197" s="369">
        <f t="shared" si="59"/>
        <v>44.303152509940645</v>
      </c>
      <c r="AC197" s="370">
        <f t="shared" ref="AC197:AC260" si="70">+J197*1000/AA197</f>
        <v>17.882130422542165</v>
      </c>
      <c r="AD197" s="371">
        <f t="shared" ref="AD197:AD260" si="71">+AC197/K197/1000</f>
        <v>5.7684291685619886E-4</v>
      </c>
      <c r="AE197" s="370">
        <f t="shared" si="60"/>
        <v>26.421022087398477</v>
      </c>
      <c r="AF197" s="371">
        <f t="shared" ref="AF197:AF260" si="72">+AE197/K197/1000</f>
        <v>8.5229103507737029E-4</v>
      </c>
      <c r="AG197" s="372">
        <f t="shared" si="61"/>
        <v>1.4291339519335693E-3</v>
      </c>
      <c r="AH197" s="373">
        <f t="shared" ref="AH197:AH260" si="73">+AB197/K197/1000</f>
        <v>1.4291339519335693E-3</v>
      </c>
      <c r="AI197" s="374" t="b">
        <f t="shared" si="62"/>
        <v>1</v>
      </c>
      <c r="AJ197" s="375">
        <f t="shared" si="64"/>
        <v>7.0791445029319989E-5</v>
      </c>
      <c r="AL197" s="376">
        <f t="shared" ref="AL197:AL260" si="74">+V197</f>
        <v>54914.482999448053</v>
      </c>
      <c r="AM197" s="384"/>
      <c r="AN197" s="383">
        <f t="shared" si="66"/>
        <v>10.648082933464568</v>
      </c>
      <c r="AO197" s="379">
        <f t="shared" si="65"/>
        <v>3.434865462407925E-4</v>
      </c>
      <c r="AQ197" s="380">
        <f t="shared" ref="AQ197:AQ260" si="75">AH197</f>
        <v>1.4291339519335693E-3</v>
      </c>
      <c r="AR197" s="381">
        <v>817529.58394237643</v>
      </c>
      <c r="AT197" s="382">
        <v>44.303152509940645</v>
      </c>
    </row>
    <row r="198" spans="1:46">
      <c r="A198" s="361">
        <v>2021</v>
      </c>
      <c r="B198" s="361">
        <v>2</v>
      </c>
      <c r="C198" s="362">
        <f t="shared" si="63"/>
        <v>35.042184420393127</v>
      </c>
      <c r="D198" s="389">
        <f t="shared" si="67"/>
        <v>1.7822245532205266E-2</v>
      </c>
      <c r="E198" s="387">
        <v>59298.913636342862</v>
      </c>
      <c r="F198" s="364">
        <v>7792.1339247134947</v>
      </c>
      <c r="G198" s="364">
        <v>41328.584805174854</v>
      </c>
      <c r="H198" s="364">
        <v>177.71324470685698</v>
      </c>
      <c r="I198" s="364">
        <v>15160.278709817721</v>
      </c>
      <c r="J198" s="365">
        <f t="shared" ref="J198:J261" si="76">SUM(E198:I198)</f>
        <v>123757.62432075579</v>
      </c>
      <c r="K198" s="366">
        <v>28</v>
      </c>
      <c r="L198" s="367">
        <f t="shared" ref="L198:L261" si="77">+D198</f>
        <v>1.7822245532205266E-2</v>
      </c>
      <c r="M198" s="368">
        <v>30697.361479422805</v>
      </c>
      <c r="N198" s="368">
        <v>3288.2888057081432</v>
      </c>
      <c r="O198" s="368">
        <v>2007.517634275473</v>
      </c>
      <c r="P198" s="368">
        <v>335.62902888471865</v>
      </c>
      <c r="Q198" s="368">
        <v>9377.4346555311295</v>
      </c>
      <c r="R198" s="368">
        <v>5165.4320293701603</v>
      </c>
      <c r="S198" s="364">
        <f>$L198*'MWh Impact Summary'!$L$27</f>
        <v>1817.1624129181682</v>
      </c>
      <c r="T198" s="364">
        <f>$L198*'MWh Impact Summary'!$M$27</f>
        <v>5678.2490462798442</v>
      </c>
      <c r="U198" s="368">
        <v>24661.129147261479</v>
      </c>
      <c r="V198" s="368">
        <v>73692.642670515765</v>
      </c>
      <c r="W198" s="368">
        <v>26132.249918873826</v>
      </c>
      <c r="X198" s="368">
        <f t="shared" si="68"/>
        <v>182853.09682904149</v>
      </c>
      <c r="Y198" s="364">
        <f t="shared" si="69"/>
        <v>306610.72114979726</v>
      </c>
      <c r="Z198" s="364"/>
      <c r="AA198" s="390">
        <v>5162310.6728719575</v>
      </c>
      <c r="AB198" s="369">
        <f t="shared" ref="AB198:AB261" si="78">+Y198*1000/AA198</f>
        <v>59.394085435625279</v>
      </c>
      <c r="AC198" s="370">
        <f t="shared" si="70"/>
        <v>23.973300361619941</v>
      </c>
      <c r="AD198" s="371">
        <f t="shared" si="71"/>
        <v>8.5618929862928367E-4</v>
      </c>
      <c r="AE198" s="370">
        <f t="shared" ref="AE198:AE261" si="79">+X198*1000/AA198</f>
        <v>35.420785074005337</v>
      </c>
      <c r="AF198" s="371">
        <f t="shared" si="72"/>
        <v>1.2650280383573337E-3</v>
      </c>
      <c r="AG198" s="372">
        <f t="shared" ref="AG198:AG261" si="80">AD198+AF198</f>
        <v>2.1212173369866173E-3</v>
      </c>
      <c r="AH198" s="373">
        <f t="shared" si="73"/>
        <v>2.1212173369866169E-3</v>
      </c>
      <c r="AI198" s="374" t="b">
        <f t="shared" ref="AI198:AI261" si="81">AG198=AH198</f>
        <v>1</v>
      </c>
      <c r="AJ198" s="375">
        <f t="shared" si="64"/>
        <v>1.7478277234388379E-4</v>
      </c>
      <c r="AL198" s="376">
        <f t="shared" si="74"/>
        <v>73692.642670515765</v>
      </c>
      <c r="AM198" s="384"/>
      <c r="AN198" s="383">
        <f t="shared" si="66"/>
        <v>14.275127426516971</v>
      </c>
      <c r="AO198" s="379">
        <f t="shared" si="65"/>
        <v>5.0982597951846319E-4</v>
      </c>
      <c r="AQ198" s="380">
        <f t="shared" si="75"/>
        <v>2.1212173369866169E-3</v>
      </c>
      <c r="AR198" s="381">
        <v>756573.78368226485</v>
      </c>
      <c r="AT198" s="382">
        <v>59.394085435625279</v>
      </c>
    </row>
    <row r="199" spans="1:46">
      <c r="A199" s="361">
        <v>2021</v>
      </c>
      <c r="B199" s="361">
        <v>3</v>
      </c>
      <c r="C199" s="362">
        <f t="shared" si="63"/>
        <v>64.582270600115152</v>
      </c>
      <c r="D199" s="389">
        <f t="shared" si="67"/>
        <v>3.2846156787895278E-2</v>
      </c>
      <c r="E199" s="387">
        <v>109287.09354450084</v>
      </c>
      <c r="F199" s="364">
        <v>14360.797136417177</v>
      </c>
      <c r="G199" s="364">
        <v>76168.021245111246</v>
      </c>
      <c r="H199" s="364">
        <v>327.52309962170904</v>
      </c>
      <c r="I199" s="364">
        <v>27940.188039214387</v>
      </c>
      <c r="J199" s="365">
        <f t="shared" si="76"/>
        <v>228083.62306486533</v>
      </c>
      <c r="K199" s="366">
        <v>31</v>
      </c>
      <c r="L199" s="367">
        <f t="shared" si="77"/>
        <v>3.2846156787895278E-2</v>
      </c>
      <c r="M199" s="368">
        <v>56574.82084992103</v>
      </c>
      <c r="N199" s="368">
        <v>6060.2716689655026</v>
      </c>
      <c r="O199" s="368">
        <v>3699.8277714625165</v>
      </c>
      <c r="P199" s="368">
        <v>618.55974800681656</v>
      </c>
      <c r="Q199" s="368">
        <v>17282.484881449491</v>
      </c>
      <c r="R199" s="368">
        <v>9519.8211699709773</v>
      </c>
      <c r="S199" s="364">
        <f>$L199*'MWh Impact Summary'!$L$27</f>
        <v>3349.0056803405964</v>
      </c>
      <c r="T199" s="364">
        <f>$L199*'MWh Impact Summary'!$M$27</f>
        <v>10464.935976658975</v>
      </c>
      <c r="U199" s="368">
        <v>45450.126532807066</v>
      </c>
      <c r="V199" s="368">
        <v>135814.54092842338</v>
      </c>
      <c r="W199" s="368">
        <v>48161.382161677844</v>
      </c>
      <c r="X199" s="368">
        <f t="shared" si="68"/>
        <v>336995.77736968419</v>
      </c>
      <c r="Y199" s="364">
        <f t="shared" si="69"/>
        <v>565079.40043454955</v>
      </c>
      <c r="Z199" s="364"/>
      <c r="AA199" s="390">
        <v>5167504.396665371</v>
      </c>
      <c r="AB199" s="369">
        <f t="shared" si="78"/>
        <v>109.35247598419065</v>
      </c>
      <c r="AC199" s="370">
        <f t="shared" si="70"/>
        <v>44.13806076527954</v>
      </c>
      <c r="AD199" s="371">
        <f t="shared" si="71"/>
        <v>1.423808411783211E-3</v>
      </c>
      <c r="AE199" s="370">
        <f t="shared" si="79"/>
        <v>65.2144152189111</v>
      </c>
      <c r="AF199" s="371">
        <f t="shared" si="72"/>
        <v>2.1036908135132616E-3</v>
      </c>
      <c r="AG199" s="372">
        <f t="shared" si="80"/>
        <v>3.5274992252964724E-3</v>
      </c>
      <c r="AH199" s="373">
        <f t="shared" si="73"/>
        <v>3.5274992252964724E-3</v>
      </c>
      <c r="AI199" s="374" t="b">
        <f t="shared" si="81"/>
        <v>1</v>
      </c>
      <c r="AJ199" s="375">
        <f t="shared" si="64"/>
        <v>1.7540730642900916E-4</v>
      </c>
      <c r="AL199" s="376">
        <f t="shared" si="74"/>
        <v>135814.54092842338</v>
      </c>
      <c r="AM199" s="384"/>
      <c r="AN199" s="383">
        <f t="shared" si="66"/>
        <v>26.282423874871885</v>
      </c>
      <c r="AO199" s="379">
        <f t="shared" si="65"/>
        <v>8.4782012499586728E-4</v>
      </c>
      <c r="AQ199" s="380">
        <f t="shared" si="75"/>
        <v>3.5274992252964724E-3</v>
      </c>
      <c r="AR199" s="381">
        <v>905658.16661233245</v>
      </c>
      <c r="AT199" s="382">
        <v>109.35247598419065</v>
      </c>
    </row>
    <row r="200" spans="1:46">
      <c r="A200" s="361">
        <v>2021</v>
      </c>
      <c r="B200" s="361">
        <v>4</v>
      </c>
      <c r="C200" s="362">
        <f t="shared" si="63"/>
        <v>114.03392869270741</v>
      </c>
      <c r="D200" s="389">
        <f t="shared" si="67"/>
        <v>5.7996974497419709E-2</v>
      </c>
      <c r="E200" s="387">
        <v>192969.93612151861</v>
      </c>
      <c r="F200" s="364">
        <v>25357.084868764479</v>
      </c>
      <c r="G200" s="364">
        <v>134491.07042257121</v>
      </c>
      <c r="H200" s="364">
        <v>578.31267684493389</v>
      </c>
      <c r="I200" s="364">
        <v>49334.428488163569</v>
      </c>
      <c r="J200" s="365">
        <f t="shared" si="76"/>
        <v>402730.83257786278</v>
      </c>
      <c r="K200" s="366">
        <v>30</v>
      </c>
      <c r="L200" s="367">
        <f t="shared" si="77"/>
        <v>5.7996974497419709E-2</v>
      </c>
      <c r="M200" s="368">
        <v>99895.04900732133</v>
      </c>
      <c r="N200" s="368">
        <v>10700.716790159044</v>
      </c>
      <c r="O200" s="368">
        <v>6532.8439577270428</v>
      </c>
      <c r="P200" s="368">
        <v>1092.2006541569724</v>
      </c>
      <c r="Q200" s="368">
        <v>30515.954770417917</v>
      </c>
      <c r="R200" s="368">
        <v>16809.297635036404</v>
      </c>
      <c r="S200" s="364">
        <f>$L200*'MWh Impact Summary'!$L$27</f>
        <v>5913.3918859574851</v>
      </c>
      <c r="T200" s="364">
        <f>$L200*'MWh Impact Summary'!$M$27</f>
        <v>18478.101680958087</v>
      </c>
      <c r="U200" s="368">
        <v>80252.001670988131</v>
      </c>
      <c r="V200" s="368">
        <v>239809.86626439559</v>
      </c>
      <c r="W200" s="368">
        <v>85039.308282809259</v>
      </c>
      <c r="X200" s="368">
        <f t="shared" si="68"/>
        <v>595038.73259992723</v>
      </c>
      <c r="Y200" s="364">
        <f t="shared" si="69"/>
        <v>997769.56517779001</v>
      </c>
      <c r="Z200" s="364"/>
      <c r="AA200" s="390">
        <v>5172569.6347586866</v>
      </c>
      <c r="AB200" s="369">
        <f t="shared" si="78"/>
        <v>192.89630408703786</v>
      </c>
      <c r="AC200" s="370">
        <f t="shared" si="70"/>
        <v>77.858948456022318</v>
      </c>
      <c r="AD200" s="371">
        <f t="shared" si="71"/>
        <v>2.5952982818674103E-3</v>
      </c>
      <c r="AE200" s="370">
        <f t="shared" si="79"/>
        <v>115.03735563101554</v>
      </c>
      <c r="AF200" s="371">
        <f t="shared" si="72"/>
        <v>3.8345785210338519E-3</v>
      </c>
      <c r="AG200" s="372">
        <f t="shared" si="80"/>
        <v>6.4298768029012621E-3</v>
      </c>
      <c r="AH200" s="373">
        <f t="shared" si="73"/>
        <v>6.4298768029012621E-3</v>
      </c>
      <c r="AI200" s="374" t="b">
        <f t="shared" si="81"/>
        <v>1</v>
      </c>
      <c r="AJ200" s="375">
        <f t="shared" si="64"/>
        <v>3.2029567331293748E-4</v>
      </c>
      <c r="AL200" s="376">
        <f t="shared" si="74"/>
        <v>239809.86626439559</v>
      </c>
      <c r="AM200" s="384"/>
      <c r="AN200" s="383">
        <f t="shared" si="66"/>
        <v>46.361843957192725</v>
      </c>
      <c r="AO200" s="379">
        <f t="shared" si="65"/>
        <v>1.545394798573091E-3</v>
      </c>
      <c r="AQ200" s="380">
        <f t="shared" si="75"/>
        <v>6.4298768029012621E-3</v>
      </c>
      <c r="AR200" s="381">
        <v>1044428.6427978469</v>
      </c>
      <c r="AT200" s="382">
        <v>192.89630408703786</v>
      </c>
    </row>
    <row r="201" spans="1:46">
      <c r="A201" s="361">
        <v>2021</v>
      </c>
      <c r="B201" s="361">
        <v>5</v>
      </c>
      <c r="C201" s="362">
        <f t="shared" si="63"/>
        <v>208.47875842628665</v>
      </c>
      <c r="D201" s="389">
        <f t="shared" si="67"/>
        <v>0.10603105035770212</v>
      </c>
      <c r="E201" s="387">
        <v>352790.90317605453</v>
      </c>
      <c r="F201" s="364">
        <v>46358.251718184205</v>
      </c>
      <c r="G201" s="364">
        <v>245878.85116785447</v>
      </c>
      <c r="H201" s="364">
        <v>1057.2810235777179</v>
      </c>
      <c r="I201" s="364">
        <v>90194.037132568919</v>
      </c>
      <c r="J201" s="365">
        <f t="shared" si="76"/>
        <v>736279.32421823975</v>
      </c>
      <c r="K201" s="366">
        <v>31</v>
      </c>
      <c r="L201" s="367">
        <f t="shared" si="77"/>
        <v>0.10603105035770212</v>
      </c>
      <c r="M201" s="368">
        <v>182629.8192891363</v>
      </c>
      <c r="N201" s="368">
        <v>19563.231542213307</v>
      </c>
      <c r="O201" s="368">
        <v>11943.455889954805</v>
      </c>
      <c r="P201" s="368">
        <v>1996.7797211005447</v>
      </c>
      <c r="Q201" s="368">
        <v>55789.784984723578</v>
      </c>
      <c r="R201" s="368">
        <v>30731.042428729506</v>
      </c>
      <c r="S201" s="364">
        <f>$L201*'MWh Impact Summary'!$L$27</f>
        <v>10810.963128303885</v>
      </c>
      <c r="T201" s="364">
        <f>$L201*'MWh Impact Summary'!$M$27</f>
        <v>33781.978229494962</v>
      </c>
      <c r="U201" s="368">
        <v>146718.06769612632</v>
      </c>
      <c r="V201" s="368">
        <v>438424.45621512894</v>
      </c>
      <c r="W201" s="368">
        <v>155470.30266759626</v>
      </c>
      <c r="X201" s="368">
        <f t="shared" si="68"/>
        <v>1087859.8817925085</v>
      </c>
      <c r="Y201" s="364">
        <f t="shared" si="69"/>
        <v>1824139.2060107482</v>
      </c>
      <c r="Z201" s="364"/>
      <c r="AA201" s="390">
        <v>5177582.9748099707</v>
      </c>
      <c r="AB201" s="369">
        <f t="shared" si="78"/>
        <v>352.31481849456952</v>
      </c>
      <c r="AC201" s="370">
        <f t="shared" si="70"/>
        <v>142.20521965565661</v>
      </c>
      <c r="AD201" s="371">
        <f t="shared" si="71"/>
        <v>4.5872651501824716E-3</v>
      </c>
      <c r="AE201" s="370">
        <f t="shared" si="79"/>
        <v>210.10959883891297</v>
      </c>
      <c r="AF201" s="371">
        <f t="shared" si="72"/>
        <v>6.7777289948036442E-3</v>
      </c>
      <c r="AG201" s="372">
        <f t="shared" si="80"/>
        <v>1.1364994144986117E-2</v>
      </c>
      <c r="AH201" s="373">
        <f t="shared" si="73"/>
        <v>1.1364994144986113E-2</v>
      </c>
      <c r="AI201" s="374" t="b">
        <f t="shared" si="81"/>
        <v>1</v>
      </c>
      <c r="AJ201" s="375">
        <f t="shared" si="64"/>
        <v>5.6604668883927962E-4</v>
      </c>
      <c r="AL201" s="376">
        <f t="shared" si="74"/>
        <v>438424.45621512894</v>
      </c>
      <c r="AM201" s="384"/>
      <c r="AN201" s="383">
        <f t="shared" si="66"/>
        <v>84.677437010310811</v>
      </c>
      <c r="AO201" s="379">
        <f t="shared" si="65"/>
        <v>2.7315302261390582E-3</v>
      </c>
      <c r="AQ201" s="380">
        <f t="shared" si="75"/>
        <v>1.1364994144986113E-2</v>
      </c>
      <c r="AR201" s="381">
        <v>1229631.339983386</v>
      </c>
      <c r="AT201" s="382">
        <v>352.31481849456952</v>
      </c>
    </row>
    <row r="202" spans="1:46">
      <c r="A202" s="361">
        <v>2021</v>
      </c>
      <c r="B202" s="361">
        <v>6</v>
      </c>
      <c r="C202" s="362">
        <f t="shared" si="63"/>
        <v>271.66325293295364</v>
      </c>
      <c r="D202" s="389">
        <f t="shared" si="67"/>
        <v>0.13816630657965029</v>
      </c>
      <c r="E202" s="387">
        <v>459712.65890787914</v>
      </c>
      <c r="F202" s="364">
        <v>60408.233227748722</v>
      </c>
      <c r="G202" s="364">
        <v>320398.3419696666</v>
      </c>
      <c r="H202" s="364">
        <v>1377.7154291282948</v>
      </c>
      <c r="I202" s="364">
        <v>117529.50615951011</v>
      </c>
      <c r="J202" s="365">
        <f t="shared" si="76"/>
        <v>959426.45569393283</v>
      </c>
      <c r="K202" s="366">
        <v>30</v>
      </c>
      <c r="L202" s="367">
        <f t="shared" si="77"/>
        <v>0.13816630657965029</v>
      </c>
      <c r="M202" s="368">
        <v>237980.17200964174</v>
      </c>
      <c r="N202" s="368">
        <v>25492.338685993065</v>
      </c>
      <c r="O202" s="368">
        <v>15563.207027988816</v>
      </c>
      <c r="P202" s="368">
        <v>2601.9517696644784</v>
      </c>
      <c r="Q202" s="368">
        <v>72698.219155688654</v>
      </c>
      <c r="R202" s="368">
        <v>40044.822864585083</v>
      </c>
      <c r="S202" s="364">
        <f>$L202*'MWh Impact Summary'!$L$27</f>
        <v>14087.485137300879</v>
      </c>
      <c r="T202" s="364">
        <f>$L202*'MWh Impact Summary'!$M$27</f>
        <v>44020.418030164517</v>
      </c>
      <c r="U202" s="368">
        <v>191184.50165012773</v>
      </c>
      <c r="V202" s="368">
        <v>571299.51674609398</v>
      </c>
      <c r="W202" s="368">
        <v>202589.31162084595</v>
      </c>
      <c r="X202" s="368">
        <f t="shared" si="68"/>
        <v>1417561.9446980949</v>
      </c>
      <c r="Y202" s="364">
        <f t="shared" si="69"/>
        <v>2376988.4003920276</v>
      </c>
      <c r="Z202" s="364"/>
      <c r="AA202" s="390">
        <v>5182599.1656009592</v>
      </c>
      <c r="AB202" s="369">
        <f t="shared" si="78"/>
        <v>458.64793406541577</v>
      </c>
      <c r="AC202" s="370">
        <f t="shared" si="70"/>
        <v>185.1245726395436</v>
      </c>
      <c r="AD202" s="371">
        <f t="shared" si="71"/>
        <v>6.1708190879847863E-3</v>
      </c>
      <c r="AE202" s="370">
        <f t="shared" si="79"/>
        <v>273.52336142587222</v>
      </c>
      <c r="AF202" s="371">
        <f t="shared" si="72"/>
        <v>9.1174453808624076E-3</v>
      </c>
      <c r="AG202" s="372">
        <f t="shared" si="80"/>
        <v>1.5288264468847193E-2</v>
      </c>
      <c r="AH202" s="373">
        <f t="shared" si="73"/>
        <v>1.5288264468847191E-2</v>
      </c>
      <c r="AI202" s="374" t="b">
        <f t="shared" si="81"/>
        <v>1</v>
      </c>
      <c r="AJ202" s="375">
        <f t="shared" si="64"/>
        <v>7.6134377641738291E-4</v>
      </c>
      <c r="AL202" s="376">
        <f t="shared" si="74"/>
        <v>571299.51674609398</v>
      </c>
      <c r="AM202" s="384"/>
      <c r="AN202" s="383">
        <f t="shared" si="66"/>
        <v>110.23416986172569</v>
      </c>
      <c r="AO202" s="379">
        <f t="shared" si="65"/>
        <v>3.67447232872419E-3</v>
      </c>
      <c r="AQ202" s="380">
        <f t="shared" si="75"/>
        <v>1.5288264468847191E-2</v>
      </c>
      <c r="AR202" s="381">
        <v>1480819.0403773016</v>
      </c>
      <c r="AT202" s="382">
        <v>458.64793406541577</v>
      </c>
    </row>
    <row r="203" spans="1:46">
      <c r="A203" s="361">
        <v>2021</v>
      </c>
      <c r="B203" s="361">
        <v>7</v>
      </c>
      <c r="C203" s="362">
        <f t="shared" si="63"/>
        <v>322.31916585708109</v>
      </c>
      <c r="D203" s="389">
        <f t="shared" si="67"/>
        <v>0.16392960109808263</v>
      </c>
      <c r="E203" s="387">
        <v>545433.35969586496</v>
      </c>
      <c r="F203" s="364">
        <v>71672.304349802303</v>
      </c>
      <c r="G203" s="364">
        <v>380141.68353914941</v>
      </c>
      <c r="H203" s="364">
        <v>1634.6122749794847</v>
      </c>
      <c r="I203" s="364">
        <v>139444.74263612399</v>
      </c>
      <c r="J203" s="365">
        <f t="shared" si="76"/>
        <v>1138326.70249592</v>
      </c>
      <c r="K203" s="366">
        <v>31</v>
      </c>
      <c r="L203" s="367">
        <f t="shared" si="77"/>
        <v>0.16392960109808263</v>
      </c>
      <c r="M203" s="368">
        <v>282355.34141823481</v>
      </c>
      <c r="N203" s="368">
        <v>30245.788682517741</v>
      </c>
      <c r="O203" s="368">
        <v>18465.213285804402</v>
      </c>
      <c r="P203" s="368">
        <v>3087.1268562980481</v>
      </c>
      <c r="Q203" s="368">
        <v>86253.952658587412</v>
      </c>
      <c r="R203" s="368">
        <v>47511.81384768711</v>
      </c>
      <c r="S203" s="364">
        <f>$L203*'MWh Impact Summary'!$L$27</f>
        <v>16714.319693431196</v>
      </c>
      <c r="T203" s="364">
        <f>$L203*'MWh Impact Summary'!$M$27</f>
        <v>52228.721650713604</v>
      </c>
      <c r="U203" s="368">
        <v>226833.87771948421</v>
      </c>
      <c r="V203" s="368">
        <v>677827.35318125784</v>
      </c>
      <c r="W203" s="368">
        <v>240365.29500479388</v>
      </c>
      <c r="X203" s="368">
        <f t="shared" si="68"/>
        <v>1681888.8039988102</v>
      </c>
      <c r="Y203" s="364">
        <f t="shared" si="69"/>
        <v>2820215.5064947302</v>
      </c>
      <c r="Z203" s="364"/>
      <c r="AA203" s="390">
        <v>5187842.8780874414</v>
      </c>
      <c r="AB203" s="369">
        <f t="shared" si="78"/>
        <v>543.62006960674103</v>
      </c>
      <c r="AC203" s="370">
        <f t="shared" si="70"/>
        <v>219.42196964060278</v>
      </c>
      <c r="AD203" s="371">
        <f t="shared" si="71"/>
        <v>7.0781280529226701E-3</v>
      </c>
      <c r="AE203" s="370">
        <f t="shared" si="79"/>
        <v>324.19809996613816</v>
      </c>
      <c r="AF203" s="371">
        <f t="shared" si="72"/>
        <v>1.0458003224714135E-2</v>
      </c>
      <c r="AG203" s="372">
        <f t="shared" si="80"/>
        <v>1.7536131277636806E-2</v>
      </c>
      <c r="AH203" s="373">
        <f t="shared" si="73"/>
        <v>1.7536131277636809E-2</v>
      </c>
      <c r="AI203" s="374" t="b">
        <f t="shared" si="81"/>
        <v>1</v>
      </c>
      <c r="AJ203" s="375">
        <f t="shared" si="64"/>
        <v>8.7352221661413446E-4</v>
      </c>
      <c r="AL203" s="376">
        <f t="shared" si="74"/>
        <v>677827.35318125784</v>
      </c>
      <c r="AM203" s="384"/>
      <c r="AN203" s="383">
        <f t="shared" si="66"/>
        <v>130.65687784113206</v>
      </c>
      <c r="AO203" s="379">
        <f t="shared" si="65"/>
        <v>4.2147379948752279E-3</v>
      </c>
      <c r="AQ203" s="380">
        <f t="shared" si="75"/>
        <v>1.7536131277636809E-2</v>
      </c>
      <c r="AR203" s="381">
        <v>1548236.5721445843</v>
      </c>
      <c r="AT203" s="382">
        <v>543.62006960674103</v>
      </c>
    </row>
    <row r="204" spans="1:46">
      <c r="A204" s="361">
        <v>2021</v>
      </c>
      <c r="B204" s="361">
        <v>8</v>
      </c>
      <c r="C204" s="362">
        <f t="shared" si="63"/>
        <v>326.45437890907908</v>
      </c>
      <c r="D204" s="389">
        <f t="shared" si="67"/>
        <v>0.16603274573816959</v>
      </c>
      <c r="E204" s="387">
        <v>552431.02966690715</v>
      </c>
      <c r="F204" s="364">
        <v>72591.828473122645</v>
      </c>
      <c r="G204" s="364">
        <v>385018.73404652323</v>
      </c>
      <c r="H204" s="364">
        <v>1655.5836311086716</v>
      </c>
      <c r="I204" s="364">
        <v>141233.75731742001</v>
      </c>
      <c r="J204" s="365">
        <f t="shared" si="76"/>
        <v>1152930.9331350818</v>
      </c>
      <c r="K204" s="366">
        <v>31</v>
      </c>
      <c r="L204" s="367">
        <f t="shared" si="77"/>
        <v>0.16603274573816959</v>
      </c>
      <c r="M204" s="368">
        <v>285977.83618992881</v>
      </c>
      <c r="N204" s="368">
        <v>30633.828840773112</v>
      </c>
      <c r="O204" s="368">
        <v>18702.113846105687</v>
      </c>
      <c r="P204" s="368">
        <v>3126.7333352841529</v>
      </c>
      <c r="Q204" s="368">
        <v>87360.552912629893</v>
      </c>
      <c r="R204" s="368">
        <v>48121.369510393721</v>
      </c>
      <c r="S204" s="364">
        <f>$L204*'MWh Impact Summary'!$L$27</f>
        <v>16928.757059474119</v>
      </c>
      <c r="T204" s="364">
        <f>$L204*'MWh Impact Summary'!$M$27</f>
        <v>52898.793164720213</v>
      </c>
      <c r="U204" s="368">
        <v>229744.0565457624</v>
      </c>
      <c r="V204" s="368">
        <v>686523.57982487988</v>
      </c>
      <c r="W204" s="368">
        <v>243449.07595994783</v>
      </c>
      <c r="X204" s="368">
        <f t="shared" si="68"/>
        <v>1703466.6971899001</v>
      </c>
      <c r="Y204" s="364">
        <f t="shared" si="69"/>
        <v>2856397.6303249821</v>
      </c>
      <c r="Z204" s="364"/>
      <c r="AA204" s="390">
        <v>5193203.3234929005</v>
      </c>
      <c r="AB204" s="369">
        <f t="shared" si="78"/>
        <v>550.02615002637629</v>
      </c>
      <c r="AC204" s="370">
        <f t="shared" si="70"/>
        <v>222.00766296198685</v>
      </c>
      <c r="AD204" s="371">
        <f t="shared" si="71"/>
        <v>7.1615375149028018E-3</v>
      </c>
      <c r="AE204" s="370">
        <f t="shared" si="79"/>
        <v>328.01848706438943</v>
      </c>
      <c r="AF204" s="371">
        <f t="shared" si="72"/>
        <v>1.0581241518206112E-2</v>
      </c>
      <c r="AG204" s="372">
        <f t="shared" si="80"/>
        <v>1.7742779033108912E-2</v>
      </c>
      <c r="AH204" s="373">
        <f t="shared" si="73"/>
        <v>1.7742779033108915E-2</v>
      </c>
      <c r="AI204" s="374" t="b">
        <f t="shared" si="81"/>
        <v>1</v>
      </c>
      <c r="AJ204" s="375">
        <f t="shared" si="64"/>
        <v>8.8424274940024014E-4</v>
      </c>
      <c r="AL204" s="376">
        <f t="shared" si="74"/>
        <v>686523.57982487988</v>
      </c>
      <c r="AM204" s="384"/>
      <c r="AN204" s="383">
        <f t="shared" si="66"/>
        <v>132.19655327554756</v>
      </c>
      <c r="AO204" s="379">
        <f t="shared" si="65"/>
        <v>4.2644049443725015E-3</v>
      </c>
      <c r="AQ204" s="380">
        <f t="shared" si="75"/>
        <v>1.7742779033108915E-2</v>
      </c>
      <c r="AR204" s="381">
        <v>1608940.8856324463</v>
      </c>
      <c r="AT204" s="382">
        <v>550.02615002637629</v>
      </c>
    </row>
    <row r="205" spans="1:46">
      <c r="A205" s="361">
        <v>2021</v>
      </c>
      <c r="B205" s="361">
        <v>9</v>
      </c>
      <c r="C205" s="362">
        <f t="shared" si="63"/>
        <v>277.87653293728147</v>
      </c>
      <c r="D205" s="389">
        <f t="shared" si="67"/>
        <v>0.14132634365008559</v>
      </c>
      <c r="E205" s="387">
        <v>470226.8651558389</v>
      </c>
      <c r="F205" s="364">
        <v>61789.845439038028</v>
      </c>
      <c r="G205" s="364">
        <v>327726.25470754155</v>
      </c>
      <c r="H205" s="364">
        <v>1409.2255124208978</v>
      </c>
      <c r="I205" s="364">
        <v>120217.55366926896</v>
      </c>
      <c r="J205" s="365">
        <f t="shared" si="76"/>
        <v>981369.74448410829</v>
      </c>
      <c r="K205" s="366">
        <v>30</v>
      </c>
      <c r="L205" s="367">
        <f t="shared" si="77"/>
        <v>0.14132634365008559</v>
      </c>
      <c r="M205" s="368">
        <v>243423.07762241867</v>
      </c>
      <c r="N205" s="368">
        <v>26075.380508952923</v>
      </c>
      <c r="O205" s="368">
        <v>15919.157131605085</v>
      </c>
      <c r="P205" s="368">
        <v>2661.4616766104568</v>
      </c>
      <c r="Q205" s="368">
        <v>74360.918790452139</v>
      </c>
      <c r="R205" s="368">
        <v>40960.698289380882</v>
      </c>
      <c r="S205" s="364">
        <f>$L205*'MWh Impact Summary'!$L$27</f>
        <v>14409.683626680155</v>
      </c>
      <c r="T205" s="364">
        <f>$L205*'MWh Impact Summary'!$M$27</f>
        <v>45027.220312681828</v>
      </c>
      <c r="U205" s="368">
        <v>195557.13147184782</v>
      </c>
      <c r="V205" s="368">
        <v>584365.85466834775</v>
      </c>
      <c r="W205" s="368">
        <v>207222.78377946364</v>
      </c>
      <c r="X205" s="368">
        <f t="shared" si="68"/>
        <v>1449983.3678784412</v>
      </c>
      <c r="Y205" s="364">
        <f t="shared" si="69"/>
        <v>2431353.1123625496</v>
      </c>
      <c r="Z205" s="364"/>
      <c r="AA205" s="390">
        <v>5198143.0314946659</v>
      </c>
      <c r="AB205" s="369">
        <f t="shared" si="78"/>
        <v>467.73493873319649</v>
      </c>
      <c r="AC205" s="370">
        <f t="shared" si="70"/>
        <v>188.79237037883638</v>
      </c>
      <c r="AD205" s="371">
        <f t="shared" si="71"/>
        <v>6.2930790126278797E-3</v>
      </c>
      <c r="AE205" s="370">
        <f t="shared" si="79"/>
        <v>278.94256835436005</v>
      </c>
      <c r="AF205" s="371">
        <f t="shared" si="72"/>
        <v>9.2980856118120032E-3</v>
      </c>
      <c r="AG205" s="372">
        <f t="shared" si="80"/>
        <v>1.5591164624439883E-2</v>
      </c>
      <c r="AH205" s="373">
        <f t="shared" si="73"/>
        <v>1.5591164624439883E-2</v>
      </c>
      <c r="AI205" s="374" t="b">
        <f t="shared" si="81"/>
        <v>1</v>
      </c>
      <c r="AJ205" s="375">
        <f t="shared" si="64"/>
        <v>7.7679562334350381E-4</v>
      </c>
      <c r="AL205" s="376">
        <f t="shared" si="74"/>
        <v>584365.85466834775</v>
      </c>
      <c r="AM205" s="384"/>
      <c r="AN205" s="383">
        <f t="shared" si="66"/>
        <v>112.418194560591</v>
      </c>
      <c r="AO205" s="379">
        <f t="shared" si="65"/>
        <v>3.7472731520197004E-3</v>
      </c>
      <c r="AQ205" s="380">
        <f t="shared" si="75"/>
        <v>1.5591164624439883E-2</v>
      </c>
      <c r="AR205" s="381">
        <v>1525924.4689069695</v>
      </c>
      <c r="AT205" s="382">
        <v>467.73493873319649</v>
      </c>
    </row>
    <row r="206" spans="1:46">
      <c r="A206" s="361">
        <v>2021</v>
      </c>
      <c r="B206" s="361">
        <v>10</v>
      </c>
      <c r="C206" s="362">
        <f t="shared" si="63"/>
        <v>198.89039579254836</v>
      </c>
      <c r="D206" s="389">
        <f t="shared" si="67"/>
        <v>0.10115446643644242</v>
      </c>
      <c r="E206" s="387">
        <v>336565.3311366273</v>
      </c>
      <c r="F206" s="364">
        <v>44226.141320485171</v>
      </c>
      <c r="G206" s="364">
        <v>234570.38210961255</v>
      </c>
      <c r="H206" s="364">
        <v>1008.6545163193412</v>
      </c>
      <c r="I206" s="364">
        <v>86045.829699082562</v>
      </c>
      <c r="J206" s="365">
        <f t="shared" si="76"/>
        <v>702416.3387821269</v>
      </c>
      <c r="K206" s="366">
        <v>31</v>
      </c>
      <c r="L206" s="367">
        <f t="shared" si="77"/>
        <v>0.10115446643644242</v>
      </c>
      <c r="M206" s="368">
        <v>174230.30200355401</v>
      </c>
      <c r="N206" s="368">
        <v>18663.478686188639</v>
      </c>
      <c r="O206" s="368">
        <v>11394.152032634323</v>
      </c>
      <c r="P206" s="368">
        <v>1904.9437556039622</v>
      </c>
      <c r="Q206" s="368">
        <v>53223.899166284391</v>
      </c>
      <c r="R206" s="368">
        <v>29317.659208569738</v>
      </c>
      <c r="S206" s="364">
        <f>$L206*'MWh Impact Summary'!$L$27</f>
        <v>10313.744919232466</v>
      </c>
      <c r="T206" s="364">
        <f>$L206*'MWh Impact Summary'!$M$27</f>
        <v>32228.276259114231</v>
      </c>
      <c r="U206" s="368">
        <v>139970.20499485632</v>
      </c>
      <c r="V206" s="368">
        <v>418260.42269237305</v>
      </c>
      <c r="W206" s="368">
        <v>148319.90685745887</v>
      </c>
      <c r="X206" s="368">
        <f t="shared" si="68"/>
        <v>1037826.99057587</v>
      </c>
      <c r="Y206" s="364">
        <f t="shared" si="69"/>
        <v>1740243.329357997</v>
      </c>
      <c r="Z206" s="364"/>
      <c r="AA206" s="390">
        <v>5203221.4699283605</v>
      </c>
      <c r="AB206" s="369">
        <f t="shared" si="78"/>
        <v>334.4549793653041</v>
      </c>
      <c r="AC206" s="370">
        <f t="shared" si="70"/>
        <v>134.99643304473796</v>
      </c>
      <c r="AD206" s="371">
        <f t="shared" si="71"/>
        <v>4.3547236466044501E-3</v>
      </c>
      <c r="AE206" s="370">
        <f t="shared" si="79"/>
        <v>199.45854632056611</v>
      </c>
      <c r="AF206" s="371">
        <f t="shared" si="72"/>
        <v>6.4341466555021326E-3</v>
      </c>
      <c r="AG206" s="372">
        <f t="shared" si="80"/>
        <v>1.0788870302106582E-2</v>
      </c>
      <c r="AH206" s="373">
        <f t="shared" si="73"/>
        <v>1.0788870302106584E-2</v>
      </c>
      <c r="AI206" s="374" t="b">
        <f t="shared" si="81"/>
        <v>1</v>
      </c>
      <c r="AJ206" s="375">
        <f t="shared" si="64"/>
        <v>5.3751374748736702E-4</v>
      </c>
      <c r="AL206" s="376">
        <f t="shared" si="74"/>
        <v>418260.42269237305</v>
      </c>
      <c r="AM206" s="384"/>
      <c r="AN206" s="383">
        <f t="shared" si="66"/>
        <v>80.384897146830795</v>
      </c>
      <c r="AO206" s="379">
        <f t="shared" si="65"/>
        <v>2.593061198284864E-3</v>
      </c>
      <c r="AQ206" s="380">
        <f t="shared" si="75"/>
        <v>1.0788870302106584E-2</v>
      </c>
      <c r="AR206" s="381">
        <v>1246983.1319195579</v>
      </c>
      <c r="AT206" s="382">
        <v>334.4549793653041</v>
      </c>
    </row>
    <row r="207" spans="1:46">
      <c r="A207" s="361">
        <v>2021</v>
      </c>
      <c r="B207" s="361">
        <v>11</v>
      </c>
      <c r="C207" s="362">
        <f t="shared" si="63"/>
        <v>78.117279066674627</v>
      </c>
      <c r="D207" s="389">
        <f t="shared" si="67"/>
        <v>3.9729981188725644E-2</v>
      </c>
      <c r="E207" s="387">
        <v>132191.23925918955</v>
      </c>
      <c r="F207" s="364">
        <v>17370.501022975834</v>
      </c>
      <c r="G207" s="364">
        <v>92131.145533773582</v>
      </c>
      <c r="H207" s="364">
        <v>396.16466154235371</v>
      </c>
      <c r="I207" s="364">
        <v>33795.830433852585</v>
      </c>
      <c r="J207" s="365">
        <f t="shared" si="76"/>
        <v>275884.88091133389</v>
      </c>
      <c r="K207" s="366">
        <v>30</v>
      </c>
      <c r="L207" s="367">
        <f t="shared" si="77"/>
        <v>3.9729981188725644E-2</v>
      </c>
      <c r="M207" s="368">
        <v>68431.645828081528</v>
      </c>
      <c r="N207" s="368">
        <v>7330.3699108961955</v>
      </c>
      <c r="O207" s="368">
        <v>4475.2294373721643</v>
      </c>
      <c r="P207" s="368">
        <v>748.19612264258569</v>
      </c>
      <c r="Q207" s="368">
        <v>20904.50957986862</v>
      </c>
      <c r="R207" s="368">
        <v>11514.96409291831</v>
      </c>
      <c r="S207" s="364">
        <f>$L207*'MWh Impact Summary'!$L$27</f>
        <v>4050.88283357102</v>
      </c>
      <c r="T207" s="364">
        <f>$L207*'MWh Impact Summary'!$M$27</f>
        <v>12658.153956297949</v>
      </c>
      <c r="U207" s="368">
        <v>54975.462847424744</v>
      </c>
      <c r="V207" s="368">
        <v>164278.24999697413</v>
      </c>
      <c r="W207" s="368">
        <v>58254.937393821587</v>
      </c>
      <c r="X207" s="368">
        <f t="shared" si="68"/>
        <v>407622.60199986887</v>
      </c>
      <c r="Y207" s="364">
        <f t="shared" si="69"/>
        <v>683507.48291120282</v>
      </c>
      <c r="Z207" s="364"/>
      <c r="AA207" s="390">
        <v>5208331.8045660509</v>
      </c>
      <c r="AB207" s="369">
        <f t="shared" si="78"/>
        <v>131.23347523903604</v>
      </c>
      <c r="AC207" s="370">
        <f t="shared" si="70"/>
        <v>52.969912682880647</v>
      </c>
      <c r="AD207" s="371">
        <f t="shared" si="71"/>
        <v>1.7656637560960215E-3</v>
      </c>
      <c r="AE207" s="370">
        <f t="shared" si="79"/>
        <v>78.263562556155406</v>
      </c>
      <c r="AF207" s="371">
        <f t="shared" si="72"/>
        <v>2.6087854185385139E-3</v>
      </c>
      <c r="AG207" s="372">
        <f t="shared" si="80"/>
        <v>4.374449174634535E-3</v>
      </c>
      <c r="AH207" s="373">
        <f t="shared" si="73"/>
        <v>4.374449174634535E-3</v>
      </c>
      <c r="AI207" s="374" t="b">
        <f t="shared" si="81"/>
        <v>1</v>
      </c>
      <c r="AJ207" s="375">
        <f t="shared" si="64"/>
        <v>2.1794502047858388E-4</v>
      </c>
      <c r="AL207" s="376">
        <f t="shared" si="74"/>
        <v>164278.24999697413</v>
      </c>
      <c r="AM207" s="384"/>
      <c r="AN207" s="383">
        <f t="shared" si="66"/>
        <v>31.541433257565185</v>
      </c>
      <c r="AO207" s="379">
        <f t="shared" si="65"/>
        <v>1.0513811085855064E-3</v>
      </c>
      <c r="AQ207" s="380">
        <f t="shared" si="75"/>
        <v>4.374449174634535E-3</v>
      </c>
      <c r="AR207" s="381">
        <v>989876.09988125623</v>
      </c>
      <c r="AT207" s="382">
        <v>131.23347523903604</v>
      </c>
    </row>
    <row r="208" spans="1:46">
      <c r="A208" s="361">
        <v>2021</v>
      </c>
      <c r="B208" s="361">
        <v>12</v>
      </c>
      <c r="C208" s="362">
        <f t="shared" si="63"/>
        <v>42.633806123140985</v>
      </c>
      <c r="D208" s="389">
        <f t="shared" si="67"/>
        <v>2.1683298951445065E-2</v>
      </c>
      <c r="E208" s="387">
        <v>72145.570520239853</v>
      </c>
      <c r="F208" s="364">
        <v>9480.2402454811872</v>
      </c>
      <c r="G208" s="364">
        <v>50282.107153748264</v>
      </c>
      <c r="H208" s="364">
        <v>216.21346230736637</v>
      </c>
      <c r="I208" s="364">
        <v>18444.637341472549</v>
      </c>
      <c r="J208" s="365">
        <f t="shared" si="76"/>
        <v>150568.76872324923</v>
      </c>
      <c r="K208" s="366">
        <v>31</v>
      </c>
      <c r="L208" s="367">
        <f t="shared" si="77"/>
        <v>2.1683298951445065E-2</v>
      </c>
      <c r="M208" s="368">
        <v>37347.710465334218</v>
      </c>
      <c r="N208" s="368">
        <v>4000.6714689244536</v>
      </c>
      <c r="O208" s="368">
        <v>2442.4310020661369</v>
      </c>
      <c r="P208" s="368">
        <v>408.3404954184831</v>
      </c>
      <c r="Q208" s="368">
        <v>11408.984275639867</v>
      </c>
      <c r="R208" s="368">
        <v>6284.4834397444074</v>
      </c>
      <c r="S208" s="364">
        <f>$L208*'MWh Impact Summary'!$L$27</f>
        <v>2210.8367753902453</v>
      </c>
      <c r="T208" s="364">
        <f>$L208*'MWh Impact Summary'!$M$27</f>
        <v>6908.3983479386407</v>
      </c>
      <c r="U208" s="368">
        <v>30003.774485879829</v>
      </c>
      <c r="V208" s="368">
        <v>89657.591051552052</v>
      </c>
      <c r="W208" s="368">
        <v>31793.602340451194</v>
      </c>
      <c r="X208" s="368">
        <f t="shared" si="68"/>
        <v>222466.82414833951</v>
      </c>
      <c r="Y208" s="364">
        <f t="shared" si="69"/>
        <v>373035.59287158877</v>
      </c>
      <c r="Z208" s="364">
        <f>SUM(Y197:Y208)</f>
        <v>17203820.954870339</v>
      </c>
      <c r="AA208" s="390">
        <v>5213464.9586801976</v>
      </c>
      <c r="AB208" s="369">
        <f t="shared" si="78"/>
        <v>71.552335314060244</v>
      </c>
      <c r="AC208" s="370">
        <f t="shared" si="70"/>
        <v>28.880748200399548</v>
      </c>
      <c r="AD208" s="371">
        <f t="shared" si="71"/>
        <v>9.3163703872256609E-4</v>
      </c>
      <c r="AE208" s="370">
        <f t="shared" si="79"/>
        <v>42.671587113660692</v>
      </c>
      <c r="AF208" s="371">
        <f t="shared" si="72"/>
        <v>1.3765028101180869E-3</v>
      </c>
      <c r="AG208" s="372">
        <f t="shared" si="80"/>
        <v>2.308139848840653E-3</v>
      </c>
      <c r="AH208" s="373">
        <f t="shared" si="73"/>
        <v>2.308139848840653E-3</v>
      </c>
      <c r="AI208" s="374" t="b">
        <f t="shared" si="81"/>
        <v>1</v>
      </c>
      <c r="AJ208" s="375">
        <f t="shared" si="64"/>
        <v>1.1500438470306686E-4</v>
      </c>
      <c r="AL208" s="376">
        <f t="shared" si="74"/>
        <v>89657.591051552052</v>
      </c>
      <c r="AM208" s="377">
        <f>SUM(AL197:AL208)</f>
        <v>4134868.55723939</v>
      </c>
      <c r="AN208" s="383">
        <f t="shared" si="66"/>
        <v>17.197313449335834</v>
      </c>
      <c r="AO208" s="379">
        <f t="shared" si="65"/>
        <v>5.547520467527688E-4</v>
      </c>
      <c r="AQ208" s="380">
        <f t="shared" si="75"/>
        <v>2.308139848840653E-3</v>
      </c>
      <c r="AR208" s="381">
        <v>831922.77553708537</v>
      </c>
      <c r="AT208" s="382">
        <v>71.552335314060244</v>
      </c>
    </row>
    <row r="209" spans="1:46">
      <c r="A209" s="361">
        <v>2022</v>
      </c>
      <c r="B209" s="361">
        <v>1</v>
      </c>
      <c r="C209" s="362">
        <f t="shared" si="63"/>
        <v>26.112829868525239</v>
      </c>
      <c r="D209" s="389">
        <f t="shared" si="67"/>
        <v>1.3280829182176284E-2</v>
      </c>
      <c r="E209" s="387">
        <v>46912.764999662541</v>
      </c>
      <c r="F209" s="364">
        <v>6492.9541850745845</v>
      </c>
      <c r="G209" s="364">
        <v>31557.004854110204</v>
      </c>
      <c r="H209" s="364">
        <v>143.57322383035734</v>
      </c>
      <c r="I209" s="364">
        <v>11443.127962023815</v>
      </c>
      <c r="J209" s="365">
        <f t="shared" si="76"/>
        <v>96549.42522470151</v>
      </c>
      <c r="K209" s="366">
        <v>31</v>
      </c>
      <c r="L209" s="367">
        <f t="shared" si="77"/>
        <v>1.3280829182176284E-2</v>
      </c>
      <c r="M209" s="368">
        <v>24555.648522288324</v>
      </c>
      <c r="N209" s="368">
        <v>3108.7546942982367</v>
      </c>
      <c r="O209" s="368">
        <v>1583.2022208992548</v>
      </c>
      <c r="P209" s="368">
        <v>264.58458188585706</v>
      </c>
      <c r="Q209" s="368">
        <v>7207.8546796134769</v>
      </c>
      <c r="R209" s="368">
        <v>4344.2801710413059</v>
      </c>
      <c r="S209" s="364">
        <f>$L209*'MWh Impact Summary'!$L$28</f>
        <v>1552.2860174282355</v>
      </c>
      <c r="T209" s="364">
        <f>$L209*'MWh Impact Summary'!$M$28</f>
        <v>4821.4680389001378</v>
      </c>
      <c r="U209" s="368">
        <v>26171.07822016405</v>
      </c>
      <c r="V209" s="368">
        <v>55605.775019777095</v>
      </c>
      <c r="W209" s="368">
        <v>19473.300751656716</v>
      </c>
      <c r="X209" s="368">
        <f t="shared" si="68"/>
        <v>148688.2329179527</v>
      </c>
      <c r="Y209" s="364">
        <f t="shared" si="69"/>
        <v>245237.65814265423</v>
      </c>
      <c r="Z209" s="364"/>
      <c r="AA209" s="390">
        <v>5218681.4177877083</v>
      </c>
      <c r="AB209" s="369">
        <f t="shared" si="78"/>
        <v>46.992264618179135</v>
      </c>
      <c r="AC209" s="370">
        <f t="shared" si="70"/>
        <v>18.500731793210424</v>
      </c>
      <c r="AD209" s="371">
        <f t="shared" si="71"/>
        <v>5.9679779978098139E-4</v>
      </c>
      <c r="AE209" s="370">
        <f t="shared" si="79"/>
        <v>28.491532824968701</v>
      </c>
      <c r="AF209" s="371">
        <f t="shared" si="72"/>
        <v>9.1908170403124843E-4</v>
      </c>
      <c r="AG209" s="372">
        <f t="shared" si="80"/>
        <v>1.5158795038122297E-3</v>
      </c>
      <c r="AH209" s="373">
        <f t="shared" si="73"/>
        <v>1.5158795038122301E-3</v>
      </c>
      <c r="AI209" s="374" t="b">
        <f t="shared" si="81"/>
        <v>1</v>
      </c>
      <c r="AJ209" s="375">
        <f t="shared" si="64"/>
        <v>8.6745551878660877E-5</v>
      </c>
      <c r="AL209" s="376">
        <f t="shared" si="74"/>
        <v>55605.775019777095</v>
      </c>
      <c r="AM209" s="384"/>
      <c r="AN209" s="383">
        <f t="shared" si="66"/>
        <v>10.655138830710492</v>
      </c>
      <c r="AO209" s="379">
        <f t="shared" si="65"/>
        <v>3.4371415582937068E-4</v>
      </c>
      <c r="AQ209" s="380">
        <f t="shared" si="75"/>
        <v>1.5158795038122301E-3</v>
      </c>
      <c r="AR209" s="381">
        <v>840001.90652615612</v>
      </c>
      <c r="AT209" s="382">
        <v>46.992264618179135</v>
      </c>
    </row>
    <row r="210" spans="1:46">
      <c r="A210" s="361">
        <v>2022</v>
      </c>
      <c r="B210" s="361">
        <v>2</v>
      </c>
      <c r="C210" s="362">
        <f t="shared" ref="C210:C267" si="82">+C198</f>
        <v>35.042184420393127</v>
      </c>
      <c r="D210" s="389">
        <f t="shared" si="67"/>
        <v>1.7822245532205266E-2</v>
      </c>
      <c r="E210" s="387">
        <v>62954.715021914322</v>
      </c>
      <c r="F210" s="364">
        <v>8713.2378655288539</v>
      </c>
      <c r="G210" s="364">
        <v>42348.010132209543</v>
      </c>
      <c r="H210" s="364">
        <v>192.66848566872324</v>
      </c>
      <c r="I210" s="364">
        <v>15356.137286167006</v>
      </c>
      <c r="J210" s="365">
        <f t="shared" si="76"/>
        <v>129564.76879148844</v>
      </c>
      <c r="K210" s="366">
        <v>28</v>
      </c>
      <c r="L210" s="367">
        <f t="shared" si="77"/>
        <v>1.7822245532205266E-2</v>
      </c>
      <c r="M210" s="368">
        <v>32952.520596687762</v>
      </c>
      <c r="N210" s="368">
        <v>4171.8019787149969</v>
      </c>
      <c r="O210" s="368">
        <v>2124.5826085819367</v>
      </c>
      <c r="P210" s="368">
        <v>355.06001302494752</v>
      </c>
      <c r="Q210" s="368">
        <v>9672.6005657032165</v>
      </c>
      <c r="R210" s="368">
        <v>5829.8188168023335</v>
      </c>
      <c r="S210" s="364">
        <f>$L210*'MWh Impact Summary'!$L$28</f>
        <v>2083.0945236419097</v>
      </c>
      <c r="T210" s="364">
        <f>$L210*'MWh Impact Summary'!$M$28</f>
        <v>6470.1823987226007</v>
      </c>
      <c r="U210" s="368">
        <v>35120.350957324903</v>
      </c>
      <c r="V210" s="368">
        <v>74620.323913287357</v>
      </c>
      <c r="W210" s="368">
        <v>26132.249918873826</v>
      </c>
      <c r="X210" s="368">
        <f t="shared" si="68"/>
        <v>199532.58629136579</v>
      </c>
      <c r="Y210" s="364">
        <f t="shared" si="69"/>
        <v>329097.35508285422</v>
      </c>
      <c r="Z210" s="364"/>
      <c r="AA210" s="390">
        <v>5223815.6567590404</v>
      </c>
      <c r="AB210" s="369">
        <f t="shared" si="78"/>
        <v>62.999419716704317</v>
      </c>
      <c r="AC210" s="370">
        <f t="shared" si="70"/>
        <v>24.802706930104996</v>
      </c>
      <c r="AD210" s="371">
        <f t="shared" si="71"/>
        <v>8.8581096178946416E-4</v>
      </c>
      <c r="AE210" s="370">
        <f t="shared" si="79"/>
        <v>38.196712786599328</v>
      </c>
      <c r="AF210" s="371">
        <f t="shared" si="72"/>
        <v>1.3641683138071188E-3</v>
      </c>
      <c r="AG210" s="372">
        <f t="shared" si="80"/>
        <v>2.2499792755965829E-3</v>
      </c>
      <c r="AH210" s="373">
        <f t="shared" si="73"/>
        <v>2.2499792755965825E-3</v>
      </c>
      <c r="AI210" s="374" t="b">
        <f t="shared" si="81"/>
        <v>1</v>
      </c>
      <c r="AJ210" s="375">
        <f t="shared" si="64"/>
        <v>1.287619386099656E-4</v>
      </c>
      <c r="AL210" s="376">
        <f t="shared" si="74"/>
        <v>74620.323913287357</v>
      </c>
      <c r="AM210" s="384"/>
      <c r="AN210" s="383">
        <f t="shared" si="66"/>
        <v>14.284639584617979</v>
      </c>
      <c r="AO210" s="379">
        <f t="shared" si="65"/>
        <v>5.1016569945064219E-4</v>
      </c>
      <c r="AQ210" s="380">
        <f t="shared" si="75"/>
        <v>2.2499792755965825E-3</v>
      </c>
      <c r="AR210" s="381">
        <v>775729.3207495173</v>
      </c>
      <c r="AT210" s="382">
        <v>62.999419716704317</v>
      </c>
    </row>
    <row r="211" spans="1:46">
      <c r="A211" s="361">
        <v>2022</v>
      </c>
      <c r="B211" s="361">
        <v>3</v>
      </c>
      <c r="C211" s="362">
        <f t="shared" si="82"/>
        <v>64.582270600115152</v>
      </c>
      <c r="D211" s="389">
        <f t="shared" si="67"/>
        <v>3.2846156787895278E-2</v>
      </c>
      <c r="E211" s="387">
        <v>116024.68591348144</v>
      </c>
      <c r="F211" s="364">
        <v>16058.379206156842</v>
      </c>
      <c r="G211" s="364">
        <v>78046.808296093455</v>
      </c>
      <c r="H211" s="364">
        <v>355.08540587243164</v>
      </c>
      <c r="I211" s="364">
        <v>28301.152738943027</v>
      </c>
      <c r="J211" s="365">
        <f t="shared" si="76"/>
        <v>238786.1115605472</v>
      </c>
      <c r="K211" s="366">
        <v>31</v>
      </c>
      <c r="L211" s="367">
        <f t="shared" si="77"/>
        <v>3.2846156787895278E-2</v>
      </c>
      <c r="M211" s="368">
        <v>60731.048515704446</v>
      </c>
      <c r="N211" s="368">
        <v>7688.5744634878911</v>
      </c>
      <c r="O211" s="368">
        <v>3915.5769313252722</v>
      </c>
      <c r="P211" s="368">
        <v>654.37078822954049</v>
      </c>
      <c r="Q211" s="368">
        <v>17826.471650481202</v>
      </c>
      <c r="R211" s="368">
        <v>10744.277007949941</v>
      </c>
      <c r="S211" s="364">
        <f>$L211*'MWh Impact Summary'!$L$28</f>
        <v>3839.1149534949718</v>
      </c>
      <c r="T211" s="364">
        <f>$L211*'MWh Impact Summary'!$M$28</f>
        <v>11924.458404003723</v>
      </c>
      <c r="U211" s="368">
        <v>64726.330467486434</v>
      </c>
      <c r="V211" s="368">
        <v>137524.24487645863</v>
      </c>
      <c r="W211" s="368">
        <v>48161.382161677844</v>
      </c>
      <c r="X211" s="368">
        <f t="shared" si="68"/>
        <v>367735.85022029991</v>
      </c>
      <c r="Y211" s="364">
        <f t="shared" si="69"/>
        <v>606521.96178084705</v>
      </c>
      <c r="Z211" s="364"/>
      <c r="AA211" s="390">
        <v>5229019.600151482</v>
      </c>
      <c r="AB211" s="369">
        <f t="shared" si="78"/>
        <v>115.99152578492466</v>
      </c>
      <c r="AC211" s="370">
        <f t="shared" si="70"/>
        <v>45.665560625098763</v>
      </c>
      <c r="AD211" s="371">
        <f t="shared" si="71"/>
        <v>1.4730826008096376E-3</v>
      </c>
      <c r="AE211" s="370">
        <f t="shared" si="79"/>
        <v>70.325965159825898</v>
      </c>
      <c r="AF211" s="371">
        <f t="shared" si="72"/>
        <v>2.2685795212847065E-3</v>
      </c>
      <c r="AG211" s="372">
        <f t="shared" si="80"/>
        <v>3.7416621220943439E-3</v>
      </c>
      <c r="AH211" s="373">
        <f t="shared" si="73"/>
        <v>3.7416621220943439E-3</v>
      </c>
      <c r="AI211" s="374" t="b">
        <f t="shared" si="81"/>
        <v>1</v>
      </c>
      <c r="AJ211" s="375">
        <f t="shared" si="64"/>
        <v>2.1416289679787159E-4</v>
      </c>
      <c r="AL211" s="376">
        <f t="shared" si="74"/>
        <v>137524.24487645863</v>
      </c>
      <c r="AM211" s="384"/>
      <c r="AN211" s="383">
        <f t="shared" si="66"/>
        <v>26.300196861467992</v>
      </c>
      <c r="AO211" s="379">
        <f t="shared" si="65"/>
        <v>8.4839344714412882E-4</v>
      </c>
      <c r="AQ211" s="380">
        <f t="shared" si="75"/>
        <v>3.7416621220943439E-3</v>
      </c>
      <c r="AR211" s="381">
        <v>922588.25556952658</v>
      </c>
      <c r="AT211" s="382">
        <v>115.99152578492466</v>
      </c>
    </row>
    <row r="212" spans="1:46">
      <c r="A212" s="361">
        <v>2022</v>
      </c>
      <c r="B212" s="361">
        <v>4</v>
      </c>
      <c r="C212" s="362">
        <f t="shared" si="82"/>
        <v>114.03392869270741</v>
      </c>
      <c r="D212" s="389">
        <f t="shared" si="67"/>
        <v>5.7996974497419709E-2</v>
      </c>
      <c r="E212" s="387">
        <v>204866.60870093538</v>
      </c>
      <c r="F212" s="364">
        <v>28354.532169577815</v>
      </c>
      <c r="G212" s="364">
        <v>137808.47420242697</v>
      </c>
      <c r="H212" s="364">
        <v>626.97987352903215</v>
      </c>
      <c r="I212" s="364">
        <v>49971.789523118678</v>
      </c>
      <c r="J212" s="365">
        <f t="shared" si="76"/>
        <v>421628.38446958788</v>
      </c>
      <c r="K212" s="366">
        <v>30</v>
      </c>
      <c r="L212" s="367">
        <f t="shared" si="77"/>
        <v>5.7996974497419709E-2</v>
      </c>
      <c r="M212" s="368">
        <v>107233.7654207662</v>
      </c>
      <c r="N212" s="368">
        <v>13575.836587516727</v>
      </c>
      <c r="O212" s="368">
        <v>6913.7956350633476</v>
      </c>
      <c r="P212" s="368">
        <v>1155.432769863392</v>
      </c>
      <c r="Q212" s="368">
        <v>31476.480745319575</v>
      </c>
      <c r="R212" s="368">
        <v>18971.338523626862</v>
      </c>
      <c r="S212" s="364">
        <f>$L212*'MWh Impact Summary'!$L$28</f>
        <v>6778.785520885227</v>
      </c>
      <c r="T212" s="364">
        <f>$L212*'MWh Impact Summary'!$M$28</f>
        <v>21055.203335308121</v>
      </c>
      <c r="U212" s="368">
        <v>114288.29746126643</v>
      </c>
      <c r="V212" s="368">
        <v>242828.71735594494</v>
      </c>
      <c r="W212" s="368">
        <v>85039.308282809259</v>
      </c>
      <c r="X212" s="368">
        <f t="shared" si="68"/>
        <v>649316.96163836995</v>
      </c>
      <c r="Y212" s="364">
        <f t="shared" si="69"/>
        <v>1070945.3461079579</v>
      </c>
      <c r="Z212" s="364"/>
      <c r="AA212" s="390">
        <v>5234136.2560332026</v>
      </c>
      <c r="AB212" s="369">
        <f t="shared" si="78"/>
        <v>204.60784620834377</v>
      </c>
      <c r="AC212" s="370">
        <f t="shared" si="70"/>
        <v>80.553574428558647</v>
      </c>
      <c r="AD212" s="371">
        <f t="shared" si="71"/>
        <v>2.6851191476186215E-3</v>
      </c>
      <c r="AE212" s="370">
        <f t="shared" si="79"/>
        <v>124.05427177978513</v>
      </c>
      <c r="AF212" s="371">
        <f t="shared" si="72"/>
        <v>4.1351423926595044E-3</v>
      </c>
      <c r="AG212" s="372">
        <f t="shared" si="80"/>
        <v>6.8202615402781254E-3</v>
      </c>
      <c r="AH212" s="373">
        <f t="shared" si="73"/>
        <v>6.8202615402781254E-3</v>
      </c>
      <c r="AI212" s="374" t="b">
        <f t="shared" si="81"/>
        <v>1</v>
      </c>
      <c r="AJ212" s="375">
        <f t="shared" si="64"/>
        <v>3.9038473737686326E-4</v>
      </c>
      <c r="AL212" s="376">
        <f t="shared" si="74"/>
        <v>242828.71735594494</v>
      </c>
      <c r="AM212" s="384"/>
      <c r="AN212" s="383">
        <f t="shared" si="66"/>
        <v>46.393273976397715</v>
      </c>
      <c r="AO212" s="379">
        <f t="shared" si="65"/>
        <v>1.5464424658799239E-3</v>
      </c>
      <c r="AQ212" s="380">
        <f t="shared" si="75"/>
        <v>6.8202615402781254E-3</v>
      </c>
      <c r="AR212" s="381">
        <v>1052631.7288214653</v>
      </c>
      <c r="AT212" s="382">
        <v>204.60784620834377</v>
      </c>
    </row>
    <row r="213" spans="1:46">
      <c r="A213" s="361">
        <v>2022</v>
      </c>
      <c r="B213" s="361">
        <v>5</v>
      </c>
      <c r="C213" s="362">
        <f t="shared" si="82"/>
        <v>208.47875842628665</v>
      </c>
      <c r="D213" s="389">
        <f t="shared" si="67"/>
        <v>0.10603105035770212</v>
      </c>
      <c r="E213" s="387">
        <v>374540.60133338434</v>
      </c>
      <c r="F213" s="364">
        <v>51838.235604433947</v>
      </c>
      <c r="G213" s="364">
        <v>251943.78490425763</v>
      </c>
      <c r="H213" s="364">
        <v>1146.2552162333948</v>
      </c>
      <c r="I213" s="364">
        <v>91359.271363819527</v>
      </c>
      <c r="J213" s="365">
        <f t="shared" si="76"/>
        <v>770828.14842212875</v>
      </c>
      <c r="K213" s="366">
        <v>31</v>
      </c>
      <c r="L213" s="367">
        <f t="shared" si="77"/>
        <v>0.10603105035770212</v>
      </c>
      <c r="M213" s="368">
        <v>196046.58484178575</v>
      </c>
      <c r="N213" s="368">
        <v>24819.574216288864</v>
      </c>
      <c r="O213" s="368">
        <v>12639.918193954714</v>
      </c>
      <c r="P213" s="368">
        <v>2112.3817452197459</v>
      </c>
      <c r="Q213" s="368">
        <v>57545.834828654835</v>
      </c>
      <c r="R213" s="368">
        <v>34683.722173148672</v>
      </c>
      <c r="S213" s="364">
        <f>$L213*'MWh Impact Summary'!$L$28</f>
        <v>12393.090418208303</v>
      </c>
      <c r="T213" s="364">
        <f>$L213*'MWh Impact Summary'!$M$28</f>
        <v>38493.479090655623</v>
      </c>
      <c r="U213" s="368">
        <v>208943.79971408192</v>
      </c>
      <c r="V213" s="368">
        <v>443943.57087385509</v>
      </c>
      <c r="W213" s="368">
        <v>155470.30266759626</v>
      </c>
      <c r="X213" s="368">
        <f t="shared" si="68"/>
        <v>1187092.2587634497</v>
      </c>
      <c r="Y213" s="364">
        <f t="shared" si="69"/>
        <v>1957920.4071855785</v>
      </c>
      <c r="Z213" s="364"/>
      <c r="AA213" s="390">
        <v>5239238.1846235972</v>
      </c>
      <c r="AB213" s="369">
        <f t="shared" si="78"/>
        <v>373.70326337363139</v>
      </c>
      <c r="AC213" s="370">
        <f t="shared" si="70"/>
        <v>147.12599833395578</v>
      </c>
      <c r="AD213" s="371">
        <f t="shared" si="71"/>
        <v>4.745999946256638E-3</v>
      </c>
      <c r="AE213" s="370">
        <f t="shared" si="79"/>
        <v>226.57726503967561</v>
      </c>
      <c r="AF213" s="371">
        <f t="shared" si="72"/>
        <v>7.3089440335379228E-3</v>
      </c>
      <c r="AG213" s="372">
        <f t="shared" si="80"/>
        <v>1.205494397979456E-2</v>
      </c>
      <c r="AH213" s="373">
        <f t="shared" si="73"/>
        <v>1.2054943979794562E-2</v>
      </c>
      <c r="AI213" s="374" t="b">
        <f t="shared" si="81"/>
        <v>1</v>
      </c>
      <c r="AJ213" s="375">
        <f t="shared" si="64"/>
        <v>6.8994983480844853E-4</v>
      </c>
      <c r="AL213" s="376">
        <f t="shared" si="74"/>
        <v>443943.57087385509</v>
      </c>
      <c r="AM213" s="384"/>
      <c r="AN213" s="383">
        <f t="shared" si="66"/>
        <v>84.734374584603728</v>
      </c>
      <c r="AO213" s="379">
        <f t="shared" si="65"/>
        <v>2.7333669220839913E-3</v>
      </c>
      <c r="AQ213" s="380">
        <f t="shared" si="75"/>
        <v>1.2054943979794562E-2</v>
      </c>
      <c r="AR213" s="381">
        <v>1223803.9997503732</v>
      </c>
      <c r="AT213" s="382">
        <v>373.70326337363139</v>
      </c>
    </row>
    <row r="214" spans="1:46">
      <c r="A214" s="361">
        <v>2022</v>
      </c>
      <c r="B214" s="361">
        <v>6</v>
      </c>
      <c r="C214" s="362">
        <f t="shared" si="82"/>
        <v>271.66325293295364</v>
      </c>
      <c r="D214" s="389">
        <f t="shared" si="67"/>
        <v>0.13816630657965029</v>
      </c>
      <c r="E214" s="387">
        <v>488054.12542624981</v>
      </c>
      <c r="F214" s="364">
        <v>67549.05783643492</v>
      </c>
      <c r="G214" s="364">
        <v>328301.39952858165</v>
      </c>
      <c r="H214" s="364">
        <v>1493.6553876467588</v>
      </c>
      <c r="I214" s="364">
        <v>119047.8926084696</v>
      </c>
      <c r="J214" s="365">
        <f t="shared" si="76"/>
        <v>1004446.1307873827</v>
      </c>
      <c r="K214" s="366">
        <v>30</v>
      </c>
      <c r="L214" s="367">
        <f t="shared" si="77"/>
        <v>0.13816630657965029</v>
      </c>
      <c r="M214" s="368">
        <v>255463.21057618366</v>
      </c>
      <c r="N214" s="368">
        <v>32341.742242253011</v>
      </c>
      <c r="O214" s="368">
        <v>16470.748959253207</v>
      </c>
      <c r="P214" s="368">
        <v>2752.5897634577886</v>
      </c>
      <c r="Q214" s="368">
        <v>74986.482077608569</v>
      </c>
      <c r="R214" s="368">
        <v>45195.457131964293</v>
      </c>
      <c r="S214" s="364">
        <f>$L214*'MWh Impact Summary'!$L$28</f>
        <v>16149.114098322354</v>
      </c>
      <c r="T214" s="364">
        <f>$L214*'MWh Impact Summary'!$M$28</f>
        <v>50159.852377342264</v>
      </c>
      <c r="U214" s="368">
        <v>272269.2361513123</v>
      </c>
      <c r="V214" s="368">
        <v>578491.33164760878</v>
      </c>
      <c r="W214" s="368">
        <v>202589.31162084595</v>
      </c>
      <c r="X214" s="368">
        <f t="shared" si="68"/>
        <v>1546869.076646152</v>
      </c>
      <c r="Y214" s="364">
        <f t="shared" si="69"/>
        <v>2551315.2074335348</v>
      </c>
      <c r="Z214" s="364"/>
      <c r="AA214" s="390">
        <v>5244340.260228348</v>
      </c>
      <c r="AB214" s="369">
        <f t="shared" si="78"/>
        <v>486.48925905552244</v>
      </c>
      <c r="AC214" s="370">
        <f t="shared" si="70"/>
        <v>191.52955013327974</v>
      </c>
      <c r="AD214" s="371">
        <f t="shared" si="71"/>
        <v>6.3843183377759911E-3</v>
      </c>
      <c r="AE214" s="370">
        <f t="shared" si="79"/>
        <v>294.95970892224267</v>
      </c>
      <c r="AF214" s="371">
        <f t="shared" si="72"/>
        <v>9.8319902974080883E-3</v>
      </c>
      <c r="AG214" s="372">
        <f t="shared" si="80"/>
        <v>1.6216308635184078E-2</v>
      </c>
      <c r="AH214" s="373">
        <f t="shared" si="73"/>
        <v>1.6216308635184081E-2</v>
      </c>
      <c r="AI214" s="374" t="b">
        <f t="shared" si="81"/>
        <v>1</v>
      </c>
      <c r="AJ214" s="375">
        <f t="shared" ref="AJ214:AJ268" si="83">AH214-AH202</f>
        <v>9.2804416633688984E-4</v>
      </c>
      <c r="AL214" s="376">
        <f t="shared" si="74"/>
        <v>578491.33164760878</v>
      </c>
      <c r="AM214" s="384"/>
      <c r="AN214" s="383">
        <f t="shared" si="66"/>
        <v>110.30774185930113</v>
      </c>
      <c r="AO214" s="379">
        <f t="shared" si="65"/>
        <v>3.6769247286433712E-3</v>
      </c>
      <c r="AQ214" s="380">
        <f t="shared" si="75"/>
        <v>1.6216308635184081E-2</v>
      </c>
      <c r="AR214" s="381">
        <v>1461578.3906399433</v>
      </c>
      <c r="AT214" s="382">
        <v>486.48925905552244</v>
      </c>
    </row>
    <row r="215" spans="1:46">
      <c r="A215" s="361">
        <v>2022</v>
      </c>
      <c r="B215" s="361">
        <v>7</v>
      </c>
      <c r="C215" s="362">
        <f t="shared" si="82"/>
        <v>322.31916585708109</v>
      </c>
      <c r="D215" s="389">
        <f t="shared" si="67"/>
        <v>0.16392960109808263</v>
      </c>
      <c r="E215" s="387">
        <v>579059.54118616076</v>
      </c>
      <c r="F215" s="364">
        <v>80144.648719364472</v>
      </c>
      <c r="G215" s="364">
        <v>389518.39125581167</v>
      </c>
      <c r="H215" s="364">
        <v>1772.1710736602865</v>
      </c>
      <c r="I215" s="364">
        <v>141246.25626887911</v>
      </c>
      <c r="J215" s="365">
        <f t="shared" si="76"/>
        <v>1191741.0085038764</v>
      </c>
      <c r="K215" s="366">
        <v>31</v>
      </c>
      <c r="L215" s="367">
        <f t="shared" si="77"/>
        <v>0.16392960109808263</v>
      </c>
      <c r="M215" s="368">
        <v>303098.36921671929</v>
      </c>
      <c r="N215" s="368">
        <v>38372.371932321817</v>
      </c>
      <c r="O215" s="368">
        <v>19541.980773152634</v>
      </c>
      <c r="P215" s="368">
        <v>3265.8536880710112</v>
      </c>
      <c r="Q215" s="368">
        <v>88968.898416955912</v>
      </c>
      <c r="R215" s="368">
        <v>53622.865389524792</v>
      </c>
      <c r="S215" s="364">
        <f>$L215*'MWh Impact Summary'!$L$28</f>
        <v>19160.372002122505</v>
      </c>
      <c r="T215" s="364">
        <f>$L215*'MWh Impact Summary'!$M$28</f>
        <v>59512.950696240885</v>
      </c>
      <c r="U215" s="368">
        <v>323038.1442369541</v>
      </c>
      <c r="V215" s="368">
        <v>686360.19579073251</v>
      </c>
      <c r="W215" s="368">
        <v>240365.29500479388</v>
      </c>
      <c r="X215" s="368">
        <f t="shared" si="68"/>
        <v>1835307.2971475893</v>
      </c>
      <c r="Y215" s="364">
        <f t="shared" si="69"/>
        <v>3027048.3056514654</v>
      </c>
      <c r="Z215" s="364"/>
      <c r="AA215" s="390">
        <v>5249596.8518007202</v>
      </c>
      <c r="AB215" s="369">
        <f t="shared" si="78"/>
        <v>576.62490875144545</v>
      </c>
      <c r="AC215" s="370">
        <f t="shared" si="70"/>
        <v>227.01571990144055</v>
      </c>
      <c r="AD215" s="371">
        <f t="shared" si="71"/>
        <v>7.3230877387561472E-3</v>
      </c>
      <c r="AE215" s="370">
        <f t="shared" si="79"/>
        <v>349.6091888500049</v>
      </c>
      <c r="AF215" s="371">
        <f t="shared" si="72"/>
        <v>1.1277715769354997E-2</v>
      </c>
      <c r="AG215" s="372">
        <f t="shared" si="80"/>
        <v>1.8600803508111143E-2</v>
      </c>
      <c r="AH215" s="373">
        <f t="shared" si="73"/>
        <v>1.8600803508111146E-2</v>
      </c>
      <c r="AI215" s="374" t="b">
        <f t="shared" si="81"/>
        <v>1</v>
      </c>
      <c r="AJ215" s="375">
        <f t="shared" si="83"/>
        <v>1.0646722304743367E-3</v>
      </c>
      <c r="AL215" s="376">
        <f t="shared" si="74"/>
        <v>686360.19579073251</v>
      </c>
      <c r="AM215" s="384"/>
      <c r="AN215" s="383">
        <f t="shared" si="66"/>
        <v>130.74531533889061</v>
      </c>
      <c r="AO215" s="379">
        <f t="shared" si="65"/>
        <v>4.2175908173835682E-3</v>
      </c>
      <c r="AQ215" s="380">
        <f t="shared" si="75"/>
        <v>1.8600803508111146E-2</v>
      </c>
      <c r="AR215" s="381">
        <v>1522372.7740701623</v>
      </c>
      <c r="AT215" s="382">
        <v>576.62490875144545</v>
      </c>
    </row>
    <row r="216" spans="1:46">
      <c r="A216" s="361">
        <v>2022</v>
      </c>
      <c r="B216" s="361">
        <v>8</v>
      </c>
      <c r="C216" s="362">
        <f t="shared" si="82"/>
        <v>326.45437890907908</v>
      </c>
      <c r="D216" s="389">
        <f t="shared" si="67"/>
        <v>0.16603274573816959</v>
      </c>
      <c r="E216" s="387">
        <v>586488.62026754173</v>
      </c>
      <c r="F216" s="364">
        <v>81172.869292444084</v>
      </c>
      <c r="G216" s="364">
        <v>394515.74079669663</v>
      </c>
      <c r="H216" s="364">
        <v>1794.9072486397874</v>
      </c>
      <c r="I216" s="364">
        <v>143058.38357727474</v>
      </c>
      <c r="J216" s="365">
        <f t="shared" si="76"/>
        <v>1207030.5211825971</v>
      </c>
      <c r="K216" s="366">
        <v>31</v>
      </c>
      <c r="L216" s="367">
        <f t="shared" si="77"/>
        <v>0.16603274573816959</v>
      </c>
      <c r="M216" s="368">
        <v>306986.98790649354</v>
      </c>
      <c r="N216" s="368">
        <v>38864.672577332232</v>
      </c>
      <c r="O216" s="368">
        <v>19792.695786453663</v>
      </c>
      <c r="P216" s="368">
        <v>3307.753153654809</v>
      </c>
      <c r="Q216" s="368">
        <v>90110.330230287218</v>
      </c>
      <c r="R216" s="368">
        <v>54310.823154166741</v>
      </c>
      <c r="S216" s="364">
        <f>$L216*'MWh Impact Summary'!$L$28</f>
        <v>19406.191142829288</v>
      </c>
      <c r="T216" s="364">
        <f>$L216*'MWh Impact Summary'!$M$28</f>
        <v>60276.475663264195</v>
      </c>
      <c r="U216" s="368">
        <v>327182.5814651585</v>
      </c>
      <c r="V216" s="368">
        <v>695165.89504990785</v>
      </c>
      <c r="W216" s="368">
        <v>243449.07595994783</v>
      </c>
      <c r="X216" s="368">
        <f t="shared" si="68"/>
        <v>1858853.4820894958</v>
      </c>
      <c r="Y216" s="364">
        <f t="shared" si="69"/>
        <v>3065884.0032720929</v>
      </c>
      <c r="Z216" s="364"/>
      <c r="AA216" s="390">
        <v>5254931.9503803095</v>
      </c>
      <c r="AB216" s="369">
        <f t="shared" si="78"/>
        <v>583.42982025679873</v>
      </c>
      <c r="AC216" s="370">
        <f t="shared" si="70"/>
        <v>229.69479578041768</v>
      </c>
      <c r="AD216" s="371">
        <f t="shared" si="71"/>
        <v>7.4095095413037959E-3</v>
      </c>
      <c r="AE216" s="370">
        <f t="shared" si="79"/>
        <v>353.73502447638106</v>
      </c>
      <c r="AF216" s="371">
        <f t="shared" si="72"/>
        <v>1.1410807241173583E-2</v>
      </c>
      <c r="AG216" s="372">
        <f t="shared" si="80"/>
        <v>1.8820316782477378E-2</v>
      </c>
      <c r="AH216" s="373">
        <f t="shared" si="73"/>
        <v>1.8820316782477378E-2</v>
      </c>
      <c r="AI216" s="374" t="b">
        <f t="shared" si="81"/>
        <v>1</v>
      </c>
      <c r="AJ216" s="375">
        <f t="shared" si="83"/>
        <v>1.0775377493684631E-3</v>
      </c>
      <c r="AL216" s="376">
        <f t="shared" si="74"/>
        <v>695165.89504990785</v>
      </c>
      <c r="AM216" s="384"/>
      <c r="AN216" s="383">
        <f t="shared" si="66"/>
        <v>132.28827730102142</v>
      </c>
      <c r="AO216" s="379">
        <f t="shared" si="65"/>
        <v>4.2673637839039163E-3</v>
      </c>
      <c r="AQ216" s="380">
        <f t="shared" si="75"/>
        <v>1.8820316782477378E-2</v>
      </c>
      <c r="AR216" s="381">
        <v>1581642.9044645752</v>
      </c>
      <c r="AT216" s="382">
        <v>583.42982025679873</v>
      </c>
    </row>
    <row r="217" spans="1:46">
      <c r="A217" s="361">
        <v>2022</v>
      </c>
      <c r="B217" s="361">
        <v>9</v>
      </c>
      <c r="C217" s="362">
        <f t="shared" si="82"/>
        <v>277.87653293728147</v>
      </c>
      <c r="D217" s="389">
        <f>D205</f>
        <v>0.14132634365008559</v>
      </c>
      <c r="E217" s="387">
        <v>499216.53663130535</v>
      </c>
      <c r="F217" s="364">
        <v>69093.989680676255</v>
      </c>
      <c r="G217" s="364">
        <v>335810.06512490811</v>
      </c>
      <c r="H217" s="364">
        <v>1527.8171634969237</v>
      </c>
      <c r="I217" s="364">
        <v>121770.66752453131</v>
      </c>
      <c r="J217" s="365">
        <f t="shared" si="76"/>
        <v>1027419.0761249179</v>
      </c>
      <c r="K217" s="366">
        <v>30</v>
      </c>
      <c r="L217" s="367">
        <f t="shared" si="77"/>
        <v>0.14132634365008559</v>
      </c>
      <c r="M217" s="368">
        <v>261305.97525259038</v>
      </c>
      <c r="N217" s="368">
        <v>33081.438532455759</v>
      </c>
      <c r="O217" s="368">
        <v>16847.455687380654</v>
      </c>
      <c r="P217" s="368">
        <v>2815.5449506344316</v>
      </c>
      <c r="Q217" s="368">
        <v>76701.517161145166</v>
      </c>
      <c r="R217" s="368">
        <v>46229.134035456998</v>
      </c>
      <c r="S217" s="364">
        <f>$L217*'MWh Impact Summary'!$L$28</f>
        <v>16518.464632969302</v>
      </c>
      <c r="T217" s="364">
        <f>$L217*'MWh Impact Summary'!$M$28</f>
        <v>51307.071239044904</v>
      </c>
      <c r="U217" s="368">
        <v>278496.37575340667</v>
      </c>
      <c r="V217" s="368">
        <v>591722.15541489306</v>
      </c>
      <c r="W217" s="368">
        <v>207222.78377946364</v>
      </c>
      <c r="X217" s="368">
        <f t="shared" si="68"/>
        <v>1582247.916439441</v>
      </c>
      <c r="Y217" s="364">
        <f t="shared" si="69"/>
        <v>2609666.9925643587</v>
      </c>
      <c r="Z217" s="364"/>
      <c r="AA217" s="390">
        <v>5259983.1400663005</v>
      </c>
      <c r="AB217" s="369">
        <f t="shared" si="78"/>
        <v>496.13599950274073</v>
      </c>
      <c r="AC217" s="370">
        <f t="shared" si="70"/>
        <v>195.32744664120113</v>
      </c>
      <c r="AD217" s="371">
        <f t="shared" si="71"/>
        <v>6.5109148880400378E-3</v>
      </c>
      <c r="AE217" s="370">
        <f t="shared" si="79"/>
        <v>300.80855286153962</v>
      </c>
      <c r="AF217" s="371">
        <f t="shared" si="72"/>
        <v>1.0026951762051321E-2</v>
      </c>
      <c r="AG217" s="372">
        <f t="shared" si="80"/>
        <v>1.6537866650091358E-2</v>
      </c>
      <c r="AH217" s="373">
        <f t="shared" si="73"/>
        <v>1.6537866650091358E-2</v>
      </c>
      <c r="AI217" s="374" t="b">
        <f t="shared" si="81"/>
        <v>1</v>
      </c>
      <c r="AJ217" s="375">
        <f t="shared" si="83"/>
        <v>9.4670202565147465E-4</v>
      </c>
      <c r="AL217" s="376">
        <f t="shared" si="74"/>
        <v>591722.15541489306</v>
      </c>
      <c r="AM217" s="384"/>
      <c r="AN217" s="383">
        <f t="shared" si="66"/>
        <v>112.49506693427054</v>
      </c>
      <c r="AO217" s="379">
        <f t="shared" si="65"/>
        <v>3.7498355644756845E-3</v>
      </c>
      <c r="AQ217" s="380">
        <f t="shared" si="75"/>
        <v>1.6537866650091358E-2</v>
      </c>
      <c r="AR217" s="381">
        <v>1503847.2272812007</v>
      </c>
      <c r="AT217" s="382">
        <v>496.13599950274073</v>
      </c>
    </row>
    <row r="218" spans="1:46">
      <c r="A218" s="361">
        <v>2022</v>
      </c>
      <c r="B218" s="361">
        <v>10</v>
      </c>
      <c r="C218" s="362">
        <f t="shared" si="82"/>
        <v>198.89039579254836</v>
      </c>
      <c r="D218" s="389">
        <f>D206</f>
        <v>0.10115446643644242</v>
      </c>
      <c r="E218" s="387">
        <v>357314.71638591297</v>
      </c>
      <c r="F218" s="364">
        <v>49454.089588693838</v>
      </c>
      <c r="G218" s="364">
        <v>240356.37719320907</v>
      </c>
      <c r="H218" s="364">
        <v>1093.5366046730428</v>
      </c>
      <c r="I218" s="364">
        <v>87157.472435224438</v>
      </c>
      <c r="J218" s="365">
        <f t="shared" si="76"/>
        <v>735376.19220771338</v>
      </c>
      <c r="K218" s="366">
        <v>31</v>
      </c>
      <c r="L218" s="367">
        <f t="shared" si="77"/>
        <v>0.10115446643644242</v>
      </c>
      <c r="M218" s="368">
        <v>187030.00318733568</v>
      </c>
      <c r="N218" s="368">
        <v>23678.071456980641</v>
      </c>
      <c r="O218" s="368">
        <v>12058.582617038966</v>
      </c>
      <c r="P218" s="368">
        <v>2015.2290072288522</v>
      </c>
      <c r="Q218" s="368">
        <v>54899.184701978054</v>
      </c>
      <c r="R218" s="368">
        <v>33088.547162541705</v>
      </c>
      <c r="S218" s="364">
        <f>$L218*'MWh Impact Summary'!$L$28</f>
        <v>11823.106953324499</v>
      </c>
      <c r="T218" s="364">
        <f>$L218*'MWh Impact Summary'!$M$28</f>
        <v>36723.085601450672</v>
      </c>
      <c r="U218" s="368">
        <v>199334.04888453556</v>
      </c>
      <c r="V218" s="368">
        <v>423525.70202914835</v>
      </c>
      <c r="W218" s="368">
        <v>148319.90685745887</v>
      </c>
      <c r="X218" s="368">
        <f t="shared" si="68"/>
        <v>1132495.4684590218</v>
      </c>
      <c r="Y218" s="364">
        <f t="shared" si="69"/>
        <v>1867871.6606667351</v>
      </c>
      <c r="Z218" s="364"/>
      <c r="AA218" s="390">
        <v>5265129.0517696831</v>
      </c>
      <c r="AB218" s="369">
        <f t="shared" si="78"/>
        <v>354.76274983970575</v>
      </c>
      <c r="AC218" s="370">
        <f t="shared" si="70"/>
        <v>139.66916764567114</v>
      </c>
      <c r="AD218" s="371">
        <f t="shared" si="71"/>
        <v>4.5054570208281006E-3</v>
      </c>
      <c r="AE218" s="370">
        <f t="shared" si="79"/>
        <v>215.09358219403461</v>
      </c>
      <c r="AF218" s="371">
        <f t="shared" si="72"/>
        <v>6.9385026514204714E-3</v>
      </c>
      <c r="AG218" s="372">
        <f t="shared" si="80"/>
        <v>1.1443959672248573E-2</v>
      </c>
      <c r="AH218" s="373">
        <f t="shared" si="73"/>
        <v>1.1443959672248573E-2</v>
      </c>
      <c r="AI218" s="374" t="b">
        <f t="shared" si="81"/>
        <v>1</v>
      </c>
      <c r="AJ218" s="375">
        <f t="shared" si="83"/>
        <v>6.550893701419893E-4</v>
      </c>
      <c r="AL218" s="376">
        <f t="shared" si="74"/>
        <v>423525.70202914835</v>
      </c>
      <c r="AM218" s="384"/>
      <c r="AN218" s="383">
        <f t="shared" si="66"/>
        <v>80.439757100881593</v>
      </c>
      <c r="AO218" s="379">
        <f t="shared" si="65"/>
        <v>2.5948308742219867E-3</v>
      </c>
      <c r="AQ218" s="380">
        <f t="shared" si="75"/>
        <v>1.1443959672248573E-2</v>
      </c>
      <c r="AR218" s="381">
        <v>1240064.5715416537</v>
      </c>
      <c r="AT218" s="382">
        <v>354.76274983970575</v>
      </c>
    </row>
    <row r="219" spans="1:46">
      <c r="A219" s="361">
        <v>2022</v>
      </c>
      <c r="B219" s="361">
        <v>11</v>
      </c>
      <c r="C219" s="362">
        <f t="shared" si="82"/>
        <v>78.117279066674627</v>
      </c>
      <c r="D219" s="389">
        <f>D207</f>
        <v>3.9729981188725644E-2</v>
      </c>
      <c r="E219" s="387">
        <v>140340.88123421508</v>
      </c>
      <c r="F219" s="364">
        <v>19423.858562873171</v>
      </c>
      <c r="G219" s="364">
        <v>94403.684591391837</v>
      </c>
      <c r="H219" s="364">
        <v>429.50341456391448</v>
      </c>
      <c r="I219" s="364">
        <v>34232.445311587624</v>
      </c>
      <c r="J219" s="365">
        <f t="shared" si="76"/>
        <v>288830.37311463163</v>
      </c>
      <c r="K219" s="366">
        <v>30</v>
      </c>
      <c r="L219" s="367">
        <f t="shared" si="77"/>
        <v>3.9729981188725644E-2</v>
      </c>
      <c r="M219" s="368">
        <v>73458.926433357396</v>
      </c>
      <c r="N219" s="368">
        <v>9299.9287793408857</v>
      </c>
      <c r="O219" s="368">
        <v>4736.1948257487302</v>
      </c>
      <c r="P219" s="368">
        <v>791.51236093448392</v>
      </c>
      <c r="Q219" s="368">
        <v>21562.503884654696</v>
      </c>
      <c r="R219" s="368">
        <v>12996.038658916163</v>
      </c>
      <c r="S219" s="364">
        <f>$L219*'MWh Impact Summary'!$L$28</f>
        <v>4643.7081168631985</v>
      </c>
      <c r="T219" s="364">
        <f>$L219*'MWh Impact Summary'!$M$28</f>
        <v>14423.559844036381</v>
      </c>
      <c r="U219" s="368">
        <v>78291.530680270414</v>
      </c>
      <c r="V219" s="368">
        <v>166346.26989142838</v>
      </c>
      <c r="W219" s="368">
        <v>58254.937393821587</v>
      </c>
      <c r="X219" s="368">
        <f t="shared" si="68"/>
        <v>444805.11086937232</v>
      </c>
      <c r="Y219" s="364">
        <f t="shared" si="69"/>
        <v>733635.48398400401</v>
      </c>
      <c r="Z219" s="364"/>
      <c r="AA219" s="390">
        <v>5270297.39460182</v>
      </c>
      <c r="AB219" s="369">
        <f t="shared" si="78"/>
        <v>139.20191386835987</v>
      </c>
      <c r="AC219" s="370">
        <f t="shared" si="70"/>
        <v>54.803429766690286</v>
      </c>
      <c r="AD219" s="371">
        <f t="shared" si="71"/>
        <v>1.8267809922230096E-3</v>
      </c>
      <c r="AE219" s="370">
        <f t="shared" si="79"/>
        <v>84.398484101669581</v>
      </c>
      <c r="AF219" s="371">
        <f t="shared" si="72"/>
        <v>2.8132828033889863E-3</v>
      </c>
      <c r="AG219" s="372">
        <f t="shared" si="80"/>
        <v>4.6400637956119963E-3</v>
      </c>
      <c r="AH219" s="373">
        <f t="shared" si="73"/>
        <v>4.6400637956119954E-3</v>
      </c>
      <c r="AI219" s="374" t="b">
        <f t="shared" si="81"/>
        <v>1</v>
      </c>
      <c r="AJ219" s="375">
        <f t="shared" si="83"/>
        <v>2.6561462097746038E-4</v>
      </c>
      <c r="AL219" s="376">
        <f t="shared" si="74"/>
        <v>166346.26989142838</v>
      </c>
      <c r="AM219" s="384"/>
      <c r="AN219" s="383">
        <f t="shared" si="66"/>
        <v>31.56297594549617</v>
      </c>
      <c r="AO219" s="379">
        <f t="shared" si="65"/>
        <v>1.0520991981832057E-3</v>
      </c>
      <c r="AQ219" s="380">
        <f t="shared" si="75"/>
        <v>4.6400637956119954E-3</v>
      </c>
      <c r="AR219" s="381">
        <v>1001509.8882787043</v>
      </c>
      <c r="AT219" s="382">
        <v>139.20191386835987</v>
      </c>
    </row>
    <row r="220" spans="1:46">
      <c r="A220" s="361">
        <v>2022</v>
      </c>
      <c r="B220" s="361">
        <v>12</v>
      </c>
      <c r="C220" s="362">
        <f t="shared" si="82"/>
        <v>42.633806123140985</v>
      </c>
      <c r="D220" s="389">
        <f>D208</f>
        <v>2.1683298951445065E-2</v>
      </c>
      <c r="E220" s="387">
        <v>76593.373363445571</v>
      </c>
      <c r="F220" s="364">
        <v>10600.894322318061</v>
      </c>
      <c r="G220" s="364">
        <v>51522.383194431488</v>
      </c>
      <c r="H220" s="364">
        <v>234.40864203828539</v>
      </c>
      <c r="I220" s="364">
        <v>18682.927182980555</v>
      </c>
      <c r="J220" s="365">
        <f t="shared" si="76"/>
        <v>157633.98670521396</v>
      </c>
      <c r="K220" s="366">
        <v>31</v>
      </c>
      <c r="L220" s="367">
        <f t="shared" si="77"/>
        <v>2.1683298951445065E-2</v>
      </c>
      <c r="M220" s="368">
        <v>40091.432586902505</v>
      </c>
      <c r="N220" s="368">
        <v>5075.5910251178275</v>
      </c>
      <c r="O220" s="368">
        <v>2584.8572092488075</v>
      </c>
      <c r="P220" s="368">
        <v>431.98105391443806</v>
      </c>
      <c r="Q220" s="368">
        <v>11768.095626618142</v>
      </c>
      <c r="R220" s="368">
        <v>7092.8045519886418</v>
      </c>
      <c r="S220" s="364">
        <f>$L220*'MWh Impact Summary'!$L$28</f>
        <v>2534.3810474737966</v>
      </c>
      <c r="T220" s="364">
        <f>$L220*'MWh Impact Summary'!$M$28</f>
        <v>7871.8980146673157</v>
      </c>
      <c r="U220" s="368">
        <v>42728.906843486693</v>
      </c>
      <c r="V220" s="368">
        <v>90786.247352595368</v>
      </c>
      <c r="W220" s="368">
        <v>31793.602340451194</v>
      </c>
      <c r="X220" s="368">
        <f t="shared" si="68"/>
        <v>242759.79765246471</v>
      </c>
      <c r="Y220" s="364">
        <f t="shared" si="69"/>
        <v>400393.78435767867</v>
      </c>
      <c r="Z220" s="364">
        <f>SUM(Y209:Y220)</f>
        <v>18465538.166229758</v>
      </c>
      <c r="AA220" s="390">
        <v>5275479.2526890254</v>
      </c>
      <c r="AB220" s="369">
        <f t="shared" si="78"/>
        <v>75.897139421710236</v>
      </c>
      <c r="AC220" s="370">
        <f t="shared" si="70"/>
        <v>29.880505477272898</v>
      </c>
      <c r="AD220" s="371">
        <f t="shared" si="71"/>
        <v>9.6388727346041606E-4</v>
      </c>
      <c r="AE220" s="370">
        <f t="shared" si="79"/>
        <v>46.016633944437338</v>
      </c>
      <c r="AF220" s="371">
        <f t="shared" si="72"/>
        <v>1.4844075465947528E-3</v>
      </c>
      <c r="AG220" s="372">
        <f t="shared" si="80"/>
        <v>2.4482948200551689E-3</v>
      </c>
      <c r="AH220" s="373">
        <f t="shared" si="73"/>
        <v>2.4482948200551689E-3</v>
      </c>
      <c r="AI220" s="374" t="b">
        <f t="shared" si="81"/>
        <v>1</v>
      </c>
      <c r="AJ220" s="375">
        <f t="shared" si="83"/>
        <v>1.401549712145159E-4</v>
      </c>
      <c r="AL220" s="376">
        <f t="shared" si="74"/>
        <v>90786.247352595368</v>
      </c>
      <c r="AM220" s="377">
        <f>SUM(AL209:AL220)</f>
        <v>4186920.4292156366</v>
      </c>
      <c r="AN220" s="383">
        <f t="shared" si="66"/>
        <v>17.209099496755613</v>
      </c>
      <c r="AO220" s="379">
        <f t="shared" si="65"/>
        <v>5.5513224183082626E-4</v>
      </c>
      <c r="AQ220" s="380">
        <f t="shared" si="75"/>
        <v>2.4482948200551689E-3</v>
      </c>
      <c r="AR220" s="381">
        <v>851106.54648590065</v>
      </c>
      <c r="AT220" s="382">
        <v>75.897139421710236</v>
      </c>
    </row>
    <row r="221" spans="1:46">
      <c r="A221" s="361">
        <f>+A209+1</f>
        <v>2023</v>
      </c>
      <c r="B221" s="361">
        <f>+B209</f>
        <v>1</v>
      </c>
      <c r="C221" s="362">
        <f t="shared" si="82"/>
        <v>26.112829868525239</v>
      </c>
      <c r="D221" s="389">
        <f t="shared" ref="D221:D267" si="84">D209</f>
        <v>1.3280829182176284E-2</v>
      </c>
      <c r="E221" s="387">
        <v>46714.042521394251</v>
      </c>
      <c r="F221" s="387">
        <v>7114.624379730466</v>
      </c>
      <c r="G221" s="387">
        <v>32311.371632316273</v>
      </c>
      <c r="H221" s="387">
        <v>154.6906938309711</v>
      </c>
      <c r="I221" s="387">
        <v>11587.195804044048</v>
      </c>
      <c r="J221" s="365">
        <f t="shared" si="76"/>
        <v>97881.925031316016</v>
      </c>
      <c r="K221" s="366">
        <v>31</v>
      </c>
      <c r="L221" s="367">
        <f t="shared" si="77"/>
        <v>1.3280829182176284E-2</v>
      </c>
      <c r="M221" s="387">
        <v>26230.020509899994</v>
      </c>
      <c r="N221" s="387">
        <v>3826.3021822577748</v>
      </c>
      <c r="O221" s="387">
        <v>1671.829575370034</v>
      </c>
      <c r="P221" s="387">
        <v>279.06421525986912</v>
      </c>
      <c r="Q221" s="387">
        <v>7434.3490751861291</v>
      </c>
      <c r="R221" s="387">
        <v>4880.5645981270882</v>
      </c>
      <c r="S221" s="364">
        <f>$L221*'MWh Impact Summary'!$L$29</f>
        <v>1750.0691162926905</v>
      </c>
      <c r="T221" s="364">
        <f>$L221*'MWh Impact Summary'!$M$29</f>
        <v>5416.761926312116</v>
      </c>
      <c r="U221" s="387">
        <v>32706.894199491951</v>
      </c>
      <c r="V221" s="387">
        <v>56104.207940068802</v>
      </c>
      <c r="W221" s="387">
        <v>19473.300751656716</v>
      </c>
      <c r="X221" s="368">
        <f t="shared" si="68"/>
        <v>159773.36408992315</v>
      </c>
      <c r="Y221" s="364">
        <f t="shared" si="69"/>
        <v>257655.28912123916</v>
      </c>
      <c r="Z221" s="364"/>
      <c r="AA221" s="390">
        <v>5280717.4207708379</v>
      </c>
      <c r="AB221" s="369">
        <f t="shared" si="78"/>
        <v>48.791720630192074</v>
      </c>
      <c r="AC221" s="370">
        <f t="shared" si="70"/>
        <v>18.535724832825455</v>
      </c>
      <c r="AD221" s="371">
        <f t="shared" si="71"/>
        <v>5.9792660751049854E-4</v>
      </c>
      <c r="AE221" s="370">
        <f t="shared" si="79"/>
        <v>30.255995797366616</v>
      </c>
      <c r="AF221" s="371">
        <f t="shared" si="72"/>
        <v>9.7599986443118111E-4</v>
      </c>
      <c r="AG221" s="372">
        <f t="shared" si="80"/>
        <v>1.5739264719416795E-3</v>
      </c>
      <c r="AH221" s="373">
        <f t="shared" si="73"/>
        <v>1.57392647194168E-3</v>
      </c>
      <c r="AI221" s="374" t="b">
        <f t="shared" si="81"/>
        <v>1</v>
      </c>
      <c r="AJ221" s="375">
        <f t="shared" si="83"/>
        <v>5.8046968129449837E-5</v>
      </c>
      <c r="AL221" s="376">
        <f t="shared" si="74"/>
        <v>56104.207940068802</v>
      </c>
      <c r="AM221" s="377"/>
      <c r="AN221" s="383">
        <f t="shared" si="66"/>
        <v>10.624353372780767</v>
      </c>
      <c r="AO221" s="379">
        <f t="shared" si="65"/>
        <v>3.4272107654131505E-4</v>
      </c>
      <c r="AQ221" s="380">
        <f t="shared" si="75"/>
        <v>1.57392647194168E-3</v>
      </c>
      <c r="AR221" s="381"/>
    </row>
    <row r="222" spans="1:46">
      <c r="A222" s="361">
        <f t="shared" ref="A222:A268" si="85">+A210+1</f>
        <v>2023</v>
      </c>
      <c r="B222" s="361">
        <f t="shared" ref="B222:B268" si="86">+B210</f>
        <v>2</v>
      </c>
      <c r="C222" s="362">
        <f t="shared" si="82"/>
        <v>35.042184420393127</v>
      </c>
      <c r="D222" s="389">
        <f t="shared" si="84"/>
        <v>1.7822245532205266E-2</v>
      </c>
      <c r="E222" s="387">
        <v>62688.038841392474</v>
      </c>
      <c r="F222" s="387">
        <v>9547.4899063638077</v>
      </c>
      <c r="G222" s="387">
        <v>43360.334721141888</v>
      </c>
      <c r="H222" s="387">
        <v>207.58760535093248</v>
      </c>
      <c r="I222" s="387">
        <v>15549.469526086594</v>
      </c>
      <c r="J222" s="365">
        <f t="shared" si="76"/>
        <v>131352.9206003357</v>
      </c>
      <c r="K222" s="366">
        <v>28</v>
      </c>
      <c r="L222" s="367">
        <f t="shared" si="77"/>
        <v>1.7822245532205266E-2</v>
      </c>
      <c r="M222" s="387">
        <v>35199.448726409544</v>
      </c>
      <c r="N222" s="387">
        <v>5134.7168190470084</v>
      </c>
      <c r="O222" s="387">
        <v>2243.5163325671724</v>
      </c>
      <c r="P222" s="387">
        <v>374.49099716517645</v>
      </c>
      <c r="Q222" s="387">
        <v>9976.5453476285547</v>
      </c>
      <c r="R222" s="387">
        <v>6549.4871901782981</v>
      </c>
      <c r="S222" s="364">
        <f>$L222*'MWh Impact Summary'!$L$29</f>
        <v>2348.5101013690469</v>
      </c>
      <c r="T222" s="364">
        <f>$L222*'MWh Impact Summary'!$M$29</f>
        <v>7269.0386809429774</v>
      </c>
      <c r="U222" s="387">
        <v>43891.107326454316</v>
      </c>
      <c r="V222" s="387">
        <v>75289.197352205971</v>
      </c>
      <c r="W222" s="387">
        <v>26132.249918873826</v>
      </c>
      <c r="X222" s="368">
        <f t="shared" si="68"/>
        <v>214408.30879284191</v>
      </c>
      <c r="Y222" s="364">
        <f t="shared" si="69"/>
        <v>345761.22939317761</v>
      </c>
      <c r="Z222" s="364"/>
      <c r="AA222" s="390">
        <v>5285898.8015586017</v>
      </c>
      <c r="AB222" s="369">
        <f t="shared" si="78"/>
        <v>65.412003213384708</v>
      </c>
      <c r="AC222" s="370">
        <f t="shared" si="70"/>
        <v>24.849685083188678</v>
      </c>
      <c r="AD222" s="371">
        <f t="shared" si="71"/>
        <v>8.8748875297102426E-4</v>
      </c>
      <c r="AE222" s="370">
        <f t="shared" si="79"/>
        <v>40.562318130196026</v>
      </c>
      <c r="AF222" s="371">
        <f t="shared" si="72"/>
        <v>1.4486542189355725E-3</v>
      </c>
      <c r="AG222" s="372">
        <f t="shared" si="80"/>
        <v>2.3361429719065967E-3</v>
      </c>
      <c r="AH222" s="373">
        <f t="shared" si="73"/>
        <v>2.3361429719065967E-3</v>
      </c>
      <c r="AI222" s="374" t="b">
        <f t="shared" si="81"/>
        <v>1</v>
      </c>
      <c r="AJ222" s="375">
        <f t="shared" si="83"/>
        <v>8.61636963100142E-5</v>
      </c>
      <c r="AL222" s="376">
        <f t="shared" si="74"/>
        <v>75289.197352205971</v>
      </c>
      <c r="AM222" s="377"/>
      <c r="AN222" s="383">
        <f t="shared" si="66"/>
        <v>14.243404987247615</v>
      </c>
      <c r="AO222" s="379">
        <f t="shared" si="65"/>
        <v>5.0869303525884332E-4</v>
      </c>
      <c r="AQ222" s="380">
        <f t="shared" si="75"/>
        <v>2.3361429719065967E-3</v>
      </c>
      <c r="AR222" s="381"/>
    </row>
    <row r="223" spans="1:46">
      <c r="A223" s="361">
        <f t="shared" si="85"/>
        <v>2023</v>
      </c>
      <c r="B223" s="361">
        <f t="shared" si="86"/>
        <v>3</v>
      </c>
      <c r="C223" s="362">
        <f t="shared" si="82"/>
        <v>64.582270600115152</v>
      </c>
      <c r="D223" s="389">
        <f t="shared" si="84"/>
        <v>3.2846156787895278E-2</v>
      </c>
      <c r="E223" s="387">
        <v>115533.20532978118</v>
      </c>
      <c r="F223" s="387">
        <v>17595.89440222854</v>
      </c>
      <c r="G223" s="387">
        <v>79912.50878306228</v>
      </c>
      <c r="H223" s="387">
        <v>382.58114109466896</v>
      </c>
      <c r="I223" s="387">
        <v>28657.461434897119</v>
      </c>
      <c r="J223" s="365">
        <f t="shared" si="76"/>
        <v>242081.6510910638</v>
      </c>
      <c r="K223" s="366">
        <v>31</v>
      </c>
      <c r="L223" s="367">
        <f t="shared" si="77"/>
        <v>3.2846156787895278E-2</v>
      </c>
      <c r="M223" s="387">
        <v>64872.106583084889</v>
      </c>
      <c r="N223" s="387">
        <v>9463.2134539441522</v>
      </c>
      <c r="O223" s="387">
        <v>4134.7701714996456</v>
      </c>
      <c r="P223" s="387">
        <v>690.18182845226443</v>
      </c>
      <c r="Q223" s="387">
        <v>18386.63776108393</v>
      </c>
      <c r="R223" s="387">
        <v>12070.616059024138</v>
      </c>
      <c r="S223" s="364">
        <f>$L223*'MWh Impact Summary'!$L$29</f>
        <v>4328.2722633424837</v>
      </c>
      <c r="T223" s="364">
        <f>$L223*'MWh Impact Summary'!$M$29</f>
        <v>13396.739697031047</v>
      </c>
      <c r="U223" s="387">
        <v>80890.715495640019</v>
      </c>
      <c r="V223" s="387">
        <v>138756.96955227343</v>
      </c>
      <c r="W223" s="387">
        <v>48161.382161677844</v>
      </c>
      <c r="X223" s="368">
        <f t="shared" si="68"/>
        <v>395151.60502705385</v>
      </c>
      <c r="Y223" s="364">
        <f t="shared" si="69"/>
        <v>637233.2561181176</v>
      </c>
      <c r="Z223" s="364"/>
      <c r="AA223" s="390">
        <v>5291129.8776962366</v>
      </c>
      <c r="AB223" s="369">
        <f t="shared" si="78"/>
        <v>120.43424955494942</v>
      </c>
      <c r="AC223" s="370">
        <f t="shared" si="70"/>
        <v>45.752354730794551</v>
      </c>
      <c r="AD223" s="371">
        <f t="shared" si="71"/>
        <v>1.4758824106707921E-3</v>
      </c>
      <c r="AE223" s="370">
        <f t="shared" si="79"/>
        <v>74.681894824154881</v>
      </c>
      <c r="AF223" s="371">
        <f t="shared" si="72"/>
        <v>2.409093381424351E-3</v>
      </c>
      <c r="AG223" s="372">
        <f t="shared" si="80"/>
        <v>3.8849757920951431E-3</v>
      </c>
      <c r="AH223" s="373">
        <f t="shared" si="73"/>
        <v>3.8849757920951427E-3</v>
      </c>
      <c r="AI223" s="374" t="b">
        <f t="shared" si="81"/>
        <v>1</v>
      </c>
      <c r="AJ223" s="375">
        <f t="shared" si="83"/>
        <v>1.4331367000079871E-4</v>
      </c>
      <c r="AL223" s="376">
        <f t="shared" si="74"/>
        <v>138756.96955227343</v>
      </c>
      <c r="AM223" s="377"/>
      <c r="AN223" s="383">
        <f t="shared" si="66"/>
        <v>26.224449741288215</v>
      </c>
      <c r="AO223" s="379">
        <f t="shared" si="65"/>
        <v>8.4594999165445845E-4</v>
      </c>
      <c r="AQ223" s="380">
        <f t="shared" si="75"/>
        <v>3.8849757920951427E-3</v>
      </c>
      <c r="AR223" s="381"/>
    </row>
    <row r="224" spans="1:46">
      <c r="A224" s="361">
        <f t="shared" si="85"/>
        <v>2023</v>
      </c>
      <c r="B224" s="361">
        <f t="shared" si="86"/>
        <v>4</v>
      </c>
      <c r="C224" s="362">
        <f t="shared" si="82"/>
        <v>114.03392869270741</v>
      </c>
      <c r="D224" s="389">
        <f t="shared" si="84"/>
        <v>5.7996974497419709E-2</v>
      </c>
      <c r="E224" s="387">
        <v>203998.79372145672</v>
      </c>
      <c r="F224" s="387">
        <v>31069.346879614986</v>
      </c>
      <c r="G224" s="387">
        <v>141102.77083083589</v>
      </c>
      <c r="H224" s="387">
        <v>675.5295247034303</v>
      </c>
      <c r="I224" s="387">
        <v>50600.929379142079</v>
      </c>
      <c r="J224" s="365">
        <f t="shared" si="76"/>
        <v>427447.37033575308</v>
      </c>
      <c r="K224" s="366">
        <v>30</v>
      </c>
      <c r="L224" s="367">
        <f t="shared" si="77"/>
        <v>5.7996974497419709E-2</v>
      </c>
      <c r="M224" s="387">
        <v>114545.6966362534</v>
      </c>
      <c r="N224" s="387">
        <v>16709.344502498996</v>
      </c>
      <c r="O224" s="387">
        <v>7300.8285790540695</v>
      </c>
      <c r="P224" s="387">
        <v>1218.6648855698115</v>
      </c>
      <c r="Q224" s="387">
        <v>32465.574837536718</v>
      </c>
      <c r="R224" s="387">
        <v>21313.276200439956</v>
      </c>
      <c r="S224" s="364">
        <f>$L224*'MWh Impact Summary'!$L$29</f>
        <v>7642.498259262813</v>
      </c>
      <c r="T224" s="364">
        <f>$L224*'MWh Impact Summary'!$M$29</f>
        <v>23654.833519019645</v>
      </c>
      <c r="U224" s="387">
        <v>142830.00577430066</v>
      </c>
      <c r="V224" s="387">
        <v>245005.35866126558</v>
      </c>
      <c r="W224" s="387">
        <v>85039.308282809259</v>
      </c>
      <c r="X224" s="368">
        <f t="shared" si="68"/>
        <v>697725.39013801084</v>
      </c>
      <c r="Y224" s="364">
        <f t="shared" si="69"/>
        <v>1125172.760473764</v>
      </c>
      <c r="Z224" s="364"/>
      <c r="AA224" s="390">
        <v>5296301.965313198</v>
      </c>
      <c r="AB224" s="369">
        <f t="shared" si="78"/>
        <v>212.4449791274744</v>
      </c>
      <c r="AC224" s="370">
        <f t="shared" si="70"/>
        <v>80.706759760907232</v>
      </c>
      <c r="AD224" s="371">
        <f t="shared" si="71"/>
        <v>2.6902253253635747E-3</v>
      </c>
      <c r="AE224" s="370">
        <f t="shared" si="79"/>
        <v>131.73821936656717</v>
      </c>
      <c r="AF224" s="371">
        <f t="shared" si="72"/>
        <v>4.3912739788855727E-3</v>
      </c>
      <c r="AG224" s="372">
        <f t="shared" si="80"/>
        <v>7.0814993042491474E-3</v>
      </c>
      <c r="AH224" s="373">
        <f t="shared" si="73"/>
        <v>7.0814993042491465E-3</v>
      </c>
      <c r="AI224" s="374" t="b">
        <f t="shared" si="81"/>
        <v>1</v>
      </c>
      <c r="AJ224" s="375">
        <f t="shared" si="83"/>
        <v>2.6123776397102109E-4</v>
      </c>
      <c r="AL224" s="376">
        <f t="shared" si="74"/>
        <v>245005.35866126558</v>
      </c>
      <c r="AM224" s="377"/>
      <c r="AN224" s="383">
        <f t="shared" si="66"/>
        <v>46.259703518769655</v>
      </c>
      <c r="AO224" s="379">
        <f t="shared" si="65"/>
        <v>1.5419901172923219E-3</v>
      </c>
      <c r="AQ224" s="380">
        <f t="shared" si="75"/>
        <v>7.0814993042491465E-3</v>
      </c>
      <c r="AR224" s="381"/>
    </row>
    <row r="225" spans="1:44">
      <c r="A225" s="361">
        <f t="shared" si="85"/>
        <v>2023</v>
      </c>
      <c r="B225" s="361">
        <f t="shared" si="86"/>
        <v>5</v>
      </c>
      <c r="C225" s="362">
        <f t="shared" si="82"/>
        <v>208.47875842628665</v>
      </c>
      <c r="D225" s="389">
        <f t="shared" si="84"/>
        <v>0.10603105035770212</v>
      </c>
      <c r="E225" s="387">
        <v>372954.04730039136</v>
      </c>
      <c r="F225" s="387">
        <v>56801.505804754284</v>
      </c>
      <c r="G225" s="387">
        <v>257966.47375530406</v>
      </c>
      <c r="H225" s="387">
        <v>1235.0145101988155</v>
      </c>
      <c r="I225" s="387">
        <v>92509.475496606174</v>
      </c>
      <c r="J225" s="365">
        <f t="shared" si="76"/>
        <v>781466.51686725474</v>
      </c>
      <c r="K225" s="366">
        <v>31</v>
      </c>
      <c r="L225" s="367">
        <f t="shared" si="77"/>
        <v>0.10603105035770212</v>
      </c>
      <c r="M225" s="387">
        <v>209414.38124219744</v>
      </c>
      <c r="N225" s="387">
        <v>30548.306420147619</v>
      </c>
      <c r="O225" s="387">
        <v>13347.498372575852</v>
      </c>
      <c r="P225" s="387">
        <v>2227.9837693389472</v>
      </c>
      <c r="Q225" s="387">
        <v>59354.113388169128</v>
      </c>
      <c r="R225" s="387">
        <v>38965.292270496022</v>
      </c>
      <c r="S225" s="364">
        <f>$L225*'MWh Impact Summary'!$L$29</f>
        <v>13972.144664591053</v>
      </c>
      <c r="T225" s="364">
        <f>$L225*'MWh Impact Summary'!$M$29</f>
        <v>43246.166990483616</v>
      </c>
      <c r="U225" s="387">
        <v>261124.23391188335</v>
      </c>
      <c r="V225" s="387">
        <v>447922.94334724807</v>
      </c>
      <c r="W225" s="387">
        <v>155470.30266759626</v>
      </c>
      <c r="X225" s="368">
        <f t="shared" si="68"/>
        <v>1275593.3670447273</v>
      </c>
      <c r="Y225" s="364">
        <f t="shared" si="69"/>
        <v>2057059.8839119822</v>
      </c>
      <c r="Z225" s="364"/>
      <c r="AA225" s="390">
        <v>5301485.111214349</v>
      </c>
      <c r="AB225" s="369">
        <f t="shared" si="78"/>
        <v>388.01578062732602</v>
      </c>
      <c r="AC225" s="370">
        <f t="shared" si="70"/>
        <v>147.40520825272174</v>
      </c>
      <c r="AD225" s="371">
        <f t="shared" si="71"/>
        <v>4.7550067178297331E-3</v>
      </c>
      <c r="AE225" s="370">
        <f t="shared" si="79"/>
        <v>240.61057237460432</v>
      </c>
      <c r="AF225" s="371">
        <f t="shared" si="72"/>
        <v>7.7616313669227202E-3</v>
      </c>
      <c r="AG225" s="372">
        <f t="shared" si="80"/>
        <v>1.2516638084752453E-2</v>
      </c>
      <c r="AH225" s="373">
        <f t="shared" si="73"/>
        <v>1.2516638084752453E-2</v>
      </c>
      <c r="AI225" s="374" t="b">
        <f t="shared" si="81"/>
        <v>1</v>
      </c>
      <c r="AJ225" s="375">
        <f t="shared" si="83"/>
        <v>4.6169410495789168E-4</v>
      </c>
      <c r="AL225" s="376">
        <f t="shared" si="74"/>
        <v>447922.94334724807</v>
      </c>
      <c r="AM225" s="377"/>
      <c r="AN225" s="383">
        <f t="shared" si="66"/>
        <v>84.490087956626866</v>
      </c>
      <c r="AO225" s="379">
        <f t="shared" si="65"/>
        <v>2.7254867082782859E-3</v>
      </c>
      <c r="AQ225" s="380">
        <f t="shared" si="75"/>
        <v>1.2516638084752453E-2</v>
      </c>
      <c r="AR225" s="381"/>
    </row>
    <row r="226" spans="1:44">
      <c r="A226" s="361">
        <f t="shared" si="85"/>
        <v>2023</v>
      </c>
      <c r="B226" s="361">
        <f t="shared" si="86"/>
        <v>6</v>
      </c>
      <c r="C226" s="362">
        <f t="shared" si="82"/>
        <v>271.66325293295364</v>
      </c>
      <c r="D226" s="389">
        <f t="shared" si="84"/>
        <v>0.13816630657965029</v>
      </c>
      <c r="E226" s="387">
        <v>485986.72809133539</v>
      </c>
      <c r="F226" s="387">
        <v>74016.566267424336</v>
      </c>
      <c r="G226" s="387">
        <v>336149.40887509176</v>
      </c>
      <c r="H226" s="387">
        <v>1609.3153172659393</v>
      </c>
      <c r="I226" s="387">
        <v>120546.69372666712</v>
      </c>
      <c r="J226" s="365">
        <f t="shared" si="76"/>
        <v>1018308.7122777846</v>
      </c>
      <c r="K226" s="366">
        <v>30</v>
      </c>
      <c r="L226" s="367">
        <f t="shared" si="77"/>
        <v>0.13816630657965029</v>
      </c>
      <c r="M226" s="387">
        <v>272882.43871287321</v>
      </c>
      <c r="N226" s="387">
        <v>39806.704320067307</v>
      </c>
      <c r="O226" s="387">
        <v>17392.778304046456</v>
      </c>
      <c r="P226" s="387">
        <v>2903.2277572510989</v>
      </c>
      <c r="Q226" s="387">
        <v>77342.802881678683</v>
      </c>
      <c r="R226" s="387">
        <v>50774.659872262208</v>
      </c>
      <c r="S226" s="364">
        <f>$L226*'MWh Impact Summary'!$L$29</f>
        <v>18206.738656181595</v>
      </c>
      <c r="T226" s="364">
        <f>$L226*'MWh Impact Summary'!$M$29</f>
        <v>56352.9564843915</v>
      </c>
      <c r="U226" s="387">
        <v>340264.2040829772</v>
      </c>
      <c r="V226" s="387">
        <v>583676.74851652223</v>
      </c>
      <c r="W226" s="387">
        <v>202589.31162084595</v>
      </c>
      <c r="X226" s="368">
        <f t="shared" si="68"/>
        <v>1662192.5712090973</v>
      </c>
      <c r="Y226" s="364">
        <f t="shared" si="69"/>
        <v>2680501.2834868818</v>
      </c>
      <c r="Z226" s="364"/>
      <c r="AA226" s="390">
        <v>5306665.8266493091</v>
      </c>
      <c r="AB226" s="369">
        <f t="shared" si="78"/>
        <v>505.11966855455483</v>
      </c>
      <c r="AC226" s="370">
        <f t="shared" si="70"/>
        <v>191.89237565402843</v>
      </c>
      <c r="AD226" s="371">
        <f t="shared" si="71"/>
        <v>6.3964125218009477E-3</v>
      </c>
      <c r="AE226" s="370">
        <f t="shared" si="79"/>
        <v>313.22729290052644</v>
      </c>
      <c r="AF226" s="371">
        <f t="shared" si="72"/>
        <v>1.0440909763350881E-2</v>
      </c>
      <c r="AG226" s="372">
        <f t="shared" si="80"/>
        <v>1.6837322285151828E-2</v>
      </c>
      <c r="AH226" s="373">
        <f t="shared" si="73"/>
        <v>1.6837322285151828E-2</v>
      </c>
      <c r="AI226" s="374" t="b">
        <f t="shared" si="81"/>
        <v>1</v>
      </c>
      <c r="AJ226" s="375">
        <f t="shared" si="83"/>
        <v>6.2101364996774641E-4</v>
      </c>
      <c r="AL226" s="376">
        <f t="shared" si="74"/>
        <v>583676.74851652223</v>
      </c>
      <c r="AM226" s="377"/>
      <c r="AN226" s="383">
        <f t="shared" si="66"/>
        <v>109.98935444274294</v>
      </c>
      <c r="AO226" s="379">
        <f t="shared" si="65"/>
        <v>3.6663118147580976E-3</v>
      </c>
      <c r="AQ226" s="380">
        <f t="shared" si="75"/>
        <v>1.6837322285151828E-2</v>
      </c>
      <c r="AR226" s="381"/>
    </row>
    <row r="227" spans="1:44">
      <c r="A227" s="361">
        <f t="shared" si="85"/>
        <v>2023</v>
      </c>
      <c r="B227" s="361">
        <f t="shared" si="86"/>
        <v>7</v>
      </c>
      <c r="C227" s="362">
        <f t="shared" si="82"/>
        <v>322.31916585708109</v>
      </c>
      <c r="D227" s="389">
        <f t="shared" si="84"/>
        <v>0.16392960109808263</v>
      </c>
      <c r="E227" s="387">
        <v>576606.64489897236</v>
      </c>
      <c r="F227" s="387">
        <v>87818.126453817677</v>
      </c>
      <c r="G227" s="387">
        <v>398829.78614965844</v>
      </c>
      <c r="H227" s="387">
        <v>1909.3976276217218</v>
      </c>
      <c r="I227" s="387">
        <v>143024.53257598903</v>
      </c>
      <c r="J227" s="365">
        <f t="shared" si="76"/>
        <v>1208188.4877060591</v>
      </c>
      <c r="K227" s="366">
        <v>31</v>
      </c>
      <c r="L227" s="367">
        <f t="shared" si="77"/>
        <v>0.16392960109808263</v>
      </c>
      <c r="M227" s="387">
        <v>323765.68812082458</v>
      </c>
      <c r="N227" s="387">
        <v>47229.294332016681</v>
      </c>
      <c r="O227" s="387">
        <v>20635.937081563829</v>
      </c>
      <c r="P227" s="387">
        <v>3444.5805198439743</v>
      </c>
      <c r="Q227" s="387">
        <v>91764.592526703665</v>
      </c>
      <c r="R227" s="387">
        <v>60242.398778695315</v>
      </c>
      <c r="S227" s="364">
        <f>$L227*'MWh Impact Summary'!$L$29</f>
        <v>21601.673223307236</v>
      </c>
      <c r="T227" s="364">
        <f>$L227*'MWh Impact Summary'!$M$29</f>
        <v>66860.85707775956</v>
      </c>
      <c r="U227" s="387">
        <v>403711.85004589573</v>
      </c>
      <c r="V227" s="387">
        <v>692512.51570063911</v>
      </c>
      <c r="W227" s="387">
        <v>240365.29500479388</v>
      </c>
      <c r="X227" s="368">
        <f t="shared" si="68"/>
        <v>1972134.6824120437</v>
      </c>
      <c r="Y227" s="364">
        <f t="shared" si="69"/>
        <v>3180323.1701181028</v>
      </c>
      <c r="Z227" s="364"/>
      <c r="AA227" s="390">
        <v>5311951.1835386856</v>
      </c>
      <c r="AB227" s="369">
        <f t="shared" si="78"/>
        <v>598.71091812245413</v>
      </c>
      <c r="AC227" s="370">
        <f t="shared" si="70"/>
        <v>227.44721213744194</v>
      </c>
      <c r="AD227" s="371">
        <f t="shared" si="71"/>
        <v>7.3370068431432879E-3</v>
      </c>
      <c r="AE227" s="370">
        <f t="shared" si="79"/>
        <v>371.26370598501211</v>
      </c>
      <c r="AF227" s="371">
        <f t="shared" si="72"/>
        <v>1.1976248580161681E-2</v>
      </c>
      <c r="AG227" s="372">
        <f t="shared" si="80"/>
        <v>1.9313255423304969E-2</v>
      </c>
      <c r="AH227" s="373">
        <f t="shared" si="73"/>
        <v>1.9313255423304972E-2</v>
      </c>
      <c r="AI227" s="374" t="b">
        <f t="shared" si="81"/>
        <v>1</v>
      </c>
      <c r="AJ227" s="375">
        <f t="shared" si="83"/>
        <v>7.1245191519382634E-4</v>
      </c>
      <c r="AL227" s="376">
        <f t="shared" si="74"/>
        <v>692512.51570063911</v>
      </c>
      <c r="AM227" s="377"/>
      <c r="AN227" s="383">
        <f t="shared" si="66"/>
        <v>130.36876503057491</v>
      </c>
      <c r="AO227" s="379">
        <f t="shared" si="65"/>
        <v>4.2054440332443517E-3</v>
      </c>
      <c r="AQ227" s="380">
        <f t="shared" si="75"/>
        <v>1.9313255423304972E-2</v>
      </c>
      <c r="AR227" s="381"/>
    </row>
    <row r="228" spans="1:44">
      <c r="A228" s="361">
        <f t="shared" si="85"/>
        <v>2023</v>
      </c>
      <c r="B228" s="361">
        <f t="shared" si="86"/>
        <v>8</v>
      </c>
      <c r="C228" s="362">
        <f t="shared" si="82"/>
        <v>326.45437890907908</v>
      </c>
      <c r="D228" s="389">
        <f t="shared" si="84"/>
        <v>0.16603274573816959</v>
      </c>
      <c r="E228" s="387">
        <v>584004.25440045726</v>
      </c>
      <c r="F228" s="387">
        <v>88944.794369292678</v>
      </c>
      <c r="G228" s="387">
        <v>403946.59678928053</v>
      </c>
      <c r="H228" s="387">
        <v>1933.894358898001</v>
      </c>
      <c r="I228" s="387">
        <v>144859.47438682258</v>
      </c>
      <c r="J228" s="365">
        <f t="shared" si="76"/>
        <v>1223689.0143047513</v>
      </c>
      <c r="K228" s="366">
        <v>31</v>
      </c>
      <c r="L228" s="367">
        <f t="shared" si="77"/>
        <v>0.16603274573816959</v>
      </c>
      <c r="M228" s="387">
        <v>327919.45941688208</v>
      </c>
      <c r="N228" s="387">
        <v>47835.225393668195</v>
      </c>
      <c r="O228" s="387">
        <v>20900.687072874396</v>
      </c>
      <c r="P228" s="387">
        <v>3488.7729720254647</v>
      </c>
      <c r="Q228" s="387">
        <v>92941.891865136306</v>
      </c>
      <c r="R228" s="387">
        <v>61015.282243601614</v>
      </c>
      <c r="S228" s="364">
        <f>$L228*'MWh Impact Summary'!$L$29</f>
        <v>21878.813184316023</v>
      </c>
      <c r="T228" s="364">
        <f>$L228*'MWh Impact Summary'!$M$29</f>
        <v>67718.652449997273</v>
      </c>
      <c r="U228" s="387">
        <v>408891.295416812</v>
      </c>
      <c r="V228" s="387">
        <v>701397.1465167508</v>
      </c>
      <c r="W228" s="387">
        <v>243449.07595994783</v>
      </c>
      <c r="X228" s="368">
        <f t="shared" si="68"/>
        <v>1997436.302492012</v>
      </c>
      <c r="Y228" s="364">
        <f t="shared" si="69"/>
        <v>3221125.3167967633</v>
      </c>
      <c r="Z228" s="364"/>
      <c r="AA228" s="390">
        <v>5317288.920798488</v>
      </c>
      <c r="AB228" s="369">
        <f t="shared" si="78"/>
        <v>605.78339164482577</v>
      </c>
      <c r="AC228" s="370">
        <f t="shared" si="70"/>
        <v>230.13400861448622</v>
      </c>
      <c r="AD228" s="371">
        <f t="shared" si="71"/>
        <v>7.4236776972414912E-3</v>
      </c>
      <c r="AE228" s="370">
        <f t="shared" si="79"/>
        <v>375.64938303033955</v>
      </c>
      <c r="AF228" s="371">
        <f t="shared" si="72"/>
        <v>1.211772203323676E-2</v>
      </c>
      <c r="AG228" s="372">
        <f t="shared" si="80"/>
        <v>1.9541399730478252E-2</v>
      </c>
      <c r="AH228" s="373">
        <f t="shared" si="73"/>
        <v>1.9541399730478252E-2</v>
      </c>
      <c r="AI228" s="374" t="b">
        <f t="shared" si="81"/>
        <v>1</v>
      </c>
      <c r="AJ228" s="375">
        <f t="shared" si="83"/>
        <v>7.2108294800087361E-4</v>
      </c>
      <c r="AL228" s="376">
        <f t="shared" si="74"/>
        <v>701397.1465167508</v>
      </c>
      <c r="AM228" s="377"/>
      <c r="AN228" s="383">
        <f t="shared" si="66"/>
        <v>131.90878979196475</v>
      </c>
      <c r="AO228" s="379">
        <f t="shared" si="65"/>
        <v>4.2551222513537018E-3</v>
      </c>
      <c r="AQ228" s="380">
        <f t="shared" si="75"/>
        <v>1.9541399730478252E-2</v>
      </c>
      <c r="AR228" s="381"/>
    </row>
    <row r="229" spans="1:44">
      <c r="A229" s="361">
        <f t="shared" si="85"/>
        <v>2023</v>
      </c>
      <c r="B229" s="361">
        <f t="shared" si="86"/>
        <v>9</v>
      </c>
      <c r="C229" s="362">
        <f t="shared" si="82"/>
        <v>277.87653293728147</v>
      </c>
      <c r="D229" s="389">
        <f t="shared" si="84"/>
        <v>0.14132634365008559</v>
      </c>
      <c r="E229" s="387">
        <v>497101.85532116302</v>
      </c>
      <c r="F229" s="387">
        <v>75709.418157451204</v>
      </c>
      <c r="G229" s="387">
        <v>343837.56830807071</v>
      </c>
      <c r="H229" s="387">
        <v>1646.1223810608162</v>
      </c>
      <c r="I229" s="387">
        <v>123303.74810790354</v>
      </c>
      <c r="J229" s="365">
        <f t="shared" si="76"/>
        <v>1041598.7122756493</v>
      </c>
      <c r="K229" s="366">
        <v>30</v>
      </c>
      <c r="L229" s="367">
        <f t="shared" si="77"/>
        <v>0.14132634365008559</v>
      </c>
      <c r="M229" s="387">
        <v>279123.6030281859</v>
      </c>
      <c r="N229" s="387">
        <v>40717.13367449717</v>
      </c>
      <c r="O229" s="387">
        <v>17790.573002039378</v>
      </c>
      <c r="P229" s="387">
        <v>2969.6282246584069</v>
      </c>
      <c r="Q229" s="387">
        <v>79111.729983284167</v>
      </c>
      <c r="R229" s="387">
        <v>51935.940154026095</v>
      </c>
      <c r="S229" s="364">
        <f>$L229*'MWh Impact Summary'!$L$29</f>
        <v>18623.149650363408</v>
      </c>
      <c r="T229" s="364">
        <f>$L229*'MWh Impact Summary'!$M$29</f>
        <v>57641.819420136591</v>
      </c>
      <c r="U229" s="387">
        <v>348046.47405358334</v>
      </c>
      <c r="V229" s="387">
        <v>597026.1692843131</v>
      </c>
      <c r="W229" s="387">
        <v>207222.78377946364</v>
      </c>
      <c r="X229" s="368">
        <f t="shared" si="68"/>
        <v>1700209.0042545514</v>
      </c>
      <c r="Y229" s="364">
        <f t="shared" si="69"/>
        <v>2741807.7165302006</v>
      </c>
      <c r="Z229" s="364"/>
      <c r="AA229" s="390">
        <v>5322436.1862808531</v>
      </c>
      <c r="AB229" s="369">
        <f t="shared" si="78"/>
        <v>515.14149170966152</v>
      </c>
      <c r="AC229" s="370">
        <f t="shared" si="70"/>
        <v>195.69961495461064</v>
      </c>
      <c r="AD229" s="371">
        <f t="shared" si="71"/>
        <v>6.5233204984870216E-3</v>
      </c>
      <c r="AE229" s="370">
        <f t="shared" si="79"/>
        <v>319.44187675505088</v>
      </c>
      <c r="AF229" s="371">
        <f t="shared" si="72"/>
        <v>1.0648062558501696E-2</v>
      </c>
      <c r="AG229" s="372">
        <f t="shared" si="80"/>
        <v>1.7171383056988718E-2</v>
      </c>
      <c r="AH229" s="373">
        <f t="shared" si="73"/>
        <v>1.7171383056988718E-2</v>
      </c>
      <c r="AI229" s="374" t="b">
        <f t="shared" si="81"/>
        <v>1</v>
      </c>
      <c r="AJ229" s="375">
        <f t="shared" si="83"/>
        <v>6.3351640689736019E-4</v>
      </c>
      <c r="AL229" s="376">
        <f t="shared" si="74"/>
        <v>597026.1692843131</v>
      </c>
      <c r="AM229" s="377"/>
      <c r="AN229" s="383">
        <f t="shared" si="66"/>
        <v>112.17159743938531</v>
      </c>
      <c r="AO229" s="379">
        <f t="shared" si="65"/>
        <v>3.7390532479795106E-3</v>
      </c>
      <c r="AQ229" s="380">
        <f t="shared" si="75"/>
        <v>1.7171383056988718E-2</v>
      </c>
      <c r="AR229" s="381"/>
    </row>
    <row r="230" spans="1:44">
      <c r="A230" s="361">
        <f t="shared" si="85"/>
        <v>2023</v>
      </c>
      <c r="B230" s="361">
        <f t="shared" si="86"/>
        <v>10</v>
      </c>
      <c r="C230" s="362">
        <f t="shared" si="82"/>
        <v>198.89039579254836</v>
      </c>
      <c r="D230" s="389">
        <f t="shared" si="84"/>
        <v>0.10115446643644242</v>
      </c>
      <c r="E230" s="387">
        <v>355801.13120366138</v>
      </c>
      <c r="F230" s="387">
        <v>54189.088885593934</v>
      </c>
      <c r="G230" s="387">
        <v>246102.07031975142</v>
      </c>
      <c r="H230" s="387">
        <v>1178.2136779648597</v>
      </c>
      <c r="I230" s="387">
        <v>88254.77633773713</v>
      </c>
      <c r="J230" s="365">
        <f t="shared" si="76"/>
        <v>745525.28042470873</v>
      </c>
      <c r="K230" s="366">
        <v>31</v>
      </c>
      <c r="L230" s="367">
        <f t="shared" si="77"/>
        <v>0.10115446643644242</v>
      </c>
      <c r="M230" s="387">
        <v>199782.98740990891</v>
      </c>
      <c r="N230" s="387">
        <v>29143.327601135243</v>
      </c>
      <c r="O230" s="387">
        <v>12733.619742371231</v>
      </c>
      <c r="P230" s="387">
        <v>2125.5142588537419</v>
      </c>
      <c r="Q230" s="387">
        <v>56624.296848269645</v>
      </c>
      <c r="R230" s="387">
        <v>37173.199132377988</v>
      </c>
      <c r="S230" s="364">
        <f>$L230*'MWh Impact Summary'!$L$29</f>
        <v>13329.537279424187</v>
      </c>
      <c r="T230" s="364">
        <f>$L230*'MWh Impact Summary'!$M$29</f>
        <v>41257.187706675315</v>
      </c>
      <c r="U230" s="387">
        <v>249114.59865645511</v>
      </c>
      <c r="V230" s="387">
        <v>427322.05505913316</v>
      </c>
      <c r="W230" s="387">
        <v>148319.90685745887</v>
      </c>
      <c r="X230" s="368">
        <f t="shared" si="68"/>
        <v>1216926.2305520633</v>
      </c>
      <c r="Y230" s="364">
        <f t="shared" si="69"/>
        <v>1962451.5109767721</v>
      </c>
      <c r="Z230" s="364"/>
      <c r="AA230" s="390">
        <v>5327648.4322968516</v>
      </c>
      <c r="AB230" s="369">
        <f t="shared" si="78"/>
        <v>368.35229199437276</v>
      </c>
      <c r="AC230" s="370">
        <f t="shared" si="70"/>
        <v>139.93514960657762</v>
      </c>
      <c r="AD230" s="371">
        <f t="shared" si="71"/>
        <v>4.5140370840831496E-3</v>
      </c>
      <c r="AE230" s="370">
        <f t="shared" si="79"/>
        <v>228.41714238779508</v>
      </c>
      <c r="AF230" s="371">
        <f t="shared" si="72"/>
        <v>7.3682949157353253E-3</v>
      </c>
      <c r="AG230" s="372">
        <f t="shared" si="80"/>
        <v>1.1882331999818474E-2</v>
      </c>
      <c r="AH230" s="373">
        <f t="shared" si="73"/>
        <v>1.1882331999818476E-2</v>
      </c>
      <c r="AI230" s="374" t="b">
        <f t="shared" si="81"/>
        <v>1</v>
      </c>
      <c r="AJ230" s="375">
        <f t="shared" si="83"/>
        <v>4.3837232756990287E-4</v>
      </c>
      <c r="AL230" s="376">
        <f t="shared" si="74"/>
        <v>427322.05505913316</v>
      </c>
      <c r="AM230" s="377"/>
      <c r="AN230" s="383">
        <f t="shared" si="66"/>
        <v>80.208380956343703</v>
      </c>
      <c r="AO230" s="379">
        <f t="shared" si="65"/>
        <v>2.5873671276239905E-3</v>
      </c>
      <c r="AQ230" s="380">
        <f t="shared" si="75"/>
        <v>1.1882331999818476E-2</v>
      </c>
      <c r="AR230" s="381"/>
    </row>
    <row r="231" spans="1:44">
      <c r="A231" s="361">
        <f t="shared" si="85"/>
        <v>2023</v>
      </c>
      <c r="B231" s="361">
        <f t="shared" si="86"/>
        <v>11</v>
      </c>
      <c r="C231" s="362">
        <f t="shared" si="82"/>
        <v>78.117279066674627</v>
      </c>
      <c r="D231" s="389">
        <f t="shared" si="84"/>
        <v>3.9729981188725644E-2</v>
      </c>
      <c r="E231" s="387">
        <v>139746.39724416632</v>
      </c>
      <c r="F231" s="387">
        <v>21283.602770141279</v>
      </c>
      <c r="G231" s="387">
        <v>96660.3944320507</v>
      </c>
      <c r="H231" s="387">
        <v>462.76164474907426</v>
      </c>
      <c r="I231" s="387">
        <v>34663.428390644607</v>
      </c>
      <c r="J231" s="365">
        <f t="shared" si="76"/>
        <v>292816.58448175201</v>
      </c>
      <c r="K231" s="366">
        <v>30</v>
      </c>
      <c r="L231" s="367">
        <f t="shared" si="77"/>
        <v>3.9729981188725644E-2</v>
      </c>
      <c r="M231" s="387">
        <v>78467.858229575257</v>
      </c>
      <c r="N231" s="387">
        <v>11446.492657815395</v>
      </c>
      <c r="O231" s="387">
        <v>5001.3260971196632</v>
      </c>
      <c r="P231" s="387">
        <v>834.82859922638204</v>
      </c>
      <c r="Q231" s="387">
        <v>22240.068361391583</v>
      </c>
      <c r="R231" s="387">
        <v>14600.348894945659</v>
      </c>
      <c r="S231" s="364">
        <f>$L231*'MWh Impact Summary'!$L$29</f>
        <v>5235.3819264984049</v>
      </c>
      <c r="T231" s="364">
        <f>$L231*'MWh Impact Summary'!$M$29</f>
        <v>16204.398572116886</v>
      </c>
      <c r="U231" s="387">
        <v>97843.611529270464</v>
      </c>
      <c r="V231" s="387">
        <v>167837.34625988343</v>
      </c>
      <c r="W231" s="387">
        <v>58254.937393821587</v>
      </c>
      <c r="X231" s="368">
        <f t="shared" si="68"/>
        <v>477966.59852166474</v>
      </c>
      <c r="Y231" s="364">
        <f t="shared" si="69"/>
        <v>770783.18300341675</v>
      </c>
      <c r="Z231" s="364"/>
      <c r="AA231" s="390">
        <v>5332876.5569538418</v>
      </c>
      <c r="AB231" s="369">
        <f t="shared" si="78"/>
        <v>144.53422552943752</v>
      </c>
      <c r="AC231" s="370">
        <f t="shared" si="70"/>
        <v>54.907812201265337</v>
      </c>
      <c r="AD231" s="371">
        <f t="shared" si="71"/>
        <v>1.8302604067088446E-3</v>
      </c>
      <c r="AE231" s="370">
        <f t="shared" si="79"/>
        <v>89.626413328172177</v>
      </c>
      <c r="AF231" s="371">
        <f t="shared" si="72"/>
        <v>2.9875471109390727E-3</v>
      </c>
      <c r="AG231" s="372">
        <f t="shared" si="80"/>
        <v>4.8178075176479171E-3</v>
      </c>
      <c r="AH231" s="373">
        <f t="shared" si="73"/>
        <v>4.8178075176479179E-3</v>
      </c>
      <c r="AI231" s="374" t="b">
        <f t="shared" si="81"/>
        <v>1</v>
      </c>
      <c r="AJ231" s="375">
        <f t="shared" si="83"/>
        <v>1.7774372203592254E-4</v>
      </c>
      <c r="AL231" s="376">
        <f t="shared" si="74"/>
        <v>167837.34625988343</v>
      </c>
      <c r="AM231" s="377"/>
      <c r="AN231" s="383">
        <f t="shared" si="66"/>
        <v>31.472197878090906</v>
      </c>
      <c r="AO231" s="379">
        <f t="shared" si="65"/>
        <v>1.0490732626030302E-3</v>
      </c>
      <c r="AQ231" s="380">
        <f t="shared" si="75"/>
        <v>4.8178075176479179E-3</v>
      </c>
      <c r="AR231" s="381"/>
    </row>
    <row r="232" spans="1:44">
      <c r="A232" s="361">
        <f t="shared" si="85"/>
        <v>2023</v>
      </c>
      <c r="B232" s="361">
        <f t="shared" si="86"/>
        <v>12</v>
      </c>
      <c r="C232" s="362">
        <f t="shared" si="82"/>
        <v>42.633806123140985</v>
      </c>
      <c r="D232" s="389">
        <f t="shared" si="84"/>
        <v>2.1683298951445065E-2</v>
      </c>
      <c r="E232" s="387">
        <v>76268.923824523226</v>
      </c>
      <c r="F232" s="387">
        <v>11615.880698170056</v>
      </c>
      <c r="G232" s="387">
        <v>52754.020176317608</v>
      </c>
      <c r="H232" s="387">
        <v>252.55987509010063</v>
      </c>
      <c r="I232" s="387">
        <v>18918.143376560296</v>
      </c>
      <c r="J232" s="365">
        <f t="shared" si="76"/>
        <v>159809.52795066132</v>
      </c>
      <c r="K232" s="366">
        <v>31</v>
      </c>
      <c r="L232" s="367">
        <f t="shared" si="77"/>
        <v>2.1683298951445065E-2</v>
      </c>
      <c r="M232" s="387">
        <v>42825.140540321103</v>
      </c>
      <c r="N232" s="387">
        <v>6247.1140136196291</v>
      </c>
      <c r="O232" s="387">
        <v>2729.5570164599935</v>
      </c>
      <c r="P232" s="387">
        <v>455.62161241039303</v>
      </c>
      <c r="Q232" s="387">
        <v>12137.887724887107</v>
      </c>
      <c r="R232" s="387">
        <v>7968.3835836888265</v>
      </c>
      <c r="S232" s="364">
        <f>$L232*'MWh Impact Summary'!$L$29</f>
        <v>2857.2968836308305</v>
      </c>
      <c r="T232" s="364">
        <f>$L232*'MWh Impact Summary'!$M$29</f>
        <v>8843.8204110524057</v>
      </c>
      <c r="U232" s="387">
        <v>53399.780614048635</v>
      </c>
      <c r="V232" s="387">
        <v>91600.027115114368</v>
      </c>
      <c r="W232" s="387">
        <v>31793.602340451194</v>
      </c>
      <c r="X232" s="368">
        <f t="shared" si="68"/>
        <v>260858.23185568448</v>
      </c>
      <c r="Y232" s="364">
        <f t="shared" si="69"/>
        <v>420667.7598063458</v>
      </c>
      <c r="Z232" s="364">
        <f>SUM(Y221:Y232)</f>
        <v>19400542.359736763</v>
      </c>
      <c r="AA232" s="390">
        <v>5338112.0890329443</v>
      </c>
      <c r="AB232" s="369">
        <f t="shared" si="78"/>
        <v>78.804594731272161</v>
      </c>
      <c r="AC232" s="370">
        <f t="shared" si="70"/>
        <v>29.937462025008262</v>
      </c>
      <c r="AD232" s="371">
        <f t="shared" si="71"/>
        <v>9.6572458145187943E-4</v>
      </c>
      <c r="AE232" s="370">
        <f t="shared" si="79"/>
        <v>48.867132706263895</v>
      </c>
      <c r="AF232" s="371">
        <f t="shared" si="72"/>
        <v>1.5763591195568998E-3</v>
      </c>
      <c r="AG232" s="372">
        <f t="shared" si="80"/>
        <v>2.5420837010087793E-3</v>
      </c>
      <c r="AH232" s="373">
        <f t="shared" si="73"/>
        <v>2.5420837010087793E-3</v>
      </c>
      <c r="AI232" s="374" t="b">
        <f t="shared" si="81"/>
        <v>1</v>
      </c>
      <c r="AJ232" s="375">
        <f t="shared" si="83"/>
        <v>9.3788880953610439E-5</v>
      </c>
      <c r="AL232" s="376">
        <f t="shared" si="74"/>
        <v>91600.027115114368</v>
      </c>
      <c r="AM232" s="377">
        <f>SUM(AL221:AL232)</f>
        <v>4224450.6853054175</v>
      </c>
      <c r="AN232" s="383">
        <f t="shared" si="66"/>
        <v>17.159629769353284</v>
      </c>
      <c r="AO232" s="379">
        <f t="shared" si="65"/>
        <v>5.5353644417268657E-4</v>
      </c>
      <c r="AQ232" s="380">
        <f t="shared" si="75"/>
        <v>2.5420837010087793E-3</v>
      </c>
      <c r="AR232" s="381"/>
    </row>
    <row r="233" spans="1:44">
      <c r="A233" s="361">
        <f t="shared" si="85"/>
        <v>2024</v>
      </c>
      <c r="B233" s="361">
        <f t="shared" si="86"/>
        <v>1</v>
      </c>
      <c r="C233" s="362">
        <f t="shared" si="82"/>
        <v>26.112829868525239</v>
      </c>
      <c r="D233" s="389">
        <f t="shared" si="84"/>
        <v>1.3280829182176284E-2</v>
      </c>
      <c r="E233" s="387">
        <v>45678.362760088756</v>
      </c>
      <c r="F233" s="387">
        <v>7880.1602204984219</v>
      </c>
      <c r="G233" s="387">
        <v>32966.356367204404</v>
      </c>
      <c r="H233" s="387">
        <v>165.77538377994071</v>
      </c>
      <c r="I233" s="387">
        <v>11728.936603951188</v>
      </c>
      <c r="J233" s="365">
        <f t="shared" si="76"/>
        <v>98419.591335522709</v>
      </c>
      <c r="K233" s="366">
        <v>31</v>
      </c>
      <c r="L233" s="367">
        <f t="shared" si="77"/>
        <v>1.3280829182176284E-2</v>
      </c>
      <c r="M233" s="387">
        <v>27896.810825323955</v>
      </c>
      <c r="N233" s="387">
        <v>4601.8934961340328</v>
      </c>
      <c r="O233" s="387">
        <v>1764.9714544679762</v>
      </c>
      <c r="P233" s="387">
        <v>293.54384863388105</v>
      </c>
      <c r="Q233" s="387">
        <v>7658.341458141701</v>
      </c>
      <c r="R233" s="387">
        <v>5421.6414254566262</v>
      </c>
      <c r="S233" s="364">
        <f>$L233*'MWh Impact Summary'!$L$30</f>
        <v>1947.3764297384682</v>
      </c>
      <c r="T233" s="364">
        <f>$L233*'MWh Impact Summary'!$M$30</f>
        <v>6018.1453181448578</v>
      </c>
      <c r="U233" s="387">
        <v>38255.90070859393</v>
      </c>
      <c r="V233" s="387">
        <v>56437.716136400304</v>
      </c>
      <c r="W233" s="387">
        <v>19473.300751656716</v>
      </c>
      <c r="X233" s="368">
        <f t="shared" si="68"/>
        <v>169769.64185269247</v>
      </c>
      <c r="Y233" s="364">
        <f t="shared" si="69"/>
        <v>268189.23318821518</v>
      </c>
      <c r="Z233" s="364"/>
      <c r="AA233" s="390">
        <v>5343385.5298156925</v>
      </c>
      <c r="AB233" s="369">
        <f t="shared" si="78"/>
        <v>50.190882108681706</v>
      </c>
      <c r="AC233" s="370">
        <f t="shared" si="70"/>
        <v>18.418957566574363</v>
      </c>
      <c r="AD233" s="371">
        <f t="shared" si="71"/>
        <v>5.9415992150239883E-4</v>
      </c>
      <c r="AE233" s="370">
        <f t="shared" si="79"/>
        <v>31.771924542107346</v>
      </c>
      <c r="AF233" s="371">
        <f t="shared" si="72"/>
        <v>1.0249007916808821E-3</v>
      </c>
      <c r="AG233" s="372">
        <f t="shared" si="80"/>
        <v>1.619060713183281E-3</v>
      </c>
      <c r="AH233" s="373">
        <f t="shared" si="73"/>
        <v>1.6190607131832807E-3</v>
      </c>
      <c r="AI233" s="374" t="b">
        <f t="shared" si="81"/>
        <v>1</v>
      </c>
      <c r="AJ233" s="375">
        <f t="shared" si="83"/>
        <v>4.5134241241600757E-5</v>
      </c>
      <c r="AL233" s="376">
        <f t="shared" si="74"/>
        <v>56437.716136400304</v>
      </c>
      <c r="AM233" s="384"/>
      <c r="AN233" s="383">
        <f t="shared" si="66"/>
        <v>10.562164347206853</v>
      </c>
      <c r="AO233" s="379">
        <f t="shared" ref="AO233:AO268" si="87">+AN233/K233/1000</f>
        <v>3.407149789421565E-4</v>
      </c>
      <c r="AQ233" s="380">
        <f t="shared" si="75"/>
        <v>1.6190607131832807E-3</v>
      </c>
      <c r="AR233" s="381"/>
    </row>
    <row r="234" spans="1:44">
      <c r="A234" s="361">
        <f t="shared" si="85"/>
        <v>2024</v>
      </c>
      <c r="B234" s="361">
        <f t="shared" si="86"/>
        <v>2</v>
      </c>
      <c r="C234" s="362">
        <f t="shared" si="82"/>
        <v>35.042184420393127</v>
      </c>
      <c r="D234" s="389">
        <f t="shared" si="84"/>
        <v>1.7822245532205266E-2</v>
      </c>
      <c r="E234" s="387">
        <v>61298.205515059635</v>
      </c>
      <c r="F234" s="387">
        <v>10574.802849758957</v>
      </c>
      <c r="G234" s="387">
        <v>44239.293301581194</v>
      </c>
      <c r="H234" s="387">
        <v>222.46273575197958</v>
      </c>
      <c r="I234" s="387">
        <v>15739.678985392527</v>
      </c>
      <c r="J234" s="365">
        <f t="shared" si="76"/>
        <v>132074.44338754428</v>
      </c>
      <c r="K234" s="366">
        <v>29</v>
      </c>
      <c r="L234" s="367">
        <f t="shared" si="77"/>
        <v>1.7822245532205266E-2</v>
      </c>
      <c r="M234" s="387">
        <v>37436.202610124492</v>
      </c>
      <c r="N234" s="387">
        <v>6175.5237324511345</v>
      </c>
      <c r="O234" s="387">
        <v>2368.5083353889786</v>
      </c>
      <c r="P234" s="387">
        <v>393.92198130540521</v>
      </c>
      <c r="Q234" s="387">
        <v>10277.132546787439</v>
      </c>
      <c r="R234" s="387">
        <v>7275.5867383447221</v>
      </c>
      <c r="S234" s="364">
        <f>$L234*'MWh Impact Summary'!$L$30</f>
        <v>2613.2871975348307</v>
      </c>
      <c r="T234" s="364">
        <f>$L234*'MWh Impact Summary'!$M$30</f>
        <v>8076.0667904994043</v>
      </c>
      <c r="U234" s="387">
        <v>51337.611991821526</v>
      </c>
      <c r="V234" s="387">
        <v>75736.749600675525</v>
      </c>
      <c r="W234" s="387">
        <v>26132.249918873826</v>
      </c>
      <c r="X234" s="368">
        <f t="shared" si="68"/>
        <v>227822.84144380729</v>
      </c>
      <c r="Y234" s="364">
        <f t="shared" si="69"/>
        <v>359897.2848313516</v>
      </c>
      <c r="Z234" s="364"/>
      <c r="AA234" s="390">
        <v>5348619.574030689</v>
      </c>
      <c r="AB234" s="369">
        <f t="shared" si="78"/>
        <v>67.287882387218474</v>
      </c>
      <c r="AC234" s="370">
        <f t="shared" si="70"/>
        <v>24.693183270840429</v>
      </c>
      <c r="AD234" s="371">
        <f t="shared" si="71"/>
        <v>8.514890783048423E-4</v>
      </c>
      <c r="AE234" s="370">
        <f t="shared" si="79"/>
        <v>42.594699116378045</v>
      </c>
      <c r="AF234" s="371">
        <f t="shared" si="72"/>
        <v>1.4687827281509671E-3</v>
      </c>
      <c r="AG234" s="372">
        <f t="shared" si="80"/>
        <v>2.3202718064558093E-3</v>
      </c>
      <c r="AH234" s="373">
        <f t="shared" si="73"/>
        <v>2.3202718064558097E-3</v>
      </c>
      <c r="AI234" s="374" t="b">
        <f t="shared" si="81"/>
        <v>1</v>
      </c>
      <c r="AJ234" s="375">
        <f t="shared" si="83"/>
        <v>-1.5871165450786952E-5</v>
      </c>
      <c r="AL234" s="376">
        <f t="shared" si="74"/>
        <v>75736.749600675525</v>
      </c>
      <c r="AM234" s="384"/>
      <c r="AN234" s="383">
        <f t="shared" si="66"/>
        <v>14.160055422225653</v>
      </c>
      <c r="AO234" s="379">
        <f t="shared" si="87"/>
        <v>4.8827777318019496E-4</v>
      </c>
      <c r="AQ234" s="380">
        <f t="shared" si="75"/>
        <v>2.3202718064558097E-3</v>
      </c>
      <c r="AR234" s="381"/>
    </row>
    <row r="235" spans="1:44">
      <c r="A235" s="361">
        <f t="shared" si="85"/>
        <v>2024</v>
      </c>
      <c r="B235" s="361">
        <f t="shared" si="86"/>
        <v>3</v>
      </c>
      <c r="C235" s="362">
        <f t="shared" si="82"/>
        <v>64.582270600115152</v>
      </c>
      <c r="D235" s="389">
        <f t="shared" si="84"/>
        <v>3.2846156787895278E-2</v>
      </c>
      <c r="E235" s="387">
        <v>112971.76136003683</v>
      </c>
      <c r="F235" s="387">
        <v>19489.218223181193</v>
      </c>
      <c r="G235" s="387">
        <v>81532.417525257857</v>
      </c>
      <c r="H235" s="387">
        <v>409.99580466836312</v>
      </c>
      <c r="I235" s="387">
        <v>29008.014888535374</v>
      </c>
      <c r="J235" s="365">
        <f t="shared" si="76"/>
        <v>243411.40780167963</v>
      </c>
      <c r="K235" s="366">
        <v>31</v>
      </c>
      <c r="L235" s="367">
        <f t="shared" si="77"/>
        <v>3.2846156787895278E-2</v>
      </c>
      <c r="M235" s="387">
        <v>68994.41365307082</v>
      </c>
      <c r="N235" s="387">
        <v>11381.406478600969</v>
      </c>
      <c r="O235" s="387">
        <v>4365.1287373997347</v>
      </c>
      <c r="P235" s="387">
        <v>725.99286867498813</v>
      </c>
      <c r="Q235" s="387">
        <v>18940.615892187892</v>
      </c>
      <c r="R235" s="387">
        <v>13408.807678009382</v>
      </c>
      <c r="S235" s="364">
        <f>$L235*'MWh Impact Summary'!$L$30</f>
        <v>4816.252860332319</v>
      </c>
      <c r="T235" s="364">
        <f>$L235*'MWh Impact Summary'!$M$30</f>
        <v>14884.081557001997</v>
      </c>
      <c r="U235" s="387">
        <v>94614.522594945563</v>
      </c>
      <c r="V235" s="387">
        <v>139581.80227593004</v>
      </c>
      <c r="W235" s="387">
        <v>48161.382161677844</v>
      </c>
      <c r="X235" s="368">
        <f t="shared" si="68"/>
        <v>419874.40675783157</v>
      </c>
      <c r="Y235" s="364">
        <f t="shared" si="69"/>
        <v>663285.81455951114</v>
      </c>
      <c r="Z235" s="364"/>
      <c r="AA235" s="390">
        <v>5353889.4374803631</v>
      </c>
      <c r="AB235" s="369">
        <f t="shared" si="78"/>
        <v>123.88859021184147</v>
      </c>
      <c r="AC235" s="370">
        <f t="shared" si="70"/>
        <v>45.464406884770007</v>
      </c>
      <c r="AD235" s="371">
        <f t="shared" si="71"/>
        <v>1.4665937704764517E-3</v>
      </c>
      <c r="AE235" s="370">
        <f t="shared" si="79"/>
        <v>78.424183327071475</v>
      </c>
      <c r="AF235" s="371">
        <f t="shared" si="72"/>
        <v>2.5298123653894025E-3</v>
      </c>
      <c r="AG235" s="372">
        <f t="shared" si="80"/>
        <v>3.9964061358658542E-3</v>
      </c>
      <c r="AH235" s="373">
        <f t="shared" si="73"/>
        <v>3.9964061358658542E-3</v>
      </c>
      <c r="AI235" s="374" t="b">
        <f t="shared" si="81"/>
        <v>1</v>
      </c>
      <c r="AJ235" s="375">
        <f t="shared" si="83"/>
        <v>1.1143034377071159E-4</v>
      </c>
      <c r="AL235" s="376">
        <f t="shared" si="74"/>
        <v>139581.80227593004</v>
      </c>
      <c r="AM235" s="384"/>
      <c r="AN235" s="383">
        <f t="shared" ref="AN235:AN268" si="88">+AL235*1000/AA235</f>
        <v>26.071102869397272</v>
      </c>
      <c r="AO235" s="379">
        <f t="shared" si="87"/>
        <v>8.4100331836765396E-4</v>
      </c>
      <c r="AQ235" s="380">
        <f t="shared" si="75"/>
        <v>3.9964061358658542E-3</v>
      </c>
      <c r="AR235" s="381"/>
    </row>
    <row r="236" spans="1:44">
      <c r="A236" s="361">
        <f t="shared" si="85"/>
        <v>2024</v>
      </c>
      <c r="B236" s="361">
        <f t="shared" si="86"/>
        <v>4</v>
      </c>
      <c r="C236" s="362">
        <f t="shared" si="82"/>
        <v>114.03392869270741</v>
      </c>
      <c r="D236" s="389">
        <f t="shared" si="84"/>
        <v>5.7996974497419709E-2</v>
      </c>
      <c r="E236" s="387">
        <v>199476.01190715996</v>
      </c>
      <c r="F236" s="387">
        <v>34412.41846233407</v>
      </c>
      <c r="G236" s="387">
        <v>143963.06911827164</v>
      </c>
      <c r="H236" s="387">
        <v>723.9360263957326</v>
      </c>
      <c r="I236" s="387">
        <v>51219.907113490983</v>
      </c>
      <c r="J236" s="365">
        <f t="shared" si="76"/>
        <v>429795.34262765234</v>
      </c>
      <c r="K236" s="366">
        <v>30</v>
      </c>
      <c r="L236" s="367">
        <f t="shared" si="77"/>
        <v>5.7996974497419709E-2</v>
      </c>
      <c r="M236" s="387">
        <v>121824.51892138038</v>
      </c>
      <c r="N236" s="387">
        <v>20096.328028472675</v>
      </c>
      <c r="O236" s="387">
        <v>7707.5763138969241</v>
      </c>
      <c r="P236" s="387">
        <v>1281.8970012762306</v>
      </c>
      <c r="Q236" s="387">
        <v>33443.742717244502</v>
      </c>
      <c r="R236" s="387">
        <v>23676.142142416757</v>
      </c>
      <c r="S236" s="364">
        <f>$L236*'MWh Impact Summary'!$L$30</f>
        <v>8504.1332572813644</v>
      </c>
      <c r="T236" s="364">
        <f>$L236*'MWh Impact Summary'!$M$30</f>
        <v>26281.05638213006</v>
      </c>
      <c r="U236" s="387">
        <v>167062.34733820797</v>
      </c>
      <c r="V236" s="387">
        <v>246461.77874558361</v>
      </c>
      <c r="W236" s="387">
        <v>85039.308282809259</v>
      </c>
      <c r="X236" s="368">
        <f t="shared" si="68"/>
        <v>741378.82913069974</v>
      </c>
      <c r="Y236" s="364">
        <f t="shared" si="69"/>
        <v>1171174.1717583521</v>
      </c>
      <c r="Z236" s="364"/>
      <c r="AA236" s="390">
        <v>5359119.6367630055</v>
      </c>
      <c r="AB236" s="369">
        <f t="shared" si="78"/>
        <v>218.53853825621255</v>
      </c>
      <c r="AC236" s="370">
        <f t="shared" si="70"/>
        <v>80.198870665118363</v>
      </c>
      <c r="AD236" s="371">
        <f t="shared" si="71"/>
        <v>2.6732956888372789E-3</v>
      </c>
      <c r="AE236" s="370">
        <f t="shared" si="79"/>
        <v>138.33966759109421</v>
      </c>
      <c r="AF236" s="371">
        <f t="shared" si="72"/>
        <v>4.6113222530364739E-3</v>
      </c>
      <c r="AG236" s="372">
        <f t="shared" si="80"/>
        <v>7.2846179418737528E-3</v>
      </c>
      <c r="AH236" s="373">
        <f t="shared" si="73"/>
        <v>7.284617941873751E-3</v>
      </c>
      <c r="AI236" s="374" t="b">
        <f t="shared" si="81"/>
        <v>1</v>
      </c>
      <c r="AJ236" s="375">
        <f t="shared" si="83"/>
        <v>2.0311863762460455E-4</v>
      </c>
      <c r="AL236" s="376">
        <f t="shared" si="74"/>
        <v>246461.77874558361</v>
      </c>
      <c r="AM236" s="384"/>
      <c r="AN236" s="383">
        <f t="shared" si="88"/>
        <v>45.989228726091753</v>
      </c>
      <c r="AO236" s="379">
        <f t="shared" si="87"/>
        <v>1.5329742908697251E-3</v>
      </c>
      <c r="AQ236" s="380">
        <f t="shared" si="75"/>
        <v>7.284617941873751E-3</v>
      </c>
      <c r="AR236" s="381"/>
    </row>
    <row r="237" spans="1:44">
      <c r="A237" s="361">
        <f t="shared" si="85"/>
        <v>2024</v>
      </c>
      <c r="B237" s="361">
        <f t="shared" si="86"/>
        <v>5</v>
      </c>
      <c r="C237" s="362">
        <f t="shared" si="82"/>
        <v>208.47875842628665</v>
      </c>
      <c r="D237" s="389">
        <f t="shared" si="84"/>
        <v>0.10603105035770212</v>
      </c>
      <c r="E237" s="387">
        <v>364685.42104075896</v>
      </c>
      <c r="F237" s="387">
        <v>62913.365852772149</v>
      </c>
      <c r="G237" s="387">
        <v>263195.71949409076</v>
      </c>
      <c r="H237" s="387">
        <v>1323.5120958583061</v>
      </c>
      <c r="I237" s="387">
        <v>93641.101066556643</v>
      </c>
      <c r="J237" s="365">
        <f t="shared" si="76"/>
        <v>785759.11955003685</v>
      </c>
      <c r="K237" s="366">
        <v>31</v>
      </c>
      <c r="L237" s="367">
        <f t="shared" si="77"/>
        <v>0.10603105035770212</v>
      </c>
      <c r="M237" s="387">
        <v>222721.64733576585</v>
      </c>
      <c r="N237" s="387">
        <v>36740.447026020091</v>
      </c>
      <c r="O237" s="387">
        <v>14091.121465499826</v>
      </c>
      <c r="P237" s="387">
        <v>2343.5857934581481</v>
      </c>
      <c r="Q237" s="387">
        <v>61142.416461050918</v>
      </c>
      <c r="R237" s="387">
        <v>43285.123776420318</v>
      </c>
      <c r="S237" s="364">
        <f>$L237*'MWh Impact Summary'!$L$30</f>
        <v>15547.400350884276</v>
      </c>
      <c r="T237" s="364">
        <f>$L237*'MWh Impact Summary'!$M$30</f>
        <v>48047.472076861828</v>
      </c>
      <c r="U237" s="387">
        <v>305426.21088418225</v>
      </c>
      <c r="V237" s="387">
        <v>450585.59519487445</v>
      </c>
      <c r="W237" s="387">
        <v>155470.30266759626</v>
      </c>
      <c r="X237" s="368">
        <f t="shared" si="68"/>
        <v>1355401.3230326143</v>
      </c>
      <c r="Y237" s="364">
        <f t="shared" si="69"/>
        <v>2141160.442582651</v>
      </c>
      <c r="Z237" s="364"/>
      <c r="AA237" s="390">
        <v>5364378.1867245836</v>
      </c>
      <c r="AB237" s="369">
        <f t="shared" si="78"/>
        <v>399.14420051171197</v>
      </c>
      <c r="AC237" s="370">
        <f t="shared" si="70"/>
        <v>146.47720429081284</v>
      </c>
      <c r="AD237" s="371">
        <f t="shared" si="71"/>
        <v>4.7250711061552521E-3</v>
      </c>
      <c r="AE237" s="370">
        <f t="shared" si="79"/>
        <v>252.66699622089916</v>
      </c>
      <c r="AF237" s="371">
        <f t="shared" si="72"/>
        <v>8.1505482651902956E-3</v>
      </c>
      <c r="AG237" s="372">
        <f t="shared" si="80"/>
        <v>1.2875619371345548E-2</v>
      </c>
      <c r="AH237" s="373">
        <f t="shared" si="73"/>
        <v>1.2875619371345546E-2</v>
      </c>
      <c r="AI237" s="374" t="b">
        <f t="shared" si="81"/>
        <v>1</v>
      </c>
      <c r="AJ237" s="375">
        <f t="shared" si="83"/>
        <v>3.5898128659309254E-4</v>
      </c>
      <c r="AL237" s="376">
        <f t="shared" si="74"/>
        <v>450585.59519487445</v>
      </c>
      <c r="AM237" s="384"/>
      <c r="AN237" s="383">
        <f t="shared" si="88"/>
        <v>83.995866717591724</v>
      </c>
      <c r="AO237" s="379">
        <f t="shared" si="87"/>
        <v>2.7095440876642495E-3</v>
      </c>
      <c r="AQ237" s="380">
        <f t="shared" si="75"/>
        <v>1.2875619371345546E-2</v>
      </c>
      <c r="AR237" s="381"/>
    </row>
    <row r="238" spans="1:44">
      <c r="A238" s="361">
        <f t="shared" si="85"/>
        <v>2024</v>
      </c>
      <c r="B238" s="361">
        <f t="shared" si="86"/>
        <v>6</v>
      </c>
      <c r="C238" s="362">
        <f t="shared" si="82"/>
        <v>271.66325293295364</v>
      </c>
      <c r="D238" s="389">
        <f t="shared" si="84"/>
        <v>0.13816630657965029</v>
      </c>
      <c r="E238" s="387">
        <v>475212.09606678394</v>
      </c>
      <c r="F238" s="387">
        <v>81980.772283657687</v>
      </c>
      <c r="G238" s="387">
        <v>342963.50311907136</v>
      </c>
      <c r="H238" s="387">
        <v>1724.6342215919669</v>
      </c>
      <c r="I238" s="387">
        <v>122021.28560238355</v>
      </c>
      <c r="J238" s="365">
        <f t="shared" si="76"/>
        <v>1023902.2912934885</v>
      </c>
      <c r="K238" s="366">
        <v>30</v>
      </c>
      <c r="L238" s="367">
        <f t="shared" si="77"/>
        <v>0.13816630657965029</v>
      </c>
      <c r="M238" s="387">
        <v>290222.79137955222</v>
      </c>
      <c r="N238" s="387">
        <v>47875.521845207761</v>
      </c>
      <c r="O238" s="387">
        <v>18361.774233918219</v>
      </c>
      <c r="P238" s="387">
        <v>3053.8657510444082</v>
      </c>
      <c r="Q238" s="387">
        <v>79673.094148166812</v>
      </c>
      <c r="R238" s="387">
        <v>56403.720059881227</v>
      </c>
      <c r="S238" s="364">
        <f>$L238*'MWh Impact Summary'!$L$30</f>
        <v>20259.413409091056</v>
      </c>
      <c r="T238" s="364">
        <f>$L238*'MWh Impact Summary'!$M$30</f>
        <v>62609.41238395129</v>
      </c>
      <c r="U238" s="387">
        <v>397992.95912020036</v>
      </c>
      <c r="V238" s="387">
        <v>587146.38095204858</v>
      </c>
      <c r="W238" s="387">
        <v>202589.31162084595</v>
      </c>
      <c r="X238" s="368">
        <f t="shared" si="68"/>
        <v>1766188.2449039079</v>
      </c>
      <c r="Y238" s="364">
        <f t="shared" si="69"/>
        <v>2790090.5361973965</v>
      </c>
      <c r="Z238" s="364"/>
      <c r="AA238" s="390">
        <v>5369633.722238888</v>
      </c>
      <c r="AB238" s="369">
        <f t="shared" si="78"/>
        <v>519.6053735736109</v>
      </c>
      <c r="AC238" s="370">
        <f t="shared" si="70"/>
        <v>190.68382393623838</v>
      </c>
      <c r="AD238" s="371">
        <f t="shared" si="71"/>
        <v>6.3561274645412792E-3</v>
      </c>
      <c r="AE238" s="370">
        <f t="shared" si="79"/>
        <v>328.92154963737249</v>
      </c>
      <c r="AF238" s="371">
        <f t="shared" si="72"/>
        <v>1.0964051654579084E-2</v>
      </c>
      <c r="AG238" s="372">
        <f t="shared" si="80"/>
        <v>1.7320179119120364E-2</v>
      </c>
      <c r="AH238" s="373">
        <f t="shared" si="73"/>
        <v>1.7320179119120364E-2</v>
      </c>
      <c r="AI238" s="374" t="b">
        <f t="shared" si="81"/>
        <v>1</v>
      </c>
      <c r="AJ238" s="375">
        <f t="shared" si="83"/>
        <v>4.8285683396853685E-4</v>
      </c>
      <c r="AL238" s="376">
        <f t="shared" si="74"/>
        <v>587146.38095204858</v>
      </c>
      <c r="AM238" s="384"/>
      <c r="AN238" s="383">
        <f t="shared" si="88"/>
        <v>109.34570425545446</v>
      </c>
      <c r="AO238" s="379">
        <f t="shared" si="87"/>
        <v>3.6448568085151491E-3</v>
      </c>
      <c r="AQ238" s="380">
        <f t="shared" si="75"/>
        <v>1.7320179119120364E-2</v>
      </c>
      <c r="AR238" s="381"/>
    </row>
    <row r="239" spans="1:44">
      <c r="A239" s="361">
        <f t="shared" si="85"/>
        <v>2024</v>
      </c>
      <c r="B239" s="361">
        <f t="shared" si="86"/>
        <v>7</v>
      </c>
      <c r="C239" s="362">
        <f t="shared" si="82"/>
        <v>322.31916585708109</v>
      </c>
      <c r="D239" s="389">
        <f t="shared" si="84"/>
        <v>0.16392960109808263</v>
      </c>
      <c r="E239" s="387">
        <v>563822.91221125575</v>
      </c>
      <c r="F239" s="387">
        <v>97267.384725416952</v>
      </c>
      <c r="G239" s="387">
        <v>406914.47610709292</v>
      </c>
      <c r="H239" s="387">
        <v>2046.2195667269386</v>
      </c>
      <c r="I239" s="387">
        <v>144774.08544421539</v>
      </c>
      <c r="J239" s="365">
        <f t="shared" si="76"/>
        <v>1214825.078054708</v>
      </c>
      <c r="K239" s="366">
        <v>31</v>
      </c>
      <c r="L239" s="367">
        <f t="shared" si="77"/>
        <v>0.16392960109808263</v>
      </c>
      <c r="M239" s="387">
        <v>344339.42397523171</v>
      </c>
      <c r="N239" s="387">
        <v>56802.67058396832</v>
      </c>
      <c r="O239" s="387">
        <v>21785.617638147076</v>
      </c>
      <c r="P239" s="387">
        <v>3623.3073516169361</v>
      </c>
      <c r="Q239" s="387">
        <v>94529.403479636865</v>
      </c>
      <c r="R239" s="387">
        <v>66921.086325297161</v>
      </c>
      <c r="S239" s="364">
        <f>$L239*'MWh Impact Summary'!$L$30</f>
        <v>24037.10167007237</v>
      </c>
      <c r="T239" s="364">
        <f>$L239*'MWh Impact Summary'!$M$30</f>
        <v>74283.928196124674</v>
      </c>
      <c r="U239" s="387">
        <v>472205.04509041563</v>
      </c>
      <c r="V239" s="387">
        <v>696629.11601509363</v>
      </c>
      <c r="W239" s="387">
        <v>240365.29500479388</v>
      </c>
      <c r="X239" s="368">
        <f t="shared" si="68"/>
        <v>2095521.9953303982</v>
      </c>
      <c r="Y239" s="364">
        <f t="shared" si="69"/>
        <v>3310347.0733851064</v>
      </c>
      <c r="Z239" s="364"/>
      <c r="AA239" s="390">
        <v>5374960.0944571337</v>
      </c>
      <c r="AB239" s="369">
        <f t="shared" si="78"/>
        <v>615.88309777385405</v>
      </c>
      <c r="AC239" s="370">
        <f t="shared" si="70"/>
        <v>226.01564601521088</v>
      </c>
      <c r="AD239" s="371">
        <f t="shared" si="71"/>
        <v>7.2908272908132534E-3</v>
      </c>
      <c r="AE239" s="370">
        <f t="shared" si="79"/>
        <v>389.86745175864309</v>
      </c>
      <c r="AF239" s="371">
        <f t="shared" si="72"/>
        <v>1.2576369411569132E-2</v>
      </c>
      <c r="AG239" s="372">
        <f t="shared" si="80"/>
        <v>1.9867196702382385E-2</v>
      </c>
      <c r="AH239" s="373">
        <f t="shared" si="73"/>
        <v>1.9867196702382392E-2</v>
      </c>
      <c r="AI239" s="374" t="b">
        <f t="shared" si="81"/>
        <v>1</v>
      </c>
      <c r="AJ239" s="375">
        <f t="shared" si="83"/>
        <v>5.5394127907741966E-4</v>
      </c>
      <c r="AL239" s="376">
        <f t="shared" si="74"/>
        <v>696629.11601509363</v>
      </c>
      <c r="AM239" s="384"/>
      <c r="AN239" s="383">
        <f t="shared" si="88"/>
        <v>129.60637916800249</v>
      </c>
      <c r="AO239" s="379">
        <f t="shared" si="87"/>
        <v>4.1808509409033056E-3</v>
      </c>
      <c r="AQ239" s="380">
        <f t="shared" si="75"/>
        <v>1.9867196702382392E-2</v>
      </c>
      <c r="AR239" s="381"/>
    </row>
    <row r="240" spans="1:44">
      <c r="A240" s="361">
        <f t="shared" si="85"/>
        <v>2024</v>
      </c>
      <c r="B240" s="361">
        <f t="shared" si="86"/>
        <v>8</v>
      </c>
      <c r="C240" s="362">
        <f t="shared" si="82"/>
        <v>326.45437890907908</v>
      </c>
      <c r="D240" s="389">
        <f t="shared" si="84"/>
        <v>0.16603274573816959</v>
      </c>
      <c r="E240" s="387">
        <v>571056.51204821153</v>
      </c>
      <c r="F240" s="387">
        <v>98515.282466094926</v>
      </c>
      <c r="G240" s="387">
        <v>412135.00976096536</v>
      </c>
      <c r="H240" s="387">
        <v>2072.4716632694535</v>
      </c>
      <c r="I240" s="387">
        <v>146631.47324840649</v>
      </c>
      <c r="J240" s="365">
        <f t="shared" si="76"/>
        <v>1230410.7491869479</v>
      </c>
      <c r="K240" s="366">
        <v>31</v>
      </c>
      <c r="L240" s="367">
        <f t="shared" si="77"/>
        <v>0.16603274573816959</v>
      </c>
      <c r="M240" s="387">
        <v>348757.14724822884</v>
      </c>
      <c r="N240" s="387">
        <v>57531.423849888975</v>
      </c>
      <c r="O240" s="387">
        <v>22065.117525048154</v>
      </c>
      <c r="P240" s="387">
        <v>3669.7927903961195</v>
      </c>
      <c r="Q240" s="387">
        <v>95742.17412585995</v>
      </c>
      <c r="R240" s="387">
        <v>67779.654412275151</v>
      </c>
      <c r="S240" s="364">
        <f>$L240*'MWh Impact Summary'!$L$30</f>
        <v>24345.487106271845</v>
      </c>
      <c r="T240" s="364">
        <f>$L240*'MWh Impact Summary'!$M$30</f>
        <v>75236.958304072105</v>
      </c>
      <c r="U240" s="387">
        <v>478263.22801132523</v>
      </c>
      <c r="V240" s="387">
        <v>705566.56100160989</v>
      </c>
      <c r="W240" s="387">
        <v>243449.07595994783</v>
      </c>
      <c r="X240" s="368">
        <f t="shared" si="68"/>
        <v>2122406.6203349242</v>
      </c>
      <c r="Y240" s="364">
        <f t="shared" si="69"/>
        <v>3352817.3695218721</v>
      </c>
      <c r="Z240" s="364"/>
      <c r="AA240" s="390">
        <v>5380321.6496443385</v>
      </c>
      <c r="AB240" s="369">
        <f t="shared" si="78"/>
        <v>623.16299802327001</v>
      </c>
      <c r="AC240" s="370">
        <f t="shared" si="70"/>
        <v>228.68721041395045</v>
      </c>
      <c r="AD240" s="371">
        <f t="shared" si="71"/>
        <v>7.3770067875467884E-3</v>
      </c>
      <c r="AE240" s="370">
        <f t="shared" si="79"/>
        <v>394.47578760931964</v>
      </c>
      <c r="AF240" s="371">
        <f t="shared" si="72"/>
        <v>1.2725025406752247E-2</v>
      </c>
      <c r="AG240" s="372">
        <f t="shared" si="80"/>
        <v>2.0102032194299034E-2</v>
      </c>
      <c r="AH240" s="373">
        <f t="shared" si="73"/>
        <v>2.0102032194299031E-2</v>
      </c>
      <c r="AI240" s="374" t="b">
        <f t="shared" si="81"/>
        <v>1</v>
      </c>
      <c r="AJ240" s="375">
        <f t="shared" si="83"/>
        <v>5.606324638207788E-4</v>
      </c>
      <c r="AL240" s="376">
        <f t="shared" si="74"/>
        <v>705566.56100160989</v>
      </c>
      <c r="AM240" s="384"/>
      <c r="AN240" s="383">
        <f t="shared" si="88"/>
        <v>131.13836066813047</v>
      </c>
      <c r="AO240" s="379">
        <f t="shared" si="87"/>
        <v>4.2302696989719507E-3</v>
      </c>
      <c r="AQ240" s="380">
        <f t="shared" si="75"/>
        <v>2.0102032194299031E-2</v>
      </c>
      <c r="AR240" s="381"/>
    </row>
    <row r="241" spans="1:44">
      <c r="A241" s="361">
        <f t="shared" si="85"/>
        <v>2024</v>
      </c>
      <c r="B241" s="361">
        <f t="shared" si="86"/>
        <v>9</v>
      </c>
      <c r="C241" s="362">
        <f t="shared" si="82"/>
        <v>277.87653293728147</v>
      </c>
      <c r="D241" s="389">
        <f t="shared" si="84"/>
        <v>0.14132634365008559</v>
      </c>
      <c r="E241" s="387">
        <v>486080.79392131191</v>
      </c>
      <c r="F241" s="387">
        <v>83855.775574202533</v>
      </c>
      <c r="G241" s="387">
        <v>350807.50945094676</v>
      </c>
      <c r="H241" s="387">
        <v>1764.0787736545219</v>
      </c>
      <c r="I241" s="387">
        <v>124812.06575299443</v>
      </c>
      <c r="J241" s="365">
        <f t="shared" si="76"/>
        <v>1047320.2234731101</v>
      </c>
      <c r="K241" s="366">
        <v>30</v>
      </c>
      <c r="L241" s="367">
        <f t="shared" si="77"/>
        <v>0.14132634365008559</v>
      </c>
      <c r="M241" s="387">
        <v>296860.55135264591</v>
      </c>
      <c r="N241" s="387">
        <v>48970.495196833668</v>
      </c>
      <c r="O241" s="387">
        <v>18781.731086602096</v>
      </c>
      <c r="P241" s="387">
        <v>3123.7114986823813</v>
      </c>
      <c r="Q241" s="387">
        <v>81495.317939604327</v>
      </c>
      <c r="R241" s="387">
        <v>57693.744022394327</v>
      </c>
      <c r="S241" s="364">
        <f>$L241*'MWh Impact Summary'!$L$30</f>
        <v>20722.77165454792</v>
      </c>
      <c r="T241" s="364">
        <f>$L241*'MWh Impact Summary'!$M$30</f>
        <v>64041.368328850214</v>
      </c>
      <c r="U241" s="387">
        <v>407095.55826847424</v>
      </c>
      <c r="V241" s="387">
        <v>600575.15657406172</v>
      </c>
      <c r="W241" s="387">
        <v>207222.78377946364</v>
      </c>
      <c r="X241" s="368">
        <f t="shared" si="68"/>
        <v>1806583.1897021607</v>
      </c>
      <c r="Y241" s="364">
        <f t="shared" si="69"/>
        <v>2853903.4131752709</v>
      </c>
      <c r="Z241" s="364"/>
      <c r="AA241" s="390">
        <v>5385554.9074087441</v>
      </c>
      <c r="AB241" s="369">
        <f t="shared" si="78"/>
        <v>529.91817226656497</v>
      </c>
      <c r="AC241" s="370">
        <f t="shared" si="70"/>
        <v>194.46839582534818</v>
      </c>
      <c r="AD241" s="371">
        <f t="shared" si="71"/>
        <v>6.4822798608449392E-3</v>
      </c>
      <c r="AE241" s="370">
        <f t="shared" si="79"/>
        <v>335.44977644121667</v>
      </c>
      <c r="AF241" s="371">
        <f t="shared" si="72"/>
        <v>1.1181659214707223E-2</v>
      </c>
      <c r="AG241" s="372">
        <f t="shared" si="80"/>
        <v>1.7663939075552162E-2</v>
      </c>
      <c r="AH241" s="373">
        <f t="shared" si="73"/>
        <v>1.7663939075552165E-2</v>
      </c>
      <c r="AI241" s="374" t="b">
        <f t="shared" si="81"/>
        <v>1</v>
      </c>
      <c r="AJ241" s="375">
        <f t="shared" si="83"/>
        <v>4.9255601856344755E-4</v>
      </c>
      <c r="AL241" s="376">
        <f t="shared" si="74"/>
        <v>600575.15657406172</v>
      </c>
      <c r="AM241" s="384"/>
      <c r="AN241" s="383">
        <f t="shared" si="88"/>
        <v>111.51592860892919</v>
      </c>
      <c r="AO241" s="379">
        <f t="shared" si="87"/>
        <v>3.7171976202976394E-3</v>
      </c>
      <c r="AQ241" s="380">
        <f t="shared" si="75"/>
        <v>1.7663939075552165E-2</v>
      </c>
      <c r="AR241" s="381"/>
    </row>
    <row r="242" spans="1:44">
      <c r="A242" s="361">
        <f t="shared" si="85"/>
        <v>2024</v>
      </c>
      <c r="B242" s="361">
        <f t="shared" si="86"/>
        <v>10</v>
      </c>
      <c r="C242" s="362">
        <f t="shared" si="82"/>
        <v>198.89039579254836</v>
      </c>
      <c r="D242" s="389">
        <f t="shared" si="84"/>
        <v>0.10115446643644242</v>
      </c>
      <c r="E242" s="387">
        <v>347912.79590344697</v>
      </c>
      <c r="F242" s="387">
        <v>60019.852044176063</v>
      </c>
      <c r="G242" s="387">
        <v>251090.81239848706</v>
      </c>
      <c r="H242" s="387">
        <v>1262.6410794486635</v>
      </c>
      <c r="I242" s="387">
        <v>89334.356143350728</v>
      </c>
      <c r="J242" s="365">
        <f t="shared" si="76"/>
        <v>749620.45756890951</v>
      </c>
      <c r="K242" s="366">
        <v>31</v>
      </c>
      <c r="L242" s="367">
        <f t="shared" si="77"/>
        <v>0.10115446643644242</v>
      </c>
      <c r="M242" s="387">
        <v>212478.22523771084</v>
      </c>
      <c r="N242" s="387">
        <v>35050.679051237705</v>
      </c>
      <c r="O242" s="387">
        <v>13443.042094981902</v>
      </c>
      <c r="P242" s="387">
        <v>2235.7995104786314</v>
      </c>
      <c r="Q242" s="387">
        <v>58330.352221235844</v>
      </c>
      <c r="R242" s="387">
        <v>41294.352790697514</v>
      </c>
      <c r="S242" s="364">
        <f>$L242*'MWh Impact Summary'!$L$30</f>
        <v>14832.343748948029</v>
      </c>
      <c r="T242" s="364">
        <f>$L242*'MWh Impact Summary'!$M$30</f>
        <v>45837.670995039589</v>
      </c>
      <c r="U242" s="387">
        <v>291379.03749389353</v>
      </c>
      <c r="V242" s="387">
        <v>429862.24612622173</v>
      </c>
      <c r="W242" s="387">
        <v>148319.90685745887</v>
      </c>
      <c r="X242" s="368">
        <f t="shared" si="68"/>
        <v>1293063.6561279041</v>
      </c>
      <c r="Y242" s="364">
        <f t="shared" si="69"/>
        <v>2042684.1136968136</v>
      </c>
      <c r="Z242" s="364"/>
      <c r="AA242" s="390">
        <v>5390832.5836841511</v>
      </c>
      <c r="AB242" s="369">
        <f t="shared" si="78"/>
        <v>378.91811366563013</v>
      </c>
      <c r="AC242" s="370">
        <f t="shared" si="70"/>
        <v>139.05467215541148</v>
      </c>
      <c r="AD242" s="371">
        <f t="shared" si="71"/>
        <v>4.4856345856584346E-3</v>
      </c>
      <c r="AE242" s="370">
        <f t="shared" si="79"/>
        <v>239.86344151021865</v>
      </c>
      <c r="AF242" s="371">
        <f t="shared" si="72"/>
        <v>7.7375303712973759E-3</v>
      </c>
      <c r="AG242" s="372">
        <f t="shared" si="80"/>
        <v>1.2223164956955811E-2</v>
      </c>
      <c r="AH242" s="373">
        <f t="shared" si="73"/>
        <v>1.2223164956955811E-2</v>
      </c>
      <c r="AI242" s="374" t="b">
        <f t="shared" si="81"/>
        <v>1</v>
      </c>
      <c r="AJ242" s="375">
        <f t="shared" si="83"/>
        <v>3.4083295713733565E-4</v>
      </c>
      <c r="AL242" s="376">
        <f t="shared" si="74"/>
        <v>429862.24612622173</v>
      </c>
      <c r="AM242" s="384"/>
      <c r="AN242" s="383">
        <f t="shared" si="88"/>
        <v>79.739490969769534</v>
      </c>
      <c r="AO242" s="379">
        <f t="shared" si="87"/>
        <v>2.5722416441861136E-3</v>
      </c>
      <c r="AQ242" s="380">
        <f t="shared" si="75"/>
        <v>1.2223164956955811E-2</v>
      </c>
      <c r="AR242" s="381"/>
    </row>
    <row r="243" spans="1:44">
      <c r="A243" s="361">
        <f t="shared" si="85"/>
        <v>2024</v>
      </c>
      <c r="B243" s="361">
        <f t="shared" si="86"/>
        <v>11</v>
      </c>
      <c r="C243" s="362">
        <f t="shared" si="82"/>
        <v>78.117279066674627</v>
      </c>
      <c r="D243" s="389">
        <f t="shared" si="84"/>
        <v>3.9729981188725644E-2</v>
      </c>
      <c r="E243" s="387">
        <v>136648.1315508289</v>
      </c>
      <c r="F243" s="387">
        <v>23573.725181611237</v>
      </c>
      <c r="G243" s="387">
        <v>98619.800041373019</v>
      </c>
      <c r="H243" s="387">
        <v>495.92181247011206</v>
      </c>
      <c r="I243" s="387">
        <v>35087.450056516434</v>
      </c>
      <c r="J243" s="365">
        <f t="shared" si="76"/>
        <v>294425.02864279965</v>
      </c>
      <c r="K243" s="366">
        <v>30</v>
      </c>
      <c r="L243" s="367">
        <f t="shared" si="77"/>
        <v>3.9729981188725644E-2</v>
      </c>
      <c r="M243" s="387">
        <v>83454.109236117642</v>
      </c>
      <c r="N243" s="387">
        <v>13766.6963053254</v>
      </c>
      <c r="O243" s="387">
        <v>5279.9626983199951</v>
      </c>
      <c r="P243" s="387">
        <v>878.14483751827993</v>
      </c>
      <c r="Q243" s="387">
        <v>22910.147995665171</v>
      </c>
      <c r="R243" s="387">
        <v>16218.995733676797</v>
      </c>
      <c r="S243" s="364">
        <f>$L243*'MWh Impact Summary'!$L$30</f>
        <v>5825.6324104154182</v>
      </c>
      <c r="T243" s="364">
        <f>$L243*'MWh Impact Summary'!$M$30</f>
        <v>18003.454227225586</v>
      </c>
      <c r="U243" s="387">
        <v>114443.62356154717</v>
      </c>
      <c r="V243" s="387">
        <v>168835.04558910296</v>
      </c>
      <c r="W243" s="387">
        <v>58254.937393821587</v>
      </c>
      <c r="X243" s="368">
        <f t="shared" si="68"/>
        <v>507870.749988736</v>
      </c>
      <c r="Y243" s="364">
        <f t="shared" si="69"/>
        <v>802295.77863153559</v>
      </c>
      <c r="Z243" s="364"/>
      <c r="AA243" s="390">
        <v>5396121.651252266</v>
      </c>
      <c r="AB243" s="369">
        <f t="shared" si="78"/>
        <v>148.68007626280047</v>
      </c>
      <c r="AC243" s="370">
        <f t="shared" si="70"/>
        <v>54.562340820183898</v>
      </c>
      <c r="AD243" s="371">
        <f t="shared" si="71"/>
        <v>1.8187446940061301E-3</v>
      </c>
      <c r="AE243" s="370">
        <f t="shared" si="79"/>
        <v>94.117735442616549</v>
      </c>
      <c r="AF243" s="371">
        <f t="shared" si="72"/>
        <v>3.1372578480872181E-3</v>
      </c>
      <c r="AG243" s="372">
        <f t="shared" si="80"/>
        <v>4.9560025420933487E-3</v>
      </c>
      <c r="AH243" s="373">
        <f t="shared" si="73"/>
        <v>4.9560025420933487E-3</v>
      </c>
      <c r="AI243" s="374" t="b">
        <f t="shared" si="81"/>
        <v>1</v>
      </c>
      <c r="AJ243" s="375">
        <f t="shared" si="83"/>
        <v>1.3819502444543073E-4</v>
      </c>
      <c r="AL243" s="376">
        <f t="shared" si="74"/>
        <v>168835.04558910296</v>
      </c>
      <c r="AM243" s="384"/>
      <c r="AN243" s="383">
        <f t="shared" si="88"/>
        <v>31.288220781664879</v>
      </c>
      <c r="AO243" s="379">
        <f t="shared" si="87"/>
        <v>1.0429406927221626E-3</v>
      </c>
      <c r="AQ243" s="380">
        <f t="shared" si="75"/>
        <v>4.9560025420933487E-3</v>
      </c>
      <c r="AR243" s="381"/>
    </row>
    <row r="244" spans="1:44">
      <c r="A244" s="361">
        <f t="shared" si="85"/>
        <v>2024</v>
      </c>
      <c r="B244" s="361">
        <f t="shared" si="86"/>
        <v>12</v>
      </c>
      <c r="C244" s="362">
        <f t="shared" si="82"/>
        <v>42.633806123140985</v>
      </c>
      <c r="D244" s="389">
        <f t="shared" si="84"/>
        <v>2.1683298951445065E-2</v>
      </c>
      <c r="E244" s="387">
        <v>74577.993719610284</v>
      </c>
      <c r="F244" s="387">
        <v>12865.753147075191</v>
      </c>
      <c r="G244" s="387">
        <v>53823.398422238613</v>
      </c>
      <c r="H244" s="387">
        <v>270.65758891885423</v>
      </c>
      <c r="I244" s="387">
        <v>19149.560262949304</v>
      </c>
      <c r="J244" s="365">
        <f t="shared" si="76"/>
        <v>160687.36314079224</v>
      </c>
      <c r="K244" s="366">
        <v>31</v>
      </c>
      <c r="L244" s="367">
        <f t="shared" si="77"/>
        <v>2.1683298951445065E-2</v>
      </c>
      <c r="M244" s="387">
        <v>45546.470075017271</v>
      </c>
      <c r="N244" s="387">
        <v>7513.4037981078554</v>
      </c>
      <c r="O244" s="387">
        <v>2881.6275823618944</v>
      </c>
      <c r="P244" s="387">
        <v>479.26217090634788</v>
      </c>
      <c r="Q244" s="387">
        <v>12503.594845718877</v>
      </c>
      <c r="R244" s="387">
        <v>8851.7870550949137</v>
      </c>
      <c r="S244" s="364">
        <f>$L244*'MWh Impact Summary'!$L$30</f>
        <v>3179.4359160711388</v>
      </c>
      <c r="T244" s="364">
        <f>$L244*'MWh Impact Summary'!$M$30</f>
        <v>9825.6849987728674</v>
      </c>
      <c r="U244" s="387">
        <v>62459.513660073419</v>
      </c>
      <c r="V244" s="387">
        <v>92144.538141091456</v>
      </c>
      <c r="W244" s="387">
        <v>31793.602340451194</v>
      </c>
      <c r="X244" s="368">
        <f t="shared" si="68"/>
        <v>277178.92058366723</v>
      </c>
      <c r="Y244" s="364">
        <f t="shared" si="69"/>
        <v>437866.28372445947</v>
      </c>
      <c r="Z244" s="364">
        <f>SUM(Y233:Y244)</f>
        <v>20193711.515252534</v>
      </c>
      <c r="AA244" s="390">
        <v>5401414.1942394003</v>
      </c>
      <c r="AB244" s="369">
        <f t="shared" si="78"/>
        <v>81.065118870432698</v>
      </c>
      <c r="AC244" s="370">
        <f t="shared" si="70"/>
        <v>29.749128165761675</v>
      </c>
      <c r="AD244" s="371">
        <f t="shared" si="71"/>
        <v>9.5964929566973146E-4</v>
      </c>
      <c r="AE244" s="370">
        <f t="shared" si="79"/>
        <v>51.31599070467103</v>
      </c>
      <c r="AF244" s="371">
        <f t="shared" si="72"/>
        <v>1.6553545388603558E-3</v>
      </c>
      <c r="AG244" s="372">
        <f t="shared" si="80"/>
        <v>2.6150038345300873E-3</v>
      </c>
      <c r="AH244" s="373">
        <f t="shared" si="73"/>
        <v>2.6150038345300868E-3</v>
      </c>
      <c r="AI244" s="374" t="b">
        <f t="shared" si="81"/>
        <v>1</v>
      </c>
      <c r="AJ244" s="375">
        <f t="shared" si="83"/>
        <v>7.2920133521307481E-5</v>
      </c>
      <c r="AL244" s="376">
        <f t="shared" si="74"/>
        <v>92144.538141091456</v>
      </c>
      <c r="AM244" s="377">
        <f>SUM(AL233:AL244)</f>
        <v>4249562.6863526944</v>
      </c>
      <c r="AN244" s="383">
        <f t="shared" si="88"/>
        <v>17.059335727181125</v>
      </c>
      <c r="AO244" s="379">
        <f t="shared" si="87"/>
        <v>5.5030115248971368E-4</v>
      </c>
      <c r="AQ244" s="380">
        <f t="shared" si="75"/>
        <v>2.6150038345300868E-3</v>
      </c>
      <c r="AR244" s="381"/>
    </row>
    <row r="245" spans="1:44">
      <c r="A245" s="361">
        <f t="shared" si="85"/>
        <v>2025</v>
      </c>
      <c r="B245" s="361">
        <f t="shared" si="86"/>
        <v>1</v>
      </c>
      <c r="C245" s="362">
        <f t="shared" si="82"/>
        <v>26.112829868525239</v>
      </c>
      <c r="D245" s="389">
        <f t="shared" si="84"/>
        <v>1.3280829182176284E-2</v>
      </c>
      <c r="E245" s="387">
        <v>45880.70599071886</v>
      </c>
      <c r="F245" s="387">
        <v>8581.3403914239079</v>
      </c>
      <c r="G245" s="387">
        <v>33375.198466663809</v>
      </c>
      <c r="H245" s="387">
        <v>167.83119937659242</v>
      </c>
      <c r="I245" s="387">
        <v>11874.396508957732</v>
      </c>
      <c r="J245" s="365">
        <f t="shared" si="76"/>
        <v>99879.472557140922</v>
      </c>
      <c r="K245" s="366">
        <v>31</v>
      </c>
      <c r="L245" s="367">
        <f t="shared" si="77"/>
        <v>1.3280829182176284E-2</v>
      </c>
      <c r="M245" s="387">
        <v>29575.718255232623</v>
      </c>
      <c r="N245" s="387">
        <v>5444.8616625488521</v>
      </c>
      <c r="O245" s="387">
        <v>1863.655724643811</v>
      </c>
      <c r="P245" s="387">
        <v>308.02348200789311</v>
      </c>
      <c r="Q245" s="387">
        <v>7888.8932136787944</v>
      </c>
      <c r="R245" s="387">
        <v>5964.4153711822391</v>
      </c>
      <c r="S245" s="364">
        <f>$L245*'MWh Impact Summary'!$L$31</f>
        <v>2145.4441488369225</v>
      </c>
      <c r="T245" s="364">
        <f>$L245*'MWh Impact Summary'!$M$31</f>
        <v>6647.9390595302193</v>
      </c>
      <c r="U245" s="387">
        <v>43035.938375600395</v>
      </c>
      <c r="V245" s="387">
        <v>56626.31915062519</v>
      </c>
      <c r="W245" s="387">
        <v>19473.300751656716</v>
      </c>
      <c r="X245" s="368">
        <f t="shared" si="68"/>
        <v>178974.50919554365</v>
      </c>
      <c r="Y245" s="364">
        <f t="shared" si="69"/>
        <v>278853.98175268457</v>
      </c>
      <c r="Z245" s="364"/>
      <c r="AA245" s="390">
        <v>5406732.2632630393</v>
      </c>
      <c r="AB245" s="369">
        <f t="shared" si="78"/>
        <v>51.57532649571079</v>
      </c>
      <c r="AC245" s="370">
        <f t="shared" si="70"/>
        <v>18.473167838509216</v>
      </c>
      <c r="AD245" s="371">
        <f t="shared" si="71"/>
        <v>5.9590863995191029E-4</v>
      </c>
      <c r="AE245" s="370">
        <f t="shared" si="79"/>
        <v>33.102158657201571</v>
      </c>
      <c r="AF245" s="371">
        <f t="shared" si="72"/>
        <v>1.0678115695871475E-3</v>
      </c>
      <c r="AG245" s="372">
        <f t="shared" si="80"/>
        <v>1.6637202095390578E-3</v>
      </c>
      <c r="AH245" s="373">
        <f t="shared" si="73"/>
        <v>1.6637202095390578E-3</v>
      </c>
      <c r="AI245" s="374" t="b">
        <f t="shared" si="81"/>
        <v>1</v>
      </c>
      <c r="AJ245" s="375">
        <f t="shared" si="83"/>
        <v>4.4659496355777071E-5</v>
      </c>
      <c r="AL245" s="376">
        <f t="shared" si="74"/>
        <v>56626.31915062519</v>
      </c>
      <c r="AM245" s="377"/>
      <c r="AN245" s="383">
        <f t="shared" si="88"/>
        <v>10.473298175939345</v>
      </c>
      <c r="AO245" s="379">
        <f t="shared" si="87"/>
        <v>3.3784832825610786E-4</v>
      </c>
      <c r="AQ245" s="380">
        <f t="shared" si="75"/>
        <v>1.6637202095390578E-3</v>
      </c>
      <c r="AR245" s="381"/>
    </row>
    <row r="246" spans="1:44">
      <c r="A246" s="361">
        <f t="shared" si="85"/>
        <v>2025</v>
      </c>
      <c r="B246" s="361">
        <f t="shared" si="86"/>
        <v>2</v>
      </c>
      <c r="C246" s="362">
        <f t="shared" si="82"/>
        <v>35.042184420393127</v>
      </c>
      <c r="D246" s="389">
        <f t="shared" si="84"/>
        <v>1.7822245532205266E-2</v>
      </c>
      <c r="E246" s="387">
        <v>61569.740574249241</v>
      </c>
      <c r="F246" s="387">
        <v>11515.753523630954</v>
      </c>
      <c r="G246" s="387">
        <v>44787.940090160235</v>
      </c>
      <c r="H246" s="387">
        <v>225.22154319012026</v>
      </c>
      <c r="I246" s="387">
        <v>15934.879308095051</v>
      </c>
      <c r="J246" s="365">
        <f t="shared" si="76"/>
        <v>134033.53503932559</v>
      </c>
      <c r="K246" s="366">
        <v>28</v>
      </c>
      <c r="L246" s="367">
        <f t="shared" si="77"/>
        <v>1.7822245532205266E-2</v>
      </c>
      <c r="M246" s="387">
        <v>39689.217089207857</v>
      </c>
      <c r="N246" s="387">
        <v>7306.7471998714072</v>
      </c>
      <c r="O246" s="387">
        <v>2500.9379652799043</v>
      </c>
      <c r="P246" s="387">
        <v>413.35296544563408</v>
      </c>
      <c r="Q246" s="387">
        <v>10586.522114163061</v>
      </c>
      <c r="R246" s="387">
        <v>8003.9637392467521</v>
      </c>
      <c r="S246" s="364">
        <f>$L246*'MWh Impact Summary'!$L$31</f>
        <v>2879.0847221738809</v>
      </c>
      <c r="T246" s="364">
        <f>$L246*'MWh Impact Summary'!$M$31</f>
        <v>8921.22024738445</v>
      </c>
      <c r="U246" s="387">
        <v>57752.196788146641</v>
      </c>
      <c r="V246" s="387">
        <v>75989.845938375656</v>
      </c>
      <c r="W246" s="387">
        <v>26132.249918873826</v>
      </c>
      <c r="X246" s="368">
        <f t="shared" si="68"/>
        <v>240175.33868816908</v>
      </c>
      <c r="Y246" s="364">
        <f t="shared" si="69"/>
        <v>374208.87372749468</v>
      </c>
      <c r="Z246" s="364"/>
      <c r="AA246" s="390">
        <v>5412022.880566325</v>
      </c>
      <c r="AB246" s="369">
        <f t="shared" si="78"/>
        <v>69.143993287836338</v>
      </c>
      <c r="AC246" s="370">
        <f t="shared" si="70"/>
        <v>24.765884771222559</v>
      </c>
      <c r="AD246" s="371">
        <f t="shared" si="71"/>
        <v>8.8449588468652001E-4</v>
      </c>
      <c r="AE246" s="370">
        <f t="shared" si="79"/>
        <v>44.378108516613786</v>
      </c>
      <c r="AF246" s="371">
        <f t="shared" si="72"/>
        <v>1.5849324470219208E-3</v>
      </c>
      <c r="AG246" s="372">
        <f t="shared" si="80"/>
        <v>2.4694283317084407E-3</v>
      </c>
      <c r="AH246" s="373">
        <f t="shared" si="73"/>
        <v>2.4694283317084403E-3</v>
      </c>
      <c r="AI246" s="374" t="b">
        <f t="shared" si="81"/>
        <v>1</v>
      </c>
      <c r="AJ246" s="375">
        <f t="shared" si="83"/>
        <v>1.4915652525263057E-4</v>
      </c>
      <c r="AL246" s="376">
        <f t="shared" si="74"/>
        <v>75989.845938375656</v>
      </c>
      <c r="AM246" s="377"/>
      <c r="AN246" s="383">
        <f t="shared" si="88"/>
        <v>14.040932127475395</v>
      </c>
      <c r="AO246" s="379">
        <f t="shared" si="87"/>
        <v>5.014618616955498E-4</v>
      </c>
      <c r="AQ246" s="380">
        <f t="shared" si="75"/>
        <v>2.4694283317084403E-3</v>
      </c>
      <c r="AR246" s="381"/>
    </row>
    <row r="247" spans="1:44">
      <c r="A247" s="361">
        <f t="shared" si="85"/>
        <v>2025</v>
      </c>
      <c r="B247" s="361">
        <f t="shared" si="86"/>
        <v>3</v>
      </c>
      <c r="C247" s="362">
        <f t="shared" si="82"/>
        <v>64.582270600115152</v>
      </c>
      <c r="D247" s="389">
        <f t="shared" si="84"/>
        <v>3.2846156787895278E-2</v>
      </c>
      <c r="E247" s="387">
        <v>113472.19679121948</v>
      </c>
      <c r="F247" s="387">
        <v>21223.377552757611</v>
      </c>
      <c r="G247" s="387">
        <v>82543.566115163558</v>
      </c>
      <c r="H247" s="387">
        <v>415.08024935840143</v>
      </c>
      <c r="I247" s="387">
        <v>29367.766435721103</v>
      </c>
      <c r="J247" s="365">
        <f t="shared" si="76"/>
        <v>247021.98714422015</v>
      </c>
      <c r="K247" s="366">
        <v>31</v>
      </c>
      <c r="L247" s="367">
        <f t="shared" si="77"/>
        <v>3.2846156787895278E-2</v>
      </c>
      <c r="M247" s="387">
        <v>73146.68877977386</v>
      </c>
      <c r="N247" s="387">
        <v>13466.235985965253</v>
      </c>
      <c r="O247" s="387">
        <v>4609.1947491096553</v>
      </c>
      <c r="P247" s="387">
        <v>761.80390889771206</v>
      </c>
      <c r="Q247" s="387">
        <v>19510.81666852639</v>
      </c>
      <c r="R247" s="387">
        <v>14751.196611496636</v>
      </c>
      <c r="S247" s="364">
        <f>$L247*'MWh Impact Summary'!$L$31</f>
        <v>5306.1140931580358</v>
      </c>
      <c r="T247" s="364">
        <f>$L247*'MWh Impact Summary'!$M$31</f>
        <v>16441.687914995146</v>
      </c>
      <c r="U247" s="387">
        <v>106436.5153718161</v>
      </c>
      <c r="V247" s="387">
        <v>140048.25539349698</v>
      </c>
      <c r="W247" s="387">
        <v>48161.382161677844</v>
      </c>
      <c r="X247" s="368">
        <f t="shared" si="68"/>
        <v>442639.89163891354</v>
      </c>
      <c r="Y247" s="364">
        <f t="shared" si="69"/>
        <v>689661.8787831337</v>
      </c>
      <c r="Z247" s="364"/>
      <c r="AA247" s="390">
        <v>5417339.5801715693</v>
      </c>
      <c r="AB247" s="369">
        <f t="shared" si="78"/>
        <v>127.30637771119599</v>
      </c>
      <c r="AC247" s="370">
        <f t="shared" si="70"/>
        <v>45.598394468082589</v>
      </c>
      <c r="AD247" s="371">
        <f t="shared" si="71"/>
        <v>1.4709159505833093E-3</v>
      </c>
      <c r="AE247" s="370">
        <f t="shared" si="79"/>
        <v>81.707983243113389</v>
      </c>
      <c r="AF247" s="371">
        <f t="shared" si="72"/>
        <v>2.6357413949391418E-3</v>
      </c>
      <c r="AG247" s="372">
        <f t="shared" si="80"/>
        <v>4.1066573455224506E-3</v>
      </c>
      <c r="AH247" s="373">
        <f t="shared" si="73"/>
        <v>4.1066573455224515E-3</v>
      </c>
      <c r="AI247" s="374" t="b">
        <f t="shared" si="81"/>
        <v>1</v>
      </c>
      <c r="AJ247" s="375">
        <f t="shared" si="83"/>
        <v>1.1025120965659722E-4</v>
      </c>
      <c r="AL247" s="376">
        <f t="shared" si="74"/>
        <v>140048.25539349698</v>
      </c>
      <c r="AM247" s="377"/>
      <c r="AN247" s="383">
        <f t="shared" si="88"/>
        <v>25.851850953944002</v>
      </c>
      <c r="AO247" s="379">
        <f t="shared" si="87"/>
        <v>8.3393067593367739E-4</v>
      </c>
      <c r="AQ247" s="380">
        <f t="shared" si="75"/>
        <v>4.1066573455224515E-3</v>
      </c>
      <c r="AR247" s="381"/>
    </row>
    <row r="248" spans="1:44">
      <c r="A248" s="361">
        <f t="shared" si="85"/>
        <v>2025</v>
      </c>
      <c r="B248" s="361">
        <f t="shared" si="86"/>
        <v>4</v>
      </c>
      <c r="C248" s="362">
        <f t="shared" si="82"/>
        <v>114.03392869270741</v>
      </c>
      <c r="D248" s="389">
        <f t="shared" si="84"/>
        <v>5.7996974497419709E-2</v>
      </c>
      <c r="E248" s="387">
        <v>200359.63860136733</v>
      </c>
      <c r="F248" s="387">
        <v>37474.450804850654</v>
      </c>
      <c r="G248" s="387">
        <v>145748.47005149361</v>
      </c>
      <c r="H248" s="387">
        <v>732.91371017547897</v>
      </c>
      <c r="I248" s="387">
        <v>51855.126065962984</v>
      </c>
      <c r="J248" s="365">
        <f t="shared" si="76"/>
        <v>436170.59923385008</v>
      </c>
      <c r="K248" s="366">
        <v>30</v>
      </c>
      <c r="L248" s="367">
        <f t="shared" si="77"/>
        <v>5.7996974497419709E-2</v>
      </c>
      <c r="M248" s="387">
        <v>129156.25627454357</v>
      </c>
      <c r="N248" s="387">
        <v>23777.54420700089</v>
      </c>
      <c r="O248" s="387">
        <v>8138.5275009181023</v>
      </c>
      <c r="P248" s="387">
        <v>1345.12911698265</v>
      </c>
      <c r="Q248" s="387">
        <v>34450.555176226</v>
      </c>
      <c r="R248" s="387">
        <v>26046.419348478514</v>
      </c>
      <c r="S248" s="364">
        <f>$L248*'MWh Impact Summary'!$L$31</f>
        <v>9369.0889235082777</v>
      </c>
      <c r="T248" s="364">
        <f>$L248*'MWh Impact Summary'!$M$31</f>
        <v>29031.346372063952</v>
      </c>
      <c r="U248" s="387">
        <v>187936.62550768678</v>
      </c>
      <c r="V248" s="387">
        <v>247285.40233535293</v>
      </c>
      <c r="W248" s="387">
        <v>85039.308282809259</v>
      </c>
      <c r="X248" s="368">
        <f t="shared" si="68"/>
        <v>781576.20304557087</v>
      </c>
      <c r="Y248" s="364">
        <f t="shared" si="69"/>
        <v>1217746.8022794209</v>
      </c>
      <c r="Z248" s="364"/>
      <c r="AA248" s="390">
        <v>5422629.6092505148</v>
      </c>
      <c r="AB248" s="369">
        <f t="shared" si="78"/>
        <v>224.56757883703787</v>
      </c>
      <c r="AC248" s="370">
        <f t="shared" si="70"/>
        <v>80.435255708740002</v>
      </c>
      <c r="AD248" s="371">
        <f t="shared" si="71"/>
        <v>2.6811751902913335E-3</v>
      </c>
      <c r="AE248" s="370">
        <f t="shared" si="79"/>
        <v>144.13232312829788</v>
      </c>
      <c r="AF248" s="371">
        <f t="shared" si="72"/>
        <v>4.8044107709432626E-3</v>
      </c>
      <c r="AG248" s="372">
        <f t="shared" si="80"/>
        <v>7.4855859612345966E-3</v>
      </c>
      <c r="AH248" s="373">
        <f t="shared" si="73"/>
        <v>7.4855859612345957E-3</v>
      </c>
      <c r="AI248" s="374" t="b">
        <f t="shared" si="81"/>
        <v>1</v>
      </c>
      <c r="AJ248" s="375">
        <f t="shared" si="83"/>
        <v>2.0096801936084468E-4</v>
      </c>
      <c r="AL248" s="376">
        <f t="shared" si="74"/>
        <v>247285.40233535293</v>
      </c>
      <c r="AM248" s="377"/>
      <c r="AN248" s="383">
        <f t="shared" si="88"/>
        <v>45.602488120063825</v>
      </c>
      <c r="AO248" s="379">
        <f t="shared" si="87"/>
        <v>1.5200829373354608E-3</v>
      </c>
      <c r="AQ248" s="380">
        <f t="shared" si="75"/>
        <v>7.4855859612345957E-3</v>
      </c>
      <c r="AR248" s="381"/>
    </row>
    <row r="249" spans="1:44">
      <c r="A249" s="361">
        <f t="shared" si="85"/>
        <v>2025</v>
      </c>
      <c r="B249" s="361">
        <f t="shared" si="86"/>
        <v>5</v>
      </c>
      <c r="C249" s="362">
        <f t="shared" si="82"/>
        <v>208.47875842628665</v>
      </c>
      <c r="D249" s="389">
        <f t="shared" si="84"/>
        <v>0.10603105035770212</v>
      </c>
      <c r="E249" s="387">
        <v>366300.88231822749</v>
      </c>
      <c r="F249" s="387">
        <v>68511.425205346357</v>
      </c>
      <c r="G249" s="387">
        <v>266459.81969758612</v>
      </c>
      <c r="H249" s="387">
        <v>1339.9252492890625</v>
      </c>
      <c r="I249" s="387">
        <v>94802.419106357542</v>
      </c>
      <c r="J249" s="365">
        <f t="shared" si="76"/>
        <v>797414.47157680651</v>
      </c>
      <c r="K249" s="366">
        <v>31</v>
      </c>
      <c r="L249" s="367">
        <f t="shared" si="77"/>
        <v>0.10603105035770212</v>
      </c>
      <c r="M249" s="387">
        <v>236125.65365228977</v>
      </c>
      <c r="N249" s="387">
        <v>43470.508747092768</v>
      </c>
      <c r="O249" s="387">
        <v>14878.993719332429</v>
      </c>
      <c r="P249" s="387">
        <v>2459.1878175773491</v>
      </c>
      <c r="Q249" s="387">
        <v>62983.088038561888</v>
      </c>
      <c r="R249" s="387">
        <v>47618.504680778162</v>
      </c>
      <c r="S249" s="364">
        <f>$L249*'MWh Impact Summary'!$L$31</f>
        <v>17128.726938997352</v>
      </c>
      <c r="T249" s="364">
        <f>$L249*'MWh Impact Summary'!$M$31</f>
        <v>53075.598784297894</v>
      </c>
      <c r="U249" s="387">
        <v>343588.91952456417</v>
      </c>
      <c r="V249" s="387">
        <v>452091.35778127465</v>
      </c>
      <c r="W249" s="387">
        <v>155470.30266759626</v>
      </c>
      <c r="X249" s="368">
        <f t="shared" si="68"/>
        <v>1428890.8423523628</v>
      </c>
      <c r="Y249" s="364">
        <f t="shared" si="69"/>
        <v>2226305.3139291694</v>
      </c>
      <c r="Z249" s="364"/>
      <c r="AA249" s="390">
        <v>5427176.8441906935</v>
      </c>
      <c r="AB249" s="369">
        <f t="shared" si="78"/>
        <v>410.21425648073915</v>
      </c>
      <c r="AC249" s="370">
        <f t="shared" si="70"/>
        <v>146.92988536578963</v>
      </c>
      <c r="AD249" s="371">
        <f t="shared" si="71"/>
        <v>4.7396737214770853E-3</v>
      </c>
      <c r="AE249" s="370">
        <f t="shared" si="79"/>
        <v>263.28437111494947</v>
      </c>
      <c r="AF249" s="371">
        <f t="shared" si="72"/>
        <v>8.4930442295144994E-3</v>
      </c>
      <c r="AG249" s="372">
        <f t="shared" si="80"/>
        <v>1.3232717950991586E-2</v>
      </c>
      <c r="AH249" s="373">
        <f t="shared" si="73"/>
        <v>1.3232717950991586E-2</v>
      </c>
      <c r="AI249" s="374" t="b">
        <f t="shared" si="81"/>
        <v>1</v>
      </c>
      <c r="AJ249" s="375">
        <f t="shared" si="83"/>
        <v>3.5709857964603964E-4</v>
      </c>
      <c r="AL249" s="376">
        <f t="shared" si="74"/>
        <v>452091.35778127465</v>
      </c>
      <c r="AM249" s="377"/>
      <c r="AN249" s="383">
        <f t="shared" si="88"/>
        <v>83.301386846311814</v>
      </c>
      <c r="AO249" s="379">
        <f t="shared" si="87"/>
        <v>2.6871415111713488E-3</v>
      </c>
      <c r="AQ249" s="380">
        <f t="shared" si="75"/>
        <v>1.3232717950991586E-2</v>
      </c>
      <c r="AR249" s="381"/>
    </row>
    <row r="250" spans="1:44">
      <c r="A250" s="361">
        <f t="shared" si="85"/>
        <v>2025</v>
      </c>
      <c r="B250" s="361">
        <f t="shared" si="86"/>
        <v>6</v>
      </c>
      <c r="C250" s="362">
        <f t="shared" si="82"/>
        <v>271.66325293295364</v>
      </c>
      <c r="D250" s="389">
        <f t="shared" si="84"/>
        <v>0.13816630657965029</v>
      </c>
      <c r="E250" s="387">
        <v>477317.16168084031</v>
      </c>
      <c r="F250" s="387">
        <v>89275.457964404239</v>
      </c>
      <c r="G250" s="387">
        <v>347216.8672789227</v>
      </c>
      <c r="H250" s="387">
        <v>1746.0217753434608</v>
      </c>
      <c r="I250" s="387">
        <v>123534.56896402435</v>
      </c>
      <c r="J250" s="365">
        <f t="shared" si="76"/>
        <v>1039090.077663535</v>
      </c>
      <c r="K250" s="366">
        <v>30</v>
      </c>
      <c r="L250" s="367">
        <f t="shared" si="77"/>
        <v>0.13816630657965029</v>
      </c>
      <c r="M250" s="387">
        <v>307689.20371703862</v>
      </c>
      <c r="N250" s="387">
        <v>56645.290398067817</v>
      </c>
      <c r="O250" s="387">
        <v>19388.430095587028</v>
      </c>
      <c r="P250" s="387">
        <v>3204.5037448377184</v>
      </c>
      <c r="Q250" s="387">
        <v>82071.625452278866</v>
      </c>
      <c r="R250" s="387">
        <v>62050.436116527519</v>
      </c>
      <c r="S250" s="364">
        <f>$L250*'MWh Impact Summary'!$L$31</f>
        <v>22319.998996413902</v>
      </c>
      <c r="T250" s="364">
        <f>$L250*'MWh Impact Summary'!$M$31</f>
        <v>69161.433644112985</v>
      </c>
      <c r="U250" s="387">
        <v>447721.79311862605</v>
      </c>
      <c r="V250" s="387">
        <v>589108.50105221628</v>
      </c>
      <c r="W250" s="387">
        <v>202589.31162084595</v>
      </c>
      <c r="X250" s="368">
        <f t="shared" si="68"/>
        <v>1861950.5279565528</v>
      </c>
      <c r="Y250" s="364">
        <f t="shared" si="69"/>
        <v>2901040.6056200881</v>
      </c>
      <c r="Z250" s="364"/>
      <c r="AA250" s="390">
        <v>5431720.3103298927</v>
      </c>
      <c r="AB250" s="369">
        <f t="shared" si="78"/>
        <v>534.09241269344648</v>
      </c>
      <c r="AC250" s="370">
        <f t="shared" si="70"/>
        <v>191.30036494836133</v>
      </c>
      <c r="AD250" s="371">
        <f t="shared" si="71"/>
        <v>6.3766788316120442E-3</v>
      </c>
      <c r="AE250" s="370">
        <f t="shared" si="79"/>
        <v>342.79204774508503</v>
      </c>
      <c r="AF250" s="371">
        <f t="shared" si="72"/>
        <v>1.1426401591502834E-2</v>
      </c>
      <c r="AG250" s="372">
        <f>AD250+AF250</f>
        <v>1.7803080423114879E-2</v>
      </c>
      <c r="AH250" s="373">
        <f t="shared" si="73"/>
        <v>1.7803080423114882E-2</v>
      </c>
      <c r="AI250" s="374" t="b">
        <f t="shared" si="81"/>
        <v>1</v>
      </c>
      <c r="AJ250" s="375">
        <f t="shared" si="83"/>
        <v>4.8290130399451792E-4</v>
      </c>
      <c r="AL250" s="376">
        <f t="shared" si="74"/>
        <v>589108.50105221628</v>
      </c>
      <c r="AM250" s="377"/>
      <c r="AN250" s="383">
        <f t="shared" si="88"/>
        <v>108.45707573194929</v>
      </c>
      <c r="AO250" s="379">
        <f t="shared" si="87"/>
        <v>3.6152358577316427E-3</v>
      </c>
      <c r="AQ250" s="380">
        <f t="shared" si="75"/>
        <v>1.7803080423114882E-2</v>
      </c>
      <c r="AR250" s="381"/>
    </row>
    <row r="251" spans="1:44">
      <c r="A251" s="361">
        <f t="shared" si="85"/>
        <v>2025</v>
      </c>
      <c r="B251" s="361">
        <f t="shared" si="86"/>
        <v>7</v>
      </c>
      <c r="C251" s="362">
        <f t="shared" si="82"/>
        <v>322.31916585708109</v>
      </c>
      <c r="D251" s="389">
        <f t="shared" si="84"/>
        <v>0.16392960109808263</v>
      </c>
      <c r="E251" s="387">
        <v>566320.50062438031</v>
      </c>
      <c r="F251" s="387">
        <v>105922.27999897132</v>
      </c>
      <c r="G251" s="387">
        <v>411960.9473294192</v>
      </c>
      <c r="H251" s="387">
        <v>2071.5951683605035</v>
      </c>
      <c r="I251" s="387">
        <v>146569.54443825842</v>
      </c>
      <c r="J251" s="365">
        <f t="shared" si="76"/>
        <v>1232844.8675593899</v>
      </c>
      <c r="K251" s="366">
        <v>31</v>
      </c>
      <c r="L251" s="367">
        <f t="shared" si="77"/>
        <v>0.16392960109808263</v>
      </c>
      <c r="M251" s="387">
        <v>365062.72532112215</v>
      </c>
      <c r="N251" s="387">
        <v>67207.701276194974</v>
      </c>
      <c r="O251" s="387">
        <v>23003.709733352316</v>
      </c>
      <c r="P251" s="387">
        <v>3802.0341833898992</v>
      </c>
      <c r="Q251" s="387">
        <v>97375.178905193927</v>
      </c>
      <c r="R251" s="387">
        <v>73620.721957132904</v>
      </c>
      <c r="S251" s="364">
        <f>$L251*'MWh Impact Summary'!$L$31</f>
        <v>26481.916051526234</v>
      </c>
      <c r="T251" s="364">
        <f>$L251*'MWh Impact Summary'!$M$31</f>
        <v>82057.677514271796</v>
      </c>
      <c r="U251" s="387">
        <v>531206.60720957955</v>
      </c>
      <c r="V251" s="387">
        <v>698957.10446097131</v>
      </c>
      <c r="W251" s="387">
        <v>240365.29500479388</v>
      </c>
      <c r="X251" s="368">
        <f t="shared" si="68"/>
        <v>2209140.6716175289</v>
      </c>
      <c r="Y251" s="364">
        <f t="shared" si="69"/>
        <v>3441985.5391769186</v>
      </c>
      <c r="Z251" s="364"/>
      <c r="AA251" s="390">
        <v>5436311.5981648155</v>
      </c>
      <c r="AB251" s="369">
        <f t="shared" si="78"/>
        <v>633.14721333097623</v>
      </c>
      <c r="AC251" s="370">
        <f t="shared" si="70"/>
        <v>226.77965478939294</v>
      </c>
      <c r="AD251" s="371">
        <f t="shared" si="71"/>
        <v>7.315472735141707E-3</v>
      </c>
      <c r="AE251" s="370">
        <f t="shared" si="79"/>
        <v>406.36755854158332</v>
      </c>
      <c r="AF251" s="371">
        <f t="shared" si="72"/>
        <v>1.3108630920696236E-2</v>
      </c>
      <c r="AG251" s="372">
        <f t="shared" si="80"/>
        <v>2.0424103655837942E-2</v>
      </c>
      <c r="AH251" s="373">
        <f t="shared" si="73"/>
        <v>2.0424103655837942E-2</v>
      </c>
      <c r="AI251" s="374" t="b">
        <f t="shared" si="81"/>
        <v>1</v>
      </c>
      <c r="AJ251" s="375">
        <f t="shared" si="83"/>
        <v>5.5690695345555E-4</v>
      </c>
      <c r="AL251" s="376">
        <f t="shared" si="74"/>
        <v>698957.10446097131</v>
      </c>
      <c r="AM251" s="377"/>
      <c r="AN251" s="383">
        <f t="shared" si="88"/>
        <v>128.57193555588768</v>
      </c>
      <c r="AO251" s="379">
        <f t="shared" si="87"/>
        <v>4.1474817921254084E-3</v>
      </c>
      <c r="AQ251" s="380">
        <f t="shared" si="75"/>
        <v>2.0424103655837942E-2</v>
      </c>
      <c r="AR251" s="381"/>
    </row>
    <row r="252" spans="1:44">
      <c r="A252" s="361">
        <f t="shared" si="85"/>
        <v>2025</v>
      </c>
      <c r="B252" s="361">
        <f t="shared" si="86"/>
        <v>8</v>
      </c>
      <c r="C252" s="362">
        <f t="shared" si="82"/>
        <v>326.45437890907908</v>
      </c>
      <c r="D252" s="389">
        <f t="shared" si="84"/>
        <v>0.16603274573816959</v>
      </c>
      <c r="E252" s="387">
        <v>573586.14342153992</v>
      </c>
      <c r="F252" s="387">
        <v>107281.21623716992</v>
      </c>
      <c r="G252" s="387">
        <v>417246.22498822724</v>
      </c>
      <c r="H252" s="387">
        <v>2098.1728227047038</v>
      </c>
      <c r="I252" s="387">
        <v>148449.96719119902</v>
      </c>
      <c r="J252" s="365">
        <f t="shared" si="76"/>
        <v>1248661.7246608408</v>
      </c>
      <c r="K252" s="366">
        <v>31</v>
      </c>
      <c r="L252" s="367">
        <f t="shared" si="77"/>
        <v>0.16603274573816959</v>
      </c>
      <c r="M252" s="387">
        <v>369746.31943049404</v>
      </c>
      <c r="N252" s="387">
        <v>68069.946506859706</v>
      </c>
      <c r="O252" s="387">
        <v>23298.837205777931</v>
      </c>
      <c r="P252" s="387">
        <v>3850.8126087667752</v>
      </c>
      <c r="Q252" s="387">
        <v>98624.459597760448</v>
      </c>
      <c r="R252" s="387">
        <v>74565.243420897299</v>
      </c>
      <c r="S252" s="364">
        <f>$L252*'MWh Impact Summary'!$L$31</f>
        <v>26821.667380327894</v>
      </c>
      <c r="T252" s="364">
        <f>$L252*'MWh Impact Summary'!$M$31</f>
        <v>83110.441404905971</v>
      </c>
      <c r="U252" s="387">
        <v>538021.75420712004</v>
      </c>
      <c r="V252" s="387">
        <v>707924.41651474894</v>
      </c>
      <c r="W252" s="387">
        <v>243449.07595994783</v>
      </c>
      <c r="X252" s="368">
        <f t="shared" si="68"/>
        <v>2237482.9742376069</v>
      </c>
      <c r="Y252" s="364">
        <f t="shared" si="69"/>
        <v>3486144.6988984477</v>
      </c>
      <c r="Z252" s="364"/>
      <c r="AA252" s="390">
        <v>5440926.2620600108</v>
      </c>
      <c r="AB252" s="369">
        <f t="shared" si="78"/>
        <v>640.7263269137826</v>
      </c>
      <c r="AC252" s="370">
        <f t="shared" si="70"/>
        <v>229.49432955338011</v>
      </c>
      <c r="AD252" s="371">
        <f t="shared" si="71"/>
        <v>7.4030428888187134E-3</v>
      </c>
      <c r="AE252" s="370">
        <f t="shared" si="79"/>
        <v>411.23199736040249</v>
      </c>
      <c r="AF252" s="371">
        <f t="shared" si="72"/>
        <v>1.3265548301948467E-2</v>
      </c>
      <c r="AG252" s="372">
        <f t="shared" si="80"/>
        <v>2.066859119076718E-2</v>
      </c>
      <c r="AH252" s="373">
        <f t="shared" si="73"/>
        <v>2.066859119076718E-2</v>
      </c>
      <c r="AI252" s="374" t="b">
        <f t="shared" si="81"/>
        <v>1</v>
      </c>
      <c r="AJ252" s="375">
        <f t="shared" si="83"/>
        <v>5.6655899646814931E-4</v>
      </c>
      <c r="AL252" s="376">
        <f t="shared" si="74"/>
        <v>707924.41651474894</v>
      </c>
      <c r="AM252" s="377"/>
      <c r="AN252" s="383">
        <f t="shared" si="88"/>
        <v>130.11101095987263</v>
      </c>
      <c r="AO252" s="379">
        <f t="shared" si="87"/>
        <v>4.1971293858023432E-3</v>
      </c>
      <c r="AQ252" s="380">
        <f t="shared" si="75"/>
        <v>2.066859119076718E-2</v>
      </c>
      <c r="AR252" s="381"/>
    </row>
    <row r="253" spans="1:44">
      <c r="A253" s="361">
        <f t="shared" si="85"/>
        <v>2025</v>
      </c>
      <c r="B253" s="361">
        <f t="shared" si="86"/>
        <v>9</v>
      </c>
      <c r="C253" s="362">
        <f t="shared" si="82"/>
        <v>277.87653293728147</v>
      </c>
      <c r="D253" s="389">
        <f t="shared" si="84"/>
        <v>0.14132634365008559</v>
      </c>
      <c r="E253" s="387">
        <v>488234.00503147935</v>
      </c>
      <c r="F253" s="387">
        <v>91317.299883982312</v>
      </c>
      <c r="G253" s="387">
        <v>355158.15339450171</v>
      </c>
      <c r="H253" s="387">
        <v>1785.9554876388813</v>
      </c>
      <c r="I253" s="387">
        <v>126359.95980691788</v>
      </c>
      <c r="J253" s="365">
        <f t="shared" si="76"/>
        <v>1062855.37360452</v>
      </c>
      <c r="K253" s="366">
        <v>30</v>
      </c>
      <c r="L253" s="367">
        <f t="shared" si="77"/>
        <v>0.14132634365008559</v>
      </c>
      <c r="M253" s="387">
        <v>314726.44249100878</v>
      </c>
      <c r="N253" s="387">
        <v>57940.839377806064</v>
      </c>
      <c r="O253" s="387">
        <v>19831.867858065529</v>
      </c>
      <c r="P253" s="387">
        <v>3277.7947727063565</v>
      </c>
      <c r="Q253" s="387">
        <v>83948.706668968778</v>
      </c>
      <c r="R253" s="387">
        <v>63469.607571703295</v>
      </c>
      <c r="S253" s="364">
        <f>$L253*'MWh Impact Summary'!$L$31</f>
        <v>22830.485423870701</v>
      </c>
      <c r="T253" s="364">
        <f>$L253*'MWh Impact Summary'!$M$31</f>
        <v>70743.242549411152</v>
      </c>
      <c r="U253" s="387">
        <v>457961.75319659925</v>
      </c>
      <c r="V253" s="387">
        <v>602582.15282679279</v>
      </c>
      <c r="W253" s="387">
        <v>207222.78377946364</v>
      </c>
      <c r="X253" s="368">
        <f t="shared" si="68"/>
        <v>1904535.6765163965</v>
      </c>
      <c r="Y253" s="364">
        <f t="shared" si="69"/>
        <v>2967391.0501209162</v>
      </c>
      <c r="Z253" s="364"/>
      <c r="AA253" s="390">
        <v>5445455.1194933662</v>
      </c>
      <c r="AB253" s="369">
        <f t="shared" si="78"/>
        <v>544.92985159282637</v>
      </c>
      <c r="AC253" s="370">
        <f t="shared" si="70"/>
        <v>195.18210145553562</v>
      </c>
      <c r="AD253" s="371">
        <f t="shared" si="71"/>
        <v>6.5060700485178539E-3</v>
      </c>
      <c r="AE253" s="370">
        <f t="shared" si="79"/>
        <v>349.74775013729072</v>
      </c>
      <c r="AF253" s="371">
        <f t="shared" si="72"/>
        <v>1.1658258337909691E-2</v>
      </c>
      <c r="AG253" s="372">
        <f t="shared" si="80"/>
        <v>1.8164328386427543E-2</v>
      </c>
      <c r="AH253" s="373">
        <f t="shared" si="73"/>
        <v>1.8164328386427547E-2</v>
      </c>
      <c r="AI253" s="374" t="b">
        <f t="shared" si="81"/>
        <v>1</v>
      </c>
      <c r="AJ253" s="375">
        <f t="shared" si="83"/>
        <v>5.0038931087538138E-4</v>
      </c>
      <c r="AL253" s="376">
        <f t="shared" si="74"/>
        <v>602582.15282679279</v>
      </c>
      <c r="AM253" s="377"/>
      <c r="AN253" s="383">
        <f t="shared" si="88"/>
        <v>110.65781272711249</v>
      </c>
      <c r="AO253" s="379">
        <f t="shared" si="87"/>
        <v>3.6885937575704161E-3</v>
      </c>
      <c r="AQ253" s="380">
        <f t="shared" si="75"/>
        <v>1.8164328386427547E-2</v>
      </c>
      <c r="AR253" s="381"/>
    </row>
    <row r="254" spans="1:44">
      <c r="A254" s="361">
        <f t="shared" si="85"/>
        <v>2025</v>
      </c>
      <c r="B254" s="361">
        <f t="shared" si="86"/>
        <v>10</v>
      </c>
      <c r="C254" s="362">
        <f t="shared" si="82"/>
        <v>198.89039579254836</v>
      </c>
      <c r="D254" s="389">
        <f t="shared" si="84"/>
        <v>0.10115446643644242</v>
      </c>
      <c r="E254" s="387">
        <v>349453.95882713568</v>
      </c>
      <c r="F254" s="387">
        <v>65360.4452475711</v>
      </c>
      <c r="G254" s="387">
        <v>254204.78998680465</v>
      </c>
      <c r="H254" s="387">
        <v>1278.2993585303723</v>
      </c>
      <c r="I254" s="387">
        <v>90442.262801662364</v>
      </c>
      <c r="J254" s="365">
        <f t="shared" si="76"/>
        <v>760739.75622170407</v>
      </c>
      <c r="K254" s="366">
        <v>31</v>
      </c>
      <c r="L254" s="367">
        <f t="shared" si="77"/>
        <v>0.10115446643644242</v>
      </c>
      <c r="M254" s="387">
        <v>225265.75400861859</v>
      </c>
      <c r="N254" s="387">
        <v>41471.211529061839</v>
      </c>
      <c r="O254" s="387">
        <v>14194.678499484662</v>
      </c>
      <c r="P254" s="387">
        <v>2346.0847621035214</v>
      </c>
      <c r="Q254" s="387">
        <v>60086.36756466324</v>
      </c>
      <c r="R254" s="387">
        <v>45428.432683025436</v>
      </c>
      <c r="S254" s="364">
        <f>$L254*'MWh Impact Summary'!$L$31</f>
        <v>16340.941907154605</v>
      </c>
      <c r="T254" s="364">
        <f>$L254*'MWh Impact Summary'!$M$31</f>
        <v>50634.543916223243</v>
      </c>
      <c r="U254" s="387">
        <v>327786.56545163982</v>
      </c>
      <c r="V254" s="387">
        <v>431298.75562502822</v>
      </c>
      <c r="W254" s="387">
        <v>148319.90685745887</v>
      </c>
      <c r="X254" s="368">
        <f t="shared" si="68"/>
        <v>1363173.2428044621</v>
      </c>
      <c r="Y254" s="364">
        <f t="shared" si="69"/>
        <v>2123912.9990261663</v>
      </c>
      <c r="Z254" s="364"/>
      <c r="AA254" s="390">
        <v>5450014.5728547378</v>
      </c>
      <c r="AB254" s="369">
        <f t="shared" si="78"/>
        <v>389.70776511403943</v>
      </c>
      <c r="AC254" s="370">
        <f t="shared" si="70"/>
        <v>139.58490313232792</v>
      </c>
      <c r="AD254" s="371">
        <f t="shared" si="71"/>
        <v>4.5027388107202549E-3</v>
      </c>
      <c r="AE254" s="370">
        <f t="shared" si="79"/>
        <v>250.12286198171154</v>
      </c>
      <c r="AF254" s="371">
        <f t="shared" si="72"/>
        <v>8.0684794187648873E-3</v>
      </c>
      <c r="AG254" s="372">
        <f t="shared" si="80"/>
        <v>1.2571218229485141E-2</v>
      </c>
      <c r="AH254" s="373">
        <f t="shared" si="73"/>
        <v>1.2571218229485143E-2</v>
      </c>
      <c r="AI254" s="374" t="b">
        <f t="shared" si="81"/>
        <v>1</v>
      </c>
      <c r="AJ254" s="375">
        <f t="shared" si="83"/>
        <v>3.4805327252933164E-4</v>
      </c>
      <c r="AL254" s="376">
        <f t="shared" si="74"/>
        <v>431298.75562502822</v>
      </c>
      <c r="AM254" s="377"/>
      <c r="AN254" s="383">
        <f t="shared" si="88"/>
        <v>79.137174746876383</v>
      </c>
      <c r="AO254" s="379">
        <f t="shared" si="87"/>
        <v>2.5528120886089156E-3</v>
      </c>
      <c r="AQ254" s="380">
        <f t="shared" si="75"/>
        <v>1.2571218229485143E-2</v>
      </c>
      <c r="AR254" s="381"/>
    </row>
    <row r="255" spans="1:44">
      <c r="A255" s="361">
        <f t="shared" si="85"/>
        <v>2025</v>
      </c>
      <c r="B255" s="361">
        <f t="shared" si="86"/>
        <v>11</v>
      </c>
      <c r="C255" s="362">
        <f t="shared" si="82"/>
        <v>78.117279066674627</v>
      </c>
      <c r="D255" s="389">
        <f t="shared" si="84"/>
        <v>3.9729981188725644E-2</v>
      </c>
      <c r="E255" s="387">
        <v>137253.4471253556</v>
      </c>
      <c r="F255" s="387">
        <v>25671.325762015062</v>
      </c>
      <c r="G255" s="387">
        <v>99842.862901219225</v>
      </c>
      <c r="H255" s="387">
        <v>502.07184375671858</v>
      </c>
      <c r="I255" s="387">
        <v>35522.597531899955</v>
      </c>
      <c r="J255" s="365">
        <f t="shared" si="76"/>
        <v>298792.30516424659</v>
      </c>
      <c r="K255" s="366">
        <v>30</v>
      </c>
      <c r="L255" s="367">
        <f t="shared" si="77"/>
        <v>3.9729981188725644E-2</v>
      </c>
      <c r="M255" s="387">
        <v>88476.608937973826</v>
      </c>
      <c r="N255" s="387">
        <v>16288.459738538029</v>
      </c>
      <c r="O255" s="387">
        <v>5575.1795213005144</v>
      </c>
      <c r="P255" s="387">
        <v>921.46107581017804</v>
      </c>
      <c r="Q255" s="387">
        <v>23599.850181038466</v>
      </c>
      <c r="R255" s="387">
        <v>17842.719550737089</v>
      </c>
      <c r="S255" s="364">
        <f>$L255*'MWh Impact Summary'!$L$31</f>
        <v>6418.1576696391712</v>
      </c>
      <c r="T255" s="364">
        <f>$L255*'MWh Impact Summary'!$M$31</f>
        <v>19887.500257393509</v>
      </c>
      <c r="U255" s="387">
        <v>128743.24326047675</v>
      </c>
      <c r="V255" s="387">
        <v>169399.25691239504</v>
      </c>
      <c r="W255" s="387">
        <v>58254.937393821587</v>
      </c>
      <c r="X255" s="368">
        <f t="shared" si="68"/>
        <v>535407.37449912413</v>
      </c>
      <c r="Y255" s="364">
        <f t="shared" si="69"/>
        <v>834199.67966337071</v>
      </c>
      <c r="Z255" s="364"/>
      <c r="AA255" s="390">
        <v>5454581.94816502</v>
      </c>
      <c r="AB255" s="369">
        <f t="shared" si="78"/>
        <v>152.93558472322604</v>
      </c>
      <c r="AC255" s="370">
        <f t="shared" si="70"/>
        <v>54.778222786581011</v>
      </c>
      <c r="AD255" s="371">
        <f t="shared" si="71"/>
        <v>1.8259407595527003E-3</v>
      </c>
      <c r="AE255" s="370">
        <f t="shared" si="79"/>
        <v>98.157361936645003</v>
      </c>
      <c r="AF255" s="371">
        <f t="shared" si="72"/>
        <v>3.2719120645548334E-3</v>
      </c>
      <c r="AG255" s="372">
        <f t="shared" si="80"/>
        <v>5.0978528241075339E-3</v>
      </c>
      <c r="AH255" s="373">
        <f t="shared" si="73"/>
        <v>5.0978528241075348E-3</v>
      </c>
      <c r="AI255" s="374" t="b">
        <f t="shared" si="81"/>
        <v>1</v>
      </c>
      <c r="AJ255" s="375">
        <f t="shared" si="83"/>
        <v>1.418502820141861E-4</v>
      </c>
      <c r="AL255" s="376">
        <f t="shared" si="74"/>
        <v>169399.25691239504</v>
      </c>
      <c r="AM255" s="377"/>
      <c r="AN255" s="383">
        <f t="shared" si="88"/>
        <v>31.05632265170803</v>
      </c>
      <c r="AO255" s="379">
        <f t="shared" si="87"/>
        <v>1.0352107550569342E-3</v>
      </c>
      <c r="AQ255" s="380">
        <f t="shared" si="75"/>
        <v>5.0978528241075348E-3</v>
      </c>
      <c r="AR255" s="381"/>
    </row>
    <row r="256" spans="1:44">
      <c r="A256" s="361">
        <f t="shared" si="85"/>
        <v>2025</v>
      </c>
      <c r="B256" s="361">
        <f t="shared" si="86"/>
        <v>12</v>
      </c>
      <c r="C256" s="362">
        <f t="shared" si="82"/>
        <v>42.633806123140985</v>
      </c>
      <c r="D256" s="389">
        <f t="shared" si="84"/>
        <v>2.1683298951445065E-2</v>
      </c>
      <c r="E256" s="387">
        <v>74908.354776165535</v>
      </c>
      <c r="F256" s="387">
        <v>14010.553600152869</v>
      </c>
      <c r="G256" s="387">
        <v>54490.905348569104</v>
      </c>
      <c r="H256" s="387">
        <v>274.01407092459129</v>
      </c>
      <c r="I256" s="387">
        <v>19387.049245183833</v>
      </c>
      <c r="J256" s="365">
        <f t="shared" si="76"/>
        <v>163070.87704099593</v>
      </c>
      <c r="K256" s="366">
        <v>31</v>
      </c>
      <c r="L256" s="367">
        <f t="shared" si="77"/>
        <v>2.1683298951445065E-2</v>
      </c>
      <c r="M256" s="387">
        <v>48287.582938916523</v>
      </c>
      <c r="N256" s="387">
        <v>8889.6981926969165</v>
      </c>
      <c r="O256" s="387">
        <v>3042.7470804501277</v>
      </c>
      <c r="P256" s="387">
        <v>502.90272940230284</v>
      </c>
      <c r="Q256" s="387">
        <v>12880.011300634238</v>
      </c>
      <c r="R256" s="387">
        <v>9737.9613719831086</v>
      </c>
      <c r="S256" s="364">
        <f>$L256*'MWh Impact Summary'!$L$31</f>
        <v>3502.8164450223335</v>
      </c>
      <c r="T256" s="364">
        <f>$L256*'MWh Impact Summary'!$M$31</f>
        <v>10853.934499228388</v>
      </c>
      <c r="U256" s="387">
        <v>70263.769276279229</v>
      </c>
      <c r="V256" s="387">
        <v>92452.465867928739</v>
      </c>
      <c r="W256" s="387">
        <v>31793.602340451194</v>
      </c>
      <c r="X256" s="368">
        <f t="shared" si="68"/>
        <v>292207.49204299314</v>
      </c>
      <c r="Y256" s="364">
        <f t="shared" si="69"/>
        <v>455278.36908398906</v>
      </c>
      <c r="Z256" s="364">
        <f>SUM(Y245:Y256)</f>
        <v>20996729.792061798</v>
      </c>
      <c r="AA256" s="390">
        <v>5459151.0861720592</v>
      </c>
      <c r="AB256" s="369">
        <f t="shared" si="78"/>
        <v>83.397283185146094</v>
      </c>
      <c r="AC256" s="370">
        <f t="shared" si="70"/>
        <v>29.871105317830789</v>
      </c>
      <c r="AD256" s="371">
        <f t="shared" si="71"/>
        <v>9.6358404251067062E-4</v>
      </c>
      <c r="AE256" s="370">
        <f t="shared" si="79"/>
        <v>53.526177867315297</v>
      </c>
      <c r="AF256" s="371">
        <f t="shared" si="72"/>
        <v>1.7266508989456548E-3</v>
      </c>
      <c r="AG256" s="372">
        <f t="shared" si="80"/>
        <v>2.6902349414563253E-3</v>
      </c>
      <c r="AH256" s="373">
        <f t="shared" si="73"/>
        <v>2.6902349414563258E-3</v>
      </c>
      <c r="AI256" s="374" t="b">
        <f t="shared" si="81"/>
        <v>1</v>
      </c>
      <c r="AJ256" s="375">
        <f t="shared" si="83"/>
        <v>7.5231106926238953E-5</v>
      </c>
      <c r="AL256" s="376">
        <f t="shared" si="74"/>
        <v>92452.465867928739</v>
      </c>
      <c r="AM256" s="377">
        <f>SUM(AL245:AL256)</f>
        <v>4263763.8338592062</v>
      </c>
      <c r="AN256" s="383">
        <f t="shared" si="88"/>
        <v>16.935319138191527</v>
      </c>
      <c r="AO256" s="379">
        <f t="shared" si="87"/>
        <v>5.4630061736101701E-4</v>
      </c>
      <c r="AQ256" s="380">
        <f t="shared" si="75"/>
        <v>2.6902349414563258E-3</v>
      </c>
      <c r="AR256" s="381"/>
    </row>
    <row r="257" spans="1:44">
      <c r="A257" s="361">
        <f t="shared" si="85"/>
        <v>2026</v>
      </c>
      <c r="B257" s="361">
        <f t="shared" si="86"/>
        <v>1</v>
      </c>
      <c r="C257" s="362">
        <f t="shared" si="82"/>
        <v>26.112829868525239</v>
      </c>
      <c r="D257" s="389">
        <f t="shared" si="84"/>
        <v>1.3280829182176284E-2</v>
      </c>
      <c r="E257" s="387">
        <v>46129.807655694538</v>
      </c>
      <c r="F257" s="387">
        <v>9198.3575070110764</v>
      </c>
      <c r="G257" s="387">
        <v>33793.111949938575</v>
      </c>
      <c r="H257" s="387">
        <v>169.93312024913459</v>
      </c>
      <c r="I257" s="387">
        <v>12023.083876668879</v>
      </c>
      <c r="J257" s="365">
        <f t="shared" si="76"/>
        <v>101314.29410956221</v>
      </c>
      <c r="K257" s="366">
        <v>31</v>
      </c>
      <c r="L257" s="367">
        <f t="shared" si="77"/>
        <v>1.3280829182176284E-2</v>
      </c>
      <c r="M257" s="387">
        <v>31265.140993001882</v>
      </c>
      <c r="N257" s="387">
        <v>6355.2346878836479</v>
      </c>
      <c r="O257" s="387">
        <v>1957.4149116309263</v>
      </c>
      <c r="P257" s="387">
        <v>322.5031153819051</v>
      </c>
      <c r="Q257" s="387">
        <v>8133.0517802496288</v>
      </c>
      <c r="R257" s="387">
        <v>6526.7002822340628</v>
      </c>
      <c r="S257" s="364">
        <f>$L257*'MWh Impact Summary'!$L$32</f>
        <v>2344.1717527245287</v>
      </c>
      <c r="T257" s="364">
        <f>$L257*'MWh Impact Summary'!$M$32</f>
        <v>7293.7543072079552</v>
      </c>
      <c r="U257" s="387">
        <v>47177.742504660768</v>
      </c>
      <c r="V257" s="387">
        <v>56764.186854162479</v>
      </c>
      <c r="W257" s="387">
        <v>19473.300751656716</v>
      </c>
      <c r="X257" s="368">
        <f t="shared" si="68"/>
        <v>187613.20194079453</v>
      </c>
      <c r="Y257" s="364">
        <f t="shared" si="69"/>
        <v>288927.49605035677</v>
      </c>
      <c r="Z257" s="364"/>
      <c r="AA257" s="390">
        <v>5463737.3974974714</v>
      </c>
      <c r="AB257" s="369">
        <f t="shared" si="78"/>
        <v>52.880926558200393</v>
      </c>
      <c r="AC257" s="370">
        <f t="shared" si="70"/>
        <v>18.54303871850918</v>
      </c>
      <c r="AD257" s="371">
        <f t="shared" si="71"/>
        <v>5.9816253930674776E-4</v>
      </c>
      <c r="AE257" s="370">
        <f t="shared" si="79"/>
        <v>34.337887839691213</v>
      </c>
      <c r="AF257" s="371">
        <f t="shared" si="72"/>
        <v>1.1076738012803617E-3</v>
      </c>
      <c r="AG257" s="372">
        <f t="shared" si="80"/>
        <v>1.7058363405871094E-3</v>
      </c>
      <c r="AH257" s="373">
        <f t="shared" si="73"/>
        <v>1.7058363405871096E-3</v>
      </c>
      <c r="AI257" s="374" t="b">
        <f t="shared" si="81"/>
        <v>1</v>
      </c>
      <c r="AJ257" s="375">
        <f t="shared" si="83"/>
        <v>4.2116131048051779E-5</v>
      </c>
      <c r="AL257" s="376">
        <f t="shared" si="74"/>
        <v>56764.186854162479</v>
      </c>
      <c r="AM257" s="384"/>
      <c r="AN257" s="383">
        <f t="shared" si="88"/>
        <v>10.389259718111983</v>
      </c>
      <c r="AO257" s="379">
        <f t="shared" si="87"/>
        <v>3.3513741026167684E-4</v>
      </c>
      <c r="AQ257" s="380">
        <f t="shared" si="75"/>
        <v>1.7058363405871096E-3</v>
      </c>
      <c r="AR257" s="381"/>
    </row>
    <row r="258" spans="1:44">
      <c r="A258" s="361">
        <f t="shared" si="85"/>
        <v>2026</v>
      </c>
      <c r="B258" s="361">
        <f t="shared" si="86"/>
        <v>2</v>
      </c>
      <c r="C258" s="362">
        <f t="shared" si="82"/>
        <v>35.042184420393127</v>
      </c>
      <c r="D258" s="389">
        <f t="shared" si="84"/>
        <v>1.7822245532205266E-2</v>
      </c>
      <c r="E258" s="387">
        <v>61904.023244011754</v>
      </c>
      <c r="F258" s="387">
        <v>12343.761352112459</v>
      </c>
      <c r="G258" s="387">
        <v>45348.760247393933</v>
      </c>
      <c r="H258" s="387">
        <v>228.0422217310346</v>
      </c>
      <c r="I258" s="387">
        <v>16134.410733319744</v>
      </c>
      <c r="J258" s="365">
        <f t="shared" si="76"/>
        <v>135958.99779856892</v>
      </c>
      <c r="K258" s="366">
        <v>28</v>
      </c>
      <c r="L258" s="367">
        <f t="shared" si="77"/>
        <v>1.7822245532205266E-2</v>
      </c>
      <c r="M258" s="387">
        <v>41956.342614820576</v>
      </c>
      <c r="N258" s="387">
        <v>8528.4248045489894</v>
      </c>
      <c r="O258" s="387">
        <v>2626.7583661346116</v>
      </c>
      <c r="P258" s="387">
        <v>432.7839495858629</v>
      </c>
      <c r="Q258" s="387">
        <v>10914.171379320134</v>
      </c>
      <c r="R258" s="387">
        <v>8758.5235341478765</v>
      </c>
      <c r="S258" s="364">
        <f>$L258*'MWh Impact Summary'!$L$32</f>
        <v>3145.7677810347714</v>
      </c>
      <c r="T258" s="364">
        <f>$L258*'MWh Impact Summary'!$M$32</f>
        <v>9787.8738090462139</v>
      </c>
      <c r="U258" s="387">
        <v>63310.302319198992</v>
      </c>
      <c r="V258" s="387">
        <v>76174.857885272795</v>
      </c>
      <c r="W258" s="387">
        <v>26132.249918873826</v>
      </c>
      <c r="X258" s="368">
        <f t="shared" si="68"/>
        <v>251768.05636198467</v>
      </c>
      <c r="Y258" s="364">
        <f t="shared" si="69"/>
        <v>387727.05416055361</v>
      </c>
      <c r="Z258" s="364"/>
      <c r="AA258" s="390">
        <v>5468304.7475988464</v>
      </c>
      <c r="AB258" s="369">
        <f t="shared" si="78"/>
        <v>70.904434199795844</v>
      </c>
      <c r="AC258" s="370">
        <f t="shared" si="70"/>
        <v>24.863098176499584</v>
      </c>
      <c r="AD258" s="371">
        <f t="shared" si="71"/>
        <v>8.8796779201784229E-4</v>
      </c>
      <c r="AE258" s="370">
        <f t="shared" si="79"/>
        <v>46.041336023296246</v>
      </c>
      <c r="AF258" s="371">
        <f t="shared" si="72"/>
        <v>1.6443334294034373E-3</v>
      </c>
      <c r="AG258" s="372">
        <f t="shared" si="80"/>
        <v>2.5323012214212796E-3</v>
      </c>
      <c r="AH258" s="373">
        <f t="shared" si="73"/>
        <v>2.5323012214212804E-3</v>
      </c>
      <c r="AI258" s="374" t="b">
        <f t="shared" si="81"/>
        <v>1</v>
      </c>
      <c r="AJ258" s="375">
        <f t="shared" si="83"/>
        <v>6.2872889712840135E-5</v>
      </c>
      <c r="AL258" s="376">
        <f t="shared" si="74"/>
        <v>76174.857885272795</v>
      </c>
      <c r="AM258" s="384"/>
      <c r="AN258" s="383">
        <f t="shared" si="88"/>
        <v>13.930251037804993</v>
      </c>
      <c r="AO258" s="379">
        <f t="shared" si="87"/>
        <v>4.9750896563589256E-4</v>
      </c>
      <c r="AQ258" s="380">
        <f t="shared" si="75"/>
        <v>2.5323012214212804E-3</v>
      </c>
      <c r="AR258" s="381"/>
    </row>
    <row r="259" spans="1:44">
      <c r="A259" s="361">
        <f t="shared" si="85"/>
        <v>2026</v>
      </c>
      <c r="B259" s="361">
        <f t="shared" si="86"/>
        <v>3</v>
      </c>
      <c r="C259" s="362">
        <f t="shared" si="82"/>
        <v>64.582270600115152</v>
      </c>
      <c r="D259" s="389">
        <f t="shared" si="84"/>
        <v>3.2846156787895278E-2</v>
      </c>
      <c r="E259" s="387">
        <v>114088.27521762509</v>
      </c>
      <c r="F259" s="387">
        <v>22749.384750153848</v>
      </c>
      <c r="G259" s="387">
        <v>83577.150058389074</v>
      </c>
      <c r="H259" s="387">
        <v>420.27872165167707</v>
      </c>
      <c r="I259" s="387">
        <v>29735.500146111277</v>
      </c>
      <c r="J259" s="365">
        <f t="shared" si="76"/>
        <v>250570.58889393095</v>
      </c>
      <c r="K259" s="366">
        <v>31</v>
      </c>
      <c r="L259" s="367">
        <f t="shared" si="77"/>
        <v>3.2846156787895278E-2</v>
      </c>
      <c r="M259" s="387">
        <v>77324.970373838558</v>
      </c>
      <c r="N259" s="387">
        <v>15717.771241440716</v>
      </c>
      <c r="O259" s="387">
        <v>4841.0800413485949</v>
      </c>
      <c r="P259" s="387">
        <v>797.61494912043588</v>
      </c>
      <c r="Q259" s="387">
        <v>20114.669820214862</v>
      </c>
      <c r="R259" s="387">
        <v>16141.840079199872</v>
      </c>
      <c r="S259" s="364">
        <f>$L259*'MWh Impact Summary'!$L$32</f>
        <v>5797.6073535438636</v>
      </c>
      <c r="T259" s="364">
        <f>$L259*'MWh Impact Summary'!$M$32</f>
        <v>18038.918674480021</v>
      </c>
      <c r="U259" s="387">
        <v>116680.02847944996</v>
      </c>
      <c r="V259" s="387">
        <v>140389.22990226111</v>
      </c>
      <c r="W259" s="387">
        <v>48161.382161677844</v>
      </c>
      <c r="X259" s="368">
        <f t="shared" si="68"/>
        <v>464005.1130765758</v>
      </c>
      <c r="Y259" s="364">
        <f t="shared" si="69"/>
        <v>714575.70197050669</v>
      </c>
      <c r="Z259" s="364"/>
      <c r="AA259" s="390">
        <v>5472890.5962758642</v>
      </c>
      <c r="AB259" s="369">
        <f t="shared" si="78"/>
        <v>130.56641447515025</v>
      </c>
      <c r="AC259" s="370">
        <f t="shared" si="70"/>
        <v>45.783957213476299</v>
      </c>
      <c r="AD259" s="371">
        <f t="shared" si="71"/>
        <v>1.4769018455960097E-3</v>
      </c>
      <c r="AE259" s="370">
        <f t="shared" si="79"/>
        <v>84.782457261673969</v>
      </c>
      <c r="AF259" s="371">
        <f t="shared" si="72"/>
        <v>2.734917976183031E-3</v>
      </c>
      <c r="AG259" s="372">
        <f t="shared" si="80"/>
        <v>4.211819821779041E-3</v>
      </c>
      <c r="AH259" s="373">
        <f t="shared" si="73"/>
        <v>4.211819821779041E-3</v>
      </c>
      <c r="AI259" s="374" t="b">
        <f t="shared" si="81"/>
        <v>1</v>
      </c>
      <c r="AJ259" s="375">
        <f t="shared" si="83"/>
        <v>1.0516247625658951E-4</v>
      </c>
      <c r="AL259" s="376">
        <f t="shared" si="74"/>
        <v>140389.22990226111</v>
      </c>
      <c r="AM259" s="384"/>
      <c r="AN259" s="383">
        <f t="shared" si="88"/>
        <v>25.651751562107183</v>
      </c>
      <c r="AO259" s="379">
        <f t="shared" si="87"/>
        <v>8.2747585684216714E-4</v>
      </c>
      <c r="AQ259" s="380">
        <f t="shared" si="75"/>
        <v>4.211819821779041E-3</v>
      </c>
      <c r="AR259" s="381"/>
    </row>
    <row r="260" spans="1:44">
      <c r="A260" s="361">
        <f t="shared" si="85"/>
        <v>2026</v>
      </c>
      <c r="B260" s="361">
        <f t="shared" si="86"/>
        <v>4</v>
      </c>
      <c r="C260" s="362">
        <f t="shared" si="82"/>
        <v>114.03392869270741</v>
      </c>
      <c r="D260" s="389">
        <f t="shared" si="84"/>
        <v>5.7996974497419709E-2</v>
      </c>
      <c r="E260" s="387">
        <v>201447.45794703352</v>
      </c>
      <c r="F260" s="387">
        <v>40168.945661030746</v>
      </c>
      <c r="G260" s="387">
        <v>147573.48544015194</v>
      </c>
      <c r="H260" s="387">
        <v>742.09273428370466</v>
      </c>
      <c r="I260" s="387">
        <v>52504.439249269715</v>
      </c>
      <c r="J260" s="365">
        <f t="shared" si="76"/>
        <v>442436.4210317696</v>
      </c>
      <c r="K260" s="366">
        <v>30</v>
      </c>
      <c r="L260" s="367">
        <f t="shared" si="77"/>
        <v>5.7996974497419709E-2</v>
      </c>
      <c r="M260" s="387">
        <v>136533.91365524853</v>
      </c>
      <c r="N260" s="387">
        <v>27753.115341093966</v>
      </c>
      <c r="O260" s="387">
        <v>8547.9710004164881</v>
      </c>
      <c r="P260" s="387">
        <v>1408.3612326890693</v>
      </c>
      <c r="Q260" s="387">
        <v>35516.788162472025</v>
      </c>
      <c r="R260" s="387">
        <v>28501.900342867204</v>
      </c>
      <c r="S260" s="364">
        <f>$L260*'MWh Impact Summary'!$L$32</f>
        <v>10236.926286409604</v>
      </c>
      <c r="T260" s="364">
        <f>$L260*'MWh Impact Summary'!$M$32</f>
        <v>31851.601789540284</v>
      </c>
      <c r="U260" s="387">
        <v>206023.75735400268</v>
      </c>
      <c r="V260" s="387">
        <v>247887.46637641452</v>
      </c>
      <c r="W260" s="387">
        <v>85039.308282809259</v>
      </c>
      <c r="X260" s="368">
        <f t="shared" si="68"/>
        <v>819301.1098239636</v>
      </c>
      <c r="Y260" s="364">
        <f t="shared" si="69"/>
        <v>1261737.5308557332</v>
      </c>
      <c r="Z260" s="364"/>
      <c r="AA260" s="390">
        <v>5477458.5188071523</v>
      </c>
      <c r="AB260" s="369">
        <f t="shared" si="78"/>
        <v>230.35090572087194</v>
      </c>
      <c r="AC260" s="370">
        <f t="shared" si="70"/>
        <v>80.774034073035878</v>
      </c>
      <c r="AD260" s="371">
        <f t="shared" si="71"/>
        <v>2.692467802434529E-3</v>
      </c>
      <c r="AE260" s="370">
        <f t="shared" si="79"/>
        <v>149.57687164783607</v>
      </c>
      <c r="AF260" s="371">
        <f t="shared" si="72"/>
        <v>4.9858957215945356E-3</v>
      </c>
      <c r="AG260" s="372">
        <f t="shared" si="80"/>
        <v>7.6783635240290646E-3</v>
      </c>
      <c r="AH260" s="373">
        <f t="shared" si="73"/>
        <v>7.6783635240290646E-3</v>
      </c>
      <c r="AI260" s="374" t="b">
        <f t="shared" si="81"/>
        <v>1</v>
      </c>
      <c r="AJ260" s="375">
        <f t="shared" si="83"/>
        <v>1.9277756279446889E-4</v>
      </c>
      <c r="AL260" s="376">
        <f t="shared" si="74"/>
        <v>247887.46637641452</v>
      </c>
      <c r="AM260" s="384"/>
      <c r="AN260" s="383">
        <f t="shared" si="88"/>
        <v>45.255927639667085</v>
      </c>
      <c r="AO260" s="379">
        <f t="shared" si="87"/>
        <v>1.5085309213222363E-3</v>
      </c>
      <c r="AQ260" s="380">
        <f t="shared" si="75"/>
        <v>7.6783635240290646E-3</v>
      </c>
      <c r="AR260" s="381"/>
    </row>
    <row r="261" spans="1:44">
      <c r="A261" s="361">
        <f t="shared" si="85"/>
        <v>2026</v>
      </c>
      <c r="B261" s="361">
        <f t="shared" si="86"/>
        <v>5</v>
      </c>
      <c r="C261" s="362">
        <f t="shared" si="82"/>
        <v>208.47875842628665</v>
      </c>
      <c r="D261" s="389">
        <f t="shared" si="84"/>
        <v>0.10603105035770212</v>
      </c>
      <c r="E261" s="387">
        <v>368289.65205699281</v>
      </c>
      <c r="F261" s="387">
        <v>73437.546304937699</v>
      </c>
      <c r="G261" s="387">
        <v>269796.34371897316</v>
      </c>
      <c r="H261" s="387">
        <v>1356.7064965159698</v>
      </c>
      <c r="I261" s="387">
        <v>95989.504457511139</v>
      </c>
      <c r="J261" s="365">
        <f t="shared" si="76"/>
        <v>808869.75303493079</v>
      </c>
      <c r="K261" s="366">
        <v>31</v>
      </c>
      <c r="L261" s="367">
        <f t="shared" si="77"/>
        <v>0.10603105035770212</v>
      </c>
      <c r="M261" s="387">
        <v>249613.61174034837</v>
      </c>
      <c r="N261" s="387">
        <v>50738.715179799081</v>
      </c>
      <c r="O261" s="387">
        <v>15627.545254824656</v>
      </c>
      <c r="P261" s="387">
        <v>2574.78984169655</v>
      </c>
      <c r="Q261" s="387">
        <v>64932.3932296926</v>
      </c>
      <c r="R261" s="387">
        <v>52107.656593004045</v>
      </c>
      <c r="S261" s="364">
        <f>$L261*'MWh Impact Summary'!$L$32</f>
        <v>18715.321893742443</v>
      </c>
      <c r="T261" s="364">
        <f>$L261*'MWh Impact Summary'!$M$32</f>
        <v>58231.637470511079</v>
      </c>
      <c r="U261" s="387">
        <v>376656.12008531828</v>
      </c>
      <c r="V261" s="387">
        <v>453192.06145089801</v>
      </c>
      <c r="W261" s="387">
        <v>155470.30266759626</v>
      </c>
      <c r="X261" s="368">
        <f t="shared" ref="X261:X268" si="89">SUM(M261:W261)</f>
        <v>1497860.1554074315</v>
      </c>
      <c r="Y261" s="364">
        <f t="shared" ref="Y261:Y268" si="90">X261+J261</f>
        <v>2306729.9084423622</v>
      </c>
      <c r="Z261" s="364"/>
      <c r="AA261" s="390">
        <v>5482057.5816175342</v>
      </c>
      <c r="AB261" s="369">
        <f t="shared" si="78"/>
        <v>420.77812465474676</v>
      </c>
      <c r="AC261" s="370">
        <f t="shared" ref="AC261:AC268" si="91">+J261*1000/AA261</f>
        <v>147.54856930858176</v>
      </c>
      <c r="AD261" s="371">
        <f t="shared" ref="AD261:AD268" si="92">+AC261/K261/1000</f>
        <v>4.7596312680187672E-3</v>
      </c>
      <c r="AE261" s="370">
        <f t="shared" si="79"/>
        <v>273.229555346165</v>
      </c>
      <c r="AF261" s="371">
        <f t="shared" ref="AF261:AF268" si="93">+AE261/K261/1000</f>
        <v>8.8138566240698393E-3</v>
      </c>
      <c r="AG261" s="372">
        <f t="shared" si="80"/>
        <v>1.3573487892088607E-2</v>
      </c>
      <c r="AH261" s="373">
        <f t="shared" ref="AH261:AH268" si="94">+AB261/K261/1000</f>
        <v>1.3573487892088607E-2</v>
      </c>
      <c r="AI261" s="374" t="b">
        <f t="shared" si="81"/>
        <v>1</v>
      </c>
      <c r="AJ261" s="375">
        <f t="shared" si="83"/>
        <v>3.4076994109702094E-4</v>
      </c>
      <c r="AL261" s="376">
        <f t="shared" ref="AL261:AL268" si="95">+V261</f>
        <v>453192.06145089801</v>
      </c>
      <c r="AM261" s="384"/>
      <c r="AN261" s="383">
        <f t="shared" si="88"/>
        <v>82.668241751152735</v>
      </c>
      <c r="AO261" s="379">
        <f t="shared" si="87"/>
        <v>2.6667174758436369E-3</v>
      </c>
      <c r="AQ261" s="380">
        <f t="shared" ref="AQ261:AQ268" si="96">AH261</f>
        <v>1.3573487892088607E-2</v>
      </c>
      <c r="AR261" s="381"/>
    </row>
    <row r="262" spans="1:44">
      <c r="A262" s="361">
        <f t="shared" si="85"/>
        <v>2026</v>
      </c>
      <c r="B262" s="361">
        <f t="shared" si="86"/>
        <v>6</v>
      </c>
      <c r="C262" s="362">
        <f t="shared" si="82"/>
        <v>271.66325293295364</v>
      </c>
      <c r="D262" s="389">
        <f t="shared" si="84"/>
        <v>0.13816630657965029</v>
      </c>
      <c r="E262" s="387">
        <v>479908.67585065746</v>
      </c>
      <c r="F262" s="387">
        <v>95694.558367526683</v>
      </c>
      <c r="G262" s="387">
        <v>351564.6050339872</v>
      </c>
      <c r="H262" s="387">
        <v>1767.8889825560636</v>
      </c>
      <c r="I262" s="387">
        <v>125081.4290395436</v>
      </c>
      <c r="J262" s="365">
        <f t="shared" ref="J262:J267" si="97">SUM(E262:I262)</f>
        <v>1054017.1572742709</v>
      </c>
      <c r="K262" s="366">
        <v>30</v>
      </c>
      <c r="L262" s="367">
        <f t="shared" ref="L262:L268" si="98">+D262</f>
        <v>0.13816630657965029</v>
      </c>
      <c r="M262" s="387">
        <v>325265.0114265848</v>
      </c>
      <c r="N262" s="387">
        <v>66116.30134134987</v>
      </c>
      <c r="O262" s="387">
        <v>20363.848150907408</v>
      </c>
      <c r="P262" s="387">
        <v>3355.1417386310281</v>
      </c>
      <c r="Q262" s="387">
        <v>84611.71439553157</v>
      </c>
      <c r="R262" s="387">
        <v>67900.133325927745</v>
      </c>
      <c r="S262" s="364">
        <f>$L262*'MWh Impact Summary'!$L$32</f>
        <v>24387.449655400163</v>
      </c>
      <c r="T262" s="364">
        <f>$L262*'MWh Impact Summary'!$M$32</f>
        <v>75880.133680117287</v>
      </c>
      <c r="U262" s="387">
        <v>490810.80294164392</v>
      </c>
      <c r="V262" s="387">
        <v>590542.79940310016</v>
      </c>
      <c r="W262" s="387">
        <v>202589.31162084595</v>
      </c>
      <c r="X262" s="368">
        <f t="shared" si="89"/>
        <v>1951822.64768004</v>
      </c>
      <c r="Y262" s="364">
        <f t="shared" si="90"/>
        <v>3005839.8049543109</v>
      </c>
      <c r="Z262" s="364"/>
      <c r="AA262" s="390">
        <v>5486653.8083125623</v>
      </c>
      <c r="AB262" s="369">
        <f t="shared" ref="AB262:AB268" si="99">+Y262*1000/AA262</f>
        <v>547.84571980836643</v>
      </c>
      <c r="AC262" s="370">
        <f t="shared" si="91"/>
        <v>192.10564291069008</v>
      </c>
      <c r="AD262" s="371">
        <f t="shared" si="92"/>
        <v>6.4035214303563362E-3</v>
      </c>
      <c r="AE262" s="370">
        <f t="shared" ref="AE262:AE268" si="100">+X262*1000/AA262</f>
        <v>355.74007689767637</v>
      </c>
      <c r="AF262" s="371">
        <f t="shared" si="93"/>
        <v>1.1858002563255879E-2</v>
      </c>
      <c r="AG262" s="372">
        <f t="shared" ref="AG262:AG268" si="101">AD262+AF262</f>
        <v>1.8261523993612215E-2</v>
      </c>
      <c r="AH262" s="373">
        <f t="shared" si="94"/>
        <v>1.8261523993612215E-2</v>
      </c>
      <c r="AI262" s="374" t="b">
        <f t="shared" ref="AI262:AI268" si="102">AG262=AH262</f>
        <v>1</v>
      </c>
      <c r="AJ262" s="375">
        <f t="shared" si="83"/>
        <v>4.5844357049733275E-4</v>
      </c>
      <c r="AL262" s="376">
        <f t="shared" si="95"/>
        <v>590542.79940310016</v>
      </c>
      <c r="AM262" s="384"/>
      <c r="AN262" s="383">
        <f t="shared" si="88"/>
        <v>107.63259721406105</v>
      </c>
      <c r="AO262" s="379">
        <f t="shared" si="87"/>
        <v>3.5877532404687018E-3</v>
      </c>
      <c r="AQ262" s="380">
        <f t="shared" si="96"/>
        <v>1.8261523993612215E-2</v>
      </c>
      <c r="AR262" s="381"/>
    </row>
    <row r="263" spans="1:44">
      <c r="A263" s="361">
        <f t="shared" si="85"/>
        <v>2026</v>
      </c>
      <c r="B263" s="361">
        <f t="shared" si="86"/>
        <v>7</v>
      </c>
      <c r="C263" s="362">
        <f t="shared" si="82"/>
        <v>322.31916585708109</v>
      </c>
      <c r="D263" s="389">
        <f t="shared" si="84"/>
        <v>0.16392960109808263</v>
      </c>
      <c r="E263" s="387">
        <v>569395.24362515134</v>
      </c>
      <c r="F263" s="387">
        <v>113538.32326264345</v>
      </c>
      <c r="G263" s="387">
        <v>417119.38959736773</v>
      </c>
      <c r="H263" s="387">
        <v>2097.5398624341237</v>
      </c>
      <c r="I263" s="387">
        <v>148404.84105587655</v>
      </c>
      <c r="J263" s="365">
        <f t="shared" si="97"/>
        <v>1250555.3374034732</v>
      </c>
      <c r="K263" s="366">
        <v>31</v>
      </c>
      <c r="L263" s="367">
        <f t="shared" si="98"/>
        <v>0.16392960109808263</v>
      </c>
      <c r="M263" s="387">
        <v>385915.82053751306</v>
      </c>
      <c r="N263" s="387">
        <v>78444.732100586072</v>
      </c>
      <c r="O263" s="387">
        <v>24161.009922312336</v>
      </c>
      <c r="P263" s="387">
        <v>3980.7610151628619</v>
      </c>
      <c r="Q263" s="387">
        <v>100388.9076320382</v>
      </c>
      <c r="R263" s="387">
        <v>80561.187790087162</v>
      </c>
      <c r="S263" s="364">
        <f>$L263*'MWh Impact Summary'!$L$32</f>
        <v>28934.875605903602</v>
      </c>
      <c r="T263" s="364">
        <f>$L263*'MWh Impact Summary'!$M$32</f>
        <v>90029.185503919958</v>
      </c>
      <c r="U263" s="387">
        <v>582330.24485221051</v>
      </c>
      <c r="V263" s="387">
        <v>700658.85043896397</v>
      </c>
      <c r="W263" s="387">
        <v>240365.29500479388</v>
      </c>
      <c r="X263" s="368">
        <f t="shared" si="89"/>
        <v>2315770.8704034919</v>
      </c>
      <c r="Y263" s="364">
        <f t="shared" si="90"/>
        <v>3566326.2078069653</v>
      </c>
      <c r="Z263" s="364"/>
      <c r="AA263" s="390">
        <v>5491282.4171985919</v>
      </c>
      <c r="AB263" s="369">
        <f t="shared" si="99"/>
        <v>649.45233860806354</v>
      </c>
      <c r="AC263" s="370">
        <f t="shared" si="91"/>
        <v>227.73466057523424</v>
      </c>
      <c r="AD263" s="371">
        <f t="shared" si="92"/>
        <v>7.3462793733946527E-3</v>
      </c>
      <c r="AE263" s="370">
        <f t="shared" si="100"/>
        <v>421.71767803282921</v>
      </c>
      <c r="AF263" s="371">
        <f t="shared" si="93"/>
        <v>1.3603796065575135E-2</v>
      </c>
      <c r="AG263" s="372">
        <f t="shared" si="101"/>
        <v>2.095007543896979E-2</v>
      </c>
      <c r="AH263" s="373">
        <f t="shared" si="94"/>
        <v>2.095007543896979E-2</v>
      </c>
      <c r="AI263" s="374" t="b">
        <f t="shared" si="102"/>
        <v>1</v>
      </c>
      <c r="AJ263" s="375">
        <f t="shared" si="83"/>
        <v>5.2597178313184764E-4</v>
      </c>
      <c r="AL263" s="376">
        <f t="shared" si="95"/>
        <v>700658.85043896397</v>
      </c>
      <c r="AM263" s="384"/>
      <c r="AN263" s="383">
        <f t="shared" si="88"/>
        <v>127.5947578737735</v>
      </c>
      <c r="AO263" s="379">
        <f t="shared" si="87"/>
        <v>4.1159599314120479E-3</v>
      </c>
      <c r="AQ263" s="380">
        <f t="shared" si="96"/>
        <v>2.095007543896979E-2</v>
      </c>
      <c r="AR263" s="381"/>
    </row>
    <row r="264" spans="1:44">
      <c r="A264" s="361">
        <f t="shared" si="85"/>
        <v>2026</v>
      </c>
      <c r="B264" s="361">
        <f t="shared" si="86"/>
        <v>8</v>
      </c>
      <c r="C264" s="362">
        <f t="shared" si="82"/>
        <v>326.45437890907908</v>
      </c>
      <c r="D264" s="389">
        <f t="shared" si="84"/>
        <v>0.16603274573816959</v>
      </c>
      <c r="E264" s="387">
        <v>576700.33402188041</v>
      </c>
      <c r="F264" s="387">
        <v>114994.96998425302</v>
      </c>
      <c r="G264" s="387">
        <v>422470.84780035063</v>
      </c>
      <c r="H264" s="387">
        <v>2124.4503757855691</v>
      </c>
      <c r="I264" s="387">
        <v>150308.80985674539</v>
      </c>
      <c r="J264" s="365">
        <f t="shared" si="97"/>
        <v>1266599.412039015</v>
      </c>
      <c r="K264" s="366">
        <v>31</v>
      </c>
      <c r="L264" s="367">
        <f t="shared" si="98"/>
        <v>0.16603274573816959</v>
      </c>
      <c r="M264" s="387">
        <v>390866.95068149857</v>
      </c>
      <c r="N264" s="387">
        <v>79451.143491544644</v>
      </c>
      <c r="O264" s="387">
        <v>24470.985046858608</v>
      </c>
      <c r="P264" s="387">
        <v>4031.8324271374304</v>
      </c>
      <c r="Q264" s="387">
        <v>101676.85313789094</v>
      </c>
      <c r="R264" s="387">
        <v>81594.752376133983</v>
      </c>
      <c r="S264" s="364">
        <f>$L264*'MWh Impact Summary'!$L$32</f>
        <v>29306.09732629154</v>
      </c>
      <c r="T264" s="364">
        <f>$L264*'MWh Impact Summary'!$M$32</f>
        <v>91184.220333966761</v>
      </c>
      <c r="U264" s="387">
        <v>589801.28562225832</v>
      </c>
      <c r="V264" s="387">
        <v>709647.99514473625</v>
      </c>
      <c r="W264" s="387">
        <v>243449.07595994783</v>
      </c>
      <c r="X264" s="368">
        <f t="shared" si="89"/>
        <v>2345481.1915482646</v>
      </c>
      <c r="Y264" s="364">
        <f t="shared" si="90"/>
        <v>3612080.6035872796</v>
      </c>
      <c r="Z264" s="364"/>
      <c r="AA264" s="390">
        <v>5495927.0258769719</v>
      </c>
      <c r="AB264" s="369">
        <f t="shared" si="99"/>
        <v>657.22863250916419</v>
      </c>
      <c r="AC264" s="370">
        <f t="shared" si="91"/>
        <v>230.46146829740826</v>
      </c>
      <c r="AD264" s="371">
        <f t="shared" si="92"/>
        <v>7.4342409128196219E-3</v>
      </c>
      <c r="AE264" s="370">
        <f t="shared" si="100"/>
        <v>426.76716421175581</v>
      </c>
      <c r="AF264" s="371">
        <f t="shared" si="93"/>
        <v>1.3766682716508251E-2</v>
      </c>
      <c r="AG264" s="372">
        <f t="shared" si="101"/>
        <v>2.1200923629327871E-2</v>
      </c>
      <c r="AH264" s="373">
        <f t="shared" si="94"/>
        <v>2.1200923629327878E-2</v>
      </c>
      <c r="AI264" s="374" t="b">
        <f t="shared" si="102"/>
        <v>1</v>
      </c>
      <c r="AJ264" s="375">
        <f t="shared" si="83"/>
        <v>5.3233243856069812E-4</v>
      </c>
      <c r="AL264" s="376">
        <f t="shared" si="95"/>
        <v>709647.99514473625</v>
      </c>
      <c r="AM264" s="384"/>
      <c r="AN264" s="383">
        <f t="shared" si="88"/>
        <v>129.12252870233471</v>
      </c>
      <c r="AO264" s="379">
        <f t="shared" si="87"/>
        <v>4.1652428613656355E-3</v>
      </c>
      <c r="AQ264" s="380">
        <f t="shared" si="96"/>
        <v>2.1200923629327878E-2</v>
      </c>
      <c r="AR264" s="381"/>
    </row>
    <row r="265" spans="1:44">
      <c r="A265" s="361">
        <f t="shared" si="85"/>
        <v>2026</v>
      </c>
      <c r="B265" s="361">
        <f t="shared" si="86"/>
        <v>9</v>
      </c>
      <c r="C265" s="362">
        <f t="shared" si="82"/>
        <v>277.87653293728147</v>
      </c>
      <c r="D265" s="389">
        <f t="shared" si="84"/>
        <v>0.14132634365008559</v>
      </c>
      <c r="E265" s="387">
        <v>490884.79038721666</v>
      </c>
      <c r="F265" s="387">
        <v>97883.213180456718</v>
      </c>
      <c r="G265" s="387">
        <v>359605.32937599532</v>
      </c>
      <c r="H265" s="387">
        <v>1808.3228253618038</v>
      </c>
      <c r="I265" s="387">
        <v>127942.19851636334</v>
      </c>
      <c r="J265" s="365">
        <f t="shared" si="97"/>
        <v>1078123.8542853938</v>
      </c>
      <c r="K265" s="366">
        <v>30</v>
      </c>
      <c r="L265" s="367">
        <f t="shared" si="98"/>
        <v>0.14132634365008559</v>
      </c>
      <c r="M265" s="387">
        <v>332704.23101107182</v>
      </c>
      <c r="N265" s="387">
        <v>67628.464243947921</v>
      </c>
      <c r="O265" s="387">
        <v>20829.594950156803</v>
      </c>
      <c r="P265" s="387">
        <v>3431.8780467303309</v>
      </c>
      <c r="Q265" s="387">
        <v>86546.890638582016</v>
      </c>
      <c r="R265" s="387">
        <v>69453.09470782397</v>
      </c>
      <c r="S265" s="364">
        <f>$L265*'MWh Impact Summary'!$L$32</f>
        <v>24945.221277673445</v>
      </c>
      <c r="T265" s="364">
        <f>$L265*'MWh Impact Summary'!$M$32</f>
        <v>77615.607698889915</v>
      </c>
      <c r="U265" s="387">
        <v>502036.26282590016</v>
      </c>
      <c r="V265" s="387">
        <v>604049.25538349967</v>
      </c>
      <c r="W265" s="387">
        <v>207222.78377946364</v>
      </c>
      <c r="X265" s="368">
        <f t="shared" si="89"/>
        <v>1996463.2845637398</v>
      </c>
      <c r="Y265" s="364">
        <f t="shared" si="90"/>
        <v>3074587.1388491336</v>
      </c>
      <c r="Z265" s="364"/>
      <c r="AA265" s="390">
        <v>5500513.1358683985</v>
      </c>
      <c r="AB265" s="369">
        <f t="shared" si="99"/>
        <v>558.96369355069817</v>
      </c>
      <c r="AC265" s="370">
        <f t="shared" si="91"/>
        <v>196.00423226971972</v>
      </c>
      <c r="AD265" s="371">
        <f t="shared" si="92"/>
        <v>6.5334744089906574E-3</v>
      </c>
      <c r="AE265" s="370">
        <f t="shared" si="100"/>
        <v>362.95946128097853</v>
      </c>
      <c r="AF265" s="371">
        <f t="shared" si="93"/>
        <v>1.2098648709365951E-2</v>
      </c>
      <c r="AG265" s="372">
        <f t="shared" si="101"/>
        <v>1.863212311835661E-2</v>
      </c>
      <c r="AH265" s="373">
        <f t="shared" si="94"/>
        <v>1.8632123118356606E-2</v>
      </c>
      <c r="AI265" s="374" t="b">
        <f t="shared" si="102"/>
        <v>1</v>
      </c>
      <c r="AJ265" s="375">
        <f t="shared" si="83"/>
        <v>4.6779473192905957E-4</v>
      </c>
      <c r="AL265" s="376">
        <f t="shared" si="95"/>
        <v>604049.25538349967</v>
      </c>
      <c r="AM265" s="384"/>
      <c r="AN265" s="383">
        <f t="shared" si="88"/>
        <v>109.81689170861962</v>
      </c>
      <c r="AO265" s="379">
        <f t="shared" si="87"/>
        <v>3.6605630569539875E-3</v>
      </c>
      <c r="AQ265" s="380">
        <f t="shared" si="96"/>
        <v>1.8632123118356606E-2</v>
      </c>
      <c r="AR265" s="381"/>
    </row>
    <row r="266" spans="1:44">
      <c r="A266" s="361">
        <f t="shared" si="85"/>
        <v>2026</v>
      </c>
      <c r="B266" s="361">
        <f t="shared" si="86"/>
        <v>10</v>
      </c>
      <c r="C266" s="362">
        <f t="shared" si="82"/>
        <v>198.89039579254836</v>
      </c>
      <c r="D266" s="389">
        <f t="shared" si="84"/>
        <v>0.10115446643644242</v>
      </c>
      <c r="E266" s="387">
        <v>351351.26099580311</v>
      </c>
      <c r="F266" s="387">
        <v>70060.004006532938</v>
      </c>
      <c r="G266" s="387">
        <v>257387.86047414952</v>
      </c>
      <c r="H266" s="387">
        <v>1294.3088020249829</v>
      </c>
      <c r="I266" s="387">
        <v>91574.75168020658</v>
      </c>
      <c r="J266" s="365">
        <f t="shared" si="97"/>
        <v>771668.18595871713</v>
      </c>
      <c r="K266" s="366">
        <v>31</v>
      </c>
      <c r="L266" s="367">
        <f t="shared" si="98"/>
        <v>0.10115446643644242</v>
      </c>
      <c r="M266" s="387">
        <v>238133.37343813371</v>
      </c>
      <c r="N266" s="387">
        <v>48405.138347385764</v>
      </c>
      <c r="O266" s="387">
        <v>14908.802625553886</v>
      </c>
      <c r="P266" s="387">
        <v>2456.3700137284109</v>
      </c>
      <c r="Q266" s="387">
        <v>61946.020240604979</v>
      </c>
      <c r="R266" s="387">
        <v>49711.119357366762</v>
      </c>
      <c r="S266" s="364">
        <f>$L266*'MWh Impact Summary'!$L$32</f>
        <v>17854.566129083603</v>
      </c>
      <c r="T266" s="364">
        <f>$L266*'MWh Impact Summary'!$M$32</f>
        <v>55553.445883807719</v>
      </c>
      <c r="U266" s="387">
        <v>359332.93812252919</v>
      </c>
      <c r="V266" s="387">
        <v>432348.83569147834</v>
      </c>
      <c r="W266" s="387">
        <v>148319.90685745887</v>
      </c>
      <c r="X266" s="368">
        <f t="shared" si="89"/>
        <v>1428970.5167071312</v>
      </c>
      <c r="Y266" s="364">
        <f t="shared" si="90"/>
        <v>2200638.7026658482</v>
      </c>
      <c r="Z266" s="364"/>
      <c r="AA266" s="390">
        <v>5505120.0001729308</v>
      </c>
      <c r="AB266" s="369">
        <f>+Y266*1000/AA266</f>
        <v>399.74400241897001</v>
      </c>
      <c r="AC266" s="370">
        <f t="shared" si="91"/>
        <v>140.17281838261053</v>
      </c>
      <c r="AD266" s="371">
        <f t="shared" si="92"/>
        <v>4.5217038187938879E-3</v>
      </c>
      <c r="AE266" s="370">
        <f t="shared" si="100"/>
        <v>259.57118403635945</v>
      </c>
      <c r="AF266" s="371">
        <f t="shared" si="93"/>
        <v>8.3732640011728865E-3</v>
      </c>
      <c r="AG266" s="372">
        <f t="shared" si="101"/>
        <v>1.2894967819966775E-2</v>
      </c>
      <c r="AH266" s="373">
        <f t="shared" si="94"/>
        <v>1.2894967819966775E-2</v>
      </c>
      <c r="AI266" s="374" t="b">
        <f t="shared" si="102"/>
        <v>1</v>
      </c>
      <c r="AJ266" s="375">
        <f t="shared" si="83"/>
        <v>3.2374959048163225E-4</v>
      </c>
      <c r="AL266" s="376">
        <f t="shared" si="95"/>
        <v>432348.83569147834</v>
      </c>
      <c r="AM266" s="384"/>
      <c r="AN266" s="383">
        <f t="shared" si="88"/>
        <v>78.535769552325306</v>
      </c>
      <c r="AO266" s="379">
        <f t="shared" si="87"/>
        <v>2.5334119210427518E-3</v>
      </c>
      <c r="AQ266" s="380">
        <f t="shared" si="96"/>
        <v>1.2894967819966775E-2</v>
      </c>
      <c r="AR266" s="381"/>
    </row>
    <row r="267" spans="1:44">
      <c r="A267" s="361">
        <f t="shared" si="85"/>
        <v>2026</v>
      </c>
      <c r="B267" s="361">
        <f t="shared" si="86"/>
        <v>11</v>
      </c>
      <c r="C267" s="362">
        <f t="shared" si="82"/>
        <v>78.117279066674627</v>
      </c>
      <c r="D267" s="389">
        <f t="shared" si="84"/>
        <v>3.9729981188725644E-2</v>
      </c>
      <c r="E267" s="387">
        <v>137998.64189654097</v>
      </c>
      <c r="F267" s="387">
        <v>27517.150149870253</v>
      </c>
      <c r="G267" s="387">
        <v>101093.06306577705</v>
      </c>
      <c r="H267" s="387">
        <v>508.35980029774277</v>
      </c>
      <c r="I267" s="387">
        <v>35967.40005447837</v>
      </c>
      <c r="J267" s="365">
        <f t="shared" si="97"/>
        <v>303084.61496696441</v>
      </c>
      <c r="K267" s="366">
        <v>30</v>
      </c>
      <c r="L267" s="367">
        <f t="shared" si="98"/>
        <v>3.9729981188725644E-2</v>
      </c>
      <c r="M267" s="387">
        <v>93530.565484712512</v>
      </c>
      <c r="N267" s="387">
        <v>19011.866739346075</v>
      </c>
      <c r="O267" s="387">
        <v>5855.6628167462195</v>
      </c>
      <c r="P267" s="387">
        <v>964.77731410207605</v>
      </c>
      <c r="Q267" s="387">
        <v>24330.257531653591</v>
      </c>
      <c r="R267" s="387">
        <v>19524.810979845624</v>
      </c>
      <c r="S267" s="364">
        <f>$L267*'MWh Impact Summary'!$L$32</f>
        <v>7012.6569931250351</v>
      </c>
      <c r="T267" s="364">
        <f>$L267*'MWh Impact Summary'!$M$32</f>
        <v>21819.475082885852</v>
      </c>
      <c r="U267" s="387">
        <v>141133.5690359032</v>
      </c>
      <c r="V267" s="387">
        <v>169811.69209945551</v>
      </c>
      <c r="W267" s="387">
        <v>58254.937393821587</v>
      </c>
      <c r="X267" s="368">
        <f t="shared" si="89"/>
        <v>561250.27147159725</v>
      </c>
      <c r="Y267" s="364">
        <f t="shared" si="90"/>
        <v>864334.8864385616</v>
      </c>
      <c r="Z267" s="364"/>
      <c r="AA267" s="390">
        <v>5509732.4814156815</v>
      </c>
      <c r="AB267" s="369">
        <f t="shared" si="99"/>
        <v>156.87420203321335</v>
      </c>
      <c r="AC267" s="370">
        <f t="shared" si="91"/>
        <v>55.008952973536978</v>
      </c>
      <c r="AD267" s="371">
        <f t="shared" si="92"/>
        <v>1.833631765784566E-3</v>
      </c>
      <c r="AE267" s="370">
        <f t="shared" si="100"/>
        <v>101.86524905967639</v>
      </c>
      <c r="AF267" s="371">
        <f t="shared" si="93"/>
        <v>3.3955083019892129E-3</v>
      </c>
      <c r="AG267" s="372">
        <f t="shared" si="101"/>
        <v>5.229140067773779E-3</v>
      </c>
      <c r="AH267" s="373">
        <f t="shared" si="94"/>
        <v>5.229140067773779E-3</v>
      </c>
      <c r="AI267" s="374" t="b">
        <f t="shared" si="102"/>
        <v>1</v>
      </c>
      <c r="AJ267" s="375">
        <f t="shared" si="83"/>
        <v>1.312872436662442E-4</v>
      </c>
      <c r="AL267" s="376">
        <f t="shared" si="95"/>
        <v>169811.69209945551</v>
      </c>
      <c r="AM267" s="384"/>
      <c r="AN267" s="383">
        <f t="shared" si="88"/>
        <v>30.820315264349052</v>
      </c>
      <c r="AO267" s="379">
        <f t="shared" si="87"/>
        <v>1.0273438421449683E-3</v>
      </c>
      <c r="AQ267" s="380">
        <f t="shared" si="96"/>
        <v>5.229140067773779E-3</v>
      </c>
      <c r="AR267" s="381"/>
    </row>
    <row r="268" spans="1:44">
      <c r="A268" s="361">
        <f t="shared" si="85"/>
        <v>2026</v>
      </c>
      <c r="B268" s="361">
        <f t="shared" si="86"/>
        <v>12</v>
      </c>
      <c r="C268" s="362">
        <f>+C256</f>
        <v>42.633806123140985</v>
      </c>
      <c r="D268" s="389">
        <f>D256</f>
        <v>2.1683298951445065E-2</v>
      </c>
      <c r="E268" s="387">
        <v>75315.057234037624</v>
      </c>
      <c r="F268" s="387">
        <v>15017.943002720467</v>
      </c>
      <c r="G268" s="387">
        <v>55173.222910927929</v>
      </c>
      <c r="H268" s="387">
        <v>277.44582793512348</v>
      </c>
      <c r="I268" s="387">
        <v>19629.807630233398</v>
      </c>
      <c r="J268" s="365">
        <f>SUM(E268:I268)</f>
        <v>165413.47660585455</v>
      </c>
      <c r="K268" s="366">
        <v>31</v>
      </c>
      <c r="L268" s="367">
        <f t="shared" si="98"/>
        <v>2.1683298951445065E-2</v>
      </c>
      <c r="M268" s="387">
        <v>51045.863899835924</v>
      </c>
      <c r="N268" s="387">
        <v>10376.042922750219</v>
      </c>
      <c r="O268" s="387">
        <v>3195.8255104938239</v>
      </c>
      <c r="P268" s="387">
        <v>526.54328789825774</v>
      </c>
      <c r="Q268" s="387">
        <v>13278.643277440084</v>
      </c>
      <c r="R268" s="387">
        <v>10655.990785281045</v>
      </c>
      <c r="S268" s="364">
        <f>$L268*'MWh Impact Summary'!$L$32</f>
        <v>3827.2743524233538</v>
      </c>
      <c r="T268" s="364">
        <f>$L268*'MWh Impact Summary'!$M$32</f>
        <v>11908.341938004225</v>
      </c>
      <c r="U268" s="387">
        <v>77025.995933728715</v>
      </c>
      <c r="V268" s="387">
        <v>92677.559240529314</v>
      </c>
      <c r="W268" s="387">
        <v>31793.602340451194</v>
      </c>
      <c r="X268" s="368">
        <f t="shared" si="89"/>
        <v>306311.68348883616</v>
      </c>
      <c r="Y268" s="364">
        <f t="shared" si="90"/>
        <v>471725.16009469074</v>
      </c>
      <c r="Z268" s="364">
        <f>SUM(Y257:Y268)</f>
        <v>21755230.195876297</v>
      </c>
      <c r="AA268" s="390">
        <v>5514345.5968124717</v>
      </c>
      <c r="AB268" s="369">
        <f t="shared" si="99"/>
        <v>85.5450845096412</v>
      </c>
      <c r="AC268" s="370">
        <f t="shared" si="91"/>
        <v>29.99693684441371</v>
      </c>
      <c r="AD268" s="371">
        <f t="shared" si="92"/>
        <v>9.6764312401334551E-4</v>
      </c>
      <c r="AE268" s="370">
        <f t="shared" si="100"/>
        <v>55.548147665227489</v>
      </c>
      <c r="AF268" s="371">
        <f t="shared" si="93"/>
        <v>1.7918757311363707E-3</v>
      </c>
      <c r="AG268" s="372">
        <f t="shared" si="101"/>
        <v>2.7595188551497161E-3</v>
      </c>
      <c r="AH268" s="373">
        <f t="shared" si="94"/>
        <v>2.7595188551497161E-3</v>
      </c>
      <c r="AI268" s="374" t="b">
        <f t="shared" si="102"/>
        <v>1</v>
      </c>
      <c r="AJ268" s="375">
        <f t="shared" si="83"/>
        <v>6.9283913693390323E-5</v>
      </c>
      <c r="AL268" s="376">
        <f t="shared" si="95"/>
        <v>92677.559240529314</v>
      </c>
      <c r="AM268" s="377">
        <f>SUM(AL257:AL268)</f>
        <v>4274144.7898707725</v>
      </c>
      <c r="AN268" s="383">
        <f t="shared" si="88"/>
        <v>16.806628749221108</v>
      </c>
      <c r="AO268" s="379">
        <f t="shared" si="87"/>
        <v>5.4214931449100346E-4</v>
      </c>
      <c r="AQ268" s="380">
        <f t="shared" si="96"/>
        <v>2.7595188551497161E-3</v>
      </c>
      <c r="AR268" s="381"/>
    </row>
    <row r="269" spans="1:44">
      <c r="C269" s="391"/>
      <c r="D269" s="389"/>
      <c r="E269" s="387"/>
      <c r="F269" s="364"/>
      <c r="G269" s="364"/>
      <c r="H269" s="364"/>
      <c r="I269" s="364"/>
      <c r="J269" s="365"/>
      <c r="K269" s="366"/>
      <c r="L269" s="367"/>
      <c r="M269" s="368"/>
      <c r="N269" s="368"/>
      <c r="O269" s="368"/>
      <c r="P269" s="368"/>
      <c r="Q269" s="368"/>
      <c r="R269" s="368"/>
      <c r="S269" s="368"/>
      <c r="T269" s="368"/>
      <c r="U269" s="368"/>
      <c r="V269" s="368"/>
      <c r="W269" s="368"/>
      <c r="X269" s="368"/>
      <c r="Y269" s="364"/>
      <c r="Z269" s="364"/>
      <c r="AA269" s="364"/>
      <c r="AB269" s="369"/>
      <c r="AC269" s="370"/>
      <c r="AD269" s="371"/>
      <c r="AE269" s="370"/>
      <c r="AF269" s="371"/>
      <c r="AG269" s="372"/>
      <c r="AH269" s="373"/>
      <c r="AI269" s="374"/>
      <c r="AJ269" s="375"/>
      <c r="AL269" s="376"/>
      <c r="AM269" s="377"/>
      <c r="AN269" s="383"/>
      <c r="AO269" s="379"/>
      <c r="AQ269" s="380"/>
      <c r="AR269" s="381"/>
    </row>
    <row r="270" spans="1:44">
      <c r="C270" s="391"/>
      <c r="D270" s="389"/>
      <c r="E270" s="387"/>
      <c r="F270" s="364"/>
      <c r="G270" s="364"/>
      <c r="H270" s="364"/>
      <c r="I270" s="364"/>
      <c r="J270" s="365"/>
      <c r="K270" s="366"/>
      <c r="L270" s="367"/>
      <c r="M270" s="368"/>
      <c r="N270" s="368"/>
      <c r="O270" s="368"/>
      <c r="P270" s="368"/>
      <c r="Q270" s="368"/>
      <c r="R270" s="368"/>
      <c r="S270" s="368"/>
      <c r="T270" s="368"/>
      <c r="U270" s="368"/>
      <c r="V270" s="368"/>
      <c r="W270" s="368"/>
      <c r="X270" s="368"/>
      <c r="Y270" s="364"/>
      <c r="Z270" s="364"/>
      <c r="AA270" s="364"/>
      <c r="AB270" s="369"/>
      <c r="AC270" s="370"/>
      <c r="AD270" s="371"/>
      <c r="AE270" s="370"/>
      <c r="AF270" s="371"/>
      <c r="AG270" s="372"/>
      <c r="AH270" s="373"/>
      <c r="AI270" s="374"/>
      <c r="AJ270" s="375"/>
      <c r="AL270" s="376"/>
      <c r="AM270" s="377"/>
      <c r="AN270" s="383"/>
      <c r="AO270" s="379"/>
      <c r="AQ270" s="380"/>
      <c r="AR270" s="381"/>
    </row>
    <row r="271" spans="1:44">
      <c r="F271" s="364"/>
      <c r="J271" s="387">
        <f>SUM(J5:J268)</f>
        <v>93951928.573862925</v>
      </c>
      <c r="L271" s="392"/>
      <c r="M271" s="364"/>
      <c r="N271" s="364"/>
      <c r="O271" s="364"/>
      <c r="P271" s="364"/>
      <c r="Q271" s="364"/>
      <c r="R271" s="364"/>
      <c r="S271" s="364"/>
      <c r="T271" s="364"/>
      <c r="U271" s="364"/>
      <c r="V271" s="364"/>
      <c r="W271" s="364"/>
      <c r="X271" s="364"/>
      <c r="Y271" s="364">
        <f>SUM(Y5:Y268)</f>
        <v>236435929.49524146</v>
      </c>
      <c r="Z271" s="364"/>
      <c r="AA271" s="364"/>
      <c r="AC271" s="393"/>
      <c r="AH271" s="361"/>
      <c r="AI271" s="361"/>
      <c r="AJ271" s="361"/>
      <c r="AK271" s="393"/>
      <c r="AL271" s="393"/>
    </row>
    <row r="272" spans="1:44">
      <c r="F272" s="364"/>
      <c r="L272" s="392"/>
      <c r="M272" s="364"/>
      <c r="N272" s="364"/>
      <c r="O272" s="364"/>
      <c r="P272" s="364"/>
      <c r="Q272" s="364"/>
      <c r="R272" s="364"/>
      <c r="S272" s="364"/>
      <c r="T272" s="364"/>
      <c r="U272" s="364"/>
      <c r="V272" s="364"/>
      <c r="W272" s="364"/>
      <c r="X272" s="364"/>
      <c r="Y272" s="364">
        <v>241310991.02040762</v>
      </c>
      <c r="Z272" s="394"/>
      <c r="AA272" s="394"/>
      <c r="AB272" s="395">
        <f>SUM(AB5:AB271)</f>
        <v>46547.347527955513</v>
      </c>
      <c r="AC272" s="396">
        <f>SUM(AC5:AC271)</f>
        <v>18579.486364396194</v>
      </c>
      <c r="AE272" s="395">
        <f>SUM(AE5:AE271)</f>
        <v>27967.861163559322</v>
      </c>
      <c r="AF272" s="365"/>
      <c r="AH272" s="361"/>
      <c r="AI272" s="365"/>
      <c r="AJ272" s="397">
        <f>SUM(AJ5:AJ220)</f>
        <v>0.1150903402853556</v>
      </c>
      <c r="AK272" s="398"/>
      <c r="AO272" s="399">
        <f>SUM(AO5:AO220)</f>
        <v>0.32050127022275132</v>
      </c>
    </row>
    <row r="273" spans="1:38">
      <c r="F273" s="364"/>
      <c r="L273" s="392"/>
      <c r="M273" s="364"/>
      <c r="N273" s="364"/>
      <c r="O273" s="364"/>
      <c r="P273" s="364"/>
      <c r="Q273" s="364"/>
      <c r="R273" s="364"/>
      <c r="S273" s="364"/>
      <c r="T273" s="364"/>
      <c r="U273" s="364"/>
      <c r="V273" s="364"/>
      <c r="W273" s="364"/>
      <c r="X273" s="364"/>
      <c r="Y273" s="364">
        <f>+Y272-Y271</f>
        <v>4875061.5251661539</v>
      </c>
      <c r="Z273" s="400"/>
      <c r="AA273" s="400"/>
      <c r="AC273" s="393"/>
      <c r="AH273" s="361"/>
      <c r="AI273" s="361"/>
      <c r="AJ273" s="361"/>
      <c r="AK273" s="393"/>
      <c r="AL273" s="393"/>
    </row>
    <row r="274" spans="1:38" ht="13.8" thickBot="1">
      <c r="L274" s="392"/>
      <c r="AB274" s="395">
        <f>AE272+AC272</f>
        <v>46547.347527955513</v>
      </c>
      <c r="AC274" s="393"/>
      <c r="AH274" s="361"/>
      <c r="AI274" s="361"/>
      <c r="AJ274" s="361"/>
      <c r="AK274" s="393"/>
      <c r="AL274" s="393"/>
    </row>
    <row r="275" spans="1:38" ht="13.8" thickBot="1">
      <c r="A275" s="361">
        <v>2005</v>
      </c>
      <c r="J275" s="364">
        <f>SUM(J5:J16)</f>
        <v>104508.94023145307</v>
      </c>
      <c r="K275" s="364">
        <v>104508.94023145307</v>
      </c>
      <c r="L275" s="364"/>
      <c r="M275" s="364"/>
      <c r="N275" s="364"/>
      <c r="O275" s="364"/>
      <c r="P275" s="364"/>
      <c r="Q275" s="364"/>
      <c r="R275" s="364"/>
      <c r="S275" s="364"/>
      <c r="T275" s="364"/>
      <c r="U275" s="364"/>
      <c r="V275" s="364"/>
      <c r="W275" s="364"/>
      <c r="X275" s="364">
        <f>SUM(X5:X16)</f>
        <v>0</v>
      </c>
      <c r="Y275" s="364">
        <f>SUM(Y5:Y16)</f>
        <v>104508.94023145307</v>
      </c>
      <c r="AA275" s="364">
        <f>AVERAGE(AA5:AA16)</f>
        <v>4321895.166666667</v>
      </c>
      <c r="AC275" s="393"/>
      <c r="AH275" s="401" t="s">
        <v>251</v>
      </c>
      <c r="AI275" s="402">
        <v>3338238.3037115079</v>
      </c>
      <c r="AJ275" s="403"/>
      <c r="AK275" s="404"/>
      <c r="AL275" s="405">
        <f>SUM(AL5:AL271)</f>
        <v>64652532.055073425</v>
      </c>
    </row>
    <row r="276" spans="1:38">
      <c r="A276" s="361">
        <v>2006</v>
      </c>
      <c r="J276" s="364">
        <f>SUM(J17:J28)</f>
        <v>523995.00862670643</v>
      </c>
      <c r="K276" s="364">
        <v>523995.00862670649</v>
      </c>
      <c r="L276" s="364"/>
      <c r="M276" s="364"/>
      <c r="N276" s="364"/>
      <c r="O276" s="364"/>
      <c r="P276" s="364"/>
      <c r="Q276" s="364"/>
      <c r="R276" s="364"/>
      <c r="S276" s="364"/>
      <c r="T276" s="364"/>
      <c r="U276" s="364"/>
      <c r="V276" s="364"/>
      <c r="W276" s="364"/>
      <c r="X276" s="364">
        <f>SUM(X17:X28)</f>
        <v>1367.8209417769033</v>
      </c>
      <c r="Y276" s="364">
        <f>SUM(Y17:Y28)</f>
        <v>525362.8295684834</v>
      </c>
      <c r="AA276" s="364">
        <f>AVERAGE(AA17:AA28)</f>
        <v>4409562.5</v>
      </c>
      <c r="AB276" s="395"/>
      <c r="AC276" s="393"/>
      <c r="AE276" s="406"/>
      <c r="AH276" s="361"/>
      <c r="AI276" s="361"/>
      <c r="AJ276" s="361"/>
      <c r="AK276" s="393"/>
      <c r="AL276" s="393"/>
    </row>
    <row r="277" spans="1:38">
      <c r="A277" s="361">
        <v>2007</v>
      </c>
      <c r="J277" s="364">
        <f>SUM(J29:J40)</f>
        <v>939574.41399289889</v>
      </c>
      <c r="K277" s="364">
        <v>939574.41399289877</v>
      </c>
      <c r="L277" s="364"/>
      <c r="M277" s="364"/>
      <c r="N277" s="364"/>
      <c r="O277" s="364"/>
      <c r="P277" s="364"/>
      <c r="Q277" s="364"/>
      <c r="R277" s="364"/>
      <c r="S277" s="364"/>
      <c r="T277" s="364"/>
      <c r="U277" s="364"/>
      <c r="V277" s="364"/>
      <c r="W277" s="364"/>
      <c r="X277" s="364">
        <f>SUM(X29:X40)</f>
        <v>136056.66988666818</v>
      </c>
      <c r="Y277" s="364">
        <f>SUM(Y29:Y40)</f>
        <v>1075631.083879567</v>
      </c>
      <c r="AA277" s="364">
        <f>AVERAGE(AA29:AA40)</f>
        <v>4496589.333333333</v>
      </c>
      <c r="AC277" s="393"/>
    </row>
    <row r="278" spans="1:38">
      <c r="A278" s="361">
        <v>2008</v>
      </c>
      <c r="J278" s="364">
        <f>SUM(J41:J52)</f>
        <v>1258245.6704983776</v>
      </c>
      <c r="K278" s="364">
        <v>1258245.6704983781</v>
      </c>
      <c r="L278" s="364"/>
      <c r="M278" s="364"/>
      <c r="N278" s="364"/>
      <c r="O278" s="364"/>
      <c r="P278" s="364"/>
      <c r="Q278" s="364"/>
      <c r="R278" s="364"/>
      <c r="S278" s="364"/>
      <c r="T278" s="364"/>
      <c r="U278" s="364"/>
      <c r="V278" s="364"/>
      <c r="W278" s="364"/>
      <c r="X278" s="364">
        <f>SUM(X41:X52)</f>
        <v>1754902.861468164</v>
      </c>
      <c r="Y278" s="364">
        <f>SUM(Y41:Y52)</f>
        <v>3013148.5319665424</v>
      </c>
      <c r="AA278" s="364">
        <f>AVERAGE(AA41:AA52)</f>
        <v>4509730.166666667</v>
      </c>
    </row>
    <row r="279" spans="1:38">
      <c r="A279" s="361">
        <v>2009</v>
      </c>
      <c r="J279" s="364">
        <f>SUM(J53:J64)</f>
        <v>1548378.2378467501</v>
      </c>
      <c r="K279" s="364">
        <v>1548378.2378467503</v>
      </c>
      <c r="L279" s="364"/>
      <c r="M279" s="364"/>
      <c r="N279" s="364"/>
      <c r="O279" s="364"/>
      <c r="P279" s="364"/>
      <c r="Q279" s="364"/>
      <c r="R279" s="364"/>
      <c r="S279" s="364"/>
      <c r="T279" s="364"/>
      <c r="U279" s="364"/>
      <c r="V279" s="364"/>
      <c r="W279" s="364"/>
      <c r="X279" s="364">
        <f>SUM(X53:X64)</f>
        <v>2178220.0368855582</v>
      </c>
      <c r="Y279" s="364">
        <f>SUM(Y53:Y64)</f>
        <v>3726598.274732308</v>
      </c>
      <c r="AA279" s="364">
        <f>AVERAGE(AA53:AA64)</f>
        <v>4499066.75</v>
      </c>
    </row>
    <row r="280" spans="1:38">
      <c r="A280" s="361">
        <v>2010</v>
      </c>
      <c r="J280" s="364">
        <f>SUM(J65:J76)</f>
        <v>1882877.3064484617</v>
      </c>
      <c r="K280" s="364">
        <v>1882877.306448462</v>
      </c>
      <c r="L280" s="364"/>
      <c r="M280" s="364"/>
      <c r="N280" s="364"/>
      <c r="O280" s="364"/>
      <c r="P280" s="364"/>
      <c r="Q280" s="364"/>
      <c r="R280" s="364"/>
      <c r="S280" s="364"/>
      <c r="T280" s="364"/>
      <c r="U280" s="364"/>
      <c r="V280" s="364"/>
      <c r="W280" s="364"/>
      <c r="X280" s="364">
        <f>SUM(X65:X76)</f>
        <v>2611128.6782838129</v>
      </c>
      <c r="Y280" s="364">
        <f>SUM(Y65:Y76)</f>
        <v>4494005.9847322749</v>
      </c>
      <c r="AA280" s="364">
        <f>AVERAGE(AA65:AA76)</f>
        <v>4520327.666666667</v>
      </c>
    </row>
    <row r="281" spans="1:38">
      <c r="A281" s="361">
        <v>2011</v>
      </c>
      <c r="J281" s="364">
        <f>SUM(J77:J88)</f>
        <v>2255529.351642882</v>
      </c>
      <c r="K281" s="364">
        <v>2255529.3516428825</v>
      </c>
      <c r="L281" s="364"/>
      <c r="M281" s="364"/>
      <c r="N281" s="364"/>
      <c r="O281" s="364"/>
      <c r="P281" s="364"/>
      <c r="Q281" s="364"/>
      <c r="R281" s="364"/>
      <c r="S281" s="364"/>
      <c r="T281" s="364"/>
      <c r="U281" s="364"/>
      <c r="V281" s="364"/>
      <c r="W281" s="364"/>
      <c r="X281" s="364">
        <f>SUM(X77:X88)</f>
        <v>3035487.0522158355</v>
      </c>
      <c r="Y281" s="364">
        <f>SUM(Y77:Y88)</f>
        <v>5291016.4038587166</v>
      </c>
      <c r="AA281" s="364">
        <f>AVERAGE(AA77:AA88)</f>
        <v>4547050.833333333</v>
      </c>
    </row>
    <row r="282" spans="1:38">
      <c r="A282" s="361">
        <v>2012</v>
      </c>
      <c r="J282" s="364">
        <f>SUM(J89:J100)</f>
        <v>2633605.7732989891</v>
      </c>
      <c r="K282" s="364">
        <v>2633605.77329899</v>
      </c>
      <c r="L282" s="364"/>
      <c r="M282" s="364"/>
      <c r="N282" s="364"/>
      <c r="O282" s="364"/>
      <c r="P282" s="364"/>
      <c r="Q282" s="364"/>
      <c r="R282" s="364"/>
      <c r="S282" s="364"/>
      <c r="T282" s="364"/>
      <c r="U282" s="364"/>
      <c r="V282" s="364"/>
      <c r="W282" s="364"/>
      <c r="X282" s="364">
        <f>SUM(X89:X100)</f>
        <v>3434526.8863944174</v>
      </c>
      <c r="Y282" s="364">
        <f>SUM(Y89:Y100)</f>
        <v>6068132.659693406</v>
      </c>
      <c r="AA282" s="364">
        <f>AVERAGE(AA89:AA100)</f>
        <v>4576448.666666667</v>
      </c>
    </row>
    <row r="283" spans="1:38">
      <c r="A283" s="361">
        <v>2013</v>
      </c>
      <c r="J283" s="364">
        <f>SUM(J101:J112)</f>
        <v>3036742.4276550999</v>
      </c>
      <c r="K283" s="364">
        <v>3036742.4276550999</v>
      </c>
      <c r="L283" s="364"/>
      <c r="M283" s="364"/>
      <c r="N283" s="364"/>
      <c r="O283" s="364"/>
      <c r="P283" s="364"/>
      <c r="Q283" s="364"/>
      <c r="R283" s="364"/>
      <c r="S283" s="364"/>
      <c r="T283" s="364"/>
      <c r="U283" s="364"/>
      <c r="V283" s="364"/>
      <c r="W283" s="364"/>
      <c r="X283" s="364">
        <f>SUM(X101:X112)</f>
        <v>4155744.3509899331</v>
      </c>
      <c r="Y283" s="364">
        <f>SUM(Y101:Y112)</f>
        <v>7192486.778645033</v>
      </c>
      <c r="AA283" s="364">
        <f>AVERAGE(AA101:AA112)</f>
        <v>4626934.333333333</v>
      </c>
    </row>
    <row r="284" spans="1:38">
      <c r="A284" s="361">
        <v>2014</v>
      </c>
      <c r="J284" s="364">
        <f>SUM(J113:J124)</f>
        <v>3474083.7080153469</v>
      </c>
      <c r="K284" s="364">
        <v>3474083.7080153474</v>
      </c>
      <c r="L284" s="364"/>
      <c r="M284" s="364"/>
      <c r="N284" s="364"/>
      <c r="O284" s="364"/>
      <c r="P284" s="364"/>
      <c r="Q284" s="364"/>
      <c r="R284" s="364"/>
      <c r="S284" s="364"/>
      <c r="T284" s="364"/>
      <c r="U284" s="364"/>
      <c r="V284" s="364"/>
      <c r="W284" s="364"/>
      <c r="X284" s="364">
        <f>SUM(X113:X124)</f>
        <v>4910864.7329712613</v>
      </c>
      <c r="Y284" s="364">
        <f>SUM(Y113:Y124)</f>
        <v>8384948.4409866091</v>
      </c>
      <c r="AA284" s="364">
        <f>AVERAGE(AA113:AA124)</f>
        <v>4697825.6936988812</v>
      </c>
    </row>
    <row r="285" spans="1:38">
      <c r="A285" s="361">
        <v>2015</v>
      </c>
      <c r="J285" s="364">
        <f>SUM(J125:J136)</f>
        <v>4039997.9425893626</v>
      </c>
      <c r="K285" s="364">
        <v>4039997.9425893626</v>
      </c>
      <c r="L285" s="364"/>
      <c r="M285" s="364"/>
      <c r="N285" s="364"/>
      <c r="O285" s="364"/>
      <c r="P285" s="364"/>
      <c r="Q285" s="364"/>
      <c r="R285" s="364"/>
      <c r="S285" s="364"/>
      <c r="T285" s="364"/>
      <c r="U285" s="364"/>
      <c r="V285" s="364"/>
      <c r="W285" s="364"/>
      <c r="X285" s="364">
        <f>SUM(X125:X136)</f>
        <v>5800287.9445377756</v>
      </c>
      <c r="Y285" s="364">
        <f>SUM(Y125:Y136)</f>
        <v>9840285.8871271405</v>
      </c>
      <c r="AA285" s="364">
        <f>AVERAGE(AA125:AA136)</f>
        <v>4782468.9275994943</v>
      </c>
    </row>
    <row r="286" spans="1:38">
      <c r="A286" s="361">
        <v>2016</v>
      </c>
      <c r="J286" s="364">
        <f>SUM(J137:J148)</f>
        <v>4575939.1961389175</v>
      </c>
      <c r="K286" s="364">
        <v>4575939.1961389165</v>
      </c>
      <c r="L286" s="364"/>
      <c r="M286" s="364"/>
      <c r="N286" s="364"/>
      <c r="O286" s="364"/>
      <c r="P286" s="364"/>
      <c r="Q286" s="364"/>
      <c r="R286" s="364"/>
      <c r="S286" s="364"/>
      <c r="T286" s="364"/>
      <c r="U286" s="364"/>
      <c r="V286" s="364"/>
      <c r="W286" s="364"/>
      <c r="X286" s="364">
        <f>SUM(X137:X148)</f>
        <v>6619830.477604825</v>
      </c>
      <c r="Y286" s="364">
        <f>SUM(Y137:Y148)</f>
        <v>11195769.673743742</v>
      </c>
      <c r="AA286" s="364">
        <f>AVERAGE(AA137:AA148)</f>
        <v>4852827.4973874111</v>
      </c>
    </row>
    <row r="287" spans="1:38">
      <c r="A287" s="361">
        <v>2017</v>
      </c>
      <c r="J287" s="364">
        <f>SUM(J149:J160)</f>
        <v>5107282.6344742086</v>
      </c>
      <c r="K287" s="364">
        <v>5107282.6344742095</v>
      </c>
      <c r="L287" s="364"/>
      <c r="M287" s="364"/>
      <c r="N287" s="364"/>
      <c r="O287" s="364"/>
      <c r="P287" s="364"/>
      <c r="Q287" s="364"/>
      <c r="R287" s="364"/>
      <c r="S287" s="364"/>
      <c r="T287" s="364"/>
      <c r="U287" s="364"/>
      <c r="V287" s="364"/>
      <c r="W287" s="364"/>
      <c r="X287" s="364">
        <f>SUM(X149:X160)</f>
        <v>7476087.5976180388</v>
      </c>
      <c r="Y287" s="364">
        <f>SUM(Y149:Y160)</f>
        <v>12583370.232092246</v>
      </c>
      <c r="AA287" s="364">
        <f>AVERAGE(AA149:AA160)</f>
        <v>4922917.6134850439</v>
      </c>
    </row>
    <row r="288" spans="1:38">
      <c r="A288" s="361">
        <v>2018</v>
      </c>
      <c r="J288" s="364">
        <f>SUM(J161:J172)</f>
        <v>5645813.9724402977</v>
      </c>
      <c r="K288" s="364">
        <v>5645813.9724402977</v>
      </c>
      <c r="L288" s="364"/>
      <c r="M288" s="364"/>
      <c r="N288" s="364"/>
      <c r="O288" s="364"/>
      <c r="P288" s="364"/>
      <c r="Q288" s="364"/>
      <c r="R288" s="364"/>
      <c r="S288" s="364"/>
      <c r="T288" s="364"/>
      <c r="U288" s="364"/>
      <c r="V288" s="364"/>
      <c r="W288" s="364"/>
      <c r="X288" s="364">
        <f>SUM(X161:X172)</f>
        <v>8121182.6862091795</v>
      </c>
      <c r="Y288" s="364">
        <f>SUM(Y161:Y172)</f>
        <v>13766996.658649478</v>
      </c>
      <c r="AA288" s="364">
        <f>AVERAGE(AA161:AA172)</f>
        <v>4991658.9753791485</v>
      </c>
    </row>
    <row r="289" spans="1:27">
      <c r="A289" s="361">
        <v>2019</v>
      </c>
      <c r="J289" s="364">
        <f>SUM(J173:J184)</f>
        <v>6178818.5956216026</v>
      </c>
      <c r="K289" s="364">
        <v>6178818.5956216045</v>
      </c>
      <c r="L289" s="364"/>
      <c r="M289" s="364"/>
      <c r="N289" s="364"/>
      <c r="O289" s="364"/>
      <c r="P289" s="364"/>
      <c r="Q289" s="364"/>
      <c r="R289" s="364"/>
      <c r="S289" s="364"/>
      <c r="T289" s="364"/>
      <c r="U289" s="364"/>
      <c r="V289" s="364"/>
      <c r="W289" s="364"/>
      <c r="X289" s="364">
        <f>SUM(X173:X184)</f>
        <v>8825351.2505414505</v>
      </c>
      <c r="Y289" s="364">
        <f>SUM(Y173:Y184)</f>
        <v>15004169.846163051</v>
      </c>
      <c r="AA289" s="364">
        <f>AVERAGE(AA173:AA184)</f>
        <v>5058945.3176616272</v>
      </c>
    </row>
    <row r="290" spans="1:27">
      <c r="A290" s="361">
        <v>2020</v>
      </c>
      <c r="J290" s="364">
        <f>SUM(J185:J196)</f>
        <v>6602699.0569757409</v>
      </c>
      <c r="K290" s="364">
        <v>6602699.0569757428</v>
      </c>
      <c r="L290" s="364"/>
      <c r="M290" s="364"/>
      <c r="N290" s="364"/>
      <c r="O290" s="364"/>
      <c r="P290" s="364"/>
      <c r="Q290" s="364"/>
      <c r="R290" s="364"/>
      <c r="S290" s="364"/>
      <c r="T290" s="364"/>
      <c r="U290" s="364"/>
      <c r="V290" s="364"/>
      <c r="W290" s="364"/>
      <c r="X290" s="364">
        <f>SUM(X185:X196)</f>
        <v>9551225.2281682696</v>
      </c>
      <c r="Y290" s="364">
        <f>SUM(Y185:Y196)</f>
        <v>16153924.285144012</v>
      </c>
      <c r="AA290" s="364">
        <f>AVERAGE(AA185:AA196)</f>
        <v>5123908.5663745506</v>
      </c>
    </row>
    <row r="291" spans="1:27">
      <c r="A291" s="361">
        <v>2021</v>
      </c>
      <c r="J291" s="364">
        <f>SUM(J197:J208)</f>
        <v>6943997.269991735</v>
      </c>
      <c r="K291" s="364">
        <v>6943997.2699917359</v>
      </c>
      <c r="L291" s="364"/>
      <c r="M291" s="364"/>
      <c r="N291" s="364"/>
      <c r="O291" s="364"/>
      <c r="P291" s="364"/>
      <c r="Q291" s="364"/>
      <c r="R291" s="364"/>
      <c r="S291" s="364"/>
      <c r="T291" s="364"/>
      <c r="U291" s="364"/>
      <c r="V291" s="364"/>
      <c r="W291" s="364"/>
      <c r="X291" s="364">
        <f>SUM(X197:X208)</f>
        <v>10259823.684878608</v>
      </c>
      <c r="Y291" s="364">
        <f>SUM(Y197:Y208)</f>
        <v>17203820.954870339</v>
      </c>
      <c r="AA291" s="364">
        <f>AVERAGE(AA197:AA208)</f>
        <v>5185332.6771582505</v>
      </c>
    </row>
    <row r="292" spans="1:27">
      <c r="A292" s="361">
        <v>2022</v>
      </c>
      <c r="J292" s="364">
        <f>SUM(J209:J220)</f>
        <v>7269834.1270947866</v>
      </c>
      <c r="K292" s="364">
        <v>7269834.1270947866</v>
      </c>
      <c r="L292" s="364"/>
      <c r="M292" s="364"/>
      <c r="N292" s="364"/>
      <c r="O292" s="364"/>
      <c r="P292" s="364"/>
      <c r="Q292" s="364"/>
      <c r="R292" s="364"/>
      <c r="S292" s="364"/>
      <c r="T292" s="364"/>
      <c r="U292" s="364"/>
      <c r="V292" s="364"/>
      <c r="W292" s="364"/>
      <c r="X292" s="364">
        <f>SUM(X209:X220)</f>
        <v>11195704.039134974</v>
      </c>
      <c r="Y292" s="364">
        <f>SUM(Y209:Y220)</f>
        <v>18465538.166229758</v>
      </c>
      <c r="AA292" s="364">
        <f>AVERAGE(AA209:AA220)</f>
        <v>5247054.0847409368</v>
      </c>
    </row>
    <row r="293" spans="1:27">
      <c r="A293" s="361">
        <v>2023</v>
      </c>
      <c r="J293" s="364">
        <f>SUM(J221:J232)</f>
        <v>7370166.7033470888</v>
      </c>
      <c r="K293" s="364">
        <v>7370166.7033470906</v>
      </c>
      <c r="L293" s="364"/>
      <c r="M293" s="364"/>
      <c r="N293" s="364"/>
      <c r="O293" s="364"/>
      <c r="P293" s="364"/>
      <c r="Q293" s="364"/>
      <c r="R293" s="364"/>
      <c r="S293" s="364"/>
      <c r="T293" s="364"/>
      <c r="U293" s="364"/>
      <c r="V293" s="364"/>
      <c r="W293" s="364"/>
      <c r="X293" s="364">
        <f>SUM(X221:X232)</f>
        <v>12030375.656389674</v>
      </c>
      <c r="Y293" s="364">
        <f>SUM(Y221:Y232)</f>
        <v>19400542.359736763</v>
      </c>
      <c r="AA293" s="364">
        <f>AVERAGE(AA221:AA232)</f>
        <v>5309376.0310086822</v>
      </c>
    </row>
    <row r="294" spans="1:27">
      <c r="A294" s="361">
        <v>2024</v>
      </c>
      <c r="J294" s="364">
        <f>SUM(J233:J244)</f>
        <v>7410651.096063192</v>
      </c>
      <c r="K294" s="364">
        <v>7410651.096063192</v>
      </c>
      <c r="L294" s="364"/>
      <c r="M294" s="364"/>
      <c r="N294" s="364"/>
      <c r="O294" s="364"/>
      <c r="P294" s="364"/>
      <c r="Q294" s="364"/>
      <c r="R294" s="364"/>
      <c r="S294" s="364"/>
      <c r="T294" s="364"/>
      <c r="U294" s="364"/>
      <c r="V294" s="364"/>
      <c r="W294" s="364"/>
      <c r="X294" s="364">
        <f>SUM(X233:X244)</f>
        <v>12783060.419189343</v>
      </c>
      <c r="Y294" s="364">
        <f>SUM(Y233:Y244)</f>
        <v>20193711.515252534</v>
      </c>
      <c r="AA294" s="364">
        <f>AVERAGE(AA233:AA244)</f>
        <v>5372352.5973116057</v>
      </c>
    </row>
    <row r="295" spans="1:27">
      <c r="A295" s="361">
        <v>2025</v>
      </c>
      <c r="J295" s="364">
        <f>SUM(J245:J256)</f>
        <v>7520575.047466577</v>
      </c>
      <c r="K295" s="364">
        <v>7520575.0474665752</v>
      </c>
      <c r="L295" s="364"/>
      <c r="M295" s="364"/>
      <c r="N295" s="364"/>
      <c r="O295" s="364"/>
      <c r="P295" s="364"/>
      <c r="Q295" s="364"/>
      <c r="R295" s="364"/>
      <c r="S295" s="364"/>
      <c r="T295" s="364"/>
      <c r="U295" s="364"/>
      <c r="V295" s="364"/>
      <c r="W295" s="364"/>
      <c r="X295" s="364">
        <f>SUM(X245:X256)</f>
        <v>13476154.744595222</v>
      </c>
      <c r="Y295" s="364">
        <f>SUM(Y245:Y256)</f>
        <v>20996729.792061798</v>
      </c>
      <c r="AA295" s="364">
        <f>AVERAGE(AA245:AA256)</f>
        <v>5433671.8395568365</v>
      </c>
    </row>
    <row r="296" spans="1:27">
      <c r="A296" s="361">
        <v>2026</v>
      </c>
      <c r="J296" s="364">
        <f>SUM(J257:J268)</f>
        <v>7628612.0934024518</v>
      </c>
      <c r="K296" s="364">
        <v>7628612.0934024528</v>
      </c>
      <c r="L296" s="364"/>
      <c r="M296" s="364"/>
      <c r="N296" s="364"/>
      <c r="O296" s="364"/>
      <c r="P296" s="364"/>
      <c r="Q296" s="364"/>
      <c r="R296" s="364"/>
      <c r="S296" s="364"/>
      <c r="T296" s="364"/>
      <c r="U296" s="364"/>
      <c r="V296" s="364"/>
      <c r="W296" s="364"/>
      <c r="X296" s="364">
        <f>SUM(X257:X268)</f>
        <v>14126618.102473851</v>
      </c>
      <c r="Y296" s="364">
        <f>SUM(Y257:Y268)</f>
        <v>21755230.195876297</v>
      </c>
      <c r="AA296" s="364">
        <f>AVERAGE(AA257:AA268)</f>
        <v>5489001.9422878725</v>
      </c>
    </row>
    <row r="298" spans="1:27">
      <c r="J298" s="364">
        <f>SUM(J275:J296)</f>
        <v>93951928.57386291</v>
      </c>
      <c r="K298" s="364">
        <f>SUM(K275:K296)</f>
        <v>93951928.57386294</v>
      </c>
      <c r="L298" s="364"/>
    </row>
  </sheetData>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U298"/>
  <sheetViews>
    <sheetView zoomScale="75" zoomScaleNormal="75" workbookViewId="0">
      <pane xSplit="2" ySplit="4" topLeftCell="U5" activePane="bottomRight" state="frozen"/>
      <selection activeCell="AB18" sqref="AB18"/>
      <selection pane="topRight" activeCell="AB18" sqref="AB18"/>
      <selection pane="bottomLeft" activeCell="AB18" sqref="AB18"/>
      <selection pane="bottomRight" activeCell="A2" sqref="A1:A2"/>
    </sheetView>
  </sheetViews>
  <sheetFormatPr defaultColWidth="9.109375" defaultRowHeight="13.2"/>
  <cols>
    <col min="1" max="1" width="11" style="78" customWidth="1"/>
    <col min="2" max="2" width="9.109375" style="78"/>
    <col min="3" max="3" width="18.109375" style="102" customWidth="1"/>
    <col min="4" max="4" width="10.6640625" style="102" customWidth="1"/>
    <col min="5" max="5" width="19.5546875" style="102" customWidth="1"/>
    <col min="6" max="6" width="19.6640625" style="102" customWidth="1"/>
    <col min="7" max="7" width="17.109375" style="102" customWidth="1"/>
    <col min="8" max="8" width="18" style="102" customWidth="1"/>
    <col min="9" max="9" width="19" style="102" bestFit="1" customWidth="1"/>
    <col min="10" max="10" width="19.5546875" style="102" customWidth="1"/>
    <col min="11" max="11" width="14.109375" style="78" customWidth="1"/>
    <col min="12" max="12" width="14.33203125" style="78" customWidth="1"/>
    <col min="13" max="13" width="19.44140625" style="78" customWidth="1"/>
    <col min="14" max="14" width="17.33203125" style="78" customWidth="1"/>
    <col min="15" max="15" width="19.6640625" style="78" customWidth="1"/>
    <col min="16" max="16" width="17.109375" style="78" customWidth="1"/>
    <col min="17" max="17" width="19" style="78" customWidth="1"/>
    <col min="18" max="20" width="15.6640625" style="78" customWidth="1"/>
    <col min="21" max="25" width="19.6640625" style="78" customWidth="1"/>
    <col min="26" max="26" width="13" style="78" customWidth="1"/>
    <col min="27" max="30" width="15.44140625" style="78" customWidth="1"/>
    <col min="31" max="31" width="17.6640625" style="78" customWidth="1"/>
    <col min="32" max="33" width="17.5546875" style="78" customWidth="1"/>
    <col min="34" max="34" width="19.33203125" style="78" customWidth="1"/>
    <col min="35" max="35" width="19.44140625" style="102" customWidth="1"/>
    <col min="36" max="37" width="17.88671875" style="102" customWidth="1"/>
    <col min="38" max="38" width="21" style="78" customWidth="1"/>
    <col min="39" max="39" width="12.88671875" style="78" customWidth="1"/>
    <col min="40" max="41" width="15.44140625" style="78" customWidth="1"/>
    <col min="42" max="42" width="17.5546875" style="78" customWidth="1"/>
    <col min="43" max="43" width="10.6640625" style="78" bestFit="1" customWidth="1"/>
    <col min="44" max="44" width="22.33203125" style="78" customWidth="1"/>
    <col min="45" max="45" width="20.6640625" style="78" customWidth="1"/>
    <col min="46" max="46" width="9.109375" style="78"/>
    <col min="47" max="47" width="15" style="141" customWidth="1"/>
    <col min="48" max="16384" width="9.109375" style="78"/>
  </cols>
  <sheetData>
    <row r="1" spans="1:47">
      <c r="A1" s="416" t="s">
        <v>383</v>
      </c>
    </row>
    <row r="2" spans="1:47">
      <c r="A2" s="416" t="s">
        <v>380</v>
      </c>
    </row>
    <row r="3" spans="1:47" s="62" customFormat="1" ht="52.8">
      <c r="C3" s="294" t="s">
        <v>248</v>
      </c>
      <c r="D3" s="314" t="s">
        <v>364</v>
      </c>
      <c r="E3" s="315" t="s">
        <v>23</v>
      </c>
      <c r="F3" s="316" t="s">
        <v>169</v>
      </c>
      <c r="G3" s="315" t="s">
        <v>43</v>
      </c>
      <c r="H3" s="315" t="s">
        <v>187</v>
      </c>
      <c r="I3" s="315" t="s">
        <v>95</v>
      </c>
      <c r="J3" s="294" t="s">
        <v>228</v>
      </c>
      <c r="K3" s="272" t="s">
        <v>363</v>
      </c>
      <c r="L3" s="273" t="s">
        <v>365</v>
      </c>
      <c r="M3" s="274" t="s">
        <v>367</v>
      </c>
      <c r="N3" s="276" t="s">
        <v>59</v>
      </c>
      <c r="O3" s="276" t="s">
        <v>353</v>
      </c>
      <c r="P3" s="276" t="s">
        <v>70</v>
      </c>
      <c r="Q3" s="277" t="s">
        <v>89</v>
      </c>
      <c r="R3" s="277" t="s">
        <v>129</v>
      </c>
      <c r="S3" s="277" t="s">
        <v>327</v>
      </c>
      <c r="T3" s="277" t="s">
        <v>146</v>
      </c>
      <c r="U3" s="277" t="s">
        <v>147</v>
      </c>
      <c r="V3" s="277" t="s">
        <v>261</v>
      </c>
      <c r="W3" s="277" t="s">
        <v>212</v>
      </c>
      <c r="X3" s="277" t="s">
        <v>214</v>
      </c>
      <c r="Y3" s="294" t="s">
        <v>229</v>
      </c>
      <c r="Z3" s="279" t="s">
        <v>230</v>
      </c>
      <c r="AA3" s="279" t="s">
        <v>230</v>
      </c>
      <c r="AB3" s="279"/>
      <c r="AC3" s="305" t="s">
        <v>256</v>
      </c>
      <c r="AD3" s="306" t="s">
        <v>228</v>
      </c>
      <c r="AE3" s="280" t="s">
        <v>228</v>
      </c>
      <c r="AF3" s="305" t="s">
        <v>229</v>
      </c>
      <c r="AG3" s="281" t="s">
        <v>229</v>
      </c>
      <c r="AH3" s="280" t="s">
        <v>230</v>
      </c>
      <c r="AI3" s="282" t="s">
        <v>230</v>
      </c>
      <c r="AJ3" s="282"/>
      <c r="AK3" s="283" t="s">
        <v>230</v>
      </c>
      <c r="AL3" s="311" t="s">
        <v>369</v>
      </c>
      <c r="AM3" s="285" t="s">
        <v>231</v>
      </c>
      <c r="AN3" s="286"/>
      <c r="AO3" s="285" t="s">
        <v>231</v>
      </c>
      <c r="AP3" s="287"/>
      <c r="AQ3" s="284"/>
      <c r="AR3" s="281" t="s">
        <v>250</v>
      </c>
      <c r="AS3" s="281" t="s">
        <v>232</v>
      </c>
      <c r="AT3" s="284"/>
      <c r="AU3" s="288" t="s">
        <v>259</v>
      </c>
    </row>
    <row r="4" spans="1:47" s="62" customFormat="1" ht="39.6">
      <c r="C4" s="283"/>
      <c r="D4" s="283" t="s">
        <v>233</v>
      </c>
      <c r="E4" s="283" t="s">
        <v>234</v>
      </c>
      <c r="F4" s="283" t="s">
        <v>234</v>
      </c>
      <c r="G4" s="283" t="s">
        <v>234</v>
      </c>
      <c r="H4" s="283" t="s">
        <v>235</v>
      </c>
      <c r="I4" s="283" t="s">
        <v>234</v>
      </c>
      <c r="J4" s="283" t="s">
        <v>234</v>
      </c>
      <c r="K4" s="289"/>
      <c r="L4" s="272" t="s">
        <v>233</v>
      </c>
      <c r="M4" s="290" t="s">
        <v>233</v>
      </c>
      <c r="N4" s="290" t="s">
        <v>234</v>
      </c>
      <c r="O4" s="290"/>
      <c r="P4" s="290" t="s">
        <v>234</v>
      </c>
      <c r="Q4" s="290" t="s">
        <v>234</v>
      </c>
      <c r="R4" s="290" t="s">
        <v>234</v>
      </c>
      <c r="S4" s="290"/>
      <c r="T4" s="290" t="s">
        <v>234</v>
      </c>
      <c r="U4" s="290" t="s">
        <v>234</v>
      </c>
      <c r="V4" s="290"/>
      <c r="W4" s="290" t="s">
        <v>234</v>
      </c>
      <c r="X4" s="290" t="s">
        <v>234</v>
      </c>
      <c r="Y4" s="291" t="s">
        <v>234</v>
      </c>
      <c r="Z4" s="292" t="s">
        <v>236</v>
      </c>
      <c r="AA4" s="292" t="s">
        <v>237</v>
      </c>
      <c r="AB4" s="292" t="s">
        <v>246</v>
      </c>
      <c r="AC4" s="307" t="s">
        <v>238</v>
      </c>
      <c r="AD4" s="307" t="s">
        <v>238</v>
      </c>
      <c r="AE4" s="281" t="s">
        <v>239</v>
      </c>
      <c r="AF4" s="307" t="s">
        <v>238</v>
      </c>
      <c r="AG4" s="281" t="s">
        <v>239</v>
      </c>
      <c r="AH4" s="281" t="s">
        <v>239</v>
      </c>
      <c r="AI4" s="293" t="s">
        <v>239</v>
      </c>
      <c r="AJ4" s="293"/>
      <c r="AK4" s="294" t="s">
        <v>240</v>
      </c>
      <c r="AL4" s="311" t="s">
        <v>368</v>
      </c>
      <c r="AM4" s="286" t="s">
        <v>241</v>
      </c>
      <c r="AN4" s="286" t="s">
        <v>104</v>
      </c>
      <c r="AO4" s="286" t="s">
        <v>238</v>
      </c>
      <c r="AP4" s="295" t="s">
        <v>239</v>
      </c>
      <c r="AQ4" s="284"/>
      <c r="AR4" s="281" t="s">
        <v>239</v>
      </c>
      <c r="AS4" s="281" t="s">
        <v>234</v>
      </c>
      <c r="AT4" s="284"/>
      <c r="AU4" s="296" t="s">
        <v>258</v>
      </c>
    </row>
    <row r="5" spans="1:47">
      <c r="A5" s="78">
        <v>2005</v>
      </c>
      <c r="B5" s="78">
        <v>1</v>
      </c>
      <c r="C5" s="317">
        <v>23.472308723910274</v>
      </c>
      <c r="D5" s="318">
        <f t="shared" ref="D5:D16" si="0">C5/(SUM(C$5:C$16))</f>
        <v>1.2307451486293614E-2</v>
      </c>
      <c r="E5" s="102">
        <f>$D5*'MWh Impact Summary'!B$11</f>
        <v>0</v>
      </c>
      <c r="F5" s="319">
        <f>$D5*'MWh Impact Summary'!N$11</f>
        <v>0</v>
      </c>
      <c r="G5" s="319">
        <f>$D5*'MWh Impact Summary'!C$11</f>
        <v>715.00499645869411</v>
      </c>
      <c r="H5" s="319">
        <f>$D5*'MWh Impact Summary'!D$11</f>
        <v>0</v>
      </c>
      <c r="I5" s="319">
        <f>$D5*'MWh Impact Summary'!E$11</f>
        <v>571.23371532387364</v>
      </c>
      <c r="J5" s="104">
        <f>SUM(E5:I5)</f>
        <v>1286.2387117825679</v>
      </c>
      <c r="K5" s="298">
        <v>13.3</v>
      </c>
      <c r="L5" s="299">
        <f t="shared" ref="L5:L14" si="1">K5/(SUM(K$5:K$16))</f>
        <v>9.3629003871876101E-2</v>
      </c>
      <c r="M5" s="297">
        <f>(31/365)</f>
        <v>8.4931506849315067E-2</v>
      </c>
      <c r="N5" s="303">
        <f>$L5*'MWh Impact Summary'!F$11</f>
        <v>0</v>
      </c>
      <c r="O5" s="303">
        <f>$L5*'MWh Impact Summary'!G$11</f>
        <v>0</v>
      </c>
      <c r="P5" s="303">
        <f>$M5*'MWh Impact Summary'!H$11</f>
        <v>0</v>
      </c>
      <c r="Q5" s="303">
        <f>$M5*'MWh Impact Summary'!I$11</f>
        <v>0</v>
      </c>
      <c r="R5" s="303">
        <f>$M5*'MWh Impact Summary'!J$11</f>
        <v>0</v>
      </c>
      <c r="S5" s="303">
        <f>$M5*'MWh Impact Summary'!K$11</f>
        <v>0</v>
      </c>
      <c r="T5" s="303">
        <f>$M5*'MWh Impact Summary'!L$11</f>
        <v>0</v>
      </c>
      <c r="U5" s="303">
        <f>$M5*'MWh Impact Summary'!M$11</f>
        <v>0</v>
      </c>
      <c r="V5" s="303">
        <f>$L5*'MWh Impact Summary'!O$11</f>
        <v>0</v>
      </c>
      <c r="W5" s="303">
        <f>$L5*'MWh Impact Summary'!P$11</f>
        <v>0</v>
      </c>
      <c r="X5" s="303">
        <f>$L5*'MWh Impact Summary'!Q$11</f>
        <v>0</v>
      </c>
      <c r="Y5" s="85">
        <f t="shared" ref="Y5:Y68" si="2">SUM(N5:X5)</f>
        <v>0</v>
      </c>
      <c r="Z5" s="81">
        <f t="shared" ref="Z5:Z68" si="3">Y5+J5</f>
        <v>1286.2387117825679</v>
      </c>
      <c r="AA5" s="81"/>
      <c r="AB5" s="81">
        <f>+'MWh by mo-WgtbyActulCDH&amp;Days'!AB5</f>
        <v>4272459</v>
      </c>
      <c r="AC5" s="308">
        <f>+Z5*1000/AB5</f>
        <v>0.30105349443553886</v>
      </c>
      <c r="AD5" s="309">
        <f t="shared" ref="AD5:AD68" si="4">+J5*1000/AB5</f>
        <v>0.30105349443553886</v>
      </c>
      <c r="AE5" s="107">
        <f t="shared" ref="AE5:AE68" si="5">+AD5/K5/1000</f>
        <v>2.2635601085378861E-5</v>
      </c>
      <c r="AF5" s="309">
        <f>+Y5*1000/AB5</f>
        <v>0</v>
      </c>
      <c r="AG5" s="107">
        <f t="shared" ref="AG5:AG68" si="6">+AF5/K5/1000</f>
        <v>0</v>
      </c>
      <c r="AH5" s="119">
        <f>AE5+AG5</f>
        <v>2.2635601085378861E-5</v>
      </c>
      <c r="AI5" s="122">
        <f t="shared" ref="AI5:AI68" si="7">+AC5/K5/1000</f>
        <v>2.2635601085378861E-5</v>
      </c>
      <c r="AJ5" s="87" t="b">
        <f>AH5=AI5</f>
        <v>1</v>
      </c>
      <c r="AK5" s="88">
        <f t="shared" ref="AK5:AK16" si="8">AI5</f>
        <v>2.2635601085378861E-5</v>
      </c>
      <c r="AL5" s="312">
        <f>+AC5/'MWh by month-WgtbyCDH&amp;DayLtHrs'!AC5-1</f>
        <v>-7.3291937011659036E-2</v>
      </c>
      <c r="AM5" s="89">
        <f t="shared" ref="AM5:AM68" si="9">+W5</f>
        <v>0</v>
      </c>
      <c r="AN5" s="90"/>
      <c r="AO5" s="91"/>
      <c r="AP5" s="92"/>
      <c r="AR5" s="94">
        <f t="shared" ref="AR5:AR68" si="10">AI5</f>
        <v>2.2635601085378861E-5</v>
      </c>
      <c r="AS5" s="95">
        <v>1374.7828602320258</v>
      </c>
      <c r="AU5" s="141">
        <v>0.30105349443553886</v>
      </c>
    </row>
    <row r="6" spans="1:47">
      <c r="A6" s="78">
        <v>2005</v>
      </c>
      <c r="B6" s="78">
        <v>2</v>
      </c>
      <c r="C6" s="317">
        <v>18.741238924773285</v>
      </c>
      <c r="D6" s="318">
        <f t="shared" si="0"/>
        <v>9.8267661512445939E-3</v>
      </c>
      <c r="E6" s="102">
        <f>$D6*'MWh Impact Summary'!B$11</f>
        <v>0</v>
      </c>
      <c r="F6" s="319">
        <f>$D6*'MWh Impact Summary'!N$11</f>
        <v>0</v>
      </c>
      <c r="G6" s="319">
        <f>$D6*'MWh Impact Summary'!C$11</f>
        <v>570.888855828185</v>
      </c>
      <c r="H6" s="319">
        <f>$D6*'MWh Impact Summary'!D$11</f>
        <v>0</v>
      </c>
      <c r="I6" s="319">
        <f>$D6*'MWh Impact Summary'!E$11</f>
        <v>456.09606054070252</v>
      </c>
      <c r="J6" s="104">
        <f t="shared" ref="J6:J69" si="11">SUM(E6:I6)</f>
        <v>1026.9849163688875</v>
      </c>
      <c r="K6" s="298">
        <v>12.733333333333333</v>
      </c>
      <c r="L6" s="299">
        <f t="shared" si="1"/>
        <v>8.9639798193124468E-2</v>
      </c>
      <c r="M6" s="297">
        <f>(28/365)</f>
        <v>7.6712328767123292E-2</v>
      </c>
      <c r="N6" s="303">
        <f>$L6*'MWh Impact Summary'!F$11</f>
        <v>0</v>
      </c>
      <c r="O6" s="303">
        <f>$L6*'MWh Impact Summary'!G$11</f>
        <v>0</v>
      </c>
      <c r="P6" s="303">
        <f>$M6*'MWh Impact Summary'!H$11</f>
        <v>0</v>
      </c>
      <c r="Q6" s="303">
        <f>$M6*'MWh Impact Summary'!I$11</f>
        <v>0</v>
      </c>
      <c r="R6" s="303">
        <f>$M6*'MWh Impact Summary'!J$11</f>
        <v>0</v>
      </c>
      <c r="S6" s="303">
        <f>$M6*'MWh Impact Summary'!K$11</f>
        <v>0</v>
      </c>
      <c r="T6" s="303">
        <f>$M6*'MWh Impact Summary'!L$11</f>
        <v>0</v>
      </c>
      <c r="U6" s="303">
        <f>$M6*'MWh Impact Summary'!M$11</f>
        <v>0</v>
      </c>
      <c r="V6" s="303">
        <f>$L6*'MWh Impact Summary'!O$11</f>
        <v>0</v>
      </c>
      <c r="W6" s="303">
        <f>$L6*'MWh Impact Summary'!P$11</f>
        <v>0</v>
      </c>
      <c r="X6" s="303">
        <f>$L6*'MWh Impact Summary'!Q$11</f>
        <v>0</v>
      </c>
      <c r="Y6" s="85">
        <f t="shared" si="2"/>
        <v>0</v>
      </c>
      <c r="Z6" s="81">
        <f t="shared" si="3"/>
        <v>1026.9849163688875</v>
      </c>
      <c r="AA6" s="81"/>
      <c r="AB6" s="81">
        <f>+'MWh by mo-WgtbyActulCDH&amp;Days'!AB6</f>
        <v>4287988</v>
      </c>
      <c r="AC6" s="308">
        <f t="shared" ref="AC6:AC69" si="12">+Z6*1000/AB6</f>
        <v>0.23950274962730481</v>
      </c>
      <c r="AD6" s="309">
        <f t="shared" si="4"/>
        <v>0.23950274962730481</v>
      </c>
      <c r="AE6" s="107">
        <f t="shared" si="5"/>
        <v>1.8809116462877342E-5</v>
      </c>
      <c r="AF6" s="309">
        <f t="shared" ref="AF6:AF69" si="13">+Y6*1000/AB6</f>
        <v>0</v>
      </c>
      <c r="AG6" s="107">
        <f t="shared" si="6"/>
        <v>0</v>
      </c>
      <c r="AH6" s="119">
        <f t="shared" ref="AH6:AH69" si="14">AE6+AG6</f>
        <v>1.8809116462877342E-5</v>
      </c>
      <c r="AI6" s="122">
        <f t="shared" si="7"/>
        <v>1.8809116462877342E-5</v>
      </c>
      <c r="AJ6" s="87" t="b">
        <f t="shared" ref="AJ6:AJ69" si="15">AH6=AI6</f>
        <v>1</v>
      </c>
      <c r="AK6" s="88">
        <f t="shared" si="8"/>
        <v>1.8809116462877342E-5</v>
      </c>
      <c r="AL6" s="312">
        <f>+AC6/'MWh by month-WgtbyCDH&amp;DayLtHrs'!AC6-1</f>
        <v>-0.44862356802977676</v>
      </c>
      <c r="AM6" s="89">
        <f t="shared" si="9"/>
        <v>0</v>
      </c>
      <c r="AN6" s="90"/>
      <c r="AO6" s="96"/>
      <c r="AP6" s="92"/>
      <c r="AR6" s="94">
        <f t="shared" si="10"/>
        <v>1.8809116462877342E-5</v>
      </c>
      <c r="AS6" s="95">
        <v>1609.5466669451559</v>
      </c>
      <c r="AU6" s="141">
        <v>0.23950274962730481</v>
      </c>
    </row>
    <row r="7" spans="1:47">
      <c r="A7" s="78">
        <v>2005</v>
      </c>
      <c r="B7" s="78">
        <v>3</v>
      </c>
      <c r="C7" s="317">
        <v>59.816978305441737</v>
      </c>
      <c r="D7" s="318">
        <f t="shared" si="0"/>
        <v>3.1364386316245517E-2</v>
      </c>
      <c r="E7" s="102">
        <f>$D7*'MWh Impact Summary'!B$11</f>
        <v>0</v>
      </c>
      <c r="F7" s="319">
        <f>$D7*'MWh Impact Summary'!N$11</f>
        <v>0</v>
      </c>
      <c r="G7" s="319">
        <f>$D7*'MWh Impact Summary'!C$11</f>
        <v>1822.1232033253159</v>
      </c>
      <c r="H7" s="319">
        <f>$D7*'MWh Impact Summary'!D$11</f>
        <v>0</v>
      </c>
      <c r="I7" s="319">
        <f>$D7*'MWh Impact Summary'!E$11</f>
        <v>1455.7355715953918</v>
      </c>
      <c r="J7" s="104">
        <f t="shared" si="11"/>
        <v>3277.8587749207077</v>
      </c>
      <c r="K7" s="298">
        <v>12</v>
      </c>
      <c r="L7" s="299">
        <f t="shared" si="1"/>
        <v>8.4477296726504739E-2</v>
      </c>
      <c r="M7" s="297">
        <f t="shared" ref="M7:M16" si="16">(31/365)</f>
        <v>8.4931506849315067E-2</v>
      </c>
      <c r="N7" s="303">
        <f>$L7*'MWh Impact Summary'!F$11</f>
        <v>0</v>
      </c>
      <c r="O7" s="303">
        <f>$L7*'MWh Impact Summary'!G$11</f>
        <v>0</v>
      </c>
      <c r="P7" s="303">
        <f>$M7*'MWh Impact Summary'!H$11</f>
        <v>0</v>
      </c>
      <c r="Q7" s="303">
        <f>$M7*'MWh Impact Summary'!I$11</f>
        <v>0</v>
      </c>
      <c r="R7" s="303">
        <f>$M7*'MWh Impact Summary'!J$11</f>
        <v>0</v>
      </c>
      <c r="S7" s="303">
        <f>$M7*'MWh Impact Summary'!K$11</f>
        <v>0</v>
      </c>
      <c r="T7" s="303">
        <f>$M7*'MWh Impact Summary'!L$11</f>
        <v>0</v>
      </c>
      <c r="U7" s="303">
        <f>$M7*'MWh Impact Summary'!M$11</f>
        <v>0</v>
      </c>
      <c r="V7" s="303">
        <f>$L7*'MWh Impact Summary'!O$11</f>
        <v>0</v>
      </c>
      <c r="W7" s="303">
        <f>$L7*'MWh Impact Summary'!P$11</f>
        <v>0</v>
      </c>
      <c r="X7" s="303">
        <f>$L7*'MWh Impact Summary'!Q$11</f>
        <v>0</v>
      </c>
      <c r="Y7" s="85">
        <f t="shared" si="2"/>
        <v>0</v>
      </c>
      <c r="Z7" s="81">
        <f t="shared" si="3"/>
        <v>3277.8587749207077</v>
      </c>
      <c r="AA7" s="81"/>
      <c r="AB7" s="81">
        <f>+'MWh by mo-WgtbyActulCDH&amp;Days'!AB7</f>
        <v>4299864</v>
      </c>
      <c r="AC7" s="308">
        <f t="shared" si="12"/>
        <v>0.76231684884003481</v>
      </c>
      <c r="AD7" s="309">
        <f t="shared" si="4"/>
        <v>0.76231684884003481</v>
      </c>
      <c r="AE7" s="107">
        <f t="shared" si="5"/>
        <v>6.3526404070002895E-5</v>
      </c>
      <c r="AF7" s="309">
        <f t="shared" si="13"/>
        <v>0</v>
      </c>
      <c r="AG7" s="107">
        <f t="shared" si="6"/>
        <v>0</v>
      </c>
      <c r="AH7" s="119">
        <f t="shared" si="14"/>
        <v>6.3526404070002895E-5</v>
      </c>
      <c r="AI7" s="122">
        <f t="shared" si="7"/>
        <v>6.3526404070002895E-5</v>
      </c>
      <c r="AJ7" s="87" t="b">
        <f t="shared" si="15"/>
        <v>1</v>
      </c>
      <c r="AK7" s="88">
        <f t="shared" si="8"/>
        <v>6.3526404070002895E-5</v>
      </c>
      <c r="AL7" s="312">
        <f>+AC7/'MWh by month-WgtbyCDH&amp;DayLtHrs'!AC7-1</f>
        <v>-4.5112445916224764E-2</v>
      </c>
      <c r="AM7" s="89">
        <f t="shared" si="9"/>
        <v>0</v>
      </c>
      <c r="AN7" s="90"/>
      <c r="AO7" s="96"/>
      <c r="AP7" s="92"/>
      <c r="AR7" s="94">
        <f t="shared" si="10"/>
        <v>6.3526404070002895E-5</v>
      </c>
      <c r="AS7" s="95">
        <v>3159.7166533048885</v>
      </c>
      <c r="AU7" s="141">
        <v>0.76231684884003481</v>
      </c>
    </row>
    <row r="8" spans="1:47">
      <c r="A8" s="78">
        <v>2005</v>
      </c>
      <c r="B8" s="78">
        <v>4</v>
      </c>
      <c r="C8" s="317">
        <v>68.09057008808503</v>
      </c>
      <c r="D8" s="318">
        <f t="shared" si="0"/>
        <v>3.5702554780200367E-2</v>
      </c>
      <c r="E8" s="102">
        <f>$D8*'MWh Impact Summary'!B$11</f>
        <v>0</v>
      </c>
      <c r="F8" s="319">
        <f>$D8*'MWh Impact Summary'!N$11</f>
        <v>0</v>
      </c>
      <c r="G8" s="319">
        <f>$D8*'MWh Impact Summary'!C$11</f>
        <v>2074.1503700106073</v>
      </c>
      <c r="H8" s="319">
        <f>$D8*'MWh Impact Summary'!D$11</f>
        <v>0</v>
      </c>
      <c r="I8" s="319">
        <f>$D8*'MWh Impact Summary'!E$11</f>
        <v>1657.0857936235327</v>
      </c>
      <c r="J8" s="104">
        <f t="shared" si="11"/>
        <v>3731.2361636341402</v>
      </c>
      <c r="K8" s="298">
        <v>11.2</v>
      </c>
      <c r="L8" s="299">
        <f t="shared" si="1"/>
        <v>7.8845476944737758E-2</v>
      </c>
      <c r="M8" s="297">
        <f>(30/365)</f>
        <v>8.2191780821917804E-2</v>
      </c>
      <c r="N8" s="303">
        <f>$L8*'MWh Impact Summary'!F$11</f>
        <v>0</v>
      </c>
      <c r="O8" s="303">
        <f>$L8*'MWh Impact Summary'!G$11</f>
        <v>0</v>
      </c>
      <c r="P8" s="303">
        <f>$M8*'MWh Impact Summary'!H$11</f>
        <v>0</v>
      </c>
      <c r="Q8" s="303">
        <f>$M8*'MWh Impact Summary'!I$11</f>
        <v>0</v>
      </c>
      <c r="R8" s="303">
        <f>$M8*'MWh Impact Summary'!J$11</f>
        <v>0</v>
      </c>
      <c r="S8" s="303">
        <f>$M8*'MWh Impact Summary'!K$11</f>
        <v>0</v>
      </c>
      <c r="T8" s="303">
        <f>$M8*'MWh Impact Summary'!L$11</f>
        <v>0</v>
      </c>
      <c r="U8" s="303">
        <f>$M8*'MWh Impact Summary'!M$11</f>
        <v>0</v>
      </c>
      <c r="V8" s="303">
        <f>$L8*'MWh Impact Summary'!O$11</f>
        <v>0</v>
      </c>
      <c r="W8" s="303">
        <f>$L8*'MWh Impact Summary'!P$11</f>
        <v>0</v>
      </c>
      <c r="X8" s="303">
        <f>$L8*'MWh Impact Summary'!Q$11</f>
        <v>0</v>
      </c>
      <c r="Y8" s="85">
        <f t="shared" si="2"/>
        <v>0</v>
      </c>
      <c r="Z8" s="81">
        <f t="shared" si="3"/>
        <v>3731.2361636341402</v>
      </c>
      <c r="AA8" s="81"/>
      <c r="AB8" s="81">
        <f>+'MWh by mo-WgtbyActulCDH&amp;Days'!AB8</f>
        <v>4310180</v>
      </c>
      <c r="AC8" s="308">
        <f t="shared" si="12"/>
        <v>0.86567989356225028</v>
      </c>
      <c r="AD8" s="309">
        <f t="shared" si="4"/>
        <v>0.86567989356225028</v>
      </c>
      <c r="AE8" s="107">
        <f t="shared" si="5"/>
        <v>7.7292847639486641E-5</v>
      </c>
      <c r="AF8" s="309">
        <f t="shared" si="13"/>
        <v>0</v>
      </c>
      <c r="AG8" s="107">
        <f t="shared" si="6"/>
        <v>0</v>
      </c>
      <c r="AH8" s="119">
        <f t="shared" si="14"/>
        <v>7.7292847639486641E-5</v>
      </c>
      <c r="AI8" s="122">
        <f t="shared" si="7"/>
        <v>7.7292847639486641E-5</v>
      </c>
      <c r="AJ8" s="87" t="b">
        <f t="shared" si="15"/>
        <v>1</v>
      </c>
      <c r="AK8" s="88">
        <f t="shared" si="8"/>
        <v>7.7292847639486641E-5</v>
      </c>
      <c r="AL8" s="312">
        <f>+AC8/'MWh by month-WgtbyCDH&amp;DayLtHrs'!AC8-1</f>
        <v>-0.38440659897200713</v>
      </c>
      <c r="AM8" s="89">
        <f t="shared" si="9"/>
        <v>0</v>
      </c>
      <c r="AN8" s="90"/>
      <c r="AO8" s="96"/>
      <c r="AP8" s="92"/>
      <c r="AR8" s="94">
        <f t="shared" si="10"/>
        <v>7.7292847639486641E-5</v>
      </c>
      <c r="AS8" s="95">
        <v>5970.3384166432006</v>
      </c>
      <c r="AU8" s="141">
        <v>0.86567989356225028</v>
      </c>
    </row>
    <row r="9" spans="1:47">
      <c r="A9" s="78">
        <v>2005</v>
      </c>
      <c r="B9" s="78">
        <v>5</v>
      </c>
      <c r="C9" s="317">
        <v>168.41009322371792</v>
      </c>
      <c r="D9" s="318">
        <f t="shared" si="0"/>
        <v>8.8304012891655598E-2</v>
      </c>
      <c r="E9" s="102">
        <f>$D9*'MWh Impact Summary'!B$11</f>
        <v>0</v>
      </c>
      <c r="F9" s="319">
        <f>$D9*'MWh Impact Summary'!N$11</f>
        <v>0</v>
      </c>
      <c r="G9" s="319">
        <f>$D9*'MWh Impact Summary'!C$11</f>
        <v>5130.0474753202234</v>
      </c>
      <c r="H9" s="319">
        <f>$D9*'MWh Impact Summary'!D$11</f>
        <v>0</v>
      </c>
      <c r="I9" s="319">
        <f>$D9*'MWh Impact Summary'!E$11</f>
        <v>4098.5113301712736</v>
      </c>
      <c r="J9" s="104">
        <f>SUM(E9:I9)</f>
        <v>9228.558805491497</v>
      </c>
      <c r="K9" s="298">
        <v>10.533333333333333</v>
      </c>
      <c r="L9" s="299">
        <f t="shared" si="1"/>
        <v>7.4152293793265281E-2</v>
      </c>
      <c r="M9" s="297">
        <f t="shared" si="16"/>
        <v>8.4931506849315067E-2</v>
      </c>
      <c r="N9" s="303">
        <f>$L9*'MWh Impact Summary'!F$11</f>
        <v>0</v>
      </c>
      <c r="O9" s="303">
        <f>$L9*'MWh Impact Summary'!G$11</f>
        <v>0</v>
      </c>
      <c r="P9" s="303">
        <f>$M9*'MWh Impact Summary'!H$11</f>
        <v>0</v>
      </c>
      <c r="Q9" s="303">
        <f>$M9*'MWh Impact Summary'!I$11</f>
        <v>0</v>
      </c>
      <c r="R9" s="303">
        <f>$M9*'MWh Impact Summary'!J$11</f>
        <v>0</v>
      </c>
      <c r="S9" s="303">
        <f>$M9*'MWh Impact Summary'!K$11</f>
        <v>0</v>
      </c>
      <c r="T9" s="303">
        <f>$M9*'MWh Impact Summary'!L$11</f>
        <v>0</v>
      </c>
      <c r="U9" s="303">
        <f>$M9*'MWh Impact Summary'!M$11</f>
        <v>0</v>
      </c>
      <c r="V9" s="303">
        <f>$L9*'MWh Impact Summary'!O$11</f>
        <v>0</v>
      </c>
      <c r="W9" s="303">
        <f>$L9*'MWh Impact Summary'!P$11</f>
        <v>0</v>
      </c>
      <c r="X9" s="303">
        <f>$L9*'MWh Impact Summary'!Q$11</f>
        <v>0</v>
      </c>
      <c r="Y9" s="85">
        <f t="shared" si="2"/>
        <v>0</v>
      </c>
      <c r="Z9" s="81">
        <f t="shared" si="3"/>
        <v>9228.558805491497</v>
      </c>
      <c r="AA9" s="81"/>
      <c r="AB9" s="81">
        <f>+'MWh by mo-WgtbyActulCDH&amp;Days'!AB9</f>
        <v>4313996</v>
      </c>
      <c r="AC9" s="308">
        <f t="shared" si="12"/>
        <v>2.1392135749526653</v>
      </c>
      <c r="AD9" s="309">
        <f t="shared" si="4"/>
        <v>2.1392135749526653</v>
      </c>
      <c r="AE9" s="107">
        <f t="shared" si="5"/>
        <v>2.0308989635626571E-4</v>
      </c>
      <c r="AF9" s="309">
        <f t="shared" si="13"/>
        <v>0</v>
      </c>
      <c r="AG9" s="107">
        <f t="shared" si="6"/>
        <v>0</v>
      </c>
      <c r="AH9" s="119">
        <f t="shared" si="14"/>
        <v>2.0308989635626571E-4</v>
      </c>
      <c r="AI9" s="122">
        <f t="shared" si="7"/>
        <v>2.0308989635626571E-4</v>
      </c>
      <c r="AJ9" s="87" t="b">
        <f t="shared" si="15"/>
        <v>1</v>
      </c>
      <c r="AK9" s="88">
        <f t="shared" si="8"/>
        <v>2.0308989635626571E-4</v>
      </c>
      <c r="AL9" s="312">
        <f>+AC9/'MWh by month-WgtbyCDH&amp;DayLtHrs'!AC9-1</f>
        <v>-0.16718722870558467</v>
      </c>
      <c r="AM9" s="89">
        <f t="shared" si="9"/>
        <v>0</v>
      </c>
      <c r="AN9" s="90"/>
      <c r="AO9" s="96"/>
      <c r="AP9" s="92"/>
      <c r="AR9" s="94">
        <f t="shared" si="10"/>
        <v>2.0308989635626571E-4</v>
      </c>
      <c r="AS9" s="95">
        <v>10211.168855045597</v>
      </c>
      <c r="AU9" s="141">
        <v>2.1392135749526653</v>
      </c>
    </row>
    <row r="10" spans="1:47">
      <c r="A10" s="78">
        <v>2005</v>
      </c>
      <c r="B10" s="78">
        <v>6</v>
      </c>
      <c r="C10" s="317">
        <v>237.58316535506088</v>
      </c>
      <c r="D10" s="318">
        <f t="shared" si="0"/>
        <v>0.12457416592296619</v>
      </c>
      <c r="E10" s="102">
        <f>$D10*'MWh Impact Summary'!B$11</f>
        <v>0</v>
      </c>
      <c r="F10" s="319">
        <f>$D10*'MWh Impact Summary'!N$11</f>
        <v>0</v>
      </c>
      <c r="G10" s="319">
        <f>$D10*'MWh Impact Summary'!C$11</f>
        <v>7237.1726318637693</v>
      </c>
      <c r="H10" s="319">
        <f>$D10*'MWh Impact Summary'!D$11</f>
        <v>0</v>
      </c>
      <c r="I10" s="319">
        <f>$D10*'MWh Impact Summary'!E$11</f>
        <v>5781.9414289626238</v>
      </c>
      <c r="J10" s="104">
        <f>SUM(E10:I10)</f>
        <v>13019.114060826392</v>
      </c>
      <c r="K10" s="298">
        <v>10.199999999999999</v>
      </c>
      <c r="L10" s="299">
        <f t="shared" si="1"/>
        <v>7.1805702217529022E-2</v>
      </c>
      <c r="M10" s="297">
        <f>(30/365)</f>
        <v>8.2191780821917804E-2</v>
      </c>
      <c r="N10" s="303">
        <f>$L10*'MWh Impact Summary'!F$11</f>
        <v>0</v>
      </c>
      <c r="O10" s="303">
        <f>$L10*'MWh Impact Summary'!G$11</f>
        <v>0</v>
      </c>
      <c r="P10" s="303">
        <f>$M10*'MWh Impact Summary'!H$11</f>
        <v>0</v>
      </c>
      <c r="Q10" s="303">
        <f>$M10*'MWh Impact Summary'!I$11</f>
        <v>0</v>
      </c>
      <c r="R10" s="303">
        <f>$M10*'MWh Impact Summary'!J$11</f>
        <v>0</v>
      </c>
      <c r="S10" s="303">
        <f>$M10*'MWh Impact Summary'!K$11</f>
        <v>0</v>
      </c>
      <c r="T10" s="303">
        <f>$M10*'MWh Impact Summary'!L$11</f>
        <v>0</v>
      </c>
      <c r="U10" s="303">
        <f>$M10*'MWh Impact Summary'!M$11</f>
        <v>0</v>
      </c>
      <c r="V10" s="303">
        <f>$L10*'MWh Impact Summary'!O$11</f>
        <v>0</v>
      </c>
      <c r="W10" s="303">
        <f>$L10*'MWh Impact Summary'!P$11</f>
        <v>0</v>
      </c>
      <c r="X10" s="303">
        <f>$L10*'MWh Impact Summary'!Q$11</f>
        <v>0</v>
      </c>
      <c r="Y10" s="85">
        <f t="shared" si="2"/>
        <v>0</v>
      </c>
      <c r="Z10" s="81">
        <f t="shared" si="3"/>
        <v>13019.114060826392</v>
      </c>
      <c r="AA10" s="81"/>
      <c r="AB10" s="81">
        <f>+'MWh by mo-WgtbyActulCDH&amp;Days'!AB10</f>
        <v>4320906</v>
      </c>
      <c r="AC10" s="308">
        <f t="shared" si="12"/>
        <v>3.0130519064349914</v>
      </c>
      <c r="AD10" s="309">
        <f t="shared" si="4"/>
        <v>3.0130519064349914</v>
      </c>
      <c r="AE10" s="107">
        <f t="shared" si="5"/>
        <v>2.9539724572892075E-4</v>
      </c>
      <c r="AF10" s="309">
        <f t="shared" si="13"/>
        <v>0</v>
      </c>
      <c r="AG10" s="107">
        <f t="shared" si="6"/>
        <v>0</v>
      </c>
      <c r="AH10" s="119">
        <f t="shared" si="14"/>
        <v>2.9539724572892075E-4</v>
      </c>
      <c r="AI10" s="122">
        <f t="shared" si="7"/>
        <v>2.9539724572892075E-4</v>
      </c>
      <c r="AJ10" s="87" t="b">
        <f t="shared" si="15"/>
        <v>1</v>
      </c>
      <c r="AK10" s="88">
        <f t="shared" si="8"/>
        <v>2.9539724572892075E-4</v>
      </c>
      <c r="AL10" s="312">
        <f>+AC10/'MWh by month-WgtbyCDH&amp;DayLtHrs'!AC10-1</f>
        <v>-9.837521891669343E-2</v>
      </c>
      <c r="AM10" s="89">
        <f t="shared" si="9"/>
        <v>0</v>
      </c>
      <c r="AN10" s="90"/>
      <c r="AO10" s="96"/>
      <c r="AP10" s="92"/>
      <c r="AR10" s="94">
        <f t="shared" si="10"/>
        <v>2.9539724572892075E-4</v>
      </c>
      <c r="AS10" s="95">
        <v>14808.878014280665</v>
      </c>
      <c r="AU10" s="141">
        <v>3.0130519064349914</v>
      </c>
    </row>
    <row r="11" spans="1:47">
      <c r="A11" s="78">
        <v>2005</v>
      </c>
      <c r="B11" s="78">
        <v>7</v>
      </c>
      <c r="C11" s="317">
        <v>364.85537468903868</v>
      </c>
      <c r="D11" s="318">
        <f t="shared" si="0"/>
        <v>0.19130797384769382</v>
      </c>
      <c r="E11" s="102">
        <f>$D11*'MWh Impact Summary'!B$11</f>
        <v>0</v>
      </c>
      <c r="F11" s="319">
        <f>$D11*'MWh Impact Summary'!N$11</f>
        <v>0</v>
      </c>
      <c r="G11" s="319">
        <f>$D11*'MWh Impact Summary'!C$11</f>
        <v>11114.092736081415</v>
      </c>
      <c r="H11" s="319">
        <f>$D11*'MWh Impact Summary'!D$11</f>
        <v>0</v>
      </c>
      <c r="I11" s="319">
        <f>$D11*'MWh Impact Summary'!E$11</f>
        <v>8879.3008685676086</v>
      </c>
      <c r="J11" s="104">
        <f t="shared" si="11"/>
        <v>19993.393604649023</v>
      </c>
      <c r="K11" s="298">
        <v>10.366666666666667</v>
      </c>
      <c r="L11" s="299">
        <f t="shared" si="1"/>
        <v>7.2978998005397158E-2</v>
      </c>
      <c r="M11" s="297">
        <f t="shared" si="16"/>
        <v>8.4931506849315067E-2</v>
      </c>
      <c r="N11" s="303">
        <f>$L11*'MWh Impact Summary'!F$11</f>
        <v>0</v>
      </c>
      <c r="O11" s="303">
        <f>$L11*'MWh Impact Summary'!G$11</f>
        <v>0</v>
      </c>
      <c r="P11" s="303">
        <f>$M11*'MWh Impact Summary'!H$11</f>
        <v>0</v>
      </c>
      <c r="Q11" s="303">
        <f>$M11*'MWh Impact Summary'!I$11</f>
        <v>0</v>
      </c>
      <c r="R11" s="303">
        <f>$M11*'MWh Impact Summary'!J$11</f>
        <v>0</v>
      </c>
      <c r="S11" s="303">
        <f>$M11*'MWh Impact Summary'!K$11</f>
        <v>0</v>
      </c>
      <c r="T11" s="303">
        <f>$M11*'MWh Impact Summary'!L$11</f>
        <v>0</v>
      </c>
      <c r="U11" s="303">
        <f>$M11*'MWh Impact Summary'!M$11</f>
        <v>0</v>
      </c>
      <c r="V11" s="303">
        <f>$L11*'MWh Impact Summary'!O$11</f>
        <v>0</v>
      </c>
      <c r="W11" s="303">
        <f>$L11*'MWh Impact Summary'!P$11</f>
        <v>0</v>
      </c>
      <c r="X11" s="303">
        <f>$L11*'MWh Impact Summary'!Q$11</f>
        <v>0</v>
      </c>
      <c r="Y11" s="85">
        <f t="shared" si="2"/>
        <v>0</v>
      </c>
      <c r="Z11" s="81">
        <f t="shared" si="3"/>
        <v>19993.393604649023</v>
      </c>
      <c r="AA11" s="81"/>
      <c r="AB11" s="81">
        <f>+'MWh by mo-WgtbyActulCDH&amp;Days'!AB11</f>
        <v>4327794</v>
      </c>
      <c r="AC11" s="308">
        <f t="shared" si="12"/>
        <v>4.6197655444434327</v>
      </c>
      <c r="AD11" s="309">
        <f t="shared" si="4"/>
        <v>4.6197655444434327</v>
      </c>
      <c r="AE11" s="107">
        <f t="shared" si="5"/>
        <v>4.4563654769550799E-4</v>
      </c>
      <c r="AF11" s="309">
        <f t="shared" si="13"/>
        <v>0</v>
      </c>
      <c r="AG11" s="107">
        <f t="shared" si="6"/>
        <v>0</v>
      </c>
      <c r="AH11" s="119">
        <f t="shared" si="14"/>
        <v>4.4563654769550799E-4</v>
      </c>
      <c r="AI11" s="122">
        <f t="shared" si="7"/>
        <v>4.4563654769550799E-4</v>
      </c>
      <c r="AJ11" s="87" t="b">
        <f t="shared" si="15"/>
        <v>1</v>
      </c>
      <c r="AK11" s="88">
        <f t="shared" si="8"/>
        <v>4.4563654769550799E-4</v>
      </c>
      <c r="AL11" s="312">
        <f>+AC11/'MWh by month-WgtbyCDH&amp;DayLtHrs'!AC11-1</f>
        <v>0.16701298951633592</v>
      </c>
      <c r="AM11" s="89">
        <f t="shared" si="9"/>
        <v>0</v>
      </c>
      <c r="AN11" s="90"/>
      <c r="AO11" s="96"/>
      <c r="AP11" s="92"/>
      <c r="AR11" s="94">
        <f t="shared" si="10"/>
        <v>4.4563654769550799E-4</v>
      </c>
      <c r="AS11" s="95">
        <v>16664.117811051237</v>
      </c>
      <c r="AU11" s="141">
        <v>4.6197655444434327</v>
      </c>
    </row>
    <row r="12" spans="1:47">
      <c r="A12" s="78">
        <v>2005</v>
      </c>
      <c r="B12" s="78">
        <v>8</v>
      </c>
      <c r="C12" s="317">
        <v>365.72725656601534</v>
      </c>
      <c r="D12" s="318">
        <f t="shared" si="0"/>
        <v>0.19176513569013917</v>
      </c>
      <c r="E12" s="102">
        <f>$D12*'MWh Impact Summary'!B$11</f>
        <v>0</v>
      </c>
      <c r="F12" s="319">
        <f>$D12*'MWh Impact Summary'!N$11</f>
        <v>0</v>
      </c>
      <c r="G12" s="319">
        <f>$D12*'MWh Impact Summary'!C$11</f>
        <v>11140.651687128486</v>
      </c>
      <c r="H12" s="319">
        <f>$D12*'MWh Impact Summary'!D$11</f>
        <v>0</v>
      </c>
      <c r="I12" s="319">
        <f>$D12*'MWh Impact Summary'!E$11</f>
        <v>8900.5194171887579</v>
      </c>
      <c r="J12" s="104">
        <f t="shared" si="11"/>
        <v>20041.171104317244</v>
      </c>
      <c r="K12" s="298">
        <v>10.933333333333334</v>
      </c>
      <c r="L12" s="299">
        <f t="shared" si="1"/>
        <v>7.6968203684148764E-2</v>
      </c>
      <c r="M12" s="297">
        <f t="shared" si="16"/>
        <v>8.4931506849315067E-2</v>
      </c>
      <c r="N12" s="303">
        <f>$L12*'MWh Impact Summary'!F$11</f>
        <v>0</v>
      </c>
      <c r="O12" s="303">
        <f>$L12*'MWh Impact Summary'!G$11</f>
        <v>0</v>
      </c>
      <c r="P12" s="303">
        <f>$M12*'MWh Impact Summary'!H$11</f>
        <v>0</v>
      </c>
      <c r="Q12" s="303">
        <f>$M12*'MWh Impact Summary'!I$11</f>
        <v>0</v>
      </c>
      <c r="R12" s="303">
        <f>$M12*'MWh Impact Summary'!J$11</f>
        <v>0</v>
      </c>
      <c r="S12" s="303">
        <f>$M12*'MWh Impact Summary'!K$11</f>
        <v>0</v>
      </c>
      <c r="T12" s="303">
        <f>$M12*'MWh Impact Summary'!L$11</f>
        <v>0</v>
      </c>
      <c r="U12" s="303">
        <f>$M12*'MWh Impact Summary'!M$11</f>
        <v>0</v>
      </c>
      <c r="V12" s="303">
        <f>$L12*'MWh Impact Summary'!O$11</f>
        <v>0</v>
      </c>
      <c r="W12" s="303">
        <f>$L12*'MWh Impact Summary'!P$11</f>
        <v>0</v>
      </c>
      <c r="X12" s="303">
        <f>$L12*'MWh Impact Summary'!Q$11</f>
        <v>0</v>
      </c>
      <c r="Y12" s="85">
        <f t="shared" si="2"/>
        <v>0</v>
      </c>
      <c r="Z12" s="81">
        <f t="shared" si="3"/>
        <v>20041.171104317244</v>
      </c>
      <c r="AA12" s="81"/>
      <c r="AB12" s="81">
        <f>+'MWh by mo-WgtbyActulCDH&amp;Days'!AB12</f>
        <v>4340306</v>
      </c>
      <c r="AC12" s="308">
        <f t="shared" si="12"/>
        <v>4.6174557978901127</v>
      </c>
      <c r="AD12" s="309">
        <f t="shared" si="4"/>
        <v>4.6174557978901127</v>
      </c>
      <c r="AE12" s="107">
        <f t="shared" si="5"/>
        <v>4.2232827419726637E-4</v>
      </c>
      <c r="AF12" s="309">
        <f t="shared" si="13"/>
        <v>0</v>
      </c>
      <c r="AG12" s="107">
        <f t="shared" si="6"/>
        <v>0</v>
      </c>
      <c r="AH12" s="119">
        <f t="shared" si="14"/>
        <v>4.2232827419726637E-4</v>
      </c>
      <c r="AI12" s="122">
        <f t="shared" si="7"/>
        <v>4.2232827419726637E-4</v>
      </c>
      <c r="AJ12" s="87" t="b">
        <f t="shared" si="15"/>
        <v>1</v>
      </c>
      <c r="AK12" s="88">
        <f t="shared" si="8"/>
        <v>4.2232827419726637E-4</v>
      </c>
      <c r="AL12" s="312">
        <f>+AC12/'MWh by month-WgtbyCDH&amp;DayLtHrs'!AC12-1</f>
        <v>0.15498382465196947</v>
      </c>
      <c r="AM12" s="89">
        <f t="shared" si="9"/>
        <v>0</v>
      </c>
      <c r="AN12" s="90"/>
      <c r="AO12" s="96"/>
      <c r="AP12" s="92"/>
      <c r="AR12" s="94">
        <f t="shared" si="10"/>
        <v>4.2232827419726637E-4</v>
      </c>
      <c r="AS12" s="95">
        <v>17403.825127899949</v>
      </c>
      <c r="AU12" s="141">
        <v>4.6174557978901127</v>
      </c>
    </row>
    <row r="13" spans="1:47">
      <c r="A13" s="78">
        <v>2005</v>
      </c>
      <c r="B13" s="78">
        <v>9</v>
      </c>
      <c r="C13" s="317">
        <v>295.85169010672553</v>
      </c>
      <c r="D13" s="318">
        <f t="shared" si="0"/>
        <v>0.15512663734766646</v>
      </c>
      <c r="E13" s="102">
        <f>$D13*'MWh Impact Summary'!B$11</f>
        <v>0</v>
      </c>
      <c r="F13" s="319">
        <f>$D13*'MWh Impact Summary'!N$11</f>
        <v>0</v>
      </c>
      <c r="G13" s="319">
        <f>$D13*'MWh Impact Summary'!C$11</f>
        <v>9012.1274019191605</v>
      </c>
      <c r="H13" s="319">
        <f>$D13*'MWh Impact Summary'!D$11</f>
        <v>0</v>
      </c>
      <c r="I13" s="319">
        <f>$D13*'MWh Impact Summary'!E$11</f>
        <v>7199.9930689544108</v>
      </c>
      <c r="J13" s="104">
        <f t="shared" si="11"/>
        <v>16212.120470873571</v>
      </c>
      <c r="K13" s="298">
        <v>11.683333333333334</v>
      </c>
      <c r="L13" s="299">
        <f t="shared" si="1"/>
        <v>8.2248034729555317E-2</v>
      </c>
      <c r="M13" s="297">
        <f>(30/365)</f>
        <v>8.2191780821917804E-2</v>
      </c>
      <c r="N13" s="303">
        <f>$L13*'MWh Impact Summary'!F$11</f>
        <v>0</v>
      </c>
      <c r="O13" s="303">
        <f>$L13*'MWh Impact Summary'!G$11</f>
        <v>0</v>
      </c>
      <c r="P13" s="303">
        <f>$M13*'MWh Impact Summary'!H$11</f>
        <v>0</v>
      </c>
      <c r="Q13" s="303">
        <f>$M13*'MWh Impact Summary'!I$11</f>
        <v>0</v>
      </c>
      <c r="R13" s="303">
        <f>$M13*'MWh Impact Summary'!J$11</f>
        <v>0</v>
      </c>
      <c r="S13" s="303">
        <f>$M13*'MWh Impact Summary'!K$11</f>
        <v>0</v>
      </c>
      <c r="T13" s="303">
        <f>$M13*'MWh Impact Summary'!L$11</f>
        <v>0</v>
      </c>
      <c r="U13" s="303">
        <f>$M13*'MWh Impact Summary'!M$11</f>
        <v>0</v>
      </c>
      <c r="V13" s="303">
        <f>$L13*'MWh Impact Summary'!O$11</f>
        <v>0</v>
      </c>
      <c r="W13" s="303">
        <f>$L13*'MWh Impact Summary'!P$11</f>
        <v>0</v>
      </c>
      <c r="X13" s="303">
        <f>$L13*'MWh Impact Summary'!Q$11</f>
        <v>0</v>
      </c>
      <c r="Y13" s="85">
        <f t="shared" si="2"/>
        <v>0</v>
      </c>
      <c r="Z13" s="81">
        <f t="shared" si="3"/>
        <v>16212.120470873571</v>
      </c>
      <c r="AA13" s="81"/>
      <c r="AB13" s="81">
        <f>+'MWh by mo-WgtbyActulCDH&amp;Days'!AB13</f>
        <v>4343095</v>
      </c>
      <c r="AC13" s="308">
        <f t="shared" si="12"/>
        <v>3.7328496086025225</v>
      </c>
      <c r="AD13" s="309">
        <f t="shared" si="4"/>
        <v>3.7328496086025225</v>
      </c>
      <c r="AE13" s="107">
        <f t="shared" si="5"/>
        <v>3.1950210629978792E-4</v>
      </c>
      <c r="AF13" s="309">
        <f t="shared" si="13"/>
        <v>0</v>
      </c>
      <c r="AG13" s="107">
        <f t="shared" si="6"/>
        <v>0</v>
      </c>
      <c r="AH13" s="119">
        <f t="shared" si="14"/>
        <v>3.1950210629978792E-4</v>
      </c>
      <c r="AI13" s="122">
        <f t="shared" si="7"/>
        <v>3.1950210629978792E-4</v>
      </c>
      <c r="AJ13" s="87" t="b">
        <f t="shared" si="15"/>
        <v>1</v>
      </c>
      <c r="AK13" s="88">
        <f t="shared" si="8"/>
        <v>3.1950210629978792E-4</v>
      </c>
      <c r="AL13" s="312">
        <f>+AC13/'MWh by month-WgtbyCDH&amp;DayLtHrs'!AC13-1</f>
        <v>9.7648416715212516E-2</v>
      </c>
      <c r="AM13" s="89">
        <f t="shared" si="9"/>
        <v>0</v>
      </c>
      <c r="AN13" s="90"/>
      <c r="AO13" s="96"/>
      <c r="AP13" s="92"/>
      <c r="AR13" s="94">
        <f t="shared" si="10"/>
        <v>3.1950210629978792E-4</v>
      </c>
      <c r="AS13" s="95">
        <v>15722.431837506771</v>
      </c>
      <c r="AU13" s="141">
        <v>3.7328496086025225</v>
      </c>
    </row>
    <row r="14" spans="1:47">
      <c r="A14" s="78">
        <v>2005</v>
      </c>
      <c r="B14" s="78">
        <v>10</v>
      </c>
      <c r="C14" s="317">
        <v>202.3425504957174</v>
      </c>
      <c r="D14" s="318">
        <f t="shared" si="0"/>
        <v>0.10609613025846794</v>
      </c>
      <c r="E14" s="102">
        <f>$D14*'MWh Impact Summary'!B$11</f>
        <v>0</v>
      </c>
      <c r="F14" s="319">
        <f>$D14*'MWh Impact Summary'!N$11</f>
        <v>0</v>
      </c>
      <c r="G14" s="319">
        <f>$D14*'MWh Impact Summary'!C$11</f>
        <v>6163.6857414566184</v>
      </c>
      <c r="H14" s="319">
        <f>$D14*'MWh Impact Summary'!D$11</f>
        <v>0</v>
      </c>
      <c r="I14" s="319">
        <f>$D14*'MWh Impact Summary'!E$11</f>
        <v>4924.3083945140679</v>
      </c>
      <c r="J14" s="104">
        <f t="shared" si="11"/>
        <v>11087.994135970686</v>
      </c>
      <c r="K14" s="298">
        <v>12.466666666666667</v>
      </c>
      <c r="L14" s="299">
        <f t="shared" si="1"/>
        <v>8.7762524932535488E-2</v>
      </c>
      <c r="M14" s="297">
        <f t="shared" si="16"/>
        <v>8.4931506849315067E-2</v>
      </c>
      <c r="N14" s="303">
        <f>$L14*'MWh Impact Summary'!F$11</f>
        <v>0</v>
      </c>
      <c r="O14" s="303">
        <f>$L14*'MWh Impact Summary'!G$11</f>
        <v>0</v>
      </c>
      <c r="P14" s="303">
        <f>$M14*'MWh Impact Summary'!H$11</f>
        <v>0</v>
      </c>
      <c r="Q14" s="303">
        <f>$M14*'MWh Impact Summary'!I$11</f>
        <v>0</v>
      </c>
      <c r="R14" s="303">
        <f>$M14*'MWh Impact Summary'!J$11</f>
        <v>0</v>
      </c>
      <c r="S14" s="303">
        <f>$M14*'MWh Impact Summary'!K$11</f>
        <v>0</v>
      </c>
      <c r="T14" s="303">
        <f>$M14*'MWh Impact Summary'!L$11</f>
        <v>0</v>
      </c>
      <c r="U14" s="303">
        <f>$M14*'MWh Impact Summary'!M$11</f>
        <v>0</v>
      </c>
      <c r="V14" s="303">
        <f>$L14*'MWh Impact Summary'!O$11</f>
        <v>0</v>
      </c>
      <c r="W14" s="303">
        <f>$L14*'MWh Impact Summary'!P$11</f>
        <v>0</v>
      </c>
      <c r="X14" s="303">
        <f>$L14*'MWh Impact Summary'!Q$11</f>
        <v>0</v>
      </c>
      <c r="Y14" s="85">
        <f t="shared" si="2"/>
        <v>0</v>
      </c>
      <c r="Z14" s="81">
        <f t="shared" si="3"/>
        <v>11087.994135970686</v>
      </c>
      <c r="AA14" s="81"/>
      <c r="AB14" s="81">
        <f>+'MWh by mo-WgtbyActulCDH&amp;Days'!AB14</f>
        <v>4344668</v>
      </c>
      <c r="AC14" s="308">
        <f t="shared" si="12"/>
        <v>2.5520923891010052</v>
      </c>
      <c r="AD14" s="309">
        <f t="shared" si="4"/>
        <v>2.5520923891010052</v>
      </c>
      <c r="AE14" s="107">
        <f t="shared" si="5"/>
        <v>2.0471329324339612E-4</v>
      </c>
      <c r="AF14" s="309">
        <f t="shared" si="13"/>
        <v>0</v>
      </c>
      <c r="AG14" s="107">
        <f t="shared" si="6"/>
        <v>0</v>
      </c>
      <c r="AH14" s="119">
        <f t="shared" si="14"/>
        <v>2.0471329324339612E-4</v>
      </c>
      <c r="AI14" s="122">
        <f t="shared" si="7"/>
        <v>2.0471329324339612E-4</v>
      </c>
      <c r="AJ14" s="87" t="b">
        <f t="shared" si="15"/>
        <v>1</v>
      </c>
      <c r="AK14" s="88">
        <f t="shared" si="8"/>
        <v>2.0471329324339612E-4</v>
      </c>
      <c r="AL14" s="312">
        <f>+AC14/'MWh by month-WgtbyCDH&amp;DayLtHrs'!AC14-1</f>
        <v>4.8852650763873795E-2</v>
      </c>
      <c r="AM14" s="89">
        <f t="shared" si="9"/>
        <v>0</v>
      </c>
      <c r="AN14" s="90"/>
      <c r="AO14" s="96"/>
      <c r="AP14" s="92"/>
      <c r="AR14" s="94">
        <f t="shared" si="10"/>
        <v>2.0471329324339612E-4</v>
      </c>
      <c r="AS14" s="95">
        <v>10562.607614854458</v>
      </c>
      <c r="AU14" s="141">
        <v>2.5520923891010052</v>
      </c>
    </row>
    <row r="15" spans="1:47">
      <c r="A15" s="78">
        <v>2005</v>
      </c>
      <c r="B15" s="78">
        <v>11</v>
      </c>
      <c r="C15" s="317">
        <v>83.146324960442655</v>
      </c>
      <c r="D15" s="318">
        <f t="shared" si="0"/>
        <v>4.359687718625814E-2</v>
      </c>
      <c r="E15" s="102">
        <f>$D15*'MWh Impact Summary'!B$11</f>
        <v>0</v>
      </c>
      <c r="F15" s="319">
        <f>$D15*'MWh Impact Summary'!N$11</f>
        <v>0</v>
      </c>
      <c r="G15" s="319">
        <f>$D15*'MWh Impact Summary'!C$11</f>
        <v>2532.7733408403674</v>
      </c>
      <c r="H15" s="319">
        <f>$D15*'MWh Impact Summary'!D$11</f>
        <v>0</v>
      </c>
      <c r="I15" s="319">
        <f>$D15*'MWh Impact Summary'!E$11</f>
        <v>2023.4900912962848</v>
      </c>
      <c r="J15" s="104">
        <f t="shared" si="11"/>
        <v>4556.2634321366522</v>
      </c>
      <c r="K15" s="298">
        <v>13.15</v>
      </c>
      <c r="L15" s="299">
        <f>K15/(SUM(K$5:K$16))</f>
        <v>9.2573037662794788E-2</v>
      </c>
      <c r="M15" s="297">
        <f>(30/365)</f>
        <v>8.2191780821917804E-2</v>
      </c>
      <c r="N15" s="303">
        <f>$L15*'MWh Impact Summary'!F$11</f>
        <v>0</v>
      </c>
      <c r="O15" s="303">
        <f>$L15*'MWh Impact Summary'!G$11</f>
        <v>0</v>
      </c>
      <c r="P15" s="303">
        <f>$M15*'MWh Impact Summary'!H$11</f>
        <v>0</v>
      </c>
      <c r="Q15" s="303">
        <f>$M15*'MWh Impact Summary'!I$11</f>
        <v>0</v>
      </c>
      <c r="R15" s="303">
        <f>$M15*'MWh Impact Summary'!J$11</f>
        <v>0</v>
      </c>
      <c r="S15" s="303">
        <f>$M15*'MWh Impact Summary'!K$11</f>
        <v>0</v>
      </c>
      <c r="T15" s="303">
        <f>$M15*'MWh Impact Summary'!L$11</f>
        <v>0</v>
      </c>
      <c r="U15" s="303">
        <f>$M15*'MWh Impact Summary'!M$11</f>
        <v>0</v>
      </c>
      <c r="V15" s="303">
        <f>$L15*'MWh Impact Summary'!O$11</f>
        <v>0</v>
      </c>
      <c r="W15" s="303">
        <f>$L15*'MWh Impact Summary'!P$11</f>
        <v>0</v>
      </c>
      <c r="X15" s="303">
        <f>$L15*'MWh Impact Summary'!Q$11</f>
        <v>0</v>
      </c>
      <c r="Y15" s="85">
        <f t="shared" si="2"/>
        <v>0</v>
      </c>
      <c r="Z15" s="81">
        <f t="shared" si="3"/>
        <v>4556.2634321366522</v>
      </c>
      <c r="AA15" s="81"/>
      <c r="AB15" s="81">
        <f>+'MWh by mo-WgtbyActulCDH&amp;Days'!AB15</f>
        <v>4345746</v>
      </c>
      <c r="AC15" s="308">
        <f t="shared" si="12"/>
        <v>1.0484421851016263</v>
      </c>
      <c r="AD15" s="309">
        <f t="shared" si="4"/>
        <v>1.0484421851016263</v>
      </c>
      <c r="AE15" s="107">
        <f t="shared" si="5"/>
        <v>7.9729443733963983E-5</v>
      </c>
      <c r="AF15" s="309">
        <f t="shared" si="13"/>
        <v>0</v>
      </c>
      <c r="AG15" s="107">
        <f t="shared" si="6"/>
        <v>0</v>
      </c>
      <c r="AH15" s="119">
        <f t="shared" si="14"/>
        <v>7.9729443733963983E-5</v>
      </c>
      <c r="AI15" s="122">
        <f t="shared" si="7"/>
        <v>7.9729443733963983E-5</v>
      </c>
      <c r="AJ15" s="87" t="b">
        <f t="shared" si="15"/>
        <v>1</v>
      </c>
      <c r="AK15" s="88">
        <f t="shared" si="8"/>
        <v>7.9729443733963983E-5</v>
      </c>
      <c r="AL15" s="312">
        <f>+AC15/'MWh by month-WgtbyCDH&amp;DayLtHrs'!AC15-1</f>
        <v>9.7329419290785424E-2</v>
      </c>
      <c r="AM15" s="89">
        <f t="shared" si="9"/>
        <v>0</v>
      </c>
      <c r="AN15" s="90"/>
      <c r="AO15" s="96"/>
      <c r="AP15" s="92"/>
      <c r="AR15" s="94">
        <f t="shared" si="10"/>
        <v>7.9729443733963983E-5</v>
      </c>
      <c r="AS15" s="95">
        <v>4865.4451527342171</v>
      </c>
      <c r="AU15" s="141">
        <v>1.0484421851016263</v>
      </c>
    </row>
    <row r="16" spans="1:47">
      <c r="A16" s="78">
        <v>2005</v>
      </c>
      <c r="B16" s="78">
        <v>12</v>
      </c>
      <c r="C16" s="317">
        <v>19.124849327028503</v>
      </c>
      <c r="D16" s="318">
        <f t="shared" si="0"/>
        <v>1.0027908121168683E-2</v>
      </c>
      <c r="E16" s="102">
        <f>$D16*'MWh Impact Summary'!B$11</f>
        <v>0</v>
      </c>
      <c r="F16" s="319">
        <f>$D16*'MWh Impact Summary'!N$11</f>
        <v>0</v>
      </c>
      <c r="G16" s="319">
        <f>$D16*'MWh Impact Summary'!C$11</f>
        <v>582.57425744471243</v>
      </c>
      <c r="H16" s="319">
        <f>$D16*'MWh Impact Summary'!D$11</f>
        <v>0</v>
      </c>
      <c r="I16" s="319">
        <f>$D16*'MWh Impact Summary'!E$11</f>
        <v>465.4317930370085</v>
      </c>
      <c r="J16" s="104">
        <f t="shared" si="11"/>
        <v>1048.0060504817209</v>
      </c>
      <c r="K16" s="298">
        <v>13.483333333333333</v>
      </c>
      <c r="L16" s="299">
        <f>K16/(SUM(K$5:K$16))</f>
        <v>9.491962923853102E-2</v>
      </c>
      <c r="M16" s="297">
        <f t="shared" si="16"/>
        <v>8.4931506849315067E-2</v>
      </c>
      <c r="N16" s="303">
        <f>$L16*'MWh Impact Summary'!F$11</f>
        <v>0</v>
      </c>
      <c r="O16" s="303">
        <f>$L16*'MWh Impact Summary'!G$11</f>
        <v>0</v>
      </c>
      <c r="P16" s="303">
        <f>$M16*'MWh Impact Summary'!H$11</f>
        <v>0</v>
      </c>
      <c r="Q16" s="303">
        <f>$M16*'MWh Impact Summary'!I$11</f>
        <v>0</v>
      </c>
      <c r="R16" s="303">
        <f>$M16*'MWh Impact Summary'!J$11</f>
        <v>0</v>
      </c>
      <c r="S16" s="303">
        <f>$M16*'MWh Impact Summary'!K$11</f>
        <v>0</v>
      </c>
      <c r="T16" s="303">
        <f>$M16*'MWh Impact Summary'!L$11</f>
        <v>0</v>
      </c>
      <c r="U16" s="303">
        <f>$M16*'MWh Impact Summary'!M$11</f>
        <v>0</v>
      </c>
      <c r="V16" s="303">
        <f>$L16*'MWh Impact Summary'!O$11</f>
        <v>0</v>
      </c>
      <c r="W16" s="303">
        <f>$L16*'MWh Impact Summary'!P$11</f>
        <v>0</v>
      </c>
      <c r="X16" s="303">
        <f>$L16*'MWh Impact Summary'!Q$11</f>
        <v>0</v>
      </c>
      <c r="Y16" s="85">
        <f t="shared" si="2"/>
        <v>0</v>
      </c>
      <c r="Z16" s="81">
        <f t="shared" si="3"/>
        <v>1048.0060504817209</v>
      </c>
      <c r="AA16" s="81">
        <f>SUM(Z5:Z16)</f>
        <v>104508.94023145309</v>
      </c>
      <c r="AB16" s="81">
        <f>+'MWh by mo-WgtbyActulCDH&amp;Days'!AB16</f>
        <v>4355740</v>
      </c>
      <c r="AC16" s="308">
        <f t="shared" si="12"/>
        <v>0.2406034452198067</v>
      </c>
      <c r="AD16" s="309">
        <f t="shared" si="4"/>
        <v>0.2406034452198067</v>
      </c>
      <c r="AE16" s="107">
        <f t="shared" si="5"/>
        <v>1.7844507680084553E-5</v>
      </c>
      <c r="AF16" s="309">
        <f t="shared" si="13"/>
        <v>0</v>
      </c>
      <c r="AG16" s="107">
        <f t="shared" si="6"/>
        <v>0</v>
      </c>
      <c r="AH16" s="119">
        <f t="shared" si="14"/>
        <v>1.7844507680084553E-5</v>
      </c>
      <c r="AI16" s="122">
        <f t="shared" si="7"/>
        <v>1.7844507680084553E-5</v>
      </c>
      <c r="AJ16" s="87" t="b">
        <f t="shared" si="15"/>
        <v>1</v>
      </c>
      <c r="AK16" s="88">
        <f t="shared" si="8"/>
        <v>1.7844507680084553E-5</v>
      </c>
      <c r="AL16" s="312">
        <f>+AC16/'MWh by month-WgtbyCDH&amp;DayLtHrs'!AC16-1</f>
        <v>-0.53752848477420545</v>
      </c>
      <c r="AM16" s="89">
        <f t="shared" si="9"/>
        <v>0</v>
      </c>
      <c r="AN16" s="90">
        <f>SUM(AM5:AM16)</f>
        <v>0</v>
      </c>
      <c r="AO16" s="96"/>
      <c r="AP16" s="92"/>
      <c r="AR16" s="94">
        <f t="shared" si="10"/>
        <v>1.7844507680084553E-5</v>
      </c>
      <c r="AS16" s="95">
        <v>2156.0812209549281</v>
      </c>
      <c r="AU16" s="141">
        <v>0.2406034452198067</v>
      </c>
    </row>
    <row r="17" spans="1:47">
      <c r="A17" s="78">
        <v>2006</v>
      </c>
      <c r="B17" s="78">
        <v>1</v>
      </c>
      <c r="C17" s="317">
        <v>28.785119209450606</v>
      </c>
      <c r="D17" s="318">
        <f t="shared" ref="D17:D28" si="17">C17/(SUM(C$17:C$28))</f>
        <v>1.4939323397985623E-2</v>
      </c>
      <c r="E17" s="104">
        <f>$D17*'MWh Impact Summary'!B$12</f>
        <v>3267.7504211832384</v>
      </c>
      <c r="F17" s="320">
        <f>$D17*'MWh Impact Summary'!N$12</f>
        <v>0</v>
      </c>
      <c r="G17" s="320">
        <f>$D17*'MWh Impact Summary'!C$12</f>
        <v>2967.5657315475569</v>
      </c>
      <c r="H17" s="320">
        <f>$D17*'MWh Impact Summary'!D$12</f>
        <v>0</v>
      </c>
      <c r="I17" s="320">
        <f>$D17*'MWh Impact Summary'!E$12</f>
        <v>1592.8147400738396</v>
      </c>
      <c r="J17" s="104">
        <f t="shared" si="11"/>
        <v>7828.1308928046346</v>
      </c>
      <c r="K17" s="298">
        <f>+K5</f>
        <v>13.3</v>
      </c>
      <c r="L17" s="299">
        <f>K17/(SUM(K$17:K$28))</f>
        <v>9.3629003871876101E-2</v>
      </c>
      <c r="M17" s="297">
        <f>(31/365)</f>
        <v>8.4931506849315067E-2</v>
      </c>
      <c r="N17" s="304">
        <f>$L17*'MWh Impact Summary'!F$12</f>
        <v>0</v>
      </c>
      <c r="O17" s="304">
        <f>$L17*'MWh Impact Summary'!G$12</f>
        <v>0</v>
      </c>
      <c r="P17" s="304">
        <f>$M17*'MWh Impact Summary'!H$12</f>
        <v>0</v>
      </c>
      <c r="Q17" s="304">
        <f>$M17*'MWh Impact Summary'!I$12</f>
        <v>116.17109368516167</v>
      </c>
      <c r="R17" s="304">
        <f>$M17*'MWh Impact Summary'!J$12</f>
        <v>0</v>
      </c>
      <c r="S17" s="304">
        <f>$M17*'MWh Impact Summary'!K$12</f>
        <v>0</v>
      </c>
      <c r="T17" s="304">
        <f>$M17*'MWh Impact Summary'!L$12</f>
        <v>0</v>
      </c>
      <c r="U17" s="304">
        <f>$M17*'MWh Impact Summary'!M$12</f>
        <v>0</v>
      </c>
      <c r="V17" s="304">
        <f>$L17*'MWh Impact Summary'!O$12</f>
        <v>0</v>
      </c>
      <c r="W17" s="304">
        <f>$L17*'MWh Impact Summary'!P$12</f>
        <v>0</v>
      </c>
      <c r="X17" s="304">
        <f>$L17*'MWh Impact Summary'!Q$12</f>
        <v>0</v>
      </c>
      <c r="Y17" s="85">
        <f t="shared" si="2"/>
        <v>116.17109368516167</v>
      </c>
      <c r="Z17" s="81">
        <f t="shared" si="3"/>
        <v>7944.301986489796</v>
      </c>
      <c r="AA17" s="81"/>
      <c r="AB17" s="81">
        <f>+'MWh by mo-WgtbyActulCDH&amp;Days'!AB17</f>
        <v>4369236</v>
      </c>
      <c r="AC17" s="308">
        <f t="shared" si="12"/>
        <v>1.8182359539493393</v>
      </c>
      <c r="AD17" s="309">
        <f t="shared" si="4"/>
        <v>1.7916475312399318</v>
      </c>
      <c r="AE17" s="107">
        <f t="shared" si="5"/>
        <v>1.3471034069473169E-4</v>
      </c>
      <c r="AF17" s="309">
        <f t="shared" si="13"/>
        <v>2.6588422709407703E-2</v>
      </c>
      <c r="AG17" s="107">
        <f t="shared" si="6"/>
        <v>1.9991295270231351E-6</v>
      </c>
      <c r="AH17" s="119">
        <f t="shared" si="14"/>
        <v>1.3670947022175484E-4</v>
      </c>
      <c r="AI17" s="122">
        <f t="shared" si="7"/>
        <v>1.3670947022175484E-4</v>
      </c>
      <c r="AJ17" s="87" t="b">
        <f t="shared" si="15"/>
        <v>1</v>
      </c>
      <c r="AK17" s="88">
        <f>AI17-AI5</f>
        <v>1.1407386913637598E-4</v>
      </c>
      <c r="AL17" s="312">
        <f>+AC17/'MWh by month-WgtbyCDH&amp;DayLtHrs'!AC17-1</f>
        <v>0.12317541068640914</v>
      </c>
      <c r="AM17" s="89">
        <f t="shared" si="9"/>
        <v>0</v>
      </c>
      <c r="AN17" s="90"/>
      <c r="AO17" s="96"/>
      <c r="AP17" s="92"/>
      <c r="AR17" s="94">
        <f t="shared" si="10"/>
        <v>1.3670947022175484E-4</v>
      </c>
      <c r="AS17" s="95">
        <v>7009.1637420817888</v>
      </c>
      <c r="AU17" s="141">
        <v>1.8182359539493393</v>
      </c>
    </row>
    <row r="18" spans="1:47">
      <c r="A18" s="78">
        <v>2006</v>
      </c>
      <c r="B18" s="78">
        <v>2</v>
      </c>
      <c r="C18" s="317">
        <v>21.454291223695627</v>
      </c>
      <c r="D18" s="318">
        <f t="shared" si="17"/>
        <v>1.1134662758670264E-2</v>
      </c>
      <c r="E18" s="104">
        <f>$D18*'MWh Impact Summary'!B$12</f>
        <v>2435.5386084140978</v>
      </c>
      <c r="F18" s="320">
        <f>$D18*'MWh Impact Summary'!N$12</f>
        <v>0</v>
      </c>
      <c r="G18" s="320">
        <f>$D18*'MWh Impact Summary'!C$12</f>
        <v>2211.8032225893221</v>
      </c>
      <c r="H18" s="320">
        <f>$D18*'MWh Impact Summary'!D$12</f>
        <v>0</v>
      </c>
      <c r="I18" s="320">
        <f>$D18*'MWh Impact Summary'!E$12</f>
        <v>1187.1658772814731</v>
      </c>
      <c r="J18" s="104">
        <f t="shared" si="11"/>
        <v>5834.5077082848929</v>
      </c>
      <c r="K18" s="298">
        <f t="shared" ref="K18:K81" si="18">+K6</f>
        <v>12.733333333333333</v>
      </c>
      <c r="L18" s="299">
        <f>K18/(SUM(K$17:K$28))</f>
        <v>8.9639798193124468E-2</v>
      </c>
      <c r="M18" s="297">
        <f>(28/365)</f>
        <v>7.6712328767123292E-2</v>
      </c>
      <c r="N18" s="304">
        <f>$L18*'MWh Impact Summary'!F$12</f>
        <v>0</v>
      </c>
      <c r="O18" s="304">
        <f>$L18*'MWh Impact Summary'!G$12</f>
        <v>0</v>
      </c>
      <c r="P18" s="304">
        <f>$M18*'MWh Impact Summary'!H$12</f>
        <v>0</v>
      </c>
      <c r="Q18" s="304">
        <f>$M18*'MWh Impact Summary'!I$12</f>
        <v>104.92872978014603</v>
      </c>
      <c r="R18" s="304">
        <f>$M18*'MWh Impact Summary'!J$12</f>
        <v>0</v>
      </c>
      <c r="S18" s="304">
        <f>$M18*'MWh Impact Summary'!K$12</f>
        <v>0</v>
      </c>
      <c r="T18" s="304">
        <f>$M18*'MWh Impact Summary'!L$12</f>
        <v>0</v>
      </c>
      <c r="U18" s="304">
        <f>$M18*'MWh Impact Summary'!M$12</f>
        <v>0</v>
      </c>
      <c r="V18" s="304">
        <f>$L18*'MWh Impact Summary'!O$12</f>
        <v>0</v>
      </c>
      <c r="W18" s="304">
        <f>$L18*'MWh Impact Summary'!P$12</f>
        <v>0</v>
      </c>
      <c r="X18" s="304">
        <f>$L18*'MWh Impact Summary'!Q$12</f>
        <v>0</v>
      </c>
      <c r="Y18" s="85">
        <f t="shared" si="2"/>
        <v>104.92872978014603</v>
      </c>
      <c r="Z18" s="81">
        <f t="shared" si="3"/>
        <v>5939.4364380650386</v>
      </c>
      <c r="AA18" s="81"/>
      <c r="AB18" s="81">
        <f>+'MWh by mo-WgtbyActulCDH&amp;Days'!AB18</f>
        <v>4377958</v>
      </c>
      <c r="AC18" s="308">
        <f t="shared" si="12"/>
        <v>1.3566682088007787</v>
      </c>
      <c r="AD18" s="309">
        <f t="shared" si="4"/>
        <v>1.3327007039091954</v>
      </c>
      <c r="AE18" s="107">
        <f t="shared" si="5"/>
        <v>1.0466235894574834E-4</v>
      </c>
      <c r="AF18" s="309">
        <f t="shared" si="13"/>
        <v>2.3967504891583249E-2</v>
      </c>
      <c r="AG18" s="107">
        <f t="shared" si="6"/>
        <v>1.8822647820615116E-6</v>
      </c>
      <c r="AH18" s="119">
        <f t="shared" si="14"/>
        <v>1.0654462372780985E-4</v>
      </c>
      <c r="AI18" s="122">
        <f t="shared" si="7"/>
        <v>1.0654462372780984E-4</v>
      </c>
      <c r="AJ18" s="87" t="b">
        <f t="shared" si="15"/>
        <v>1</v>
      </c>
      <c r="AK18" s="88">
        <f>AI18-AI6</f>
        <v>8.7735507264932505E-5</v>
      </c>
      <c r="AL18" s="312">
        <f>+AC18/'MWh by month-WgtbyCDH&amp;DayLtHrs'!AC18-1</f>
        <v>-0.37167123943946168</v>
      </c>
      <c r="AM18" s="89">
        <f t="shared" si="9"/>
        <v>0</v>
      </c>
      <c r="AN18" s="90"/>
      <c r="AO18" s="96"/>
      <c r="AP18" s="92"/>
      <c r="AR18" s="94">
        <f t="shared" si="10"/>
        <v>1.0654462372780984E-4</v>
      </c>
      <c r="AS18" s="95">
        <v>8174.9983119916897</v>
      </c>
      <c r="AU18" s="141">
        <v>1.3566682088007787</v>
      </c>
    </row>
    <row r="19" spans="1:47">
      <c r="A19" s="78">
        <v>2006</v>
      </c>
      <c r="B19" s="78">
        <v>3</v>
      </c>
      <c r="C19" s="317">
        <v>53.926511805182379</v>
      </c>
      <c r="D19" s="318">
        <f t="shared" si="17"/>
        <v>2.7987572110467741E-2</v>
      </c>
      <c r="E19" s="104">
        <f>$D19*'MWh Impact Summary'!B$12</f>
        <v>6121.8569352484155</v>
      </c>
      <c r="F19" s="320">
        <f>$D19*'MWh Impact Summary'!N$12</f>
        <v>0</v>
      </c>
      <c r="G19" s="320">
        <f>$D19*'MWh Impact Summary'!C$12</f>
        <v>5559.4860417466507</v>
      </c>
      <c r="H19" s="320">
        <f>$D19*'MWh Impact Summary'!D$12</f>
        <v>0</v>
      </c>
      <c r="I19" s="320">
        <f>$D19*'MWh Impact Summary'!E$12</f>
        <v>2984.005112470049</v>
      </c>
      <c r="J19" s="104">
        <f t="shared" si="11"/>
        <v>14665.348089465117</v>
      </c>
      <c r="K19" s="298">
        <f t="shared" si="18"/>
        <v>12</v>
      </c>
      <c r="L19" s="299">
        <f>K19/(SUM(K$17:K$28))</f>
        <v>8.4477296726504739E-2</v>
      </c>
      <c r="M19" s="297">
        <f t="shared" ref="M19:M28" si="19">(31/365)</f>
        <v>8.4931506849315067E-2</v>
      </c>
      <c r="N19" s="304">
        <f>$L19*'MWh Impact Summary'!F$12</f>
        <v>0</v>
      </c>
      <c r="O19" s="304">
        <f>$L19*'MWh Impact Summary'!G$12</f>
        <v>0</v>
      </c>
      <c r="P19" s="304">
        <f>$M19*'MWh Impact Summary'!H$12</f>
        <v>0</v>
      </c>
      <c r="Q19" s="304">
        <f>$M19*'MWh Impact Summary'!I$12</f>
        <v>116.17109368516167</v>
      </c>
      <c r="R19" s="304">
        <f>$M19*'MWh Impact Summary'!J$12</f>
        <v>0</v>
      </c>
      <c r="S19" s="304">
        <f>$M19*'MWh Impact Summary'!K$12</f>
        <v>0</v>
      </c>
      <c r="T19" s="304">
        <f>$M19*'MWh Impact Summary'!L$12</f>
        <v>0</v>
      </c>
      <c r="U19" s="304">
        <f>$M19*'MWh Impact Summary'!M$12</f>
        <v>0</v>
      </c>
      <c r="V19" s="304">
        <f>$L19*'MWh Impact Summary'!O$12</f>
        <v>0</v>
      </c>
      <c r="W19" s="304">
        <f>$L19*'MWh Impact Summary'!P$12</f>
        <v>0</v>
      </c>
      <c r="X19" s="304">
        <f>$L19*'MWh Impact Summary'!Q$12</f>
        <v>0</v>
      </c>
      <c r="Y19" s="85">
        <f t="shared" si="2"/>
        <v>116.17109368516167</v>
      </c>
      <c r="Z19" s="81">
        <f t="shared" si="3"/>
        <v>14781.519183150278</v>
      </c>
      <c r="AA19" s="81"/>
      <c r="AB19" s="81">
        <f>+'MWh by mo-WgtbyActulCDH&amp;Days'!AB19</f>
        <v>4390093</v>
      </c>
      <c r="AC19" s="308">
        <f t="shared" si="12"/>
        <v>3.3670173235852356</v>
      </c>
      <c r="AD19" s="309">
        <f t="shared" si="4"/>
        <v>3.3405552204623268</v>
      </c>
      <c r="AE19" s="107">
        <f t="shared" si="5"/>
        <v>2.783796017051939E-4</v>
      </c>
      <c r="AF19" s="309">
        <f t="shared" si="13"/>
        <v>2.6462103122909166E-2</v>
      </c>
      <c r="AG19" s="107">
        <f t="shared" si="6"/>
        <v>2.2051752602424307E-6</v>
      </c>
      <c r="AH19" s="119">
        <f t="shared" si="14"/>
        <v>2.8058477696543633E-4</v>
      </c>
      <c r="AI19" s="122">
        <f t="shared" si="7"/>
        <v>2.8058477696543633E-4</v>
      </c>
      <c r="AJ19" s="87" t="b">
        <f t="shared" si="15"/>
        <v>1</v>
      </c>
      <c r="AK19" s="88">
        <f>AI19-AI7</f>
        <v>2.1705837289543345E-4</v>
      </c>
      <c r="AL19" s="312">
        <f>+AC19/'MWh by month-WgtbyCDH&amp;DayLtHrs'!AC19-1</f>
        <v>-0.14682006757481691</v>
      </c>
      <c r="AM19" s="89">
        <f t="shared" si="9"/>
        <v>0</v>
      </c>
      <c r="AN19" s="90"/>
      <c r="AO19" s="96"/>
      <c r="AP19" s="92"/>
      <c r="AR19" s="94">
        <f t="shared" si="10"/>
        <v>2.8058477696543633E-4</v>
      </c>
      <c r="AS19" s="95">
        <v>15958.602864016615</v>
      </c>
      <c r="AU19" s="141">
        <v>3.3670173235852356</v>
      </c>
    </row>
    <row r="20" spans="1:47">
      <c r="A20" s="78">
        <v>2006</v>
      </c>
      <c r="B20" s="78">
        <v>4</v>
      </c>
      <c r="C20" s="317">
        <v>129.35805428171426</v>
      </c>
      <c r="D20" s="318">
        <f t="shared" si="17"/>
        <v>6.7136140482413953E-2</v>
      </c>
      <c r="E20" s="104">
        <f>$D20*'MWh Impact Summary'!B$12</f>
        <v>14685.012533272182</v>
      </c>
      <c r="F20" s="320">
        <f>$D20*'MWh Impact Summary'!N$12</f>
        <v>0</v>
      </c>
      <c r="G20" s="320">
        <f>$D20*'MWh Impact Summary'!C$12</f>
        <v>13336.006225746347</v>
      </c>
      <c r="H20" s="320">
        <f>$D20*'MWh Impact Summary'!D$12</f>
        <v>0</v>
      </c>
      <c r="I20" s="320">
        <f>$D20*'MWh Impact Summary'!E$12</f>
        <v>7157.9837522277512</v>
      </c>
      <c r="J20" s="104">
        <f t="shared" si="11"/>
        <v>35179.002511246283</v>
      </c>
      <c r="K20" s="298">
        <f t="shared" si="18"/>
        <v>11.2</v>
      </c>
      <c r="L20" s="299">
        <f>K20/(SUM(K$17:K$28))</f>
        <v>7.8845476944737758E-2</v>
      </c>
      <c r="M20" s="297">
        <f>(30/365)</f>
        <v>8.2191780821917804E-2</v>
      </c>
      <c r="N20" s="304">
        <f>$L20*'MWh Impact Summary'!F$12</f>
        <v>0</v>
      </c>
      <c r="O20" s="304">
        <f>$L20*'MWh Impact Summary'!G$12</f>
        <v>0</v>
      </c>
      <c r="P20" s="304">
        <f>$M20*'MWh Impact Summary'!H$12</f>
        <v>0</v>
      </c>
      <c r="Q20" s="304">
        <f>$M20*'MWh Impact Summary'!I$12</f>
        <v>112.42363905015645</v>
      </c>
      <c r="R20" s="304">
        <f>$M20*'MWh Impact Summary'!J$12</f>
        <v>0</v>
      </c>
      <c r="S20" s="304">
        <f>$M20*'MWh Impact Summary'!K$12</f>
        <v>0</v>
      </c>
      <c r="T20" s="304">
        <f>$M20*'MWh Impact Summary'!L$12</f>
        <v>0</v>
      </c>
      <c r="U20" s="304">
        <f>$M20*'MWh Impact Summary'!M$12</f>
        <v>0</v>
      </c>
      <c r="V20" s="304">
        <f>$L20*'MWh Impact Summary'!O$12</f>
        <v>0</v>
      </c>
      <c r="W20" s="304">
        <f>$L20*'MWh Impact Summary'!P$12</f>
        <v>0</v>
      </c>
      <c r="X20" s="304">
        <f>$L20*'MWh Impact Summary'!Q$12</f>
        <v>0</v>
      </c>
      <c r="Y20" s="85">
        <f t="shared" si="2"/>
        <v>112.42363905015645</v>
      </c>
      <c r="Z20" s="81">
        <f t="shared" si="3"/>
        <v>35291.426150296436</v>
      </c>
      <c r="AA20" s="81"/>
      <c r="AB20" s="81">
        <f>+'MWh by mo-WgtbyActulCDH&amp;Days'!AB20</f>
        <v>4398215</v>
      </c>
      <c r="AC20" s="308">
        <f t="shared" si="12"/>
        <v>8.0240338751735507</v>
      </c>
      <c r="AD20" s="309">
        <f t="shared" si="4"/>
        <v>7.9984726784039175</v>
      </c>
      <c r="AE20" s="107">
        <f t="shared" si="5"/>
        <v>7.1414934628606403E-4</v>
      </c>
      <c r="AF20" s="309">
        <f t="shared" si="13"/>
        <v>2.5561196769634149E-2</v>
      </c>
      <c r="AG20" s="107">
        <f t="shared" si="6"/>
        <v>2.2822497115744776E-6</v>
      </c>
      <c r="AH20" s="119">
        <f t="shared" si="14"/>
        <v>7.1643159599763852E-4</v>
      </c>
      <c r="AI20" s="122">
        <f t="shared" si="7"/>
        <v>7.1643159599763852E-4</v>
      </c>
      <c r="AJ20" s="87" t="b">
        <f t="shared" si="15"/>
        <v>1</v>
      </c>
      <c r="AK20" s="88">
        <f>AI20-AI8</f>
        <v>6.3913874835815185E-4</v>
      </c>
      <c r="AL20" s="312">
        <f>+AC20/'MWh by month-WgtbyCDH&amp;DayLtHrs'!AC20-1</f>
        <v>0.15694002819716801</v>
      </c>
      <c r="AM20" s="89">
        <f t="shared" si="9"/>
        <v>0</v>
      </c>
      <c r="AN20" s="90"/>
      <c r="AO20" s="96"/>
      <c r="AP20" s="92"/>
      <c r="AR20" s="94">
        <f t="shared" si="10"/>
        <v>7.1643159599763852E-4</v>
      </c>
      <c r="AS20" s="95">
        <v>30050.715671449223</v>
      </c>
      <c r="AU20" s="141">
        <v>8.0240338751735507</v>
      </c>
    </row>
    <row r="21" spans="1:47">
      <c r="A21" s="78">
        <v>2006</v>
      </c>
      <c r="B21" s="78">
        <v>5</v>
      </c>
      <c r="C21" s="317">
        <v>196.50747279771809</v>
      </c>
      <c r="D21" s="318">
        <f t="shared" si="17"/>
        <v>0.1019863306760995</v>
      </c>
      <c r="E21" s="104">
        <f>$D21*'MWh Impact Summary'!B$12</f>
        <v>22307.963094680297</v>
      </c>
      <c r="F21" s="320">
        <f>$D21*'MWh Impact Summary'!N$12</f>
        <v>0</v>
      </c>
      <c r="G21" s="320">
        <f>$D21*'MWh Impact Summary'!C$12</f>
        <v>20258.691236410272</v>
      </c>
      <c r="H21" s="320">
        <f>$D21*'MWh Impact Summary'!D$12</f>
        <v>0</v>
      </c>
      <c r="I21" s="320">
        <f>$D21*'MWh Impact Summary'!E$12</f>
        <v>10873.673891338329</v>
      </c>
      <c r="J21" s="104">
        <f t="shared" si="11"/>
        <v>53440.3282224289</v>
      </c>
      <c r="K21" s="298">
        <f t="shared" si="18"/>
        <v>10.533333333333333</v>
      </c>
      <c r="L21" s="299">
        <f>K21/(SUM(K$17:K$28))</f>
        <v>7.4152293793265281E-2</v>
      </c>
      <c r="M21" s="297">
        <f t="shared" si="19"/>
        <v>8.4931506849315067E-2</v>
      </c>
      <c r="N21" s="304">
        <f>$L21*'MWh Impact Summary'!F$12</f>
        <v>0</v>
      </c>
      <c r="O21" s="304">
        <f>$L21*'MWh Impact Summary'!G$12</f>
        <v>0</v>
      </c>
      <c r="P21" s="304">
        <f>$M21*'MWh Impact Summary'!H$12</f>
        <v>0</v>
      </c>
      <c r="Q21" s="304">
        <f>$M21*'MWh Impact Summary'!I$12</f>
        <v>116.17109368516167</v>
      </c>
      <c r="R21" s="304">
        <f>$M21*'MWh Impact Summary'!J$12</f>
        <v>0</v>
      </c>
      <c r="S21" s="304">
        <f>$M21*'MWh Impact Summary'!K$12</f>
        <v>0</v>
      </c>
      <c r="T21" s="304">
        <f>$M21*'MWh Impact Summary'!L$12</f>
        <v>0</v>
      </c>
      <c r="U21" s="304">
        <f>$M21*'MWh Impact Summary'!M$12</f>
        <v>0</v>
      </c>
      <c r="V21" s="304">
        <f>$L21*'MWh Impact Summary'!O$12</f>
        <v>0</v>
      </c>
      <c r="W21" s="304">
        <f>$L21*'MWh Impact Summary'!P$12</f>
        <v>0</v>
      </c>
      <c r="X21" s="304">
        <f>$L21*'MWh Impact Summary'!Q$12</f>
        <v>0</v>
      </c>
      <c r="Y21" s="85">
        <f t="shared" si="2"/>
        <v>116.17109368516167</v>
      </c>
      <c r="Z21" s="81">
        <f t="shared" si="3"/>
        <v>53556.499316114059</v>
      </c>
      <c r="AA21" s="81"/>
      <c r="AB21" s="81">
        <f>+'MWh by mo-WgtbyActulCDH&amp;Days'!AB21</f>
        <v>4397210</v>
      </c>
      <c r="AC21" s="308">
        <f t="shared" si="12"/>
        <v>12.179654671055978</v>
      </c>
      <c r="AD21" s="309">
        <f t="shared" si="4"/>
        <v>12.153235397542739</v>
      </c>
      <c r="AE21" s="107">
        <f t="shared" si="5"/>
        <v>1.1537881706527918E-3</v>
      </c>
      <c r="AF21" s="309">
        <f t="shared" si="13"/>
        <v>2.641927351324173E-2</v>
      </c>
      <c r="AG21" s="107">
        <f t="shared" si="6"/>
        <v>2.5081588778394048E-6</v>
      </c>
      <c r="AH21" s="119">
        <f t="shared" si="14"/>
        <v>1.1562963295306313E-3</v>
      </c>
      <c r="AI21" s="122">
        <f t="shared" si="7"/>
        <v>1.1562963295306309E-3</v>
      </c>
      <c r="AJ21" s="87" t="b">
        <f t="shared" si="15"/>
        <v>1</v>
      </c>
      <c r="AK21" s="88">
        <f>AI21-AI9</f>
        <v>9.5320643317436515E-4</v>
      </c>
      <c r="AL21" s="312">
        <f>+AC21/'MWh by month-WgtbyCDH&amp;DayLtHrs'!AC21-1</f>
        <v>-3.8029193531609495E-2</v>
      </c>
      <c r="AM21" s="89">
        <f t="shared" si="9"/>
        <v>0</v>
      </c>
      <c r="AN21" s="90"/>
      <c r="AO21" s="96"/>
      <c r="AP21" s="92"/>
      <c r="AR21" s="94">
        <f t="shared" si="10"/>
        <v>1.1562963295306309E-3</v>
      </c>
      <c r="AS21" s="95">
        <v>51309.971910408989</v>
      </c>
      <c r="AU21" s="141">
        <v>12.179654671055978</v>
      </c>
    </row>
    <row r="22" spans="1:47">
      <c r="A22" s="78">
        <v>2006</v>
      </c>
      <c r="B22" s="78">
        <v>6</v>
      </c>
      <c r="C22" s="317">
        <v>277.02771058673886</v>
      </c>
      <c r="D22" s="318">
        <f t="shared" si="17"/>
        <v>0.14377590478416669</v>
      </c>
      <c r="E22" s="104">
        <f>$D22*'MWh Impact Summary'!B$12</f>
        <v>31448.798643572543</v>
      </c>
      <c r="F22" s="320">
        <f>$D22*'MWh Impact Summary'!N$12</f>
        <v>0</v>
      </c>
      <c r="G22" s="320">
        <f>$D22*'MWh Impact Summary'!C$12</f>
        <v>28559.824075919514</v>
      </c>
      <c r="H22" s="320">
        <f>$D22*'MWh Impact Summary'!D$12</f>
        <v>0</v>
      </c>
      <c r="I22" s="320">
        <f>$D22*'MWh Impact Summary'!E$12</f>
        <v>15329.233748199898</v>
      </c>
      <c r="J22" s="104">
        <f t="shared" si="11"/>
        <v>75337.856467691949</v>
      </c>
      <c r="K22" s="298">
        <f t="shared" si="18"/>
        <v>10.199999999999999</v>
      </c>
      <c r="L22" s="299">
        <f t="shared" ref="L22:L28" si="20">K22/(SUM(K$17:K$28))</f>
        <v>7.1805702217529022E-2</v>
      </c>
      <c r="M22" s="297">
        <f>(30/365)</f>
        <v>8.2191780821917804E-2</v>
      </c>
      <c r="N22" s="304">
        <f>$L22*'MWh Impact Summary'!F$12</f>
        <v>0</v>
      </c>
      <c r="O22" s="304">
        <f>$L22*'MWh Impact Summary'!G$12</f>
        <v>0</v>
      </c>
      <c r="P22" s="304">
        <f>$M22*'MWh Impact Summary'!H$12</f>
        <v>0</v>
      </c>
      <c r="Q22" s="304">
        <f>$M22*'MWh Impact Summary'!I$12</f>
        <v>112.42363905015645</v>
      </c>
      <c r="R22" s="304">
        <f>$M22*'MWh Impact Summary'!J$12</f>
        <v>0</v>
      </c>
      <c r="S22" s="304">
        <f>$M22*'MWh Impact Summary'!K$12</f>
        <v>0</v>
      </c>
      <c r="T22" s="304">
        <f>$M22*'MWh Impact Summary'!L$12</f>
        <v>0</v>
      </c>
      <c r="U22" s="304">
        <f>$M22*'MWh Impact Summary'!M$12</f>
        <v>0</v>
      </c>
      <c r="V22" s="304">
        <f>$L22*'MWh Impact Summary'!O$12</f>
        <v>0</v>
      </c>
      <c r="W22" s="304">
        <f>$L22*'MWh Impact Summary'!P$12</f>
        <v>0</v>
      </c>
      <c r="X22" s="304">
        <f>$L22*'MWh Impact Summary'!Q$12</f>
        <v>0</v>
      </c>
      <c r="Y22" s="85">
        <f t="shared" si="2"/>
        <v>112.42363905015645</v>
      </c>
      <c r="Z22" s="81">
        <f t="shared" si="3"/>
        <v>75450.28010674211</v>
      </c>
      <c r="AA22" s="81"/>
      <c r="AB22" s="81">
        <f>+'MWh by mo-WgtbyActulCDH&amp;Days'!AB22</f>
        <v>4403628</v>
      </c>
      <c r="AC22" s="308">
        <f t="shared" si="12"/>
        <v>17.133663449033868</v>
      </c>
      <c r="AD22" s="309">
        <f t="shared" si="4"/>
        <v>17.108133672438257</v>
      </c>
      <c r="AE22" s="107">
        <f t="shared" si="5"/>
        <v>1.6772680071017901E-3</v>
      </c>
      <c r="AF22" s="309">
        <f t="shared" si="13"/>
        <v>2.5529776595606273E-2</v>
      </c>
      <c r="AG22" s="107">
        <f t="shared" si="6"/>
        <v>2.5029192740790464E-6</v>
      </c>
      <c r="AH22" s="119">
        <f t="shared" si="14"/>
        <v>1.6797709263758692E-3</v>
      </c>
      <c r="AI22" s="122">
        <f t="shared" si="7"/>
        <v>1.6797709263758696E-3</v>
      </c>
      <c r="AJ22" s="87" t="b">
        <f t="shared" si="15"/>
        <v>1</v>
      </c>
      <c r="AK22" s="88">
        <f t="shared" ref="AK22:AK85" si="21">AI22-AI10</f>
        <v>1.3843736806469489E-3</v>
      </c>
      <c r="AL22" s="312">
        <f>+AC22/'MWh by month-WgtbyCDH&amp;DayLtHrs'!AC22-1</f>
        <v>4.0514979452185962E-2</v>
      </c>
      <c r="AM22" s="89">
        <f t="shared" si="9"/>
        <v>0</v>
      </c>
      <c r="AN22" s="90"/>
      <c r="AO22" s="96"/>
      <c r="AP22" s="92"/>
      <c r="AR22" s="94">
        <f t="shared" si="10"/>
        <v>1.6797709263758696E-3</v>
      </c>
      <c r="AS22" s="95">
        <v>74366.069194837764</v>
      </c>
      <c r="AU22" s="141">
        <v>17.133663449033868</v>
      </c>
    </row>
    <row r="23" spans="1:47">
      <c r="A23" s="78">
        <v>2006</v>
      </c>
      <c r="B23" s="78">
        <v>7</v>
      </c>
      <c r="C23" s="317">
        <v>300.35638346961628</v>
      </c>
      <c r="D23" s="318">
        <f t="shared" si="17"/>
        <v>0.15588336163043537</v>
      </c>
      <c r="E23" s="104">
        <f>$D23*'MWh Impact Summary'!B$12</f>
        <v>34097.121205100804</v>
      </c>
      <c r="F23" s="320">
        <f>$D23*'MWh Impact Summary'!N$12</f>
        <v>0</v>
      </c>
      <c r="G23" s="320">
        <f>$D23*'MWh Impact Summary'!C$12</f>
        <v>30964.864322790563</v>
      </c>
      <c r="H23" s="320">
        <f>$D23*'MWh Impact Summary'!D$12</f>
        <v>0</v>
      </c>
      <c r="I23" s="320">
        <f>$D23*'MWh Impact Summary'!E$12</f>
        <v>16620.11789440862</v>
      </c>
      <c r="J23" s="104">
        <f t="shared" si="11"/>
        <v>81682.103422299988</v>
      </c>
      <c r="K23" s="298">
        <f t="shared" si="18"/>
        <v>10.366666666666667</v>
      </c>
      <c r="L23" s="299">
        <f t="shared" si="20"/>
        <v>7.2978998005397158E-2</v>
      </c>
      <c r="M23" s="297">
        <f t="shared" si="19"/>
        <v>8.4931506849315067E-2</v>
      </c>
      <c r="N23" s="304">
        <f>$L23*'MWh Impact Summary'!F$12</f>
        <v>0</v>
      </c>
      <c r="O23" s="304">
        <f>$L23*'MWh Impact Summary'!G$12</f>
        <v>0</v>
      </c>
      <c r="P23" s="304">
        <f>$M23*'MWh Impact Summary'!H$12</f>
        <v>0</v>
      </c>
      <c r="Q23" s="304">
        <f>$M23*'MWh Impact Summary'!I$12</f>
        <v>116.17109368516167</v>
      </c>
      <c r="R23" s="304">
        <f>$M23*'MWh Impact Summary'!J$12</f>
        <v>0</v>
      </c>
      <c r="S23" s="304">
        <f>$M23*'MWh Impact Summary'!K$12</f>
        <v>0</v>
      </c>
      <c r="T23" s="304">
        <f>$M23*'MWh Impact Summary'!L$12</f>
        <v>0</v>
      </c>
      <c r="U23" s="304">
        <f>$M23*'MWh Impact Summary'!M$12</f>
        <v>0</v>
      </c>
      <c r="V23" s="304">
        <f>$L23*'MWh Impact Summary'!O$12</f>
        <v>0</v>
      </c>
      <c r="W23" s="304">
        <f>$L23*'MWh Impact Summary'!P$12</f>
        <v>0</v>
      </c>
      <c r="X23" s="304">
        <f>$L23*'MWh Impact Summary'!Q$12</f>
        <v>0</v>
      </c>
      <c r="Y23" s="85">
        <f t="shared" si="2"/>
        <v>116.17109368516167</v>
      </c>
      <c r="Z23" s="81">
        <f t="shared" si="3"/>
        <v>81798.274515985147</v>
      </c>
      <c r="AA23" s="81"/>
      <c r="AB23" s="81">
        <f>+'MWh by mo-WgtbyActulCDH&amp;Days'!AB23</f>
        <v>4406505</v>
      </c>
      <c r="AC23" s="308">
        <f t="shared" si="12"/>
        <v>18.563073119396243</v>
      </c>
      <c r="AD23" s="309">
        <f t="shared" si="4"/>
        <v>18.536709574209034</v>
      </c>
      <c r="AE23" s="107">
        <f t="shared" si="5"/>
        <v>1.7881070328819005E-3</v>
      </c>
      <c r="AF23" s="309">
        <f t="shared" si="13"/>
        <v>2.6363545187208837E-2</v>
      </c>
      <c r="AG23" s="107">
        <f t="shared" si="6"/>
        <v>2.5431072527854184E-6</v>
      </c>
      <c r="AH23" s="119">
        <f t="shared" si="14"/>
        <v>1.7906501401346859E-3</v>
      </c>
      <c r="AI23" s="122">
        <f t="shared" si="7"/>
        <v>1.7906501401346857E-3</v>
      </c>
      <c r="AJ23" s="87" t="b">
        <f t="shared" si="15"/>
        <v>1</v>
      </c>
      <c r="AK23" s="88">
        <f t="shared" si="21"/>
        <v>1.3450135924391777E-3</v>
      </c>
      <c r="AL23" s="312">
        <f>+AC23/'MWh by month-WgtbyCDH&amp;DayLtHrs'!AC23-1</f>
        <v>-4.8993043910256828E-2</v>
      </c>
      <c r="AM23" s="89">
        <f t="shared" si="9"/>
        <v>0</v>
      </c>
      <c r="AN23" s="90"/>
      <c r="AO23" s="96"/>
      <c r="AP23" s="92"/>
      <c r="AR23" s="94">
        <f t="shared" si="10"/>
        <v>1.7906501401346857E-3</v>
      </c>
      <c r="AS23" s="95">
        <v>83664.266541867051</v>
      </c>
      <c r="AU23" s="141">
        <v>18.563073119396243</v>
      </c>
    </row>
    <row r="24" spans="1:47">
      <c r="A24" s="78">
        <v>2006</v>
      </c>
      <c r="B24" s="78">
        <v>8</v>
      </c>
      <c r="C24" s="317">
        <v>324.00355894748566</v>
      </c>
      <c r="D24" s="318">
        <f t="shared" si="17"/>
        <v>0.16815611962536564</v>
      </c>
      <c r="E24" s="104">
        <f>$D24*'MWh Impact Summary'!B$12</f>
        <v>36781.600885915592</v>
      </c>
      <c r="F24" s="320">
        <f>$D24*'MWh Impact Summary'!N$12</f>
        <v>0</v>
      </c>
      <c r="G24" s="320">
        <f>$D24*'MWh Impact Summary'!C$12</f>
        <v>33402.740194882746</v>
      </c>
      <c r="H24" s="320">
        <f>$D24*'MWh Impact Summary'!D$12</f>
        <v>0</v>
      </c>
      <c r="I24" s="320">
        <f>$D24*'MWh Impact Summary'!E$12</f>
        <v>17928.626272928617</v>
      </c>
      <c r="J24" s="104">
        <f t="shared" si="11"/>
        <v>88112.967353726941</v>
      </c>
      <c r="K24" s="298">
        <f t="shared" si="18"/>
        <v>10.933333333333334</v>
      </c>
      <c r="L24" s="299">
        <f t="shared" si="20"/>
        <v>7.6968203684148764E-2</v>
      </c>
      <c r="M24" s="297">
        <f t="shared" si="19"/>
        <v>8.4931506849315067E-2</v>
      </c>
      <c r="N24" s="304">
        <f>$L24*'MWh Impact Summary'!F$12</f>
        <v>0</v>
      </c>
      <c r="O24" s="304">
        <f>$L24*'MWh Impact Summary'!G$12</f>
        <v>0</v>
      </c>
      <c r="P24" s="304">
        <f>$M24*'MWh Impact Summary'!H$12</f>
        <v>0</v>
      </c>
      <c r="Q24" s="304">
        <f>$M24*'MWh Impact Summary'!I$12</f>
        <v>116.17109368516167</v>
      </c>
      <c r="R24" s="304">
        <f>$M24*'MWh Impact Summary'!J$12</f>
        <v>0</v>
      </c>
      <c r="S24" s="304">
        <f>$M24*'MWh Impact Summary'!K$12</f>
        <v>0</v>
      </c>
      <c r="T24" s="304">
        <f>$M24*'MWh Impact Summary'!L$12</f>
        <v>0</v>
      </c>
      <c r="U24" s="304">
        <f>$M24*'MWh Impact Summary'!M$12</f>
        <v>0</v>
      </c>
      <c r="V24" s="304">
        <f>$L24*'MWh Impact Summary'!O$12</f>
        <v>0</v>
      </c>
      <c r="W24" s="304">
        <f>$L24*'MWh Impact Summary'!P$12</f>
        <v>0</v>
      </c>
      <c r="X24" s="304">
        <f>$L24*'MWh Impact Summary'!Q$12</f>
        <v>0</v>
      </c>
      <c r="Y24" s="85">
        <f t="shared" si="2"/>
        <v>116.17109368516167</v>
      </c>
      <c r="Z24" s="81">
        <f t="shared" si="3"/>
        <v>88229.138447412101</v>
      </c>
      <c r="AA24" s="81"/>
      <c r="AB24" s="81">
        <f>+'MWh by mo-WgtbyActulCDH&amp;Days'!AB24</f>
        <v>4416127</v>
      </c>
      <c r="AC24" s="308">
        <f t="shared" si="12"/>
        <v>19.978849894355868</v>
      </c>
      <c r="AD24" s="309">
        <f t="shared" si="4"/>
        <v>19.952543790911569</v>
      </c>
      <c r="AE24" s="107">
        <f t="shared" si="5"/>
        <v>1.8249277857541068E-3</v>
      </c>
      <c r="AF24" s="309">
        <f t="shared" si="13"/>
        <v>2.630610344429897E-2</v>
      </c>
      <c r="AG24" s="107">
        <f t="shared" si="6"/>
        <v>2.406046046734662E-6</v>
      </c>
      <c r="AH24" s="119">
        <f t="shared" si="14"/>
        <v>1.8273338318008415E-3</v>
      </c>
      <c r="AI24" s="122">
        <f t="shared" si="7"/>
        <v>1.8273338318008417E-3</v>
      </c>
      <c r="AJ24" s="87" t="b">
        <f t="shared" si="15"/>
        <v>1</v>
      </c>
      <c r="AK24" s="88">
        <f t="shared" si="21"/>
        <v>1.4050055576035753E-3</v>
      </c>
      <c r="AL24" s="312">
        <f>+AC24/'MWh by month-WgtbyCDH&amp;DayLtHrs'!AC24-1</f>
        <v>1.2797246148185115E-2</v>
      </c>
      <c r="AM24" s="89">
        <f t="shared" si="9"/>
        <v>0</v>
      </c>
      <c r="AN24" s="90"/>
      <c r="AO24" s="96"/>
      <c r="AP24" s="92"/>
      <c r="AR24" s="94">
        <f t="shared" si="10"/>
        <v>1.8273338318008417E-3</v>
      </c>
      <c r="AS24" s="95">
        <v>87376.815760398633</v>
      </c>
      <c r="AU24" s="141">
        <v>19.978849894355868</v>
      </c>
    </row>
    <row r="25" spans="1:47">
      <c r="A25" s="78">
        <v>2006</v>
      </c>
      <c r="B25" s="78">
        <v>9</v>
      </c>
      <c r="C25" s="317">
        <v>267.89810780857357</v>
      </c>
      <c r="D25" s="318">
        <f t="shared" si="17"/>
        <v>0.13903768961799914</v>
      </c>
      <c r="E25" s="104">
        <f>$D25*'MWh Impact Summary'!B$12</f>
        <v>30412.385936489136</v>
      </c>
      <c r="F25" s="320">
        <f>$D25*'MWh Impact Summary'!N$12</f>
        <v>0</v>
      </c>
      <c r="G25" s="320">
        <f>$D25*'MWh Impact Summary'!C$12</f>
        <v>27618.619137701651</v>
      </c>
      <c r="H25" s="320">
        <f>$D25*'MWh Impact Summary'!D$12</f>
        <v>0</v>
      </c>
      <c r="I25" s="320">
        <f>$D25*'MWh Impact Summary'!E$12</f>
        <v>14824.050296630016</v>
      </c>
      <c r="J25" s="104">
        <f t="shared" si="11"/>
        <v>72855.055370820803</v>
      </c>
      <c r="K25" s="298">
        <f t="shared" si="18"/>
        <v>11.683333333333334</v>
      </c>
      <c r="L25" s="299">
        <f t="shared" si="20"/>
        <v>8.2248034729555317E-2</v>
      </c>
      <c r="M25" s="297">
        <f>(30/365)</f>
        <v>8.2191780821917804E-2</v>
      </c>
      <c r="N25" s="304">
        <f>$L25*'MWh Impact Summary'!F$12</f>
        <v>0</v>
      </c>
      <c r="O25" s="304">
        <f>$L25*'MWh Impact Summary'!G$12</f>
        <v>0</v>
      </c>
      <c r="P25" s="304">
        <f>$M25*'MWh Impact Summary'!H$12</f>
        <v>0</v>
      </c>
      <c r="Q25" s="304">
        <f>$M25*'MWh Impact Summary'!I$12</f>
        <v>112.42363905015645</v>
      </c>
      <c r="R25" s="304">
        <f>$M25*'MWh Impact Summary'!J$12</f>
        <v>0</v>
      </c>
      <c r="S25" s="304">
        <f>$M25*'MWh Impact Summary'!K$12</f>
        <v>0</v>
      </c>
      <c r="T25" s="304">
        <f>$M25*'MWh Impact Summary'!L$12</f>
        <v>0</v>
      </c>
      <c r="U25" s="304">
        <f>$M25*'MWh Impact Summary'!M$12</f>
        <v>0</v>
      </c>
      <c r="V25" s="304">
        <f>$L25*'MWh Impact Summary'!O$12</f>
        <v>0</v>
      </c>
      <c r="W25" s="304">
        <f>$L25*'MWh Impact Summary'!P$12</f>
        <v>0</v>
      </c>
      <c r="X25" s="304">
        <f>$L25*'MWh Impact Summary'!Q$12</f>
        <v>0</v>
      </c>
      <c r="Y25" s="85">
        <f t="shared" si="2"/>
        <v>112.42363905015645</v>
      </c>
      <c r="Z25" s="81">
        <f t="shared" si="3"/>
        <v>72967.479009870964</v>
      </c>
      <c r="AA25" s="81"/>
      <c r="AB25" s="81">
        <f>+'MWh by mo-WgtbyActulCDH&amp;Days'!AB25</f>
        <v>4425222</v>
      </c>
      <c r="AC25" s="308">
        <f t="shared" si="12"/>
        <v>16.488998520271064</v>
      </c>
      <c r="AD25" s="309">
        <f t="shared" si="4"/>
        <v>16.463593322735179</v>
      </c>
      <c r="AE25" s="107">
        <f t="shared" si="5"/>
        <v>1.4091520675664918E-3</v>
      </c>
      <c r="AF25" s="309">
        <f t="shared" si="13"/>
        <v>2.5405197535887793E-2</v>
      </c>
      <c r="AG25" s="107">
        <f t="shared" si="6"/>
        <v>2.1744819574226357E-6</v>
      </c>
      <c r="AH25" s="119">
        <f t="shared" si="14"/>
        <v>1.4113265495239145E-3</v>
      </c>
      <c r="AI25" s="122">
        <f t="shared" si="7"/>
        <v>1.4113265495239143E-3</v>
      </c>
      <c r="AJ25" s="87" t="b">
        <f t="shared" si="15"/>
        <v>1</v>
      </c>
      <c r="AK25" s="88">
        <f t="shared" si="21"/>
        <v>1.0918244432241264E-3</v>
      </c>
      <c r="AL25" s="312">
        <f>+AC25/'MWh by month-WgtbyCDH&amp;DayLtHrs'!AC25-1</f>
        <v>-1.6190272555722918E-2</v>
      </c>
      <c r="AM25" s="89">
        <f t="shared" si="9"/>
        <v>0</v>
      </c>
      <c r="AN25" s="90"/>
      <c r="AO25" s="96"/>
      <c r="AP25" s="92"/>
      <c r="AR25" s="94">
        <f t="shared" si="10"/>
        <v>1.4113265495239143E-3</v>
      </c>
      <c r="AS25" s="95">
        <v>78946.516019981806</v>
      </c>
      <c r="AU25" s="141">
        <v>16.488998520271064</v>
      </c>
    </row>
    <row r="26" spans="1:47">
      <c r="A26" s="78">
        <v>2006</v>
      </c>
      <c r="B26" s="78">
        <v>10</v>
      </c>
      <c r="C26" s="317">
        <v>196.83669265698501</v>
      </c>
      <c r="D26" s="318">
        <f t="shared" si="17"/>
        <v>0.10215719402777924</v>
      </c>
      <c r="E26" s="104">
        <f>$D26*'MWh Impact Summary'!B$12</f>
        <v>22345.336861519801</v>
      </c>
      <c r="F26" s="320">
        <f>$D26*'MWh Impact Summary'!N$12</f>
        <v>0</v>
      </c>
      <c r="G26" s="320">
        <f>$D26*'MWh Impact Summary'!C$12</f>
        <v>20292.631744538674</v>
      </c>
      <c r="H26" s="320">
        <f>$D26*'MWh Impact Summary'!D$12</f>
        <v>0</v>
      </c>
      <c r="I26" s="320">
        <f>$D26*'MWh Impact Summary'!E$12</f>
        <v>10891.891159807839</v>
      </c>
      <c r="J26" s="104">
        <f t="shared" si="11"/>
        <v>53529.85976586632</v>
      </c>
      <c r="K26" s="298">
        <f t="shared" si="18"/>
        <v>12.466666666666667</v>
      </c>
      <c r="L26" s="299">
        <f t="shared" si="20"/>
        <v>8.7762524932535488E-2</v>
      </c>
      <c r="M26" s="297">
        <f t="shared" si="19"/>
        <v>8.4931506849315067E-2</v>
      </c>
      <c r="N26" s="304">
        <f>$L26*'MWh Impact Summary'!F$12</f>
        <v>0</v>
      </c>
      <c r="O26" s="304">
        <f>$L26*'MWh Impact Summary'!G$12</f>
        <v>0</v>
      </c>
      <c r="P26" s="304">
        <f>$M26*'MWh Impact Summary'!H$12</f>
        <v>0</v>
      </c>
      <c r="Q26" s="304">
        <f>$M26*'MWh Impact Summary'!I$12</f>
        <v>116.17109368516167</v>
      </c>
      <c r="R26" s="304">
        <f>$M26*'MWh Impact Summary'!J$12</f>
        <v>0</v>
      </c>
      <c r="S26" s="304">
        <f>$M26*'MWh Impact Summary'!K$12</f>
        <v>0</v>
      </c>
      <c r="T26" s="304">
        <f>$M26*'MWh Impact Summary'!L$12</f>
        <v>0</v>
      </c>
      <c r="U26" s="304">
        <f>$M26*'MWh Impact Summary'!M$12</f>
        <v>0</v>
      </c>
      <c r="V26" s="304">
        <f>$L26*'MWh Impact Summary'!O$12</f>
        <v>0</v>
      </c>
      <c r="W26" s="304">
        <f>$L26*'MWh Impact Summary'!P$12</f>
        <v>0</v>
      </c>
      <c r="X26" s="304">
        <f>$L26*'MWh Impact Summary'!Q$12</f>
        <v>0</v>
      </c>
      <c r="Y26" s="85">
        <f t="shared" si="2"/>
        <v>116.17109368516167</v>
      </c>
      <c r="Z26" s="81">
        <f t="shared" si="3"/>
        <v>53646.03085955148</v>
      </c>
      <c r="AA26" s="81"/>
      <c r="AB26" s="81">
        <f>+'MWh by mo-WgtbyActulCDH&amp;Days'!AB26</f>
        <v>4429977</v>
      </c>
      <c r="AC26" s="308">
        <f t="shared" si="12"/>
        <v>12.109776384742286</v>
      </c>
      <c r="AD26" s="309">
        <f t="shared" si="4"/>
        <v>12.083552525411829</v>
      </c>
      <c r="AE26" s="107">
        <f t="shared" si="5"/>
        <v>9.6926891915068147E-4</v>
      </c>
      <c r="AF26" s="309">
        <f t="shared" si="13"/>
        <v>2.6223859330457396E-2</v>
      </c>
      <c r="AG26" s="107">
        <f t="shared" si="6"/>
        <v>2.1035181281115555E-6</v>
      </c>
      <c r="AH26" s="119">
        <f t="shared" si="14"/>
        <v>9.7137243727879301E-4</v>
      </c>
      <c r="AI26" s="122">
        <f t="shared" si="7"/>
        <v>9.7137243727879301E-4</v>
      </c>
      <c r="AJ26" s="87" t="b">
        <f t="shared" si="15"/>
        <v>1</v>
      </c>
      <c r="AK26" s="88">
        <f t="shared" si="21"/>
        <v>7.6665914403539694E-4</v>
      </c>
      <c r="AL26" s="312">
        <f>+AC26/'MWh by month-WgtbyCDH&amp;DayLtHrs'!AC26-1</f>
        <v>9.9327175432093462E-3</v>
      </c>
      <c r="AM26" s="89">
        <f t="shared" si="9"/>
        <v>0</v>
      </c>
      <c r="AN26" s="90"/>
      <c r="AO26" s="96"/>
      <c r="AP26" s="92"/>
      <c r="AR26" s="94">
        <f t="shared" si="10"/>
        <v>9.7137243727879301E-4</v>
      </c>
      <c r="AS26" s="95">
        <v>53072.042749228778</v>
      </c>
      <c r="AU26" s="141">
        <v>12.109776384742286</v>
      </c>
    </row>
    <row r="27" spans="1:47">
      <c r="A27" s="78">
        <v>2006</v>
      </c>
      <c r="B27" s="78">
        <v>11</v>
      </c>
      <c r="C27" s="317">
        <v>67.052058810555579</v>
      </c>
      <c r="D27" s="318">
        <f t="shared" si="17"/>
        <v>3.4799661025644218E-2</v>
      </c>
      <c r="E27" s="104">
        <f>$D27*'MWh Impact Summary'!B$12</f>
        <v>7611.8980722323777</v>
      </c>
      <c r="F27" s="320">
        <f>$D27*'MWh Impact Summary'!N$12</f>
        <v>0</v>
      </c>
      <c r="G27" s="320">
        <f>$D27*'MWh Impact Summary'!C$12</f>
        <v>6912.6478340443164</v>
      </c>
      <c r="H27" s="320">
        <f>$D27*'MWh Impact Summary'!D$12</f>
        <v>0</v>
      </c>
      <c r="I27" s="320">
        <f>$D27*'MWh Impact Summary'!E$12</f>
        <v>3710.3027730622107</v>
      </c>
      <c r="J27" s="104">
        <f t="shared" si="11"/>
        <v>18234.848679338902</v>
      </c>
      <c r="K27" s="298">
        <f t="shared" si="18"/>
        <v>13.15</v>
      </c>
      <c r="L27" s="299">
        <f t="shared" si="20"/>
        <v>9.2573037662794788E-2</v>
      </c>
      <c r="M27" s="297">
        <f>(30/365)</f>
        <v>8.2191780821917804E-2</v>
      </c>
      <c r="N27" s="304">
        <f>$L27*'MWh Impact Summary'!F$12</f>
        <v>0</v>
      </c>
      <c r="O27" s="304">
        <f>$L27*'MWh Impact Summary'!G$12</f>
        <v>0</v>
      </c>
      <c r="P27" s="304">
        <f>$M27*'MWh Impact Summary'!H$12</f>
        <v>0</v>
      </c>
      <c r="Q27" s="304">
        <f>$M27*'MWh Impact Summary'!I$12</f>
        <v>112.42363905015645</v>
      </c>
      <c r="R27" s="304">
        <f>$M27*'MWh Impact Summary'!J$12</f>
        <v>0</v>
      </c>
      <c r="S27" s="304">
        <f>$M27*'MWh Impact Summary'!K$12</f>
        <v>0</v>
      </c>
      <c r="T27" s="304">
        <f>$M27*'MWh Impact Summary'!L$12</f>
        <v>0</v>
      </c>
      <c r="U27" s="304">
        <f>$M27*'MWh Impact Summary'!M$12</f>
        <v>0</v>
      </c>
      <c r="V27" s="304">
        <f>$L27*'MWh Impact Summary'!O$12</f>
        <v>0</v>
      </c>
      <c r="W27" s="304">
        <f>$L27*'MWh Impact Summary'!P$12</f>
        <v>0</v>
      </c>
      <c r="X27" s="304">
        <f>$L27*'MWh Impact Summary'!Q$12</f>
        <v>0</v>
      </c>
      <c r="Y27" s="85">
        <f t="shared" si="2"/>
        <v>112.42363905015645</v>
      </c>
      <c r="Z27" s="81">
        <f t="shared" si="3"/>
        <v>18347.272318389059</v>
      </c>
      <c r="AA27" s="81"/>
      <c r="AB27" s="81">
        <f>+'MWh by mo-WgtbyActulCDH&amp;Days'!AB27</f>
        <v>4443418</v>
      </c>
      <c r="AC27" s="308">
        <f t="shared" si="12"/>
        <v>4.1290898849464668</v>
      </c>
      <c r="AD27" s="309">
        <f t="shared" si="4"/>
        <v>4.1037887228567964</v>
      </c>
      <c r="AE27" s="107">
        <f t="shared" si="5"/>
        <v>3.1207518804994647E-4</v>
      </c>
      <c r="AF27" s="309">
        <f t="shared" si="13"/>
        <v>2.5301162089669812E-2</v>
      </c>
      <c r="AG27" s="107">
        <f t="shared" si="6"/>
        <v>1.9240427444615827E-6</v>
      </c>
      <c r="AH27" s="119">
        <f t="shared" si="14"/>
        <v>3.1399923079440808E-4</v>
      </c>
      <c r="AI27" s="122">
        <f t="shared" si="7"/>
        <v>3.1399923079440813E-4</v>
      </c>
      <c r="AJ27" s="87" t="b">
        <f t="shared" si="15"/>
        <v>1</v>
      </c>
      <c r="AK27" s="88">
        <f t="shared" si="21"/>
        <v>2.3426978706044417E-4</v>
      </c>
      <c r="AL27" s="312">
        <f>+AC27/'MWh by month-WgtbyCDH&amp;DayLtHrs'!AC27-1</f>
        <v>-0.12349455037889767</v>
      </c>
      <c r="AM27" s="89">
        <f t="shared" si="9"/>
        <v>0</v>
      </c>
      <c r="AN27" s="90"/>
      <c r="AO27" s="96"/>
      <c r="AP27" s="92"/>
      <c r="AR27" s="94">
        <f t="shared" si="10"/>
        <v>3.1399923079440813E-4</v>
      </c>
      <c r="AS27" s="95">
        <v>24510.91635790365</v>
      </c>
      <c r="AU27" s="141">
        <v>4.1290898849464668</v>
      </c>
    </row>
    <row r="28" spans="1:47">
      <c r="A28" s="78">
        <v>2006</v>
      </c>
      <c r="B28" s="78">
        <v>12</v>
      </c>
      <c r="C28" s="317">
        <v>63.596105846109133</v>
      </c>
      <c r="D28" s="318">
        <f t="shared" si="17"/>
        <v>3.3006039862972722E-2</v>
      </c>
      <c r="E28" s="104">
        <f>$D28*'MWh Impact Summary'!B$12</f>
        <v>7219.5706452383783</v>
      </c>
      <c r="F28" s="320">
        <f>$D28*'MWh Impact Summary'!N$12</f>
        <v>0</v>
      </c>
      <c r="G28" s="320">
        <f>$D28*'MWh Impact Summary'!C$12</f>
        <v>6556.3607013593037</v>
      </c>
      <c r="H28" s="320">
        <f>$D28*'MWh Impact Summary'!D$12</f>
        <v>0</v>
      </c>
      <c r="I28" s="320">
        <f>$D28*'MWh Impact Summary'!E$12</f>
        <v>3519.0687961341287</v>
      </c>
      <c r="J28" s="104">
        <f t="shared" si="11"/>
        <v>17295.000142731809</v>
      </c>
      <c r="K28" s="298">
        <f t="shared" si="18"/>
        <v>13.483333333333333</v>
      </c>
      <c r="L28" s="299">
        <f t="shared" si="20"/>
        <v>9.491962923853102E-2</v>
      </c>
      <c r="M28" s="297">
        <f t="shared" si="19"/>
        <v>8.4931506849315067E-2</v>
      </c>
      <c r="N28" s="304">
        <f>$L28*'MWh Impact Summary'!F$12</f>
        <v>0</v>
      </c>
      <c r="O28" s="304">
        <f>$L28*'MWh Impact Summary'!G$12</f>
        <v>0</v>
      </c>
      <c r="P28" s="304">
        <f>$M28*'MWh Impact Summary'!H$12</f>
        <v>0</v>
      </c>
      <c r="Q28" s="304">
        <f>$M28*'MWh Impact Summary'!I$12</f>
        <v>116.17109368516167</v>
      </c>
      <c r="R28" s="304">
        <f>$M28*'MWh Impact Summary'!J$12</f>
        <v>0</v>
      </c>
      <c r="S28" s="304">
        <f>$M28*'MWh Impact Summary'!K$12</f>
        <v>0</v>
      </c>
      <c r="T28" s="304">
        <f>$M28*'MWh Impact Summary'!L$12</f>
        <v>0</v>
      </c>
      <c r="U28" s="304">
        <f>$M28*'MWh Impact Summary'!M$12</f>
        <v>0</v>
      </c>
      <c r="V28" s="304">
        <f>$L28*'MWh Impact Summary'!O$12</f>
        <v>0</v>
      </c>
      <c r="W28" s="304">
        <f>$L28*'MWh Impact Summary'!P$12</f>
        <v>0</v>
      </c>
      <c r="X28" s="304">
        <f>$L28*'MWh Impact Summary'!Q$12</f>
        <v>0</v>
      </c>
      <c r="Y28" s="85">
        <f t="shared" si="2"/>
        <v>116.17109368516167</v>
      </c>
      <c r="Z28" s="81">
        <f t="shared" si="3"/>
        <v>17411.171236416973</v>
      </c>
      <c r="AA28" s="81">
        <f>SUM(Z17:Z28)</f>
        <v>525362.82956848352</v>
      </c>
      <c r="AB28" s="81">
        <f>+'MWh by mo-WgtbyActulCDH&amp;Days'!AB28</f>
        <v>4457161</v>
      </c>
      <c r="AC28" s="308">
        <f t="shared" si="12"/>
        <v>3.9063366201976937</v>
      </c>
      <c r="AD28" s="309">
        <f t="shared" si="4"/>
        <v>3.8802726988618557</v>
      </c>
      <c r="AE28" s="107">
        <f t="shared" si="5"/>
        <v>2.8778289484760367E-4</v>
      </c>
      <c r="AF28" s="309">
        <f t="shared" si="13"/>
        <v>2.6063921335837244E-2</v>
      </c>
      <c r="AG28" s="107">
        <f t="shared" si="6"/>
        <v>1.9330473178618475E-6</v>
      </c>
      <c r="AH28" s="119">
        <f t="shared" si="14"/>
        <v>2.897159421654655E-4</v>
      </c>
      <c r="AI28" s="122">
        <f t="shared" si="7"/>
        <v>2.8971594216546556E-4</v>
      </c>
      <c r="AJ28" s="87" t="b">
        <f t="shared" si="15"/>
        <v>1</v>
      </c>
      <c r="AK28" s="88">
        <f t="shared" si="21"/>
        <v>2.7187143448538102E-4</v>
      </c>
      <c r="AL28" s="312">
        <f>+AC28/'MWh by month-WgtbyCDH&amp;DayLtHrs'!AC28-1</f>
        <v>0.51719103065150418</v>
      </c>
      <c r="AM28" s="89">
        <f t="shared" si="9"/>
        <v>0</v>
      </c>
      <c r="AN28" s="90">
        <f>SUM(AM17:AM28)</f>
        <v>0</v>
      </c>
      <c r="AO28" s="96"/>
      <c r="AP28" s="92"/>
      <c r="AR28" s="94">
        <f t="shared" si="10"/>
        <v>2.8971594216546556E-4</v>
      </c>
      <c r="AS28" s="95">
        <v>10922.750444317473</v>
      </c>
      <c r="AU28" s="141">
        <v>3.9063366201976937</v>
      </c>
    </row>
    <row r="29" spans="1:47">
      <c r="A29" s="78">
        <v>2007</v>
      </c>
      <c r="B29" s="78">
        <v>1</v>
      </c>
      <c r="C29" s="317">
        <v>45.645661495421976</v>
      </c>
      <c r="D29" s="318">
        <f t="shared" ref="D29:D40" si="22">C29/(SUM(C$29:C$40))</f>
        <v>2.2497796944812961E-2</v>
      </c>
      <c r="E29" s="104">
        <f>$D29*'MWh Impact Summary'!B$13</f>
        <v>9533.776816733709</v>
      </c>
      <c r="F29" s="320">
        <f>$D29*'MWh Impact Summary'!N$13</f>
        <v>0</v>
      </c>
      <c r="G29" s="320">
        <f>$D29*'MWh Impact Summary'!C$13</f>
        <v>7785.2914775495647</v>
      </c>
      <c r="H29" s="320">
        <f>$D29*'MWh Impact Summary'!D$13</f>
        <v>0</v>
      </c>
      <c r="I29" s="320">
        <f>$D29*'MWh Impact Summary'!E$13</f>
        <v>3819.2860862705961</v>
      </c>
      <c r="J29" s="104">
        <f t="shared" si="11"/>
        <v>21138.354380553868</v>
      </c>
      <c r="K29" s="298">
        <f t="shared" si="18"/>
        <v>13.3</v>
      </c>
      <c r="L29" s="299">
        <f t="shared" ref="L29:L40" si="23">K29/(SUM(K$29:K$40))</f>
        <v>9.3629003871876101E-2</v>
      </c>
      <c r="M29" s="297">
        <f>(31/365)</f>
        <v>8.4931506849315067E-2</v>
      </c>
      <c r="N29" s="304">
        <f>$L29*'MWh Impact Summary'!F$13</f>
        <v>12482.715047106098</v>
      </c>
      <c r="O29" s="304">
        <f>$L29*'MWh Impact Summary'!G$13</f>
        <v>0</v>
      </c>
      <c r="P29" s="304">
        <f>$M29*'MWh Impact Summary'!H$13</f>
        <v>0</v>
      </c>
      <c r="Q29" s="304">
        <f>$M29*'MWh Impact Summary'!I$13</f>
        <v>232.34218737032333</v>
      </c>
      <c r="R29" s="304">
        <f>$M29*'MWh Impact Summary'!J$13</f>
        <v>0</v>
      </c>
      <c r="S29" s="304">
        <f>$M29*'MWh Impact Summary'!K$13</f>
        <v>0</v>
      </c>
      <c r="T29" s="304">
        <f>$M29*'MWh Impact Summary'!L$13</f>
        <v>0</v>
      </c>
      <c r="U29" s="304">
        <f>$M29*'MWh Impact Summary'!M$13</f>
        <v>0</v>
      </c>
      <c r="V29" s="304">
        <f>$L29*'MWh Impact Summary'!O$13</f>
        <v>0</v>
      </c>
      <c r="W29" s="304">
        <f>$L29*'MWh Impact Summary'!P$13</f>
        <v>0</v>
      </c>
      <c r="X29" s="304">
        <f>$L29*'MWh Impact Summary'!Q$13</f>
        <v>0</v>
      </c>
      <c r="Y29" s="85">
        <f t="shared" si="2"/>
        <v>12715.05723447642</v>
      </c>
      <c r="Z29" s="81">
        <f t="shared" si="3"/>
        <v>33853.411615030287</v>
      </c>
      <c r="AA29" s="81"/>
      <c r="AB29" s="81">
        <f>+'MWh by mo-WgtbyActulCDH&amp;Days'!AB29</f>
        <v>4465732</v>
      </c>
      <c r="AC29" s="308">
        <f>+Z29*1000/AB29</f>
        <v>7.5807082948619149</v>
      </c>
      <c r="AD29" s="309">
        <f t="shared" si="4"/>
        <v>4.7334578923575954</v>
      </c>
      <c r="AE29" s="107">
        <f t="shared" si="5"/>
        <v>3.55899089650947E-4</v>
      </c>
      <c r="AF29" s="309">
        <f t="shared" si="13"/>
        <v>2.8472504025043199</v>
      </c>
      <c r="AG29" s="107">
        <f t="shared" si="6"/>
        <v>2.1407897763190377E-4</v>
      </c>
      <c r="AH29" s="119">
        <f t="shared" si="14"/>
        <v>5.699780672828508E-4</v>
      </c>
      <c r="AI29" s="122">
        <f t="shared" si="7"/>
        <v>5.6997806728285069E-4</v>
      </c>
      <c r="AJ29" s="87" t="b">
        <f t="shared" si="15"/>
        <v>1</v>
      </c>
      <c r="AK29" s="88">
        <f t="shared" si="21"/>
        <v>4.3326859706109588E-4</v>
      </c>
      <c r="AL29" s="312">
        <f>+AC29/'MWh by month-WgtbyCDH&amp;DayLtHrs'!AC29-1</f>
        <v>0.34397533903687649</v>
      </c>
      <c r="AM29" s="89">
        <f t="shared" si="9"/>
        <v>0</v>
      </c>
      <c r="AN29" s="90"/>
      <c r="AO29" s="96"/>
      <c r="AP29" s="92"/>
      <c r="AR29" s="94">
        <f t="shared" si="10"/>
        <v>5.6997806728285069E-4</v>
      </c>
      <c r="AS29" s="95">
        <v>23915.309480274562</v>
      </c>
      <c r="AU29" s="141">
        <v>7.5807082948619149</v>
      </c>
    </row>
    <row r="30" spans="1:47">
      <c r="A30" s="78">
        <v>2007</v>
      </c>
      <c r="B30" s="78">
        <v>2</v>
      </c>
      <c r="C30" s="317">
        <v>30.404747447438531</v>
      </c>
      <c r="D30" s="318">
        <f t="shared" si="22"/>
        <v>1.4985867480513957E-2</v>
      </c>
      <c r="E30" s="104">
        <f>$D30*'MWh Impact Summary'!B$13</f>
        <v>6350.4847303419083</v>
      </c>
      <c r="F30" s="320">
        <f>$D30*'MWh Impact Summary'!N$13</f>
        <v>0</v>
      </c>
      <c r="G30" s="320">
        <f>$D30*'MWh Impact Summary'!C$13</f>
        <v>5185.8120448825321</v>
      </c>
      <c r="H30" s="320">
        <f>$D30*'MWh Impact Summary'!D$13</f>
        <v>0</v>
      </c>
      <c r="I30" s="320">
        <f>$D30*'MWh Impact Summary'!E$13</f>
        <v>2544.0408809547012</v>
      </c>
      <c r="J30" s="104">
        <f t="shared" si="11"/>
        <v>14080.337656179141</v>
      </c>
      <c r="K30" s="298">
        <f t="shared" si="18"/>
        <v>12.733333333333333</v>
      </c>
      <c r="L30" s="299">
        <f t="shared" si="23"/>
        <v>8.9639798193124468E-2</v>
      </c>
      <c r="M30" s="297">
        <f>(28/365)</f>
        <v>7.6712328767123292E-2</v>
      </c>
      <c r="N30" s="304">
        <f>$L30*'MWh Impact Summary'!F$13</f>
        <v>11950.870045099067</v>
      </c>
      <c r="O30" s="304">
        <f>$L30*'MWh Impact Summary'!G$13</f>
        <v>0</v>
      </c>
      <c r="P30" s="304">
        <f>$M30*'MWh Impact Summary'!H$13</f>
        <v>0</v>
      </c>
      <c r="Q30" s="304">
        <f>$M30*'MWh Impact Summary'!I$13</f>
        <v>209.85745956029206</v>
      </c>
      <c r="R30" s="304">
        <f>$M30*'MWh Impact Summary'!J$13</f>
        <v>0</v>
      </c>
      <c r="S30" s="304">
        <f>$M30*'MWh Impact Summary'!K$13</f>
        <v>0</v>
      </c>
      <c r="T30" s="304">
        <f>$M30*'MWh Impact Summary'!L$13</f>
        <v>0</v>
      </c>
      <c r="U30" s="304">
        <f>$M30*'MWh Impact Summary'!M$13</f>
        <v>0</v>
      </c>
      <c r="V30" s="304">
        <f>$L30*'MWh Impact Summary'!O$13</f>
        <v>0</v>
      </c>
      <c r="W30" s="304">
        <f>$L30*'MWh Impact Summary'!P$13</f>
        <v>0</v>
      </c>
      <c r="X30" s="304">
        <f>$L30*'MWh Impact Summary'!Q$13</f>
        <v>0</v>
      </c>
      <c r="Y30" s="85">
        <f t="shared" si="2"/>
        <v>12160.727504659359</v>
      </c>
      <c r="Z30" s="81">
        <f t="shared" si="3"/>
        <v>26241.065160838501</v>
      </c>
      <c r="AA30" s="81"/>
      <c r="AB30" s="81">
        <f>+'MWh by mo-WgtbyActulCDH&amp;Days'!AB30</f>
        <v>4476835</v>
      </c>
      <c r="AC30" s="308">
        <f t="shared" si="12"/>
        <v>5.8615216242811048</v>
      </c>
      <c r="AD30" s="309">
        <f t="shared" si="4"/>
        <v>3.1451544799348516</v>
      </c>
      <c r="AE30" s="107">
        <f t="shared" si="5"/>
        <v>2.4700166072786793E-4</v>
      </c>
      <c r="AF30" s="309">
        <f t="shared" si="13"/>
        <v>2.7163671443462531</v>
      </c>
      <c r="AG30" s="107">
        <f t="shared" si="6"/>
        <v>2.1332726264499372E-4</v>
      </c>
      <c r="AH30" s="119">
        <f t="shared" si="14"/>
        <v>4.6032892337286165E-4</v>
      </c>
      <c r="AI30" s="122">
        <f t="shared" si="7"/>
        <v>4.6032892337286171E-4</v>
      </c>
      <c r="AJ30" s="87" t="b">
        <f t="shared" si="15"/>
        <v>1</v>
      </c>
      <c r="AK30" s="88">
        <f t="shared" si="21"/>
        <v>3.5378429964505188E-4</v>
      </c>
      <c r="AL30" s="312">
        <f>+AC30/'MWh by month-WgtbyCDH&amp;DayLtHrs'!AC30-1</f>
        <v>-9.2763294662786766E-2</v>
      </c>
      <c r="AM30" s="89">
        <f t="shared" si="9"/>
        <v>0</v>
      </c>
      <c r="AN30" s="90"/>
      <c r="AO30" s="96"/>
      <c r="AP30" s="92"/>
      <c r="AR30" s="94">
        <f t="shared" si="10"/>
        <v>4.6032892337286171E-4</v>
      </c>
      <c r="AS30" s="95">
        <v>24907.649804064211</v>
      </c>
      <c r="AU30" s="141">
        <v>5.8615216242811048</v>
      </c>
    </row>
    <row r="31" spans="1:47">
      <c r="A31" s="78">
        <v>2007</v>
      </c>
      <c r="B31" s="78">
        <v>3</v>
      </c>
      <c r="C31" s="317">
        <v>62.904147733703908</v>
      </c>
      <c r="D31" s="318">
        <f t="shared" si="22"/>
        <v>3.1004145768406152E-2</v>
      </c>
      <c r="E31" s="104">
        <f>$D31*'MWh Impact Summary'!B$13</f>
        <v>13138.468929848388</v>
      </c>
      <c r="F31" s="320">
        <f>$D31*'MWh Impact Summary'!N$13</f>
        <v>0</v>
      </c>
      <c r="G31" s="320">
        <f>$D31*'MWh Impact Summary'!C$13</f>
        <v>10728.886584387454</v>
      </c>
      <c r="H31" s="320">
        <f>$D31*'MWh Impact Summary'!D$13</f>
        <v>0</v>
      </c>
      <c r="I31" s="320">
        <f>$D31*'MWh Impact Summary'!E$13</f>
        <v>5263.3465774647848</v>
      </c>
      <c r="J31" s="104">
        <f t="shared" si="11"/>
        <v>29130.702091700627</v>
      </c>
      <c r="K31" s="298">
        <f t="shared" si="18"/>
        <v>12</v>
      </c>
      <c r="L31" s="299">
        <f t="shared" si="23"/>
        <v>8.4477296726504739E-2</v>
      </c>
      <c r="M31" s="297">
        <f t="shared" ref="M31:M40" si="24">(31/365)</f>
        <v>8.4931506849315067E-2</v>
      </c>
      <c r="N31" s="304">
        <f>$L31*'MWh Impact Summary'!F$13</f>
        <v>11262.600042501739</v>
      </c>
      <c r="O31" s="304">
        <f>$L31*'MWh Impact Summary'!G$13</f>
        <v>0</v>
      </c>
      <c r="P31" s="304">
        <f>$M31*'MWh Impact Summary'!H$13</f>
        <v>0</v>
      </c>
      <c r="Q31" s="304">
        <f>$M31*'MWh Impact Summary'!I$13</f>
        <v>232.34218737032333</v>
      </c>
      <c r="R31" s="304">
        <f>$M31*'MWh Impact Summary'!J$13</f>
        <v>0</v>
      </c>
      <c r="S31" s="304">
        <f>$M31*'MWh Impact Summary'!K$13</f>
        <v>0</v>
      </c>
      <c r="T31" s="304">
        <f>$M31*'MWh Impact Summary'!L$13</f>
        <v>0</v>
      </c>
      <c r="U31" s="304">
        <f>$M31*'MWh Impact Summary'!M$13</f>
        <v>0</v>
      </c>
      <c r="V31" s="304">
        <f>$L31*'MWh Impact Summary'!O$13</f>
        <v>0</v>
      </c>
      <c r="W31" s="304">
        <f>$L31*'MWh Impact Summary'!P$13</f>
        <v>0</v>
      </c>
      <c r="X31" s="304">
        <f>$L31*'MWh Impact Summary'!Q$13</f>
        <v>0</v>
      </c>
      <c r="Y31" s="85">
        <f t="shared" si="2"/>
        <v>11494.942229872062</v>
      </c>
      <c r="Z31" s="81">
        <f t="shared" si="3"/>
        <v>40625.64432157269</v>
      </c>
      <c r="AA31" s="81"/>
      <c r="AB31" s="81">
        <f>+'MWh by mo-WgtbyActulCDH&amp;Days'!AB31</f>
        <v>4488392</v>
      </c>
      <c r="AC31" s="308">
        <f t="shared" si="12"/>
        <v>9.0512692121304674</v>
      </c>
      <c r="AD31" s="309">
        <f t="shared" si="4"/>
        <v>6.4902312658298627</v>
      </c>
      <c r="AE31" s="107">
        <f t="shared" si="5"/>
        <v>5.4085260548582194E-4</v>
      </c>
      <c r="AF31" s="309">
        <f t="shared" si="13"/>
        <v>2.5610379463006043</v>
      </c>
      <c r="AG31" s="107">
        <f t="shared" si="6"/>
        <v>2.1341982885838371E-4</v>
      </c>
      <c r="AH31" s="119">
        <f t="shared" si="14"/>
        <v>7.5427243434420563E-4</v>
      </c>
      <c r="AI31" s="122">
        <f t="shared" si="7"/>
        <v>7.5427243434420563E-4</v>
      </c>
      <c r="AJ31" s="87" t="b">
        <f t="shared" si="15"/>
        <v>1</v>
      </c>
      <c r="AK31" s="88">
        <f t="shared" si="21"/>
        <v>4.7368765737876929E-4</v>
      </c>
      <c r="AL31" s="312">
        <f>+AC31/'MWh by month-WgtbyCDH&amp;DayLtHrs'!AC31-1</f>
        <v>-4.0761599485101163E-2</v>
      </c>
      <c r="AM31" s="89">
        <f t="shared" si="9"/>
        <v>0</v>
      </c>
      <c r="AN31" s="90"/>
      <c r="AO31" s="96"/>
      <c r="AP31" s="92"/>
      <c r="AR31" s="94">
        <f t="shared" si="10"/>
        <v>7.5427243434420563E-4</v>
      </c>
      <c r="AS31" s="95">
        <v>39962.531076133993</v>
      </c>
      <c r="AU31" s="141">
        <v>9.0512692121304674</v>
      </c>
    </row>
    <row r="32" spans="1:47">
      <c r="A32" s="78">
        <v>2007</v>
      </c>
      <c r="B32" s="78">
        <v>4</v>
      </c>
      <c r="C32" s="317">
        <v>101.96136613292563</v>
      </c>
      <c r="D32" s="318">
        <f t="shared" si="22"/>
        <v>5.0254636176197312E-2</v>
      </c>
      <c r="E32" s="104">
        <f>$D32*'MWh Impact Summary'!B$13</f>
        <v>21296.1511958388</v>
      </c>
      <c r="F32" s="320">
        <f>$D32*'MWh Impact Summary'!N$13</f>
        <v>0</v>
      </c>
      <c r="G32" s="320">
        <f>$D32*'MWh Impact Summary'!C$13</f>
        <v>17390.45790526205</v>
      </c>
      <c r="H32" s="320">
        <f>$D32*'MWh Impact Summary'!D$13</f>
        <v>0</v>
      </c>
      <c r="I32" s="320">
        <f>$D32*'MWh Impact Summary'!E$13</f>
        <v>8531.3612345760739</v>
      </c>
      <c r="J32" s="104">
        <f t="shared" si="11"/>
        <v>47217.970335676931</v>
      </c>
      <c r="K32" s="298">
        <f t="shared" si="18"/>
        <v>11.2</v>
      </c>
      <c r="L32" s="299">
        <f t="shared" si="23"/>
        <v>7.8845476944737758E-2</v>
      </c>
      <c r="M32" s="297">
        <f>(30/365)</f>
        <v>8.2191780821917804E-2</v>
      </c>
      <c r="N32" s="304">
        <f>$L32*'MWh Impact Summary'!F$13</f>
        <v>10511.76003966829</v>
      </c>
      <c r="O32" s="304">
        <f>$L32*'MWh Impact Summary'!G$13</f>
        <v>0</v>
      </c>
      <c r="P32" s="304">
        <f>$M32*'MWh Impact Summary'!H$13</f>
        <v>0</v>
      </c>
      <c r="Q32" s="304">
        <f>$M32*'MWh Impact Summary'!I$13</f>
        <v>224.84727810031291</v>
      </c>
      <c r="R32" s="304">
        <f>$M32*'MWh Impact Summary'!J$13</f>
        <v>0</v>
      </c>
      <c r="S32" s="304">
        <f>$M32*'MWh Impact Summary'!K$13</f>
        <v>0</v>
      </c>
      <c r="T32" s="304">
        <f>$M32*'MWh Impact Summary'!L$13</f>
        <v>0</v>
      </c>
      <c r="U32" s="304">
        <f>$M32*'MWh Impact Summary'!M$13</f>
        <v>0</v>
      </c>
      <c r="V32" s="304">
        <f>$L32*'MWh Impact Summary'!O$13</f>
        <v>0</v>
      </c>
      <c r="W32" s="304">
        <f>$L32*'MWh Impact Summary'!P$13</f>
        <v>0</v>
      </c>
      <c r="X32" s="304">
        <f>$L32*'MWh Impact Summary'!Q$13</f>
        <v>0</v>
      </c>
      <c r="Y32" s="85">
        <f t="shared" si="2"/>
        <v>10736.607317768603</v>
      </c>
      <c r="Z32" s="81">
        <f t="shared" si="3"/>
        <v>57954.577653445536</v>
      </c>
      <c r="AA32" s="81"/>
      <c r="AB32" s="81">
        <f>+'MWh by mo-WgtbyActulCDH&amp;Days'!AB32</f>
        <v>4493310</v>
      </c>
      <c r="AC32" s="308">
        <f t="shared" si="12"/>
        <v>12.897970016189744</v>
      </c>
      <c r="AD32" s="309">
        <f t="shared" si="4"/>
        <v>10.508504940829129</v>
      </c>
      <c r="AE32" s="107">
        <f t="shared" si="5"/>
        <v>9.3825936971688654E-4</v>
      </c>
      <c r="AF32" s="309">
        <f t="shared" si="13"/>
        <v>2.3894650753606146</v>
      </c>
      <c r="AG32" s="107">
        <f t="shared" si="6"/>
        <v>2.1334509601434059E-4</v>
      </c>
      <c r="AH32" s="119">
        <f t="shared" si="14"/>
        <v>1.1516044657312271E-3</v>
      </c>
      <c r="AI32" s="122">
        <f t="shared" si="7"/>
        <v>1.1516044657312271E-3</v>
      </c>
      <c r="AJ32" s="87" t="b">
        <f t="shared" si="15"/>
        <v>1</v>
      </c>
      <c r="AK32" s="88">
        <f t="shared" si="21"/>
        <v>4.3517286973358859E-4</v>
      </c>
      <c r="AL32" s="312">
        <f>+AC32/'MWh by month-WgtbyCDH&amp;DayLtHrs'!AC32-1</f>
        <v>-0.11156492463647316</v>
      </c>
      <c r="AM32" s="89">
        <f t="shared" si="9"/>
        <v>0</v>
      </c>
      <c r="AN32" s="90"/>
      <c r="AO32" s="96"/>
      <c r="AP32" s="92"/>
      <c r="AR32" s="94">
        <f t="shared" si="10"/>
        <v>1.1516044657312271E-3</v>
      </c>
      <c r="AS32" s="95">
        <v>65231.07069002543</v>
      </c>
      <c r="AU32" s="141">
        <v>12.897970016189744</v>
      </c>
    </row>
    <row r="33" spans="1:47">
      <c r="A33" s="78">
        <v>2007</v>
      </c>
      <c r="B33" s="78">
        <v>5</v>
      </c>
      <c r="C33" s="317">
        <v>167.18600773431663</v>
      </c>
      <c r="D33" s="318">
        <f t="shared" si="22"/>
        <v>8.2402505096740145E-2</v>
      </c>
      <c r="E33" s="104">
        <f>$D33*'MWh Impact Summary'!B$13</f>
        <v>34919.28986021052</v>
      </c>
      <c r="F33" s="320">
        <f>$D33*'MWh Impact Summary'!N$13</f>
        <v>0</v>
      </c>
      <c r="G33" s="320">
        <f>$D33*'MWh Impact Summary'!C$13</f>
        <v>28515.126269120974</v>
      </c>
      <c r="H33" s="320">
        <f>$D33*'MWh Impact Summary'!D$13</f>
        <v>0</v>
      </c>
      <c r="I33" s="320">
        <f>$D33*'MWh Impact Summary'!E$13</f>
        <v>13988.869308484995</v>
      </c>
      <c r="J33" s="104">
        <f t="shared" si="11"/>
        <v>77423.285437816492</v>
      </c>
      <c r="K33" s="298">
        <f t="shared" si="18"/>
        <v>10.533333333333333</v>
      </c>
      <c r="L33" s="299">
        <f t="shared" si="23"/>
        <v>7.4152293793265281E-2</v>
      </c>
      <c r="M33" s="297">
        <f t="shared" si="24"/>
        <v>8.4931506849315067E-2</v>
      </c>
      <c r="N33" s="304">
        <f>$L33*'MWh Impact Summary'!F$13</f>
        <v>9886.0600373070847</v>
      </c>
      <c r="O33" s="304">
        <f>$L33*'MWh Impact Summary'!G$13</f>
        <v>0</v>
      </c>
      <c r="P33" s="304">
        <f>$M33*'MWh Impact Summary'!H$13</f>
        <v>0</v>
      </c>
      <c r="Q33" s="304">
        <f>$M33*'MWh Impact Summary'!I$13</f>
        <v>232.34218737032333</v>
      </c>
      <c r="R33" s="304">
        <f>$M33*'MWh Impact Summary'!J$13</f>
        <v>0</v>
      </c>
      <c r="S33" s="304">
        <f>$M33*'MWh Impact Summary'!K$13</f>
        <v>0</v>
      </c>
      <c r="T33" s="304">
        <f>$M33*'MWh Impact Summary'!L$13</f>
        <v>0</v>
      </c>
      <c r="U33" s="304">
        <f>$M33*'MWh Impact Summary'!M$13</f>
        <v>0</v>
      </c>
      <c r="V33" s="304">
        <f>$L33*'MWh Impact Summary'!O$13</f>
        <v>0</v>
      </c>
      <c r="W33" s="304">
        <f>$L33*'MWh Impact Summary'!P$13</f>
        <v>0</v>
      </c>
      <c r="X33" s="304">
        <f>$L33*'MWh Impact Summary'!Q$13</f>
        <v>0</v>
      </c>
      <c r="Y33" s="85">
        <f t="shared" si="2"/>
        <v>10118.402224677408</v>
      </c>
      <c r="Z33" s="81">
        <f t="shared" si="3"/>
        <v>87541.687662493903</v>
      </c>
      <c r="AA33" s="81"/>
      <c r="AB33" s="81">
        <f>+'MWh by mo-WgtbyActulCDH&amp;Days'!AB33</f>
        <v>4494060</v>
      </c>
      <c r="AC33" s="308">
        <f t="shared" si="12"/>
        <v>19.479421205434264</v>
      </c>
      <c r="AD33" s="309">
        <f t="shared" si="4"/>
        <v>17.227915390051866</v>
      </c>
      <c r="AE33" s="107">
        <f t="shared" si="5"/>
        <v>1.6355615876631517E-3</v>
      </c>
      <c r="AF33" s="309">
        <f t="shared" si="13"/>
        <v>2.2515058153823952</v>
      </c>
      <c r="AG33" s="107">
        <f t="shared" si="6"/>
        <v>2.1375055209326538E-4</v>
      </c>
      <c r="AH33" s="119">
        <f t="shared" si="14"/>
        <v>1.849312139756417E-3</v>
      </c>
      <c r="AI33" s="122">
        <f t="shared" si="7"/>
        <v>1.8493121397564175E-3</v>
      </c>
      <c r="AJ33" s="87" t="b">
        <f t="shared" si="15"/>
        <v>1</v>
      </c>
      <c r="AK33" s="88">
        <f t="shared" si="21"/>
        <v>6.9301581022578659E-4</v>
      </c>
      <c r="AL33" s="312">
        <f>+AC33/'MWh by month-WgtbyCDH&amp;DayLtHrs'!AC33-1</f>
        <v>-0.20226708968461116</v>
      </c>
      <c r="AM33" s="89">
        <f t="shared" si="9"/>
        <v>0</v>
      </c>
      <c r="AN33" s="90"/>
      <c r="AO33" s="96"/>
      <c r="AP33" s="92"/>
      <c r="AR33" s="94">
        <f t="shared" si="10"/>
        <v>1.8493121397564175E-3</v>
      </c>
      <c r="AS33" s="95">
        <v>102984.96257484006</v>
      </c>
      <c r="AU33" s="141">
        <v>19.479421205434264</v>
      </c>
    </row>
    <row r="34" spans="1:47">
      <c r="A34" s="78">
        <v>2007</v>
      </c>
      <c r="B34" s="78">
        <v>6</v>
      </c>
      <c r="C34" s="317">
        <v>252.06000455953384</v>
      </c>
      <c r="D34" s="318">
        <f t="shared" si="22"/>
        <v>0.12423513242453003</v>
      </c>
      <c r="E34" s="104">
        <f>$D34*'MWh Impact Summary'!B$13</f>
        <v>52646.489264625801</v>
      </c>
      <c r="F34" s="320">
        <f>$D34*'MWh Impact Summary'!N$13</f>
        <v>0</v>
      </c>
      <c r="G34" s="320">
        <f>$D34*'MWh Impact Summary'!C$13</f>
        <v>42991.174649210807</v>
      </c>
      <c r="H34" s="320">
        <f>$D34*'MWh Impact Summary'!D$13</f>
        <v>0</v>
      </c>
      <c r="I34" s="320">
        <f>$D34*'MWh Impact Summary'!E$13</f>
        <v>21090.487831271395</v>
      </c>
      <c r="J34" s="104">
        <f t="shared" si="11"/>
        <v>116728.15174510801</v>
      </c>
      <c r="K34" s="298">
        <f t="shared" si="18"/>
        <v>10.199999999999999</v>
      </c>
      <c r="L34" s="299">
        <f t="shared" si="23"/>
        <v>7.1805702217529022E-2</v>
      </c>
      <c r="M34" s="297">
        <f>(30/365)</f>
        <v>8.2191780821917804E-2</v>
      </c>
      <c r="N34" s="304">
        <f>$L34*'MWh Impact Summary'!F$13</f>
        <v>9573.2100361264784</v>
      </c>
      <c r="O34" s="304">
        <f>$L34*'MWh Impact Summary'!G$13</f>
        <v>0</v>
      </c>
      <c r="P34" s="304">
        <f>$M34*'MWh Impact Summary'!H$13</f>
        <v>0</v>
      </c>
      <c r="Q34" s="304">
        <f>$M34*'MWh Impact Summary'!I$13</f>
        <v>224.84727810031291</v>
      </c>
      <c r="R34" s="304">
        <f>$M34*'MWh Impact Summary'!J$13</f>
        <v>0</v>
      </c>
      <c r="S34" s="304">
        <f>$M34*'MWh Impact Summary'!K$13</f>
        <v>0</v>
      </c>
      <c r="T34" s="304">
        <f>$M34*'MWh Impact Summary'!L$13</f>
        <v>0</v>
      </c>
      <c r="U34" s="304">
        <f>$M34*'MWh Impact Summary'!M$13</f>
        <v>0</v>
      </c>
      <c r="V34" s="304">
        <f>$L34*'MWh Impact Summary'!O$13</f>
        <v>0</v>
      </c>
      <c r="W34" s="304">
        <f>$L34*'MWh Impact Summary'!P$13</f>
        <v>0</v>
      </c>
      <c r="X34" s="304">
        <f>$L34*'MWh Impact Summary'!Q$13</f>
        <v>0</v>
      </c>
      <c r="Y34" s="85">
        <f t="shared" si="2"/>
        <v>9798.0573142267913</v>
      </c>
      <c r="Z34" s="81">
        <f t="shared" si="3"/>
        <v>126526.20905933481</v>
      </c>
      <c r="AA34" s="81"/>
      <c r="AB34" s="81">
        <f>+'MWh by mo-WgtbyActulCDH&amp;Days'!AB34</f>
        <v>4497400</v>
      </c>
      <c r="AC34" s="308">
        <f t="shared" si="12"/>
        <v>28.13319007856424</v>
      </c>
      <c r="AD34" s="309">
        <f t="shared" si="4"/>
        <v>25.954585259284922</v>
      </c>
      <c r="AE34" s="107">
        <f t="shared" si="5"/>
        <v>2.5445671822828357E-3</v>
      </c>
      <c r="AF34" s="309">
        <f t="shared" si="13"/>
        <v>2.178604819279315</v>
      </c>
      <c r="AG34" s="107">
        <f t="shared" si="6"/>
        <v>2.1358870777248186E-4</v>
      </c>
      <c r="AH34" s="119">
        <f t="shared" si="14"/>
        <v>2.7581558900553176E-3</v>
      </c>
      <c r="AI34" s="122">
        <f t="shared" si="7"/>
        <v>2.7581558900553176E-3</v>
      </c>
      <c r="AJ34" s="87" t="b">
        <f t="shared" si="15"/>
        <v>1</v>
      </c>
      <c r="AK34" s="88">
        <f t="shared" si="21"/>
        <v>1.078384963679448E-3</v>
      </c>
      <c r="AL34" s="312">
        <f>+AC34/'MWh by month-WgtbyCDH&amp;DayLtHrs'!AC34-1</f>
        <v>-9.37732341060592E-2</v>
      </c>
      <c r="AM34" s="89">
        <f t="shared" si="9"/>
        <v>0</v>
      </c>
      <c r="AN34" s="90"/>
      <c r="AO34" s="96"/>
      <c r="AP34" s="92"/>
      <c r="AR34" s="94">
        <f t="shared" si="10"/>
        <v>2.7581558900553176E-3</v>
      </c>
      <c r="AS34" s="95">
        <v>144692.84347818667</v>
      </c>
      <c r="AU34" s="141">
        <v>28.13319007856424</v>
      </c>
    </row>
    <row r="35" spans="1:47">
      <c r="A35" s="78">
        <v>2007</v>
      </c>
      <c r="B35" s="78">
        <v>7</v>
      </c>
      <c r="C35" s="317">
        <v>317.68883259272025</v>
      </c>
      <c r="D35" s="318">
        <f t="shared" si="22"/>
        <v>0.15658221642866396</v>
      </c>
      <c r="E35" s="104">
        <f>$D35*'MWh Impact Summary'!B$13</f>
        <v>66354.048290250808</v>
      </c>
      <c r="F35" s="320">
        <f>$D35*'MWh Impact Summary'!N$13</f>
        <v>0</v>
      </c>
      <c r="G35" s="320">
        <f>$D35*'MWh Impact Summary'!C$13</f>
        <v>54184.780762676302</v>
      </c>
      <c r="H35" s="320">
        <f>$D35*'MWh Impact Summary'!D$13</f>
        <v>0</v>
      </c>
      <c r="I35" s="320">
        <f>$D35*'MWh Impact Summary'!E$13</f>
        <v>26581.815189744091</v>
      </c>
      <c r="J35" s="104">
        <f t="shared" si="11"/>
        <v>147120.6442426712</v>
      </c>
      <c r="K35" s="298">
        <f t="shared" si="18"/>
        <v>10.366666666666667</v>
      </c>
      <c r="L35" s="299">
        <f t="shared" si="23"/>
        <v>7.2978998005397158E-2</v>
      </c>
      <c r="M35" s="297">
        <f t="shared" si="24"/>
        <v>8.4931506849315067E-2</v>
      </c>
      <c r="N35" s="304">
        <f>$L35*'MWh Impact Summary'!F$13</f>
        <v>9729.6350367167815</v>
      </c>
      <c r="O35" s="304">
        <f>$L35*'MWh Impact Summary'!G$13</f>
        <v>0</v>
      </c>
      <c r="P35" s="304">
        <f>$M35*'MWh Impact Summary'!H$13</f>
        <v>0</v>
      </c>
      <c r="Q35" s="304">
        <f>$M35*'MWh Impact Summary'!I$13</f>
        <v>232.34218737032333</v>
      </c>
      <c r="R35" s="304">
        <f>$M35*'MWh Impact Summary'!J$13</f>
        <v>0</v>
      </c>
      <c r="S35" s="304">
        <f>$M35*'MWh Impact Summary'!K$13</f>
        <v>0</v>
      </c>
      <c r="T35" s="304">
        <f>$M35*'MWh Impact Summary'!L$13</f>
        <v>0</v>
      </c>
      <c r="U35" s="304">
        <f>$M35*'MWh Impact Summary'!M$13</f>
        <v>0</v>
      </c>
      <c r="V35" s="304">
        <f>$L35*'MWh Impact Summary'!O$13</f>
        <v>0</v>
      </c>
      <c r="W35" s="304">
        <f>$L35*'MWh Impact Summary'!P$13</f>
        <v>0</v>
      </c>
      <c r="X35" s="304">
        <f>$L35*'MWh Impact Summary'!Q$13</f>
        <v>0</v>
      </c>
      <c r="Y35" s="85">
        <f t="shared" si="2"/>
        <v>9961.9772240871043</v>
      </c>
      <c r="Z35" s="81">
        <f t="shared" si="3"/>
        <v>157082.62146675831</v>
      </c>
      <c r="AA35" s="81"/>
      <c r="AB35" s="81">
        <f>+'MWh by mo-WgtbyActulCDH&amp;Days'!AB35</f>
        <v>4502735</v>
      </c>
      <c r="AC35" s="308">
        <f t="shared" si="12"/>
        <v>34.886046251169191</v>
      </c>
      <c r="AD35" s="309">
        <f t="shared" si="4"/>
        <v>32.673618199310241</v>
      </c>
      <c r="AE35" s="107">
        <f t="shared" si="5"/>
        <v>3.1517959677791227E-3</v>
      </c>
      <c r="AF35" s="309">
        <f t="shared" si="13"/>
        <v>2.2124280518589488</v>
      </c>
      <c r="AG35" s="107">
        <f t="shared" si="6"/>
        <v>2.1341749696388574E-4</v>
      </c>
      <c r="AH35" s="119">
        <f t="shared" si="14"/>
        <v>3.3652134647430085E-3</v>
      </c>
      <c r="AI35" s="122">
        <f t="shared" si="7"/>
        <v>3.3652134647430085E-3</v>
      </c>
      <c r="AJ35" s="87" t="b">
        <f t="shared" si="15"/>
        <v>1</v>
      </c>
      <c r="AK35" s="88">
        <f t="shared" si="21"/>
        <v>1.5745633246083228E-3</v>
      </c>
      <c r="AL35" s="312">
        <f>+AC35/'MWh by month-WgtbyCDH&amp;DayLtHrs'!AC35-1</f>
        <v>-4.2072036854761241E-2</v>
      </c>
      <c r="AM35" s="89">
        <f t="shared" si="9"/>
        <v>0</v>
      </c>
      <c r="AN35" s="90"/>
      <c r="AO35" s="96"/>
      <c r="AP35" s="92"/>
      <c r="AR35" s="94">
        <f t="shared" si="10"/>
        <v>3.3652134647430085E-3</v>
      </c>
      <c r="AS35" s="95">
        <v>160999.38431175053</v>
      </c>
      <c r="AU35" s="141">
        <v>34.886046251169191</v>
      </c>
    </row>
    <row r="36" spans="1:47">
      <c r="A36" s="78">
        <v>2007</v>
      </c>
      <c r="B36" s="78">
        <v>8</v>
      </c>
      <c r="C36" s="317">
        <v>363.99549307537717</v>
      </c>
      <c r="D36" s="318">
        <f t="shared" si="22"/>
        <v>0.17940580602294989</v>
      </c>
      <c r="E36" s="104">
        <f>$D36*'MWh Impact Summary'!B$13</f>
        <v>76025.884598597273</v>
      </c>
      <c r="F36" s="320">
        <f>$D36*'MWh Impact Summary'!N$13</f>
        <v>0</v>
      </c>
      <c r="G36" s="320">
        <f>$D36*'MWh Impact Summary'!C$13</f>
        <v>62082.811756171002</v>
      </c>
      <c r="H36" s="320">
        <f>$D36*'MWh Impact Summary'!D$13</f>
        <v>0</v>
      </c>
      <c r="I36" s="320">
        <f>$D36*'MWh Impact Summary'!E$13</f>
        <v>30456.408706168564</v>
      </c>
      <c r="J36" s="104">
        <f t="shared" si="11"/>
        <v>168565.10506093682</v>
      </c>
      <c r="K36" s="298">
        <f t="shared" si="18"/>
        <v>10.933333333333334</v>
      </c>
      <c r="L36" s="299">
        <f t="shared" si="23"/>
        <v>7.6968203684148764E-2</v>
      </c>
      <c r="M36" s="297">
        <f t="shared" si="24"/>
        <v>8.4931506849315067E-2</v>
      </c>
      <c r="N36" s="304">
        <f>$L36*'MWh Impact Summary'!F$13</f>
        <v>10261.480038723808</v>
      </c>
      <c r="O36" s="304">
        <f>$L36*'MWh Impact Summary'!G$13</f>
        <v>0</v>
      </c>
      <c r="P36" s="304">
        <f>$M36*'MWh Impact Summary'!H$13</f>
        <v>0</v>
      </c>
      <c r="Q36" s="304">
        <f>$M36*'MWh Impact Summary'!I$13</f>
        <v>232.34218737032333</v>
      </c>
      <c r="R36" s="304">
        <f>$M36*'MWh Impact Summary'!J$13</f>
        <v>0</v>
      </c>
      <c r="S36" s="304">
        <f>$M36*'MWh Impact Summary'!K$13</f>
        <v>0</v>
      </c>
      <c r="T36" s="304">
        <f>$M36*'MWh Impact Summary'!L$13</f>
        <v>0</v>
      </c>
      <c r="U36" s="304">
        <f>$M36*'MWh Impact Summary'!M$13</f>
        <v>0</v>
      </c>
      <c r="V36" s="304">
        <f>$L36*'MWh Impact Summary'!O$13</f>
        <v>0</v>
      </c>
      <c r="W36" s="304">
        <f>$L36*'MWh Impact Summary'!P$13</f>
        <v>0</v>
      </c>
      <c r="X36" s="304">
        <f>$L36*'MWh Impact Summary'!Q$13</f>
        <v>0</v>
      </c>
      <c r="Y36" s="85">
        <f t="shared" si="2"/>
        <v>10493.822226094131</v>
      </c>
      <c r="Z36" s="81">
        <f t="shared" si="3"/>
        <v>179058.92728703097</v>
      </c>
      <c r="AA36" s="81"/>
      <c r="AB36" s="81">
        <f>+'MWh by mo-WgtbyActulCDH&amp;Days'!AB36</f>
        <v>4508215</v>
      </c>
      <c r="AC36" s="308">
        <f t="shared" si="12"/>
        <v>39.718364649208382</v>
      </c>
      <c r="AD36" s="309">
        <f t="shared" si="4"/>
        <v>37.390653520503534</v>
      </c>
      <c r="AE36" s="107">
        <f t="shared" si="5"/>
        <v>3.4198768463875183E-3</v>
      </c>
      <c r="AF36" s="309">
        <f t="shared" si="13"/>
        <v>2.3277111287048489</v>
      </c>
      <c r="AG36" s="107">
        <f t="shared" si="6"/>
        <v>2.1290040811324838E-4</v>
      </c>
      <c r="AH36" s="119">
        <f t="shared" si="14"/>
        <v>3.6327772545007666E-3</v>
      </c>
      <c r="AI36" s="122">
        <f t="shared" si="7"/>
        <v>3.6327772545007666E-3</v>
      </c>
      <c r="AJ36" s="87" t="b">
        <f t="shared" si="15"/>
        <v>1</v>
      </c>
      <c r="AK36" s="88">
        <f t="shared" si="21"/>
        <v>1.8054434226999249E-3</v>
      </c>
      <c r="AL36" s="312">
        <f>+AC36/'MWh by month-WgtbyCDH&amp;DayLtHrs'!AC36-1</f>
        <v>7.5496364802696059E-2</v>
      </c>
      <c r="AM36" s="89">
        <f t="shared" si="9"/>
        <v>0</v>
      </c>
      <c r="AN36" s="90"/>
      <c r="AO36" s="96"/>
      <c r="AP36" s="92"/>
      <c r="AR36" s="94">
        <f t="shared" si="10"/>
        <v>3.6327772545007666E-3</v>
      </c>
      <c r="AS36" s="95">
        <v>168022.38742171641</v>
      </c>
      <c r="AU36" s="141">
        <v>39.718364649208382</v>
      </c>
    </row>
    <row r="37" spans="1:47">
      <c r="A37" s="78">
        <v>2007</v>
      </c>
      <c r="B37" s="78">
        <v>9</v>
      </c>
      <c r="C37" s="317">
        <v>282.71295608659966</v>
      </c>
      <c r="D37" s="318">
        <f t="shared" si="22"/>
        <v>0.13934333453228759</v>
      </c>
      <c r="E37" s="104">
        <f>$D37*'MWh Impact Summary'!B$13</f>
        <v>59048.815116832207</v>
      </c>
      <c r="F37" s="320">
        <f>$D37*'MWh Impact Summary'!N$13</f>
        <v>0</v>
      </c>
      <c r="G37" s="320">
        <f>$D37*'MWh Impact Summary'!C$13</f>
        <v>48219.320204935531</v>
      </c>
      <c r="H37" s="320">
        <f>$D37*'MWh Impact Summary'!D$13</f>
        <v>0</v>
      </c>
      <c r="I37" s="320">
        <f>$D37*'MWh Impact Summary'!E$13</f>
        <v>23655.296565222845</v>
      </c>
      <c r="J37" s="104">
        <f t="shared" si="11"/>
        <v>130923.43188699058</v>
      </c>
      <c r="K37" s="298">
        <f t="shared" si="18"/>
        <v>11.683333333333334</v>
      </c>
      <c r="L37" s="299">
        <f t="shared" si="23"/>
        <v>8.2248034729555317E-2</v>
      </c>
      <c r="M37" s="297">
        <f>(30/365)</f>
        <v>8.2191780821917804E-2</v>
      </c>
      <c r="N37" s="304">
        <f>$L37*'MWh Impact Summary'!F$13</f>
        <v>10965.392541380166</v>
      </c>
      <c r="O37" s="304">
        <f>$L37*'MWh Impact Summary'!G$13</f>
        <v>0</v>
      </c>
      <c r="P37" s="304">
        <f>$M37*'MWh Impact Summary'!H$13</f>
        <v>0</v>
      </c>
      <c r="Q37" s="304">
        <f>$M37*'MWh Impact Summary'!I$13</f>
        <v>224.84727810031291</v>
      </c>
      <c r="R37" s="304">
        <f>$M37*'MWh Impact Summary'!J$13</f>
        <v>0</v>
      </c>
      <c r="S37" s="304">
        <f>$M37*'MWh Impact Summary'!K$13</f>
        <v>0</v>
      </c>
      <c r="T37" s="304">
        <f>$M37*'MWh Impact Summary'!L$13</f>
        <v>0</v>
      </c>
      <c r="U37" s="304">
        <f>$M37*'MWh Impact Summary'!M$13</f>
        <v>0</v>
      </c>
      <c r="V37" s="304">
        <f>$L37*'MWh Impact Summary'!O$13</f>
        <v>0</v>
      </c>
      <c r="W37" s="304">
        <f>$L37*'MWh Impact Summary'!P$13</f>
        <v>0</v>
      </c>
      <c r="X37" s="304">
        <f>$L37*'MWh Impact Summary'!Q$13</f>
        <v>0</v>
      </c>
      <c r="Y37" s="85">
        <f t="shared" si="2"/>
        <v>11190.239819480479</v>
      </c>
      <c r="Z37" s="81">
        <f t="shared" si="3"/>
        <v>142113.67170647107</v>
      </c>
      <c r="AA37" s="81"/>
      <c r="AB37" s="81">
        <f>+'MWh by mo-WgtbyActulCDH&amp;Days'!AB37</f>
        <v>4507674</v>
      </c>
      <c r="AC37" s="308">
        <f t="shared" si="12"/>
        <v>31.527051802430933</v>
      </c>
      <c r="AD37" s="309">
        <f t="shared" si="4"/>
        <v>29.044565309512308</v>
      </c>
      <c r="AE37" s="107">
        <f t="shared" si="5"/>
        <v>2.4859827654361458E-3</v>
      </c>
      <c r="AF37" s="309">
        <f t="shared" si="13"/>
        <v>2.482486492918627</v>
      </c>
      <c r="AG37" s="107">
        <f t="shared" si="6"/>
        <v>2.1248101223269274E-4</v>
      </c>
      <c r="AH37" s="119">
        <f t="shared" si="14"/>
        <v>2.6984637776688385E-3</v>
      </c>
      <c r="AI37" s="122">
        <f t="shared" si="7"/>
        <v>2.6984637776688385E-3</v>
      </c>
      <c r="AJ37" s="87" t="b">
        <f t="shared" si="15"/>
        <v>1</v>
      </c>
      <c r="AK37" s="88">
        <f t="shared" si="21"/>
        <v>1.2871372281449242E-3</v>
      </c>
      <c r="AL37" s="312">
        <f>+AC37/'MWh by month-WgtbyCDH&amp;DayLtHrs'!AC37-1</f>
        <v>-1.2962270996521807E-2</v>
      </c>
      <c r="AM37" s="89">
        <f t="shared" si="9"/>
        <v>0</v>
      </c>
      <c r="AN37" s="90"/>
      <c r="AO37" s="96"/>
      <c r="AP37" s="92"/>
      <c r="AR37" s="94">
        <f t="shared" si="10"/>
        <v>2.6984637776688385E-3</v>
      </c>
      <c r="AS37" s="95">
        <v>152906.03362448115</v>
      </c>
      <c r="AU37" s="141">
        <v>31.527051802430933</v>
      </c>
    </row>
    <row r="38" spans="1:47">
      <c r="A38" s="78">
        <v>2007</v>
      </c>
      <c r="B38" s="78">
        <v>10</v>
      </c>
      <c r="C38" s="317">
        <v>252.26314149058356</v>
      </c>
      <c r="D38" s="318">
        <f t="shared" si="22"/>
        <v>0.12433525439181072</v>
      </c>
      <c r="E38" s="104">
        <f>$D38*'MWh Impact Summary'!B$13</f>
        <v>52688.917440720012</v>
      </c>
      <c r="F38" s="320">
        <f>$D38*'MWh Impact Summary'!N$13</f>
        <v>0</v>
      </c>
      <c r="G38" s="320">
        <f>$D38*'MWh Impact Summary'!C$13</f>
        <v>43025.821539326214</v>
      </c>
      <c r="H38" s="320">
        <f>$D38*'MWh Impact Summary'!D$13</f>
        <v>0</v>
      </c>
      <c r="I38" s="320">
        <f>$D38*'MWh Impact Summary'!E$13</f>
        <v>21107.484803797335</v>
      </c>
      <c r="J38" s="104">
        <f t="shared" si="11"/>
        <v>116822.22378384357</v>
      </c>
      <c r="K38" s="298">
        <f t="shared" si="18"/>
        <v>12.466666666666667</v>
      </c>
      <c r="L38" s="299">
        <f t="shared" si="23"/>
        <v>8.7762524932535488E-2</v>
      </c>
      <c r="M38" s="297">
        <f t="shared" si="24"/>
        <v>8.4931506849315067E-2</v>
      </c>
      <c r="N38" s="304">
        <f>$L38*'MWh Impact Summary'!F$13</f>
        <v>11700.590044154585</v>
      </c>
      <c r="O38" s="304">
        <f>$L38*'MWh Impact Summary'!G$13</f>
        <v>0</v>
      </c>
      <c r="P38" s="304">
        <f>$M38*'MWh Impact Summary'!H$13</f>
        <v>0</v>
      </c>
      <c r="Q38" s="304">
        <f>$M38*'MWh Impact Summary'!I$13</f>
        <v>232.34218737032333</v>
      </c>
      <c r="R38" s="304">
        <f>$M38*'MWh Impact Summary'!J$13</f>
        <v>0</v>
      </c>
      <c r="S38" s="304">
        <f>$M38*'MWh Impact Summary'!K$13</f>
        <v>0</v>
      </c>
      <c r="T38" s="304">
        <f>$M38*'MWh Impact Summary'!L$13</f>
        <v>0</v>
      </c>
      <c r="U38" s="304">
        <f>$M38*'MWh Impact Summary'!M$13</f>
        <v>0</v>
      </c>
      <c r="V38" s="304">
        <f>$L38*'MWh Impact Summary'!O$13</f>
        <v>0</v>
      </c>
      <c r="W38" s="304">
        <f>$L38*'MWh Impact Summary'!P$13</f>
        <v>0</v>
      </c>
      <c r="X38" s="304">
        <f>$L38*'MWh Impact Summary'!Q$13</f>
        <v>0</v>
      </c>
      <c r="Y38" s="85">
        <f t="shared" si="2"/>
        <v>11932.932231524908</v>
      </c>
      <c r="Z38" s="81">
        <f t="shared" si="3"/>
        <v>128755.15601536847</v>
      </c>
      <c r="AA38" s="81"/>
      <c r="AB38" s="81">
        <f>+'MWh by mo-WgtbyActulCDH&amp;Days'!AB38</f>
        <v>4507737</v>
      </c>
      <c r="AC38" s="308">
        <f t="shared" si="12"/>
        <v>28.563147321010181</v>
      </c>
      <c r="AD38" s="309">
        <f t="shared" si="4"/>
        <v>25.915936041486795</v>
      </c>
      <c r="AE38" s="107">
        <f t="shared" si="5"/>
        <v>2.078818399049743E-3</v>
      </c>
      <c r="AF38" s="309">
        <f t="shared" si="13"/>
        <v>2.6472112795233858</v>
      </c>
      <c r="AG38" s="107">
        <f t="shared" si="6"/>
        <v>2.1234315076390793E-4</v>
      </c>
      <c r="AH38" s="119">
        <f t="shared" si="14"/>
        <v>2.2911615498136511E-3</v>
      </c>
      <c r="AI38" s="122">
        <f t="shared" si="7"/>
        <v>2.2911615498136507E-3</v>
      </c>
      <c r="AJ38" s="87" t="b">
        <f t="shared" si="15"/>
        <v>1</v>
      </c>
      <c r="AK38" s="88">
        <f t="shared" si="21"/>
        <v>1.3197891125348578E-3</v>
      </c>
      <c r="AL38" s="312">
        <f>+AC38/'MWh by month-WgtbyCDH&amp;DayLtHrs'!AC38-1</f>
        <v>0.20364871420349284</v>
      </c>
      <c r="AM38" s="89">
        <f t="shared" si="9"/>
        <v>0</v>
      </c>
      <c r="AN38" s="90"/>
      <c r="AO38" s="96"/>
      <c r="AP38" s="92"/>
      <c r="AR38" s="94">
        <f t="shared" si="10"/>
        <v>2.2911615498136507E-3</v>
      </c>
      <c r="AS38" s="95">
        <v>106144.52831218758</v>
      </c>
      <c r="AU38" s="141">
        <v>28.563147321010181</v>
      </c>
    </row>
    <row r="39" spans="1:47">
      <c r="A39" s="78">
        <v>2007</v>
      </c>
      <c r="B39" s="78">
        <v>11</v>
      </c>
      <c r="C39" s="317">
        <v>74.999636464394925</v>
      </c>
      <c r="D39" s="318">
        <f t="shared" si="22"/>
        <v>3.6965760530822345E-2</v>
      </c>
      <c r="E39" s="104">
        <f>$D39*'MWh Impact Summary'!B$13</f>
        <v>15664.792051691884</v>
      </c>
      <c r="F39" s="320">
        <f>$D39*'MWh Impact Summary'!N$13</f>
        <v>0</v>
      </c>
      <c r="G39" s="320">
        <f>$D39*'MWh Impact Summary'!C$13</f>
        <v>12791.884517746137</v>
      </c>
      <c r="H39" s="320">
        <f>$D39*'MWh Impact Summary'!D$13</f>
        <v>0</v>
      </c>
      <c r="I39" s="320">
        <f>$D39*'MWh Impact Summary'!E$13</f>
        <v>6275.4062191112143</v>
      </c>
      <c r="J39" s="104">
        <f t="shared" si="11"/>
        <v>34732.08278854924</v>
      </c>
      <c r="K39" s="298">
        <f t="shared" si="18"/>
        <v>13.15</v>
      </c>
      <c r="L39" s="299">
        <f t="shared" si="23"/>
        <v>9.2573037662794788E-2</v>
      </c>
      <c r="M39" s="297">
        <f>(30/365)</f>
        <v>8.2191780821917804E-2</v>
      </c>
      <c r="N39" s="304">
        <f>$L39*'MWh Impact Summary'!F$13</f>
        <v>12341.932546574824</v>
      </c>
      <c r="O39" s="304">
        <f>$L39*'MWh Impact Summary'!G$13</f>
        <v>0</v>
      </c>
      <c r="P39" s="304">
        <f>$M39*'MWh Impact Summary'!H$13</f>
        <v>0</v>
      </c>
      <c r="Q39" s="304">
        <f>$M39*'MWh Impact Summary'!I$13</f>
        <v>224.84727810031291</v>
      </c>
      <c r="R39" s="304">
        <f>$M39*'MWh Impact Summary'!J$13</f>
        <v>0</v>
      </c>
      <c r="S39" s="304">
        <f>$M39*'MWh Impact Summary'!K$13</f>
        <v>0</v>
      </c>
      <c r="T39" s="304">
        <f>$M39*'MWh Impact Summary'!L$13</f>
        <v>0</v>
      </c>
      <c r="U39" s="304">
        <f>$M39*'MWh Impact Summary'!M$13</f>
        <v>0</v>
      </c>
      <c r="V39" s="304">
        <f>$L39*'MWh Impact Summary'!O$13</f>
        <v>0</v>
      </c>
      <c r="W39" s="304">
        <f>$L39*'MWh Impact Summary'!P$13</f>
        <v>0</v>
      </c>
      <c r="X39" s="304">
        <f>$L39*'MWh Impact Summary'!Q$13</f>
        <v>0</v>
      </c>
      <c r="Y39" s="85">
        <f t="shared" si="2"/>
        <v>12566.779824675137</v>
      </c>
      <c r="Z39" s="81">
        <f t="shared" si="3"/>
        <v>47298.862613224381</v>
      </c>
      <c r="AA39" s="81"/>
      <c r="AB39" s="81">
        <f>+'MWh by mo-WgtbyActulCDH&amp;Days'!AB39</f>
        <v>4507950</v>
      </c>
      <c r="AC39" s="308">
        <f t="shared" si="12"/>
        <v>10.492321923096835</v>
      </c>
      <c r="AD39" s="309">
        <f t="shared" si="4"/>
        <v>7.7046291082530276</v>
      </c>
      <c r="AE39" s="107">
        <f t="shared" si="5"/>
        <v>5.8590335423977394E-4</v>
      </c>
      <c r="AF39" s="309">
        <f t="shared" si="13"/>
        <v>2.7876928148438065</v>
      </c>
      <c r="AG39" s="107">
        <f t="shared" si="6"/>
        <v>2.119918490375518E-4</v>
      </c>
      <c r="AH39" s="119">
        <f t="shared" si="14"/>
        <v>7.9789520327732571E-4</v>
      </c>
      <c r="AI39" s="122">
        <f t="shared" si="7"/>
        <v>7.9789520327732592E-4</v>
      </c>
      <c r="AJ39" s="87" t="b">
        <f t="shared" si="15"/>
        <v>1</v>
      </c>
      <c r="AK39" s="88">
        <f t="shared" si="21"/>
        <v>4.8389597248291779E-4</v>
      </c>
      <c r="AL39" s="312">
        <f>+AC39/'MWh by month-WgtbyCDH&amp;DayLtHrs'!AC39-1</f>
        <v>-5.2111358667842111E-2</v>
      </c>
      <c r="AM39" s="89">
        <f t="shared" si="9"/>
        <v>0</v>
      </c>
      <c r="AN39" s="90"/>
      <c r="AO39" s="96"/>
      <c r="AP39" s="92"/>
      <c r="AR39" s="94">
        <f t="shared" si="10"/>
        <v>7.9789520327732592E-4</v>
      </c>
      <c r="AS39" s="95">
        <v>55297.667493486748</v>
      </c>
      <c r="AU39" s="141">
        <v>10.492321923096835</v>
      </c>
    </row>
    <row r="40" spans="1:47">
      <c r="A40" s="78">
        <v>2007</v>
      </c>
      <c r="B40" s="78">
        <v>12</v>
      </c>
      <c r="C40" s="317">
        <v>77.072727963203803</v>
      </c>
      <c r="D40" s="318">
        <f t="shared" si="22"/>
        <v>3.7987544202264981E-2</v>
      </c>
      <c r="E40" s="104">
        <f>$D40*'MWh Impact Summary'!B$13</f>
        <v>16097.788113591305</v>
      </c>
      <c r="F40" s="320">
        <f>$D40*'MWh Impact Summary'!N$13</f>
        <v>0</v>
      </c>
      <c r="G40" s="320">
        <f>$D40*'MWh Impact Summary'!C$13</f>
        <v>13145.469525589126</v>
      </c>
      <c r="H40" s="320">
        <f>$D40*'MWh Impact Summary'!D$13</f>
        <v>0</v>
      </c>
      <c r="I40" s="320">
        <f>$D40*'MWh Impact Summary'!E$13</f>
        <v>6448.8669436920318</v>
      </c>
      <c r="J40" s="104">
        <f t="shared" si="11"/>
        <v>35692.124582872464</v>
      </c>
      <c r="K40" s="298">
        <f t="shared" si="18"/>
        <v>13.483333333333333</v>
      </c>
      <c r="L40" s="299">
        <f t="shared" si="23"/>
        <v>9.491962923853102E-2</v>
      </c>
      <c r="M40" s="297">
        <f t="shared" si="24"/>
        <v>8.4931506849315067E-2</v>
      </c>
      <c r="N40" s="304">
        <f>$L40*'MWh Impact Summary'!F$13</f>
        <v>12654.782547755427</v>
      </c>
      <c r="O40" s="304">
        <f>$L40*'MWh Impact Summary'!G$13</f>
        <v>0</v>
      </c>
      <c r="P40" s="304">
        <f>$M40*'MWh Impact Summary'!H$13</f>
        <v>0</v>
      </c>
      <c r="Q40" s="304">
        <f>$M40*'MWh Impact Summary'!I$13</f>
        <v>232.34218737032333</v>
      </c>
      <c r="R40" s="304">
        <f>$M40*'MWh Impact Summary'!J$13</f>
        <v>0</v>
      </c>
      <c r="S40" s="304">
        <f>$M40*'MWh Impact Summary'!K$13</f>
        <v>0</v>
      </c>
      <c r="T40" s="304">
        <f>$M40*'MWh Impact Summary'!L$13</f>
        <v>0</v>
      </c>
      <c r="U40" s="304">
        <f>$M40*'MWh Impact Summary'!M$13</f>
        <v>0</v>
      </c>
      <c r="V40" s="304">
        <f>$L40*'MWh Impact Summary'!O$13</f>
        <v>0</v>
      </c>
      <c r="W40" s="304">
        <f>$L40*'MWh Impact Summary'!P$13</f>
        <v>0</v>
      </c>
      <c r="X40" s="304">
        <f>$L40*'MWh Impact Summary'!Q$13</f>
        <v>0</v>
      </c>
      <c r="Y40" s="85">
        <f t="shared" si="2"/>
        <v>12887.12473512575</v>
      </c>
      <c r="Z40" s="81">
        <f t="shared" si="3"/>
        <v>48579.249317998212</v>
      </c>
      <c r="AA40" s="81">
        <f>SUM(Z29:Z40)</f>
        <v>1075631.0838795672</v>
      </c>
      <c r="AB40" s="81">
        <f>+'MWh by mo-WgtbyActulCDH&amp;Days'!AB40</f>
        <v>4509032</v>
      </c>
      <c r="AC40" s="308">
        <f t="shared" si="12"/>
        <v>10.773764594706407</v>
      </c>
      <c r="AD40" s="309">
        <f t="shared" si="4"/>
        <v>7.9156955601274213</v>
      </c>
      <c r="AE40" s="107">
        <f t="shared" si="5"/>
        <v>5.8707260025666903E-4</v>
      </c>
      <c r="AF40" s="309">
        <f t="shared" si="13"/>
        <v>2.858069034578985</v>
      </c>
      <c r="AG40" s="107">
        <f t="shared" si="6"/>
        <v>2.1197050936308913E-4</v>
      </c>
      <c r="AH40" s="119">
        <f t="shared" si="14"/>
        <v>7.9904310961975819E-4</v>
      </c>
      <c r="AI40" s="122">
        <f t="shared" si="7"/>
        <v>7.9904310961975819E-4</v>
      </c>
      <c r="AJ40" s="87" t="b">
        <f t="shared" si="15"/>
        <v>1</v>
      </c>
      <c r="AK40" s="88">
        <f t="shared" si="21"/>
        <v>5.0932716745429258E-4</v>
      </c>
      <c r="AL40" s="312">
        <f>+AC40/'MWh by month-WgtbyCDH&amp;DayLtHrs'!AC40-1</f>
        <v>0.46077411780526378</v>
      </c>
      <c r="AM40" s="89">
        <f t="shared" si="9"/>
        <v>0</v>
      </c>
      <c r="AN40" s="90">
        <f>SUM(AM29:AM40)</f>
        <v>0</v>
      </c>
      <c r="AO40" s="96"/>
      <c r="AP40" s="92"/>
      <c r="AR40" s="94">
        <f t="shared" si="10"/>
        <v>7.9904310961975819E-4</v>
      </c>
      <c r="AS40" s="95">
        <v>30566.715612419801</v>
      </c>
      <c r="AU40" s="141">
        <v>10.773764594706407</v>
      </c>
    </row>
    <row r="41" spans="1:47">
      <c r="A41" s="78">
        <v>2008</v>
      </c>
      <c r="B41" s="78">
        <v>1</v>
      </c>
      <c r="C41" s="317">
        <v>29.213367712153897</v>
      </c>
      <c r="D41" s="318">
        <f t="shared" ref="D41:D52" si="25">C41/(SUM(C$41:C$52))</f>
        <v>1.4974224324520009E-2</v>
      </c>
      <c r="E41" s="104">
        <f>$D41*'MWh Impact Summary'!B$14</f>
        <v>8639.5375545710522</v>
      </c>
      <c r="F41" s="320">
        <f>$D41*'MWh Impact Summary'!N$14</f>
        <v>0</v>
      </c>
      <c r="G41" s="320">
        <f>$D41*'MWh Impact Summary'!C$14</f>
        <v>6916.5385257100543</v>
      </c>
      <c r="H41" s="320">
        <f>$D41*'MWh Impact Summary'!D$14</f>
        <v>0</v>
      </c>
      <c r="I41" s="320">
        <f>$D41*'MWh Impact Summary'!E$14</f>
        <v>3285.176845117694</v>
      </c>
      <c r="J41" s="104">
        <f t="shared" si="11"/>
        <v>18841.2529253988</v>
      </c>
      <c r="K41" s="298">
        <f t="shared" si="18"/>
        <v>13.3</v>
      </c>
      <c r="L41" s="299">
        <f t="shared" ref="L41:L52" si="26">K41/(SUM(K$41:K$52))</f>
        <v>9.3629003871876101E-2</v>
      </c>
      <c r="M41" s="297">
        <f>(31/366)</f>
        <v>8.4699453551912565E-2</v>
      </c>
      <c r="N41" s="304">
        <f>$L41*'MWh Impact Summary'!F$14</f>
        <v>21180.253616343431</v>
      </c>
      <c r="O41" s="304">
        <f>$L41*'MWh Impact Summary'!G$14</f>
        <v>0</v>
      </c>
      <c r="P41" s="304">
        <f>$M41*'MWh Impact Summary'!H$14</f>
        <v>0</v>
      </c>
      <c r="Q41" s="304">
        <f>$M41*'MWh Impact Summary'!I$14</f>
        <v>347.56105897609848</v>
      </c>
      <c r="R41" s="304">
        <f>$M41*'MWh Impact Summary'!J$14</f>
        <v>0</v>
      </c>
      <c r="S41" s="304">
        <f>$M41*'MWh Impact Summary'!K$14</f>
        <v>0</v>
      </c>
      <c r="T41" s="304">
        <f>$M41*'MWh Impact Summary'!L$14</f>
        <v>0</v>
      </c>
      <c r="U41" s="304">
        <f>$M41*'MWh Impact Summary'!M$14</f>
        <v>0</v>
      </c>
      <c r="V41" s="304">
        <f>$L41*'LED Impact Forecast'!$H$15+$D41*'LED Impact Forecast'!$J$15</f>
        <v>0</v>
      </c>
      <c r="W41" s="304">
        <f>$L41*'CFL Impact Forecast'!$H$15+$D41*'CFL Impact Forecast'!$J$15</f>
        <v>125594.78276403042</v>
      </c>
      <c r="X41" s="304">
        <f>$L41*'EISA Incand Impact Forecast'!$G$15+$D41*'EISA Incand Impact Forecast'!$I$15</f>
        <v>0</v>
      </c>
      <c r="Y41" s="85">
        <f t="shared" si="2"/>
        <v>147122.59743934995</v>
      </c>
      <c r="Z41" s="81">
        <f t="shared" si="3"/>
        <v>165963.85036474874</v>
      </c>
      <c r="AA41" s="81"/>
      <c r="AB41" s="81">
        <f>+'MWh by mo-WgtbyActulCDH&amp;Days'!AB41</f>
        <v>4512537</v>
      </c>
      <c r="AC41" s="308">
        <f t="shared" si="12"/>
        <v>36.778391039175688</v>
      </c>
      <c r="AD41" s="309">
        <f t="shared" si="4"/>
        <v>4.1753126734249051</v>
      </c>
      <c r="AE41" s="107">
        <f t="shared" si="5"/>
        <v>3.1393328371615828E-4</v>
      </c>
      <c r="AF41" s="309">
        <f t="shared" si="13"/>
        <v>32.603078365750783</v>
      </c>
      <c r="AG41" s="107">
        <f t="shared" si="6"/>
        <v>2.4513592756203596E-3</v>
      </c>
      <c r="AH41" s="119">
        <f t="shared" si="14"/>
        <v>2.765292559336518E-3</v>
      </c>
      <c r="AI41" s="122">
        <f t="shared" si="7"/>
        <v>2.7652925593365176E-3</v>
      </c>
      <c r="AJ41" s="87" t="b">
        <f t="shared" si="15"/>
        <v>1</v>
      </c>
      <c r="AK41" s="88">
        <f t="shared" si="21"/>
        <v>2.1953144920536668E-3</v>
      </c>
      <c r="AL41" s="312">
        <f>+AC41/'MWh by month-WgtbyCDH&amp;DayLtHrs'!AC41-1</f>
        <v>-8.2961717312113215E-2</v>
      </c>
      <c r="AM41" s="89">
        <f t="shared" si="9"/>
        <v>125594.78276403042</v>
      </c>
      <c r="AN41" s="93"/>
      <c r="AO41" s="96">
        <f>+AM41*1000/AB41</f>
        <v>27.832410629326787</v>
      </c>
      <c r="AP41" s="92">
        <f t="shared" ref="AP41:AP104" si="27">+AO41/K41/1000</f>
        <v>2.0926624533328408E-3</v>
      </c>
      <c r="AQ41" s="98"/>
      <c r="AR41" s="94">
        <f t="shared" si="10"/>
        <v>2.7652925593365176E-3</v>
      </c>
      <c r="AS41" s="95">
        <v>166053.03297524751</v>
      </c>
      <c r="AU41" s="141">
        <v>36.778391039175688</v>
      </c>
    </row>
    <row r="42" spans="1:47">
      <c r="A42" s="78">
        <v>2008</v>
      </c>
      <c r="B42" s="78">
        <v>2</v>
      </c>
      <c r="C42" s="317">
        <v>59.290055405678828</v>
      </c>
      <c r="D42" s="318">
        <f t="shared" si="25"/>
        <v>3.0390970277914459E-2</v>
      </c>
      <c r="E42" s="104">
        <f>$D42*'MWh Impact Summary'!B$14</f>
        <v>17534.39265671686</v>
      </c>
      <c r="F42" s="320">
        <f>$D42*'MWh Impact Summary'!N$14</f>
        <v>0</v>
      </c>
      <c r="G42" s="320">
        <f>$D42*'MWh Impact Summary'!C$14</f>
        <v>14037.476146040201</v>
      </c>
      <c r="H42" s="320">
        <f>$D42*'MWh Impact Summary'!D$14</f>
        <v>0</v>
      </c>
      <c r="I42" s="320">
        <f>$D42*'MWh Impact Summary'!E$14</f>
        <v>6667.4379716736967</v>
      </c>
      <c r="J42" s="104">
        <f t="shared" si="11"/>
        <v>38239.306774430755</v>
      </c>
      <c r="K42" s="298">
        <f t="shared" si="18"/>
        <v>12.733333333333333</v>
      </c>
      <c r="L42" s="299">
        <f t="shared" si="26"/>
        <v>8.9639798193124468E-2</v>
      </c>
      <c r="M42" s="297">
        <f>(29/366)</f>
        <v>7.9234972677595633E-2</v>
      </c>
      <c r="N42" s="304">
        <f>$L42*'MWh Impact Summary'!F$14</f>
        <v>20277.836795596962</v>
      </c>
      <c r="O42" s="304">
        <f>$L42*'MWh Impact Summary'!G$14</f>
        <v>0</v>
      </c>
      <c r="P42" s="304">
        <f>$M42*'MWh Impact Summary'!H$14</f>
        <v>0</v>
      </c>
      <c r="Q42" s="304">
        <f>$M42*'MWh Impact Summary'!I$14</f>
        <v>325.13776484860824</v>
      </c>
      <c r="R42" s="304">
        <f>$M42*'MWh Impact Summary'!J$14</f>
        <v>0</v>
      </c>
      <c r="S42" s="304">
        <f>$M42*'MWh Impact Summary'!K$14</f>
        <v>0</v>
      </c>
      <c r="T42" s="304">
        <f>$M42*'MWh Impact Summary'!L$14</f>
        <v>0</v>
      </c>
      <c r="U42" s="304">
        <f>$M42*'MWh Impact Summary'!M$14</f>
        <v>0</v>
      </c>
      <c r="V42" s="304">
        <f>$L42*'LED Impact Forecast'!$H$15+$D42*'LED Impact Forecast'!$J$15</f>
        <v>0</v>
      </c>
      <c r="W42" s="304">
        <f>$L42*'CFL Impact Forecast'!$H$15+$D42*'CFL Impact Forecast'!$J$15</f>
        <v>123744.34194007199</v>
      </c>
      <c r="X42" s="304">
        <f>$L42*'EISA Incand Impact Forecast'!$G$15+$D42*'EISA Incand Impact Forecast'!$I$15</f>
        <v>0</v>
      </c>
      <c r="Y42" s="85">
        <f t="shared" si="2"/>
        <v>144347.31650051757</v>
      </c>
      <c r="Z42" s="81">
        <f t="shared" si="3"/>
        <v>182586.62327494833</v>
      </c>
      <c r="AA42" s="81"/>
      <c r="AB42" s="81">
        <f>+'MWh by mo-WgtbyActulCDH&amp;Days'!AB42</f>
        <v>4519123</v>
      </c>
      <c r="AC42" s="308">
        <f t="shared" si="12"/>
        <v>40.40310991202238</v>
      </c>
      <c r="AD42" s="309">
        <f t="shared" si="4"/>
        <v>8.4616654103972717</v>
      </c>
      <c r="AE42" s="107">
        <f t="shared" si="5"/>
        <v>6.6452869715161818E-4</v>
      </c>
      <c r="AF42" s="309">
        <f t="shared" si="13"/>
        <v>31.94144450162511</v>
      </c>
      <c r="AG42" s="107">
        <f t="shared" si="6"/>
        <v>2.5084904058867885E-3</v>
      </c>
      <c r="AH42" s="119">
        <f t="shared" si="14"/>
        <v>3.1730191030384068E-3</v>
      </c>
      <c r="AI42" s="122">
        <f t="shared" si="7"/>
        <v>3.1730191030384072E-3</v>
      </c>
      <c r="AJ42" s="87" t="b">
        <f t="shared" si="15"/>
        <v>1</v>
      </c>
      <c r="AK42" s="88">
        <f t="shared" si="21"/>
        <v>2.7126901796655457E-3</v>
      </c>
      <c r="AL42" s="312">
        <f>+AC42/'MWh by month-WgtbyCDH&amp;DayLtHrs'!AC42-1</f>
        <v>1.6018205177634526E-2</v>
      </c>
      <c r="AM42" s="89">
        <f t="shared" si="9"/>
        <v>123744.34194007199</v>
      </c>
      <c r="AN42" s="93"/>
      <c r="AO42" s="96">
        <f>+AM42*1000/AB42</f>
        <v>27.382379709530362</v>
      </c>
      <c r="AP42" s="92">
        <f t="shared" si="27"/>
        <v>2.1504486682877252E-3</v>
      </c>
      <c r="AQ42" s="98"/>
      <c r="AR42" s="94">
        <f t="shared" si="10"/>
        <v>3.1730191030384072E-3</v>
      </c>
      <c r="AS42" s="95">
        <v>159234.2562554724</v>
      </c>
      <c r="AU42" s="141">
        <v>40.40310991202238</v>
      </c>
    </row>
    <row r="43" spans="1:47">
      <c r="A43" s="78">
        <v>2008</v>
      </c>
      <c r="B43" s="78">
        <v>3</v>
      </c>
      <c r="C43" s="317">
        <v>65.686542145850154</v>
      </c>
      <c r="D43" s="318">
        <f t="shared" si="25"/>
        <v>3.3669689399924277E-2</v>
      </c>
      <c r="E43" s="104">
        <f>$D43*'MWh Impact Summary'!B$14</f>
        <v>19426.084431302454</v>
      </c>
      <c r="F43" s="320">
        <f>$D43*'MWh Impact Summary'!N$14</f>
        <v>0</v>
      </c>
      <c r="G43" s="320">
        <f>$D43*'MWh Impact Summary'!C$14</f>
        <v>15551.904314798789</v>
      </c>
      <c r="H43" s="320">
        <f>$D43*'MWh Impact Summary'!D$14</f>
        <v>0</v>
      </c>
      <c r="I43" s="320">
        <f>$D43*'MWh Impact Summary'!E$14</f>
        <v>7386.7521683786099</v>
      </c>
      <c r="J43" s="104">
        <f t="shared" si="11"/>
        <v>42364.740914479851</v>
      </c>
      <c r="K43" s="298">
        <f t="shared" si="18"/>
        <v>12</v>
      </c>
      <c r="L43" s="299">
        <f t="shared" si="26"/>
        <v>8.4477296726504739E-2</v>
      </c>
      <c r="M43" s="297">
        <f>(31/366)</f>
        <v>8.4699453551912565E-2</v>
      </c>
      <c r="N43" s="304">
        <f>$L43*'MWh Impact Summary'!F$14</f>
        <v>19110.003262866248</v>
      </c>
      <c r="O43" s="304">
        <f>$L43*'MWh Impact Summary'!G$14</f>
        <v>0</v>
      </c>
      <c r="P43" s="304">
        <f>$M43*'MWh Impact Summary'!H$14</f>
        <v>0</v>
      </c>
      <c r="Q43" s="304">
        <f>$M43*'MWh Impact Summary'!I$14</f>
        <v>347.56105897609848</v>
      </c>
      <c r="R43" s="304">
        <f>$M43*'MWh Impact Summary'!J$14</f>
        <v>0</v>
      </c>
      <c r="S43" s="304">
        <f>$M43*'MWh Impact Summary'!K$14</f>
        <v>0</v>
      </c>
      <c r="T43" s="304">
        <f>$M43*'MWh Impact Summary'!L$14</f>
        <v>0</v>
      </c>
      <c r="U43" s="304">
        <f>$M43*'MWh Impact Summary'!M$14</f>
        <v>0</v>
      </c>
      <c r="V43" s="304">
        <f>$L43*'LED Impact Forecast'!$H$15+$D43*'LED Impact Forecast'!$J$15</f>
        <v>0</v>
      </c>
      <c r="W43" s="304">
        <f>$L43*'CFL Impact Forecast'!$H$15+$D43*'CFL Impact Forecast'!$J$15</f>
        <v>117714.26763422281</v>
      </c>
      <c r="X43" s="304">
        <f>$L43*'EISA Incand Impact Forecast'!$G$15+$D43*'EISA Incand Impact Forecast'!$I$15</f>
        <v>0</v>
      </c>
      <c r="Y43" s="85">
        <f t="shared" si="2"/>
        <v>137171.83195606514</v>
      </c>
      <c r="Z43" s="81">
        <f t="shared" si="3"/>
        <v>179536.572870545</v>
      </c>
      <c r="AA43" s="81"/>
      <c r="AB43" s="81">
        <f>+'MWh by mo-WgtbyActulCDH&amp;Days'!AB43</f>
        <v>4519652</v>
      </c>
      <c r="AC43" s="308">
        <f t="shared" si="12"/>
        <v>39.723539084545671</v>
      </c>
      <c r="AD43" s="309">
        <f t="shared" si="4"/>
        <v>9.3734519636644258</v>
      </c>
      <c r="AE43" s="107">
        <f t="shared" si="5"/>
        <v>7.8112099697203547E-4</v>
      </c>
      <c r="AF43" s="309">
        <f t="shared" si="13"/>
        <v>30.350087120881241</v>
      </c>
      <c r="AG43" s="107">
        <f t="shared" si="6"/>
        <v>2.5291739267401035E-3</v>
      </c>
      <c r="AH43" s="119">
        <f t="shared" si="14"/>
        <v>3.310294923712139E-3</v>
      </c>
      <c r="AI43" s="122">
        <f t="shared" si="7"/>
        <v>3.310294923712139E-3</v>
      </c>
      <c r="AJ43" s="87" t="b">
        <f t="shared" si="15"/>
        <v>1</v>
      </c>
      <c r="AK43" s="88">
        <f t="shared" si="21"/>
        <v>2.5560224893679331E-3</v>
      </c>
      <c r="AL43" s="312">
        <f>+AC43/'MWh by month-WgtbyCDH&amp;DayLtHrs'!AC43-1</f>
        <v>-5.2943730825567581E-2</v>
      </c>
      <c r="AM43" s="89">
        <f t="shared" si="9"/>
        <v>117714.26763422281</v>
      </c>
      <c r="AN43" s="93"/>
      <c r="AO43" s="96">
        <f t="shared" ref="AO43:AO106" si="28">+AM43*1000/AB43</f>
        <v>26.044984798436431</v>
      </c>
      <c r="AP43" s="92">
        <f t="shared" si="27"/>
        <v>2.1704153998697026E-3</v>
      </c>
      <c r="AQ43" s="98"/>
      <c r="AR43" s="94">
        <f t="shared" si="10"/>
        <v>3.310294923712139E-3</v>
      </c>
      <c r="AS43" s="95">
        <v>187542.91902984036</v>
      </c>
      <c r="AU43" s="141">
        <v>39.723539084545671</v>
      </c>
    </row>
    <row r="44" spans="1:47">
      <c r="A44" s="78">
        <v>2008</v>
      </c>
      <c r="B44" s="78">
        <v>4</v>
      </c>
      <c r="C44" s="317">
        <v>109.06085505519766</v>
      </c>
      <c r="D44" s="318">
        <f t="shared" si="25"/>
        <v>5.5902548611027073E-2</v>
      </c>
      <c r="E44" s="104">
        <f>$D44*'MWh Impact Summary'!B$14</f>
        <v>32253.568375514744</v>
      </c>
      <c r="F44" s="320">
        <f>$D44*'MWh Impact Summary'!N$14</f>
        <v>0</v>
      </c>
      <c r="G44" s="320">
        <f>$D44*'MWh Impact Summary'!C$14</f>
        <v>25821.179299445401</v>
      </c>
      <c r="H44" s="320">
        <f>$D44*'MWh Impact Summary'!D$14</f>
        <v>0</v>
      </c>
      <c r="I44" s="320">
        <f>$D44*'MWh Impact Summary'!E$14</f>
        <v>12264.392084689785</v>
      </c>
      <c r="J44" s="104">
        <f t="shared" si="11"/>
        <v>70339.13975964993</v>
      </c>
      <c r="K44" s="298">
        <f t="shared" si="18"/>
        <v>11.2</v>
      </c>
      <c r="L44" s="299">
        <f t="shared" si="26"/>
        <v>7.8845476944737758E-2</v>
      </c>
      <c r="M44" s="297">
        <f>(30/366)</f>
        <v>8.1967213114754092E-2</v>
      </c>
      <c r="N44" s="304">
        <f>$L44*'MWh Impact Summary'!F$14</f>
        <v>17836.003045341833</v>
      </c>
      <c r="O44" s="304">
        <f>$L44*'MWh Impact Summary'!G$14</f>
        <v>0</v>
      </c>
      <c r="P44" s="304">
        <f>$M44*'MWh Impact Summary'!H$14</f>
        <v>0</v>
      </c>
      <c r="Q44" s="304">
        <f>$M44*'MWh Impact Summary'!I$14</f>
        <v>336.34941191235333</v>
      </c>
      <c r="R44" s="304">
        <f>$M44*'MWh Impact Summary'!J$14</f>
        <v>0</v>
      </c>
      <c r="S44" s="304">
        <f>$M44*'MWh Impact Summary'!K$14</f>
        <v>0</v>
      </c>
      <c r="T44" s="304">
        <f>$M44*'MWh Impact Summary'!L$14</f>
        <v>0</v>
      </c>
      <c r="U44" s="304">
        <f>$M44*'MWh Impact Summary'!M$14</f>
        <v>0</v>
      </c>
      <c r="V44" s="304">
        <f>$L44*'LED Impact Forecast'!$H$15+$D44*'LED Impact Forecast'!$J$15</f>
        <v>0</v>
      </c>
      <c r="W44" s="304">
        <f>$L44*'CFL Impact Forecast'!$H$15+$D44*'CFL Impact Forecast'!$J$15</f>
        <v>115203.93637570488</v>
      </c>
      <c r="X44" s="304">
        <f>$L44*'EISA Incand Impact Forecast'!$G$15+$D44*'EISA Incand Impact Forecast'!$I$15</f>
        <v>0</v>
      </c>
      <c r="Y44" s="85">
        <f t="shared" si="2"/>
        <v>133376.28883295908</v>
      </c>
      <c r="Z44" s="81">
        <f t="shared" si="3"/>
        <v>203715.42859260901</v>
      </c>
      <c r="AA44" s="81"/>
      <c r="AB44" s="81">
        <f>+'MWh by mo-WgtbyActulCDH&amp;Days'!AB44</f>
        <v>4518324</v>
      </c>
      <c r="AC44" s="308">
        <f t="shared" si="12"/>
        <v>45.086503002575519</v>
      </c>
      <c r="AD44" s="309">
        <f t="shared" si="4"/>
        <v>15.567528968628618</v>
      </c>
      <c r="AE44" s="107">
        <f t="shared" si="5"/>
        <v>1.3899579436275553E-3</v>
      </c>
      <c r="AF44" s="309">
        <f t="shared" si="13"/>
        <v>29.518974033946897</v>
      </c>
      <c r="AG44" s="107">
        <f t="shared" si="6"/>
        <v>2.6356226816024019E-3</v>
      </c>
      <c r="AH44" s="119">
        <f t="shared" si="14"/>
        <v>4.0255806252299572E-3</v>
      </c>
      <c r="AI44" s="122">
        <f t="shared" si="7"/>
        <v>4.0255806252299572E-3</v>
      </c>
      <c r="AJ44" s="87" t="b">
        <f t="shared" si="15"/>
        <v>1</v>
      </c>
      <c r="AK44" s="88">
        <f t="shared" si="21"/>
        <v>2.8739761594987301E-3</v>
      </c>
      <c r="AL44" s="312">
        <f>+AC44/'MWh by month-WgtbyCDH&amp;DayLtHrs'!AC44-1</f>
        <v>-3.6163976607972215E-2</v>
      </c>
      <c r="AM44" s="89">
        <f t="shared" si="9"/>
        <v>115203.93637570488</v>
      </c>
      <c r="AN44" s="93"/>
      <c r="AO44" s="96">
        <f t="shared" si="28"/>
        <v>25.497050759464102</v>
      </c>
      <c r="AP44" s="92">
        <f t="shared" si="27"/>
        <v>2.2765223892378663E-3</v>
      </c>
      <c r="AQ44" s="98"/>
      <c r="AR44" s="94">
        <f t="shared" si="10"/>
        <v>4.0255806252299572E-3</v>
      </c>
      <c r="AS44" s="95">
        <v>221381.67633899365</v>
      </c>
      <c r="AU44" s="141">
        <v>45.086503002575519</v>
      </c>
    </row>
    <row r="45" spans="1:47">
      <c r="A45" s="78">
        <v>2008</v>
      </c>
      <c r="B45" s="78">
        <v>5</v>
      </c>
      <c r="C45" s="317">
        <v>237.1304063366201</v>
      </c>
      <c r="D45" s="318">
        <f t="shared" si="25"/>
        <v>0.12154859835526054</v>
      </c>
      <c r="E45" s="104">
        <f>$D45*'MWh Impact Summary'!B$14</f>
        <v>70128.753078460897</v>
      </c>
      <c r="F45" s="320">
        <f>$D45*'MWh Impact Summary'!N$14</f>
        <v>0</v>
      </c>
      <c r="G45" s="320">
        <f>$D45*'MWh Impact Summary'!C$14</f>
        <v>56142.845535818116</v>
      </c>
      <c r="H45" s="320">
        <f>$D45*'MWh Impact Summary'!D$14</f>
        <v>0</v>
      </c>
      <c r="I45" s="320">
        <f>$D45*'MWh Impact Summary'!E$14</f>
        <v>26666.399021373829</v>
      </c>
      <c r="J45" s="104">
        <f t="shared" si="11"/>
        <v>152937.99763565284</v>
      </c>
      <c r="K45" s="298">
        <f t="shared" si="18"/>
        <v>10.533333333333333</v>
      </c>
      <c r="L45" s="299">
        <f t="shared" si="26"/>
        <v>7.4152293793265281E-2</v>
      </c>
      <c r="M45" s="297">
        <f>(31/366)</f>
        <v>8.4699453551912565E-2</v>
      </c>
      <c r="N45" s="304">
        <f>$L45*'MWh Impact Summary'!F$14</f>
        <v>16774.33619740482</v>
      </c>
      <c r="O45" s="304">
        <f>$L45*'MWh Impact Summary'!G$14</f>
        <v>0</v>
      </c>
      <c r="P45" s="304">
        <f>$M45*'MWh Impact Summary'!H$14</f>
        <v>0</v>
      </c>
      <c r="Q45" s="304">
        <f>$M45*'MWh Impact Summary'!I$14</f>
        <v>347.56105897609848</v>
      </c>
      <c r="R45" s="304">
        <f>$M45*'MWh Impact Summary'!J$14</f>
        <v>0</v>
      </c>
      <c r="S45" s="304">
        <f>$M45*'MWh Impact Summary'!K$14</f>
        <v>0</v>
      </c>
      <c r="T45" s="304">
        <f>$M45*'MWh Impact Summary'!L$14</f>
        <v>0</v>
      </c>
      <c r="U45" s="304">
        <f>$M45*'MWh Impact Summary'!M$14</f>
        <v>0</v>
      </c>
      <c r="V45" s="304">
        <f>$L45*'LED Impact Forecast'!$H$15+$D45*'LED Impact Forecast'!$J$15</f>
        <v>0</v>
      </c>
      <c r="W45" s="304">
        <f>$L45*'CFL Impact Forecast'!$H$15+$D45*'CFL Impact Forecast'!$J$15</f>
        <v>123386.1546840644</v>
      </c>
      <c r="X45" s="304">
        <f>$L45*'EISA Incand Impact Forecast'!$G$15+$D45*'EISA Incand Impact Forecast'!$I$15</f>
        <v>0</v>
      </c>
      <c r="Y45" s="85">
        <f t="shared" si="2"/>
        <v>140508.05194044532</v>
      </c>
      <c r="Z45" s="81">
        <f t="shared" si="3"/>
        <v>293446.04957609816</v>
      </c>
      <c r="AA45" s="81"/>
      <c r="AB45" s="81">
        <f>+'MWh by mo-WgtbyActulCDH&amp;Days'!AB45</f>
        <v>4514164</v>
      </c>
      <c r="AC45" s="308">
        <f t="shared" si="12"/>
        <v>65.005624424832178</v>
      </c>
      <c r="AD45" s="309">
        <f t="shared" si="4"/>
        <v>33.87958382452495</v>
      </c>
      <c r="AE45" s="107">
        <f t="shared" si="5"/>
        <v>3.2164161858726217E-3</v>
      </c>
      <c r="AF45" s="309">
        <f t="shared" si="13"/>
        <v>31.126040600307242</v>
      </c>
      <c r="AG45" s="107">
        <f t="shared" si="6"/>
        <v>2.9550038544595486E-3</v>
      </c>
      <c r="AH45" s="119">
        <f t="shared" si="14"/>
        <v>6.1714200403321703E-3</v>
      </c>
      <c r="AI45" s="122">
        <f t="shared" si="7"/>
        <v>6.1714200403321694E-3</v>
      </c>
      <c r="AJ45" s="87" t="b">
        <f t="shared" si="15"/>
        <v>1</v>
      </c>
      <c r="AK45" s="88">
        <f t="shared" si="21"/>
        <v>4.3221079005757515E-3</v>
      </c>
      <c r="AL45" s="312">
        <f>+AC45/'MWh by month-WgtbyCDH&amp;DayLtHrs'!AC45-1</f>
        <v>0.11330562198642813</v>
      </c>
      <c r="AM45" s="89">
        <f t="shared" si="9"/>
        <v>123386.1546840644</v>
      </c>
      <c r="AN45" s="93"/>
      <c r="AO45" s="96">
        <f t="shared" si="28"/>
        <v>27.333112993693717</v>
      </c>
      <c r="AP45" s="92">
        <f t="shared" si="27"/>
        <v>2.5949157905405425E-3</v>
      </c>
      <c r="AQ45" s="98"/>
      <c r="AR45" s="94">
        <f t="shared" si="10"/>
        <v>6.1714200403321694E-3</v>
      </c>
      <c r="AS45" s="95">
        <v>267616.95239971823</v>
      </c>
      <c r="AU45" s="141">
        <v>65.005624424832178</v>
      </c>
    </row>
    <row r="46" spans="1:47">
      <c r="A46" s="78">
        <v>2008</v>
      </c>
      <c r="B46" s="78">
        <v>6</v>
      </c>
      <c r="C46" s="317">
        <v>279.15273616670316</v>
      </c>
      <c r="D46" s="318">
        <f t="shared" si="25"/>
        <v>0.14308845639952292</v>
      </c>
      <c r="E46" s="104">
        <f>$D46*'MWh Impact Summary'!B$14</f>
        <v>82556.402648850199</v>
      </c>
      <c r="F46" s="320">
        <f>$D46*'MWh Impact Summary'!N$14</f>
        <v>0</v>
      </c>
      <c r="G46" s="320">
        <f>$D46*'MWh Impact Summary'!C$14</f>
        <v>66092.025858802357</v>
      </c>
      <c r="H46" s="320">
        <f>$D46*'MWh Impact Summary'!D$14</f>
        <v>0</v>
      </c>
      <c r="I46" s="320">
        <f>$D46*'MWh Impact Summary'!E$14</f>
        <v>31392.002255343083</v>
      </c>
      <c r="J46" s="104">
        <f t="shared" si="11"/>
        <v>180040.43076299562</v>
      </c>
      <c r="K46" s="298">
        <f t="shared" si="18"/>
        <v>10.199999999999999</v>
      </c>
      <c r="L46" s="299">
        <f t="shared" si="26"/>
        <v>7.1805702217529022E-2</v>
      </c>
      <c r="M46" s="297">
        <f>(30/366)</f>
        <v>8.1967213114754092E-2</v>
      </c>
      <c r="N46" s="304">
        <f>$L46*'MWh Impact Summary'!F$14</f>
        <v>16243.50277343631</v>
      </c>
      <c r="O46" s="304">
        <f>$L46*'MWh Impact Summary'!G$14</f>
        <v>0</v>
      </c>
      <c r="P46" s="304">
        <f>$M46*'MWh Impact Summary'!H$14</f>
        <v>0</v>
      </c>
      <c r="Q46" s="304">
        <f>$M46*'MWh Impact Summary'!I$14</f>
        <v>336.34941191235333</v>
      </c>
      <c r="R46" s="304">
        <f>$M46*'MWh Impact Summary'!J$14</f>
        <v>0</v>
      </c>
      <c r="S46" s="304">
        <f>$M46*'MWh Impact Summary'!K$14</f>
        <v>0</v>
      </c>
      <c r="T46" s="304">
        <f>$M46*'MWh Impact Summary'!L$14</f>
        <v>0</v>
      </c>
      <c r="U46" s="304">
        <f>$M46*'MWh Impact Summary'!M$14</f>
        <v>0</v>
      </c>
      <c r="V46" s="304">
        <f>$L46*'LED Impact Forecast'!$H$15+$D46*'LED Impact Forecast'!$J$15</f>
        <v>0</v>
      </c>
      <c r="W46" s="304">
        <f>$L46*'CFL Impact Forecast'!$H$15+$D46*'CFL Impact Forecast'!$J$15</f>
        <v>125016.98471617981</v>
      </c>
      <c r="X46" s="304">
        <f>$L46*'EISA Incand Impact Forecast'!$G$15+$D46*'EISA Incand Impact Forecast'!$I$15</f>
        <v>0</v>
      </c>
      <c r="Y46" s="85">
        <f t="shared" si="2"/>
        <v>141596.83690152847</v>
      </c>
      <c r="Z46" s="81">
        <f t="shared" si="3"/>
        <v>321637.26766452409</v>
      </c>
      <c r="AA46" s="81"/>
      <c r="AB46" s="81">
        <f>+'MWh by mo-WgtbyActulCDH&amp;Days'!AB46</f>
        <v>4514262</v>
      </c>
      <c r="AC46" s="308">
        <f t="shared" si="12"/>
        <v>71.249136107856401</v>
      </c>
      <c r="AD46" s="309">
        <f t="shared" si="4"/>
        <v>39.882583412968863</v>
      </c>
      <c r="AE46" s="107">
        <f t="shared" si="5"/>
        <v>3.9100571973498888E-3</v>
      </c>
      <c r="AF46" s="309">
        <f t="shared" si="13"/>
        <v>31.366552694887552</v>
      </c>
      <c r="AG46" s="107">
        <f t="shared" si="6"/>
        <v>3.0751522249889761E-3</v>
      </c>
      <c r="AH46" s="119">
        <f t="shared" si="14"/>
        <v>6.9852094223388644E-3</v>
      </c>
      <c r="AI46" s="122">
        <f t="shared" si="7"/>
        <v>6.9852094223388636E-3</v>
      </c>
      <c r="AJ46" s="87" t="b">
        <f t="shared" si="15"/>
        <v>1</v>
      </c>
      <c r="AK46" s="88">
        <f t="shared" si="21"/>
        <v>4.2270535322835459E-3</v>
      </c>
      <c r="AL46" s="312">
        <f>+AC46/'MWh by month-WgtbyCDH&amp;DayLtHrs'!AC46-1</f>
        <v>7.2458501713121182E-2</v>
      </c>
      <c r="AM46" s="89">
        <f t="shared" si="9"/>
        <v>125016.98471617981</v>
      </c>
      <c r="AN46" s="93"/>
      <c r="AO46" s="96">
        <f t="shared" si="28"/>
        <v>27.693781334840512</v>
      </c>
      <c r="AP46" s="92">
        <f t="shared" si="27"/>
        <v>2.7150766014549525E-3</v>
      </c>
      <c r="AQ46" s="98"/>
      <c r="AR46" s="94">
        <f t="shared" si="10"/>
        <v>6.9852094223388636E-3</v>
      </c>
      <c r="AS46" s="95">
        <v>327794.14361333713</v>
      </c>
      <c r="AU46" s="141">
        <v>71.249136107856401</v>
      </c>
    </row>
    <row r="47" spans="1:47">
      <c r="A47" s="78">
        <v>2008</v>
      </c>
      <c r="B47" s="78">
        <v>7</v>
      </c>
      <c r="C47" s="317">
        <v>286.59632428968291</v>
      </c>
      <c r="D47" s="318">
        <f t="shared" si="25"/>
        <v>0.14690390004953588</v>
      </c>
      <c r="E47" s="104">
        <f>$D47*'MWh Impact Summary'!B$14</f>
        <v>84757.763332866351</v>
      </c>
      <c r="F47" s="320">
        <f>$D47*'MWh Impact Summary'!N$14</f>
        <v>0</v>
      </c>
      <c r="G47" s="320">
        <f>$D47*'MWh Impact Summary'!C$14</f>
        <v>67854.365090943946</v>
      </c>
      <c r="H47" s="320">
        <f>$D47*'MWh Impact Summary'!D$14</f>
        <v>0</v>
      </c>
      <c r="I47" s="320">
        <f>$D47*'MWh Impact Summary'!E$14</f>
        <v>32229.067792844686</v>
      </c>
      <c r="J47" s="104">
        <f t="shared" si="11"/>
        <v>184841.19621665499</v>
      </c>
      <c r="K47" s="298">
        <f t="shared" si="18"/>
        <v>10.366666666666667</v>
      </c>
      <c r="L47" s="299">
        <f t="shared" si="26"/>
        <v>7.2978998005397158E-2</v>
      </c>
      <c r="M47" s="297">
        <f>(31/366)</f>
        <v>8.4699453551912565E-2</v>
      </c>
      <c r="N47" s="304">
        <f>$L47*'MWh Impact Summary'!F$14</f>
        <v>16508.919485420567</v>
      </c>
      <c r="O47" s="304">
        <f>$L47*'MWh Impact Summary'!G$14</f>
        <v>0</v>
      </c>
      <c r="P47" s="304">
        <f>$M47*'MWh Impact Summary'!H$14</f>
        <v>0</v>
      </c>
      <c r="Q47" s="304">
        <f>$M47*'MWh Impact Summary'!I$14</f>
        <v>347.56105897609848</v>
      </c>
      <c r="R47" s="304">
        <f>$M47*'MWh Impact Summary'!J$14</f>
        <v>0</v>
      </c>
      <c r="S47" s="304">
        <f>$M47*'MWh Impact Summary'!K$14</f>
        <v>0</v>
      </c>
      <c r="T47" s="304">
        <f>$M47*'MWh Impact Summary'!L$14</f>
        <v>0</v>
      </c>
      <c r="U47" s="304">
        <f>$M47*'MWh Impact Summary'!M$14</f>
        <v>0</v>
      </c>
      <c r="V47" s="304">
        <f>$L47*'LED Impact Forecast'!$H$15+$D47*'LED Impact Forecast'!$J$15</f>
        <v>0</v>
      </c>
      <c r="W47" s="304">
        <f>$L47*'CFL Impact Forecast'!$H$15+$D47*'CFL Impact Forecast'!$J$15</f>
        <v>127381.89029807854</v>
      </c>
      <c r="X47" s="304">
        <f>$L47*'EISA Incand Impact Forecast'!$G$15+$D47*'EISA Incand Impact Forecast'!$I$15</f>
        <v>0</v>
      </c>
      <c r="Y47" s="85">
        <f t="shared" si="2"/>
        <v>144238.37084247521</v>
      </c>
      <c r="Z47" s="81">
        <f t="shared" si="3"/>
        <v>329079.56705913018</v>
      </c>
      <c r="AA47" s="81"/>
      <c r="AB47" s="81">
        <f>+'MWh by mo-WgtbyActulCDH&amp;Days'!AB47</f>
        <v>4509574</v>
      </c>
      <c r="AC47" s="308">
        <f t="shared" si="12"/>
        <v>72.973537424849923</v>
      </c>
      <c r="AD47" s="309">
        <f t="shared" si="4"/>
        <v>40.988615824167645</v>
      </c>
      <c r="AE47" s="107">
        <f t="shared" si="5"/>
        <v>3.9538857708200301E-3</v>
      </c>
      <c r="AF47" s="309">
        <f t="shared" si="13"/>
        <v>31.984921600682284</v>
      </c>
      <c r="AG47" s="107">
        <f t="shared" si="6"/>
        <v>3.0853622122844647E-3</v>
      </c>
      <c r="AH47" s="119">
        <f t="shared" si="14"/>
        <v>7.0392479831044947E-3</v>
      </c>
      <c r="AI47" s="122">
        <f t="shared" si="7"/>
        <v>7.039247983104493E-3</v>
      </c>
      <c r="AJ47" s="87" t="b">
        <f t="shared" si="15"/>
        <v>1</v>
      </c>
      <c r="AK47" s="88">
        <f t="shared" si="21"/>
        <v>3.6740345183614844E-3</v>
      </c>
      <c r="AL47" s="312">
        <f>+AC47/'MWh by month-WgtbyCDH&amp;DayLtHrs'!AC47-1</f>
        <v>-1.5843436764092611E-2</v>
      </c>
      <c r="AM47" s="89">
        <f t="shared" si="9"/>
        <v>127381.89029807854</v>
      </c>
      <c r="AN47" s="93"/>
      <c r="AO47" s="96">
        <f t="shared" si="28"/>
        <v>28.246989693057156</v>
      </c>
      <c r="AP47" s="92">
        <f t="shared" si="27"/>
        <v>2.7247900025457062E-3</v>
      </c>
      <c r="AQ47" s="98"/>
      <c r="AR47" s="94">
        <f t="shared" si="10"/>
        <v>7.039247983104493E-3</v>
      </c>
      <c r="AS47" s="95">
        <v>345307.86638142471</v>
      </c>
      <c r="AU47" s="141">
        <v>72.973537424849923</v>
      </c>
    </row>
    <row r="48" spans="1:47">
      <c r="A48" s="78">
        <v>2008</v>
      </c>
      <c r="B48" s="78">
        <v>8</v>
      </c>
      <c r="C48" s="317">
        <v>325.17191015162445</v>
      </c>
      <c r="D48" s="318">
        <f t="shared" si="25"/>
        <v>0.16667702178743721</v>
      </c>
      <c r="E48" s="104">
        <f>$D48*'MWh Impact Summary'!B$14</f>
        <v>96166.075651653504</v>
      </c>
      <c r="F48" s="320">
        <f>$D48*'MWh Impact Summary'!N$14</f>
        <v>0</v>
      </c>
      <c r="G48" s="320">
        <f>$D48*'MWh Impact Summary'!C$14</f>
        <v>76987.496484588482</v>
      </c>
      <c r="H48" s="320">
        <f>$D48*'MWh Impact Summary'!D$14</f>
        <v>0</v>
      </c>
      <c r="I48" s="320">
        <f>$D48*'MWh Impact Summary'!E$14</f>
        <v>36567.068899364705</v>
      </c>
      <c r="J48" s="104">
        <f t="shared" si="11"/>
        <v>209720.64103560671</v>
      </c>
      <c r="K48" s="298">
        <f t="shared" si="18"/>
        <v>10.933333333333334</v>
      </c>
      <c r="L48" s="299">
        <f t="shared" si="26"/>
        <v>7.6968203684148764E-2</v>
      </c>
      <c r="M48" s="297">
        <f>(31/366)</f>
        <v>8.4699453551912565E-2</v>
      </c>
      <c r="N48" s="304">
        <f>$L48*'MWh Impact Summary'!F$14</f>
        <v>17411.336306167028</v>
      </c>
      <c r="O48" s="304">
        <f>$L48*'MWh Impact Summary'!G$14</f>
        <v>0</v>
      </c>
      <c r="P48" s="304">
        <f>$M48*'MWh Impact Summary'!H$14</f>
        <v>0</v>
      </c>
      <c r="Q48" s="304">
        <f>$M48*'MWh Impact Summary'!I$14</f>
        <v>347.56105897609848</v>
      </c>
      <c r="R48" s="304">
        <f>$M48*'MWh Impact Summary'!J$14</f>
        <v>0</v>
      </c>
      <c r="S48" s="304">
        <f>$M48*'MWh Impact Summary'!K$14</f>
        <v>0</v>
      </c>
      <c r="T48" s="304">
        <f>$M48*'MWh Impact Summary'!L$14</f>
        <v>0</v>
      </c>
      <c r="U48" s="304">
        <f>$M48*'MWh Impact Summary'!M$14</f>
        <v>0</v>
      </c>
      <c r="V48" s="304">
        <f>$L48*'LED Impact Forecast'!$H$15+$D48*'LED Impact Forecast'!$J$15</f>
        <v>0</v>
      </c>
      <c r="W48" s="304">
        <f>$L48*'CFL Impact Forecast'!$H$15+$D48*'CFL Impact Forecast'!$J$15</f>
        <v>136905.43372789148</v>
      </c>
      <c r="X48" s="304">
        <f>$L48*'EISA Incand Impact Forecast'!$G$15+$D48*'EISA Incand Impact Forecast'!$I$15</f>
        <v>0</v>
      </c>
      <c r="Y48" s="85">
        <f t="shared" si="2"/>
        <v>154664.33109303459</v>
      </c>
      <c r="Z48" s="81">
        <f t="shared" si="3"/>
        <v>364384.97212864133</v>
      </c>
      <c r="AA48" s="81"/>
      <c r="AB48" s="81">
        <f>+'MWh by mo-WgtbyActulCDH&amp;Days'!AB48</f>
        <v>4507318</v>
      </c>
      <c r="AC48" s="308">
        <f t="shared" si="12"/>
        <v>80.8429696171074</v>
      </c>
      <c r="AD48" s="309">
        <f t="shared" si="4"/>
        <v>46.528920532255924</v>
      </c>
      <c r="AE48" s="107">
        <f t="shared" si="5"/>
        <v>4.2556939511209689E-3</v>
      </c>
      <c r="AF48" s="309">
        <f t="shared" si="13"/>
        <v>34.314049084851476</v>
      </c>
      <c r="AG48" s="107">
        <f t="shared" si="6"/>
        <v>3.1384800992242203E-3</v>
      </c>
      <c r="AH48" s="119">
        <f t="shared" si="14"/>
        <v>7.3941740503451897E-3</v>
      </c>
      <c r="AI48" s="122">
        <f t="shared" si="7"/>
        <v>7.3941740503451888E-3</v>
      </c>
      <c r="AJ48" s="87" t="b">
        <f t="shared" si="15"/>
        <v>1</v>
      </c>
      <c r="AK48" s="88">
        <f t="shared" si="21"/>
        <v>3.7613967958444222E-3</v>
      </c>
      <c r="AL48" s="312">
        <f>+AC48/'MWh by month-WgtbyCDH&amp;DayLtHrs'!AC48-1</f>
        <v>5.9234550186159973E-2</v>
      </c>
      <c r="AM48" s="89">
        <f t="shared" si="9"/>
        <v>136905.43372789148</v>
      </c>
      <c r="AN48" s="93"/>
      <c r="AO48" s="96">
        <f t="shared" si="28"/>
        <v>30.374034786960113</v>
      </c>
      <c r="AP48" s="92">
        <f t="shared" si="27"/>
        <v>2.7781129378317178E-3</v>
      </c>
      <c r="AQ48" s="98"/>
      <c r="AR48" s="94">
        <f t="shared" si="10"/>
        <v>7.3941740503451888E-3</v>
      </c>
      <c r="AS48" s="95">
        <v>359036.26475295093</v>
      </c>
      <c r="AU48" s="141">
        <v>80.8429696171074</v>
      </c>
    </row>
    <row r="49" spans="1:47">
      <c r="A49" s="78">
        <v>2008</v>
      </c>
      <c r="B49" s="78">
        <v>9</v>
      </c>
      <c r="C49" s="317">
        <v>294.55016644585379</v>
      </c>
      <c r="D49" s="318">
        <f t="shared" si="25"/>
        <v>0.15098089034596018</v>
      </c>
      <c r="E49" s="104">
        <f>$D49*'MWh Impact Summary'!B$14</f>
        <v>87110.026128736325</v>
      </c>
      <c r="F49" s="320">
        <f>$D49*'MWh Impact Summary'!N$14</f>
        <v>0</v>
      </c>
      <c r="G49" s="320">
        <f>$D49*'MWh Impact Summary'!C$14</f>
        <v>69737.511746359669</v>
      </c>
      <c r="H49" s="320">
        <f>$D49*'MWh Impact Summary'!D$14</f>
        <v>0</v>
      </c>
      <c r="I49" s="320">
        <f>$D49*'MWh Impact Summary'!E$14</f>
        <v>33123.513730698767</v>
      </c>
      <c r="J49" s="104">
        <f t="shared" si="11"/>
        <v>189971.05160579475</v>
      </c>
      <c r="K49" s="298">
        <f t="shared" si="18"/>
        <v>11.683333333333334</v>
      </c>
      <c r="L49" s="299">
        <f t="shared" si="26"/>
        <v>8.2248034729555317E-2</v>
      </c>
      <c r="M49" s="297">
        <f>(30/366)</f>
        <v>8.1967213114754092E-2</v>
      </c>
      <c r="N49" s="304">
        <f>$L49*'MWh Impact Summary'!F$14</f>
        <v>18605.711510096171</v>
      </c>
      <c r="O49" s="304">
        <f>$L49*'MWh Impact Summary'!G$14</f>
        <v>0</v>
      </c>
      <c r="P49" s="304">
        <f>$M49*'MWh Impact Summary'!H$14</f>
        <v>0</v>
      </c>
      <c r="Q49" s="304">
        <f>$M49*'MWh Impact Summary'!I$14</f>
        <v>336.34941191235333</v>
      </c>
      <c r="R49" s="304">
        <f>$M49*'MWh Impact Summary'!J$14</f>
        <v>0</v>
      </c>
      <c r="S49" s="304">
        <f>$M49*'MWh Impact Summary'!K$14</f>
        <v>0</v>
      </c>
      <c r="T49" s="304">
        <f>$M49*'MWh Impact Summary'!L$14</f>
        <v>0</v>
      </c>
      <c r="U49" s="304">
        <f>$M49*'MWh Impact Summary'!M$14</f>
        <v>0</v>
      </c>
      <c r="V49" s="304">
        <f>$L49*'LED Impact Forecast'!$H$15+$D49*'LED Impact Forecast'!$J$15</f>
        <v>0</v>
      </c>
      <c r="W49" s="304">
        <f>$L49*'CFL Impact Forecast'!$H$15+$D49*'CFL Impact Forecast'!$J$15</f>
        <v>140381.20356111813</v>
      </c>
      <c r="X49" s="304">
        <f>$L49*'EISA Incand Impact Forecast'!$G$15+$D49*'EISA Incand Impact Forecast'!$I$15</f>
        <v>0</v>
      </c>
      <c r="Y49" s="85">
        <f t="shared" si="2"/>
        <v>159323.26448312667</v>
      </c>
      <c r="Z49" s="81">
        <f t="shared" si="3"/>
        <v>349294.31608892139</v>
      </c>
      <c r="AA49" s="81"/>
      <c r="AB49" s="81">
        <f>+'MWh by mo-WgtbyActulCDH&amp;Days'!AB49</f>
        <v>4503137</v>
      </c>
      <c r="AC49" s="308">
        <f t="shared" si="12"/>
        <v>77.566886392512899</v>
      </c>
      <c r="AD49" s="309">
        <f t="shared" si="4"/>
        <v>42.186380651042761</v>
      </c>
      <c r="AE49" s="107">
        <f t="shared" si="5"/>
        <v>3.6108171741263419E-3</v>
      </c>
      <c r="AF49" s="309">
        <f t="shared" si="13"/>
        <v>35.380505741470152</v>
      </c>
      <c r="AG49" s="107">
        <f t="shared" si="6"/>
        <v>3.0282886511957333E-3</v>
      </c>
      <c r="AH49" s="119">
        <f t="shared" si="14"/>
        <v>6.6391058253220756E-3</v>
      </c>
      <c r="AI49" s="122">
        <f t="shared" si="7"/>
        <v>6.6391058253220739E-3</v>
      </c>
      <c r="AJ49" s="87" t="b">
        <f t="shared" si="15"/>
        <v>0</v>
      </c>
      <c r="AK49" s="88">
        <f t="shared" si="21"/>
        <v>3.9406420476532349E-3</v>
      </c>
      <c r="AL49" s="312">
        <f>+AC49/'MWh by month-WgtbyCDH&amp;DayLtHrs'!AC49-1</f>
        <v>8.4209299516432967E-2</v>
      </c>
      <c r="AM49" s="89">
        <f t="shared" si="9"/>
        <v>140381.20356111813</v>
      </c>
      <c r="AN49" s="93"/>
      <c r="AO49" s="96">
        <f t="shared" si="28"/>
        <v>31.174091208221764</v>
      </c>
      <c r="AP49" s="92">
        <f t="shared" si="27"/>
        <v>2.6682531704612066E-3</v>
      </c>
      <c r="AR49" s="94">
        <f t="shared" si="10"/>
        <v>6.6391058253220739E-3</v>
      </c>
      <c r="AS49" s="95">
        <v>338792.96476964944</v>
      </c>
      <c r="AU49" s="141">
        <v>77.566886392512899</v>
      </c>
    </row>
    <row r="50" spans="1:47">
      <c r="A50" s="78">
        <v>2008</v>
      </c>
      <c r="B50" s="78">
        <v>10</v>
      </c>
      <c r="C50" s="317">
        <v>173.3138637202282</v>
      </c>
      <c r="D50" s="318">
        <f t="shared" si="25"/>
        <v>8.88374356379414E-2</v>
      </c>
      <c r="E50" s="104">
        <f>$D50*'MWh Impact Summary'!B$14</f>
        <v>51255.700783712266</v>
      </c>
      <c r="F50" s="320">
        <f>$D50*'MWh Impact Summary'!N$14</f>
        <v>0</v>
      </c>
      <c r="G50" s="320">
        <f>$D50*'MWh Impact Summary'!C$14</f>
        <v>41033.681130912591</v>
      </c>
      <c r="H50" s="320">
        <f>$D50*'MWh Impact Summary'!D$14</f>
        <v>0</v>
      </c>
      <c r="I50" s="320">
        <f>$D50*'MWh Impact Summary'!E$14</f>
        <v>19489.936854993222</v>
      </c>
      <c r="J50" s="104">
        <f t="shared" si="11"/>
        <v>111779.31876961808</v>
      </c>
      <c r="K50" s="298">
        <f t="shared" si="18"/>
        <v>12.466666666666667</v>
      </c>
      <c r="L50" s="299">
        <f t="shared" si="26"/>
        <v>8.7762524932535488E-2</v>
      </c>
      <c r="M50" s="297">
        <f>(31/366)</f>
        <v>8.4699453551912565E-2</v>
      </c>
      <c r="N50" s="304">
        <f>$L50*'MWh Impact Summary'!F$14</f>
        <v>19853.170056422161</v>
      </c>
      <c r="O50" s="304">
        <f>$L50*'MWh Impact Summary'!G$14</f>
        <v>0</v>
      </c>
      <c r="P50" s="304">
        <f>$M50*'MWh Impact Summary'!H$14</f>
        <v>0</v>
      </c>
      <c r="Q50" s="304">
        <f>$M50*'MWh Impact Summary'!I$14</f>
        <v>347.56105897609848</v>
      </c>
      <c r="R50" s="304">
        <f>$M50*'MWh Impact Summary'!J$14</f>
        <v>0</v>
      </c>
      <c r="S50" s="304">
        <f>$M50*'MWh Impact Summary'!K$14</f>
        <v>0</v>
      </c>
      <c r="T50" s="304">
        <f>$M50*'MWh Impact Summary'!L$14</f>
        <v>0</v>
      </c>
      <c r="U50" s="304">
        <f>$M50*'MWh Impact Summary'!M$14</f>
        <v>0</v>
      </c>
      <c r="V50" s="304">
        <f>$L50*'LED Impact Forecast'!$H$15+$D50*'LED Impact Forecast'!$J$15</f>
        <v>0</v>
      </c>
      <c r="W50" s="304">
        <f>$L50*'CFL Impact Forecast'!$H$15+$D50*'CFL Impact Forecast'!$J$15</f>
        <v>134035.78863059092</v>
      </c>
      <c r="X50" s="304">
        <f>$L50*'EISA Incand Impact Forecast'!$G$15+$D50*'EISA Incand Impact Forecast'!$I$15</f>
        <v>0</v>
      </c>
      <c r="Y50" s="85">
        <f t="shared" si="2"/>
        <v>154236.51974598918</v>
      </c>
      <c r="Z50" s="81">
        <f t="shared" si="3"/>
        <v>266015.83851560729</v>
      </c>
      <c r="AA50" s="81"/>
      <c r="AB50" s="81">
        <f>+'MWh by mo-WgtbyActulCDH&amp;Days'!AB50</f>
        <v>4501918</v>
      </c>
      <c r="AC50" s="308">
        <f t="shared" si="12"/>
        <v>59.08944554645538</v>
      </c>
      <c r="AD50" s="309">
        <f t="shared" si="4"/>
        <v>24.829265830612215</v>
      </c>
      <c r="AE50" s="107">
        <f t="shared" si="5"/>
        <v>1.9916523393539208E-3</v>
      </c>
      <c r="AF50" s="309">
        <f t="shared" si="13"/>
        <v>34.260179715843151</v>
      </c>
      <c r="AG50" s="107">
        <f t="shared" si="6"/>
        <v>2.7481427579553329E-3</v>
      </c>
      <c r="AH50" s="119">
        <f t="shared" si="14"/>
        <v>4.7397950973092542E-3</v>
      </c>
      <c r="AI50" s="122">
        <f t="shared" si="7"/>
        <v>4.739795097309255E-3</v>
      </c>
      <c r="AJ50" s="87" t="b">
        <f t="shared" si="15"/>
        <v>0</v>
      </c>
      <c r="AK50" s="88">
        <f t="shared" si="21"/>
        <v>2.4486335474956044E-3</v>
      </c>
      <c r="AL50" s="312">
        <f>+AC50/'MWh by month-WgtbyCDH&amp;DayLtHrs'!AC50-1</f>
        <v>-5.4245604939839986E-2</v>
      </c>
      <c r="AM50" s="89">
        <f t="shared" si="9"/>
        <v>134035.78863059092</v>
      </c>
      <c r="AN50" s="93"/>
      <c r="AO50" s="96">
        <f t="shared" si="28"/>
        <v>29.77304087515386</v>
      </c>
      <c r="AP50" s="92">
        <f t="shared" si="27"/>
        <v>2.3882118349053899E-3</v>
      </c>
      <c r="AR50" s="94">
        <f t="shared" si="10"/>
        <v>4.739795097309255E-3</v>
      </c>
      <c r="AS50" s="95">
        <v>271848.13393304445</v>
      </c>
      <c r="AU50" s="141">
        <v>59.08944554645538</v>
      </c>
    </row>
    <row r="51" spans="1:47">
      <c r="A51" s="78">
        <v>2008</v>
      </c>
      <c r="B51" s="78">
        <v>11</v>
      </c>
      <c r="C51" s="317">
        <v>54.144529694587938</v>
      </c>
      <c r="D51" s="318">
        <f t="shared" si="25"/>
        <v>2.7753470314724509E-2</v>
      </c>
      <c r="E51" s="104">
        <f>$D51*'MWh Impact Summary'!B$14</f>
        <v>16012.65907717869</v>
      </c>
      <c r="F51" s="320">
        <f>$D51*'MWh Impact Summary'!N$14</f>
        <v>0</v>
      </c>
      <c r="G51" s="320">
        <f>$D51*'MWh Impact Summary'!C$14</f>
        <v>12819.224722018816</v>
      </c>
      <c r="H51" s="320">
        <f>$D51*'MWh Impact Summary'!D$14</f>
        <v>0</v>
      </c>
      <c r="I51" s="320">
        <f>$D51*'MWh Impact Summary'!E$14</f>
        <v>6088.8000656098629</v>
      </c>
      <c r="J51" s="104">
        <f t="shared" si="11"/>
        <v>34920.683864807375</v>
      </c>
      <c r="K51" s="298">
        <f t="shared" si="18"/>
        <v>13.15</v>
      </c>
      <c r="L51" s="299">
        <f t="shared" si="26"/>
        <v>9.2573037662794788E-2</v>
      </c>
      <c r="M51" s="297">
        <f>(30/366)</f>
        <v>8.1967213114754092E-2</v>
      </c>
      <c r="N51" s="304">
        <f>$L51*'MWh Impact Summary'!F$14</f>
        <v>20941.378575557599</v>
      </c>
      <c r="O51" s="304">
        <f>$L51*'MWh Impact Summary'!G$14</f>
        <v>0</v>
      </c>
      <c r="P51" s="304">
        <f>$M51*'MWh Impact Summary'!H$14</f>
        <v>0</v>
      </c>
      <c r="Q51" s="304">
        <f>$M51*'MWh Impact Summary'!I$14</f>
        <v>336.34941191235333</v>
      </c>
      <c r="R51" s="304">
        <f>$M51*'MWh Impact Summary'!J$14</f>
        <v>0</v>
      </c>
      <c r="S51" s="304">
        <f>$M51*'MWh Impact Summary'!K$14</f>
        <v>0</v>
      </c>
      <c r="T51" s="304">
        <f>$M51*'MWh Impact Summary'!L$14</f>
        <v>0</v>
      </c>
      <c r="U51" s="304">
        <f>$M51*'MWh Impact Summary'!M$14</f>
        <v>0</v>
      </c>
      <c r="V51" s="304">
        <f>$L51*'LED Impact Forecast'!$H$15+$D51*'LED Impact Forecast'!$J$15</f>
        <v>0</v>
      </c>
      <c r="W51" s="304">
        <f>$L51*'CFL Impact Forecast'!$H$15+$D51*'CFL Impact Forecast'!$J$15</f>
        <v>127001.62193200276</v>
      </c>
      <c r="X51" s="304">
        <f>$L51*'EISA Incand Impact Forecast'!$G$15+$D51*'EISA Incand Impact Forecast'!$I$15</f>
        <v>0</v>
      </c>
      <c r="Y51" s="85">
        <f t="shared" si="2"/>
        <v>148279.3499194727</v>
      </c>
      <c r="Z51" s="81">
        <f t="shared" si="3"/>
        <v>183200.03378428007</v>
      </c>
      <c r="AA51" s="81"/>
      <c r="AB51" s="81">
        <f>+'MWh by mo-WgtbyActulCDH&amp;Days'!AB51</f>
        <v>4498960</v>
      </c>
      <c r="AC51" s="308">
        <f t="shared" si="12"/>
        <v>40.720529585566453</v>
      </c>
      <c r="AD51" s="309">
        <f t="shared" si="4"/>
        <v>7.7619458418850966</v>
      </c>
      <c r="AE51" s="107">
        <f t="shared" si="5"/>
        <v>5.9026204120799213E-4</v>
      </c>
      <c r="AF51" s="309">
        <f t="shared" si="13"/>
        <v>32.958583743681359</v>
      </c>
      <c r="AG51" s="107">
        <f t="shared" si="6"/>
        <v>2.5063561782267194E-3</v>
      </c>
      <c r="AH51" s="119">
        <f t="shared" si="14"/>
        <v>3.0966182194347115E-3</v>
      </c>
      <c r="AI51" s="122">
        <f t="shared" si="7"/>
        <v>3.0966182194347111E-3</v>
      </c>
      <c r="AJ51" s="87" t="b">
        <f t="shared" si="15"/>
        <v>1</v>
      </c>
      <c r="AK51" s="88">
        <f t="shared" si="21"/>
        <v>2.2987230161573852E-3</v>
      </c>
      <c r="AL51" s="312">
        <f>+AC51/'MWh by month-WgtbyCDH&amp;DayLtHrs'!AC51-1</f>
        <v>-0.13751224038748311</v>
      </c>
      <c r="AM51" s="89">
        <f t="shared" si="9"/>
        <v>127001.62193200276</v>
      </c>
      <c r="AN51" s="93"/>
      <c r="AO51" s="96">
        <f t="shared" si="28"/>
        <v>28.229106711774001</v>
      </c>
      <c r="AP51" s="92">
        <f t="shared" si="27"/>
        <v>2.1467001301729276E-3</v>
      </c>
      <c r="AR51" s="94">
        <f t="shared" si="10"/>
        <v>3.0966182194347111E-3</v>
      </c>
      <c r="AS51" s="95">
        <v>208079.20515712729</v>
      </c>
      <c r="AU51" s="141">
        <v>40.720529585566453</v>
      </c>
    </row>
    <row r="52" spans="1:47">
      <c r="A52" s="78">
        <v>2008</v>
      </c>
      <c r="B52" s="78">
        <v>12</v>
      </c>
      <c r="C52" s="317">
        <v>37.599492318092651</v>
      </c>
      <c r="D52" s="318">
        <f t="shared" si="25"/>
        <v>1.9272794496231486E-2</v>
      </c>
      <c r="E52" s="104">
        <f>$D52*'MWh Impact Summary'!B$14</f>
        <v>11119.643209770034</v>
      </c>
      <c r="F52" s="320">
        <f>$D52*'MWh Impact Summary'!N$14</f>
        <v>0</v>
      </c>
      <c r="G52" s="320">
        <f>$D52*'MWh Impact Summary'!C$14</f>
        <v>8902.0321014558249</v>
      </c>
      <c r="H52" s="320">
        <f>$D52*'MWh Impact Summary'!D$14</f>
        <v>0</v>
      </c>
      <c r="I52" s="320">
        <f>$D52*'MWh Impact Summary'!E$14</f>
        <v>4228.2349220623764</v>
      </c>
      <c r="J52" s="104">
        <f t="shared" si="11"/>
        <v>24249.910233288236</v>
      </c>
      <c r="K52" s="298">
        <f t="shared" si="18"/>
        <v>13.483333333333333</v>
      </c>
      <c r="L52" s="299">
        <f t="shared" si="26"/>
        <v>9.491962923853102E-2</v>
      </c>
      <c r="M52" s="297">
        <f>(31/366)</f>
        <v>8.4699453551912565E-2</v>
      </c>
      <c r="N52" s="304">
        <f>$L52*'MWh Impact Summary'!F$14</f>
        <v>21472.211999526106</v>
      </c>
      <c r="O52" s="304">
        <f>$L52*'MWh Impact Summary'!G$14</f>
        <v>0</v>
      </c>
      <c r="P52" s="304">
        <f>$M52*'MWh Impact Summary'!H$14</f>
        <v>0</v>
      </c>
      <c r="Q52" s="304">
        <f>$M52*'MWh Impact Summary'!I$14</f>
        <v>347.56105897609848</v>
      </c>
      <c r="R52" s="304">
        <f>$M52*'MWh Impact Summary'!J$14</f>
        <v>0</v>
      </c>
      <c r="S52" s="304">
        <f>$M52*'MWh Impact Summary'!K$14</f>
        <v>0</v>
      </c>
      <c r="T52" s="304">
        <f>$M52*'MWh Impact Summary'!L$14</f>
        <v>0</v>
      </c>
      <c r="U52" s="304">
        <f>$M52*'MWh Impact Summary'!M$14</f>
        <v>0</v>
      </c>
      <c r="V52" s="304">
        <f>$L52*'LED Impact Forecast'!$H$15+$D52*'LED Impact Forecast'!$J$15</f>
        <v>0</v>
      </c>
      <c r="W52" s="304">
        <f>$L52*'CFL Impact Forecast'!$H$15+$D52*'CFL Impact Forecast'!$J$15</f>
        <v>128218.32875469812</v>
      </c>
      <c r="X52" s="304">
        <f>$L52*'EISA Incand Impact Forecast'!$G$15+$D52*'EISA Incand Impact Forecast'!$I$15</f>
        <v>0</v>
      </c>
      <c r="Y52" s="85">
        <f t="shared" si="2"/>
        <v>150038.10181320031</v>
      </c>
      <c r="Z52" s="81">
        <f t="shared" si="3"/>
        <v>174288.01204648855</v>
      </c>
      <c r="AA52" s="81">
        <f>SUM(Z41:Z52)</f>
        <v>3013148.5319665419</v>
      </c>
      <c r="AB52" s="81">
        <f>+'MWh by mo-WgtbyActulCDH&amp;Days'!AB52</f>
        <v>4497793</v>
      </c>
      <c r="AC52" s="308">
        <f t="shared" si="12"/>
        <v>38.749673905955333</v>
      </c>
      <c r="AD52" s="309">
        <f t="shared" si="4"/>
        <v>5.391513178416222</v>
      </c>
      <c r="AE52" s="107">
        <f t="shared" si="5"/>
        <v>3.9986500705188301E-4</v>
      </c>
      <c r="AF52" s="309">
        <f t="shared" si="13"/>
        <v>33.358160727539108</v>
      </c>
      <c r="AG52" s="107">
        <f t="shared" si="6"/>
        <v>2.4740292257754595E-3</v>
      </c>
      <c r="AH52" s="119">
        <f t="shared" si="14"/>
        <v>2.8738942328273426E-3</v>
      </c>
      <c r="AI52" s="122">
        <f t="shared" si="7"/>
        <v>2.8738942328273426E-3</v>
      </c>
      <c r="AJ52" s="87" t="b">
        <f t="shared" si="15"/>
        <v>1</v>
      </c>
      <c r="AK52" s="88">
        <f t="shared" si="21"/>
        <v>2.0748511232075843E-3</v>
      </c>
      <c r="AL52" s="312">
        <f>+AC52/'MWh by month-WgtbyCDH&amp;DayLtHrs'!AC52-1</f>
        <v>-0.10072792800847463</v>
      </c>
      <c r="AM52" s="89">
        <f t="shared" si="9"/>
        <v>128218.32875469812</v>
      </c>
      <c r="AN52" s="90">
        <f>SUM(AM41:AM52)</f>
        <v>1524584.7350186543</v>
      </c>
      <c r="AO52" s="96">
        <f t="shared" si="28"/>
        <v>28.506943017319408</v>
      </c>
      <c r="AP52" s="92">
        <f t="shared" si="27"/>
        <v>2.1142355760681887E-3</v>
      </c>
      <c r="AR52" s="94">
        <f t="shared" si="10"/>
        <v>2.8738942328273426E-3</v>
      </c>
      <c r="AS52" s="95">
        <v>170636.93213893208</v>
      </c>
      <c r="AU52" s="141">
        <v>38.749673905955333</v>
      </c>
    </row>
    <row r="53" spans="1:47">
      <c r="A53" s="78">
        <v>2009</v>
      </c>
      <c r="B53" s="78">
        <v>1</v>
      </c>
      <c r="C53" s="317">
        <v>22.665730684856467</v>
      </c>
      <c r="D53" s="318">
        <f t="shared" ref="D53:D64" si="29">C53/(SUM(C$53:C$64))</f>
        <v>1.064954643867755E-2</v>
      </c>
      <c r="E53" s="104">
        <f>$D53*'MWh Impact Summary'!B$15</f>
        <v>7554.7779672503084</v>
      </c>
      <c r="F53" s="320">
        <f>$D53*'MWh Impact Summary'!N$15</f>
        <v>181.78853659731908</v>
      </c>
      <c r="G53" s="320">
        <f>$D53*'MWh Impact Summary'!C$15</f>
        <v>5967.4434808750048</v>
      </c>
      <c r="H53" s="320">
        <f>$D53*'MWh Impact Summary'!D$15</f>
        <v>0</v>
      </c>
      <c r="I53" s="320">
        <f>$D53*'MWh Impact Summary'!E$15</f>
        <v>2785.5159638640453</v>
      </c>
      <c r="J53" s="104">
        <f t="shared" si="11"/>
        <v>16489.525948586677</v>
      </c>
      <c r="K53" s="298">
        <f t="shared" si="18"/>
        <v>13.3</v>
      </c>
      <c r="L53" s="299">
        <f t="shared" ref="L53:L64" si="30">K53/(SUM(K$53:K$64))</f>
        <v>9.3629003871876101E-2</v>
      </c>
      <c r="M53" s="297">
        <f>(31/365)</f>
        <v>8.4931506849315067E-2</v>
      </c>
      <c r="N53" s="304">
        <f>$L53*'MWh Impact Summary'!F$15</f>
        <v>27790.829840323066</v>
      </c>
      <c r="O53" s="304">
        <f>$L53*'MWh Impact Summary'!G$15</f>
        <v>0</v>
      </c>
      <c r="P53" s="304">
        <f>$M53*'MWh Impact Summary'!H$15</f>
        <v>0</v>
      </c>
      <c r="Q53" s="304">
        <f>$M53*'MWh Impact Summary'!I$15</f>
        <v>464.68437474064666</v>
      </c>
      <c r="R53" s="304">
        <f>$M53*'MWh Impact Summary'!J$15</f>
        <v>2901.5041676750739</v>
      </c>
      <c r="S53" s="304">
        <f>$M53*'MWh Impact Summary'!K$15</f>
        <v>0</v>
      </c>
      <c r="T53" s="304">
        <f>$M53*'MWh Impact Summary'!L$15</f>
        <v>0</v>
      </c>
      <c r="U53" s="304">
        <f>$M53*'MWh Impact Summary'!M$15</f>
        <v>0</v>
      </c>
      <c r="V53" s="304">
        <f>$L53*'LED Impact Forecast'!$H$16+$D53*'LED Impact Forecast'!$J$16</f>
        <v>0</v>
      </c>
      <c r="W53" s="304">
        <f>$L53*'CFL Impact Forecast'!$H$16+$D53*'CFL Impact Forecast'!$J$16</f>
        <v>150544.21310209273</v>
      </c>
      <c r="X53" s="304">
        <f>$L53*'EISA Incand Impact Forecast'!$G$16+$D53*'EISA Incand Impact Forecast'!$I$16</f>
        <v>0</v>
      </c>
      <c r="Y53" s="85">
        <f t="shared" si="2"/>
        <v>181701.23148483151</v>
      </c>
      <c r="Z53" s="81">
        <f t="shared" si="3"/>
        <v>198190.75743341818</v>
      </c>
      <c r="AA53" s="81"/>
      <c r="AB53" s="81">
        <f>+'MWh by mo-WgtbyActulCDH&amp;Days'!AB53</f>
        <v>4497781</v>
      </c>
      <c r="AC53" s="308">
        <f t="shared" si="12"/>
        <v>44.064119047463223</v>
      </c>
      <c r="AD53" s="309">
        <f t="shared" si="4"/>
        <v>3.6661469174658965</v>
      </c>
      <c r="AE53" s="107">
        <f t="shared" si="5"/>
        <v>2.7565014417036814E-4</v>
      </c>
      <c r="AF53" s="309">
        <f t="shared" si="13"/>
        <v>40.397972129997328</v>
      </c>
      <c r="AG53" s="107">
        <f t="shared" si="6"/>
        <v>3.0374415135336337E-3</v>
      </c>
      <c r="AH53" s="119">
        <f t="shared" si="14"/>
        <v>3.3130916577040017E-3</v>
      </c>
      <c r="AI53" s="122">
        <f t="shared" si="7"/>
        <v>3.3130916577040013E-3</v>
      </c>
      <c r="AJ53" s="87" t="b">
        <f t="shared" si="15"/>
        <v>1</v>
      </c>
      <c r="AK53" s="88">
        <f t="shared" si="21"/>
        <v>5.4779909836748372E-4</v>
      </c>
      <c r="AL53" s="312">
        <f>+AC53/'MWh by month-WgtbyCDH&amp;DayLtHrs'!AC53-1</f>
        <v>-0.11561566968114845</v>
      </c>
      <c r="AM53" s="89">
        <f t="shared" si="9"/>
        <v>150544.21310209273</v>
      </c>
      <c r="AN53" s="90"/>
      <c r="AO53" s="96">
        <f t="shared" si="28"/>
        <v>33.470774388991536</v>
      </c>
      <c r="AP53" s="92">
        <f t="shared" si="27"/>
        <v>2.5165995781196646E-3</v>
      </c>
      <c r="AR53" s="94">
        <f t="shared" si="10"/>
        <v>3.3130916577040013E-3</v>
      </c>
      <c r="AS53" s="95">
        <v>211653.90202135124</v>
      </c>
      <c r="AU53" s="141">
        <v>44.064119047463223</v>
      </c>
    </row>
    <row r="54" spans="1:47">
      <c r="A54" s="78">
        <v>2009</v>
      </c>
      <c r="B54" s="78">
        <v>2</v>
      </c>
      <c r="C54" s="317">
        <v>19.407634307921253</v>
      </c>
      <c r="D54" s="318">
        <f t="shared" si="29"/>
        <v>9.1187222552312729E-3</v>
      </c>
      <c r="E54" s="104">
        <f>$D54*'MWh Impact Summary'!B$15</f>
        <v>6468.8127686920479</v>
      </c>
      <c r="F54" s="320">
        <f>$D54*'MWh Impact Summary'!N$15</f>
        <v>155.65725582410315</v>
      </c>
      <c r="G54" s="320">
        <f>$D54*'MWh Impact Summary'!C$15</f>
        <v>5109.6504427888985</v>
      </c>
      <c r="H54" s="320">
        <f>$D54*'MWh Impact Summary'!D$15</f>
        <v>0</v>
      </c>
      <c r="I54" s="320">
        <f>$D54*'MWh Impact Summary'!E$15</f>
        <v>2385.1106296638909</v>
      </c>
      <c r="J54" s="104">
        <f t="shared" si="11"/>
        <v>14119.231096968939</v>
      </c>
      <c r="K54" s="298">
        <f t="shared" si="18"/>
        <v>12.733333333333333</v>
      </c>
      <c r="L54" s="299">
        <f t="shared" si="30"/>
        <v>8.9639798193124468E-2</v>
      </c>
      <c r="M54" s="297">
        <f>(28/365)</f>
        <v>7.6712328767123292E-2</v>
      </c>
      <c r="N54" s="304">
        <f>$L54*'MWh Impact Summary'!F$15</f>
        <v>26606.759395998521</v>
      </c>
      <c r="O54" s="304">
        <f>$L54*'MWh Impact Summary'!G$15</f>
        <v>0</v>
      </c>
      <c r="P54" s="304">
        <f>$M54*'MWh Impact Summary'!H$15</f>
        <v>0</v>
      </c>
      <c r="Q54" s="304">
        <f>$M54*'MWh Impact Summary'!I$15</f>
        <v>419.71491912058411</v>
      </c>
      <c r="R54" s="304">
        <f>$M54*'MWh Impact Summary'!J$15</f>
        <v>2620.7134417710345</v>
      </c>
      <c r="S54" s="304">
        <f>$M54*'MWh Impact Summary'!K$15</f>
        <v>0</v>
      </c>
      <c r="T54" s="304">
        <f>$M54*'MWh Impact Summary'!L$15</f>
        <v>0</v>
      </c>
      <c r="U54" s="304">
        <f>$M54*'MWh Impact Summary'!M$15</f>
        <v>0</v>
      </c>
      <c r="V54" s="304">
        <f>$L54*'LED Impact Forecast'!$H$16+$D54*'LED Impact Forecast'!$J$16</f>
        <v>0</v>
      </c>
      <c r="W54" s="304">
        <f>$L54*'CFL Impact Forecast'!$H$16+$D54*'CFL Impact Forecast'!$J$16</f>
        <v>143845.80167216828</v>
      </c>
      <c r="X54" s="304">
        <f>$L54*'EISA Incand Impact Forecast'!$G$16+$D54*'EISA Incand Impact Forecast'!$I$16</f>
        <v>0</v>
      </c>
      <c r="Y54" s="85">
        <f t="shared" si="2"/>
        <v>173492.98942905842</v>
      </c>
      <c r="Z54" s="81">
        <f t="shared" si="3"/>
        <v>187612.22052602735</v>
      </c>
      <c r="AA54" s="81"/>
      <c r="AB54" s="81">
        <f>+'MWh by mo-WgtbyActulCDH&amp;Days'!AB54</f>
        <v>4502684</v>
      </c>
      <c r="AC54" s="308">
        <f t="shared" si="12"/>
        <v>41.666752658198391</v>
      </c>
      <c r="AD54" s="309">
        <f t="shared" si="4"/>
        <v>3.1357366177526425</v>
      </c>
      <c r="AE54" s="107">
        <f t="shared" si="5"/>
        <v>2.4626203804340124E-4</v>
      </c>
      <c r="AF54" s="309">
        <f t="shared" si="13"/>
        <v>38.531016040445749</v>
      </c>
      <c r="AG54" s="107">
        <f t="shared" si="6"/>
        <v>3.0259960241187764E-3</v>
      </c>
      <c r="AH54" s="119">
        <f t="shared" si="14"/>
        <v>3.2722580621621774E-3</v>
      </c>
      <c r="AI54" s="122">
        <f t="shared" si="7"/>
        <v>3.2722580621621774E-3</v>
      </c>
      <c r="AJ54" s="87" t="b">
        <f t="shared" si="15"/>
        <v>1</v>
      </c>
      <c r="AK54" s="88">
        <f t="shared" si="21"/>
        <v>9.923895912377018E-5</v>
      </c>
      <c r="AL54" s="312">
        <f>+AC54/'MWh by month-WgtbyCDH&amp;DayLtHrs'!AC54-1</f>
        <v>-0.15718094889660128</v>
      </c>
      <c r="AM54" s="89">
        <f t="shared" si="9"/>
        <v>143845.80167216828</v>
      </c>
      <c r="AN54" s="99"/>
      <c r="AO54" s="96">
        <f t="shared" si="28"/>
        <v>31.946679285547972</v>
      </c>
      <c r="AP54" s="92">
        <f t="shared" si="27"/>
        <v>2.5089015145718305E-3</v>
      </c>
      <c r="AR54" s="94">
        <f t="shared" si="10"/>
        <v>3.2722580621621774E-3</v>
      </c>
      <c r="AS54" s="95">
        <v>196612.42709287113</v>
      </c>
      <c r="AU54" s="141">
        <v>41.666752658198391</v>
      </c>
    </row>
    <row r="55" spans="1:47">
      <c r="A55" s="78">
        <v>2009</v>
      </c>
      <c r="B55" s="78">
        <v>3</v>
      </c>
      <c r="C55" s="317">
        <v>58.110139740637223</v>
      </c>
      <c r="D55" s="318">
        <f t="shared" si="29"/>
        <v>2.7303184721039001E-2</v>
      </c>
      <c r="E55" s="104">
        <f>$D55*'MWh Impact Summary'!B$15</f>
        <v>19368.852894723379</v>
      </c>
      <c r="F55" s="320">
        <f>$D55*'MWh Impact Summary'!N$15</f>
        <v>466.06736009503817</v>
      </c>
      <c r="G55" s="320">
        <f>$D55*'MWh Impact Summary'!C$15</f>
        <v>15299.262988229453</v>
      </c>
      <c r="H55" s="320">
        <f>$D55*'MWh Impact Summary'!D$15</f>
        <v>0</v>
      </c>
      <c r="I55" s="320">
        <f>$D55*'MWh Impact Summary'!E$15</f>
        <v>7141.4738029188093</v>
      </c>
      <c r="J55" s="104">
        <f>SUM(E55:I55)</f>
        <v>42275.657045966676</v>
      </c>
      <c r="K55" s="298">
        <f t="shared" si="18"/>
        <v>12</v>
      </c>
      <c r="L55" s="299">
        <f>K55/(SUM(K$53:K$64))</f>
        <v>8.4477296726504739E-2</v>
      </c>
      <c r="M55" s="297">
        <f t="shared" ref="M55:M64" si="31">(31/365)</f>
        <v>8.4931506849315067E-2</v>
      </c>
      <c r="N55" s="304">
        <f>$L55*'MWh Impact Summary'!F$15</f>
        <v>25074.43293863735</v>
      </c>
      <c r="O55" s="304">
        <f>$L55*'MWh Impact Summary'!G$15</f>
        <v>0</v>
      </c>
      <c r="P55" s="304">
        <f>$M55*'MWh Impact Summary'!H$15</f>
        <v>0</v>
      </c>
      <c r="Q55" s="304">
        <f>$M55*'MWh Impact Summary'!I$15</f>
        <v>464.68437474064666</v>
      </c>
      <c r="R55" s="304">
        <f>$M55*'MWh Impact Summary'!J$15</f>
        <v>2901.5041676750739</v>
      </c>
      <c r="S55" s="304">
        <f>$M55*'MWh Impact Summary'!K$15</f>
        <v>0</v>
      </c>
      <c r="T55" s="304">
        <f>$M55*'MWh Impact Summary'!L$15</f>
        <v>0</v>
      </c>
      <c r="U55" s="304">
        <f>$M55*'MWh Impact Summary'!M$15</f>
        <v>0</v>
      </c>
      <c r="V55" s="304">
        <f>$L55*'LED Impact Forecast'!$H$16+$D55*'LED Impact Forecast'!$J$16</f>
        <v>0</v>
      </c>
      <c r="W55" s="304">
        <f>$L55*'CFL Impact Forecast'!$H$16+$D55*'CFL Impact Forecast'!$J$16</f>
        <v>140499.03595383509</v>
      </c>
      <c r="X55" s="304">
        <f>$L55*'EISA Incand Impact Forecast'!$G$16+$D55*'EISA Incand Impact Forecast'!$I$16</f>
        <v>0</v>
      </c>
      <c r="Y55" s="85">
        <f t="shared" si="2"/>
        <v>168939.65743488815</v>
      </c>
      <c r="Z55" s="81">
        <f t="shared" si="3"/>
        <v>211215.31448085484</v>
      </c>
      <c r="AA55" s="81"/>
      <c r="AB55" s="81">
        <f>+'MWh by mo-WgtbyActulCDH&amp;Days'!AB55</f>
        <v>4502987</v>
      </c>
      <c r="AC55" s="308">
        <f t="shared" si="12"/>
        <v>46.90560165526901</v>
      </c>
      <c r="AD55" s="309">
        <f t="shared" si="4"/>
        <v>9.3883586708037754</v>
      </c>
      <c r="AE55" s="107">
        <f t="shared" si="5"/>
        <v>7.8236322256698134E-4</v>
      </c>
      <c r="AF55" s="309">
        <f t="shared" si="13"/>
        <v>37.517242984465234</v>
      </c>
      <c r="AG55" s="107">
        <f t="shared" si="6"/>
        <v>3.126436915372103E-3</v>
      </c>
      <c r="AH55" s="119">
        <f t="shared" si="14"/>
        <v>3.9088001379390842E-3</v>
      </c>
      <c r="AI55" s="122">
        <f t="shared" si="7"/>
        <v>3.9088001379390842E-3</v>
      </c>
      <c r="AJ55" s="87" t="b">
        <f t="shared" si="15"/>
        <v>1</v>
      </c>
      <c r="AK55" s="88">
        <f t="shared" si="21"/>
        <v>5.9850521422694525E-4</v>
      </c>
      <c r="AL55" s="312">
        <f>+AC55/'MWh by month-WgtbyCDH&amp;DayLtHrs'!AC55-1</f>
        <v>-0.10053424384145659</v>
      </c>
      <c r="AM55" s="89">
        <f t="shared" si="9"/>
        <v>140499.03595383509</v>
      </c>
      <c r="AN55" s="93"/>
      <c r="AO55" s="96">
        <f t="shared" si="28"/>
        <v>31.201297261980791</v>
      </c>
      <c r="AP55" s="92">
        <f t="shared" si="27"/>
        <v>2.6001081051650662E-3</v>
      </c>
      <c r="AR55" s="94">
        <f t="shared" si="10"/>
        <v>3.9088001379390842E-3</v>
      </c>
      <c r="AS55" s="95">
        <v>238059.33620390375</v>
      </c>
      <c r="AU55" s="141">
        <v>46.90560165526901</v>
      </c>
    </row>
    <row r="56" spans="1:47">
      <c r="A56" s="78">
        <v>2009</v>
      </c>
      <c r="B56" s="78">
        <v>4</v>
      </c>
      <c r="C56" s="317">
        <v>123.06823193915518</v>
      </c>
      <c r="D56" s="318">
        <f t="shared" si="29"/>
        <v>5.7823895879854911E-2</v>
      </c>
      <c r="E56" s="104">
        <f>$D56*'MWh Impact Summary'!B$15</f>
        <v>41020.215939633104</v>
      </c>
      <c r="F56" s="320">
        <f>$D56*'MWh Impact Summary'!N$15</f>
        <v>987.05813180715199</v>
      </c>
      <c r="G56" s="320">
        <f>$D56*'MWh Impact Summary'!C$15</f>
        <v>32401.457892500119</v>
      </c>
      <c r="H56" s="320">
        <f>$D56*'MWh Impact Summary'!D$15</f>
        <v>0</v>
      </c>
      <c r="I56" s="320">
        <f>$D56*'MWh Impact Summary'!E$15</f>
        <v>15124.530043943325</v>
      </c>
      <c r="J56" s="104">
        <f t="shared" si="11"/>
        <v>89533.262007883692</v>
      </c>
      <c r="K56" s="298">
        <f t="shared" si="18"/>
        <v>11.2</v>
      </c>
      <c r="L56" s="299">
        <f>K56/(SUM(K$53:K$64))</f>
        <v>7.8845476944737758E-2</v>
      </c>
      <c r="M56" s="297">
        <f>(30/365)</f>
        <v>8.2191780821917804E-2</v>
      </c>
      <c r="N56" s="304">
        <f>$L56*'MWh Impact Summary'!F$15</f>
        <v>23402.804076061526</v>
      </c>
      <c r="O56" s="304">
        <f>$L56*'MWh Impact Summary'!G$15</f>
        <v>0</v>
      </c>
      <c r="P56" s="304">
        <f>$M56*'MWh Impact Summary'!H$15</f>
        <v>0</v>
      </c>
      <c r="Q56" s="304">
        <f>$M56*'MWh Impact Summary'!I$15</f>
        <v>449.69455620062581</v>
      </c>
      <c r="R56" s="304">
        <f>$M56*'MWh Impact Summary'!J$15</f>
        <v>2807.9072590403939</v>
      </c>
      <c r="S56" s="304">
        <f>$M56*'MWh Impact Summary'!K$15</f>
        <v>0</v>
      </c>
      <c r="T56" s="304">
        <f>$M56*'MWh Impact Summary'!L$15</f>
        <v>0</v>
      </c>
      <c r="U56" s="304">
        <f>$M56*'MWh Impact Summary'!M$15</f>
        <v>0</v>
      </c>
      <c r="V56" s="304">
        <f>$L56*'LED Impact Forecast'!$H$16+$D56*'LED Impact Forecast'!$J$16</f>
        <v>0</v>
      </c>
      <c r="W56" s="304">
        <f>$L56*'CFL Impact Forecast'!$H$16+$D56*'CFL Impact Forecast'!$J$16</f>
        <v>139667.33734094311</v>
      </c>
      <c r="X56" s="304">
        <f>$L56*'EISA Incand Impact Forecast'!$G$16+$D56*'EISA Incand Impact Forecast'!$I$16</f>
        <v>0</v>
      </c>
      <c r="Y56" s="85">
        <f t="shared" si="2"/>
        <v>166327.74323224564</v>
      </c>
      <c r="Z56" s="81">
        <f t="shared" si="3"/>
        <v>255861.00524012934</v>
      </c>
      <c r="AA56" s="81"/>
      <c r="AB56" s="81">
        <f>+'MWh by mo-WgtbyActulCDH&amp;Days'!AB56</f>
        <v>4502465</v>
      </c>
      <c r="AC56" s="308">
        <f t="shared" si="12"/>
        <v>56.826872666445894</v>
      </c>
      <c r="AD56" s="309">
        <f t="shared" si="4"/>
        <v>19.885387672726761</v>
      </c>
      <c r="AE56" s="107">
        <f t="shared" si="5"/>
        <v>1.7754810422077468E-3</v>
      </c>
      <c r="AF56" s="309">
        <f t="shared" si="13"/>
        <v>36.941484993719143</v>
      </c>
      <c r="AG56" s="107">
        <f t="shared" si="6"/>
        <v>3.2983468744392096E-3</v>
      </c>
      <c r="AH56" s="119">
        <f t="shared" si="14"/>
        <v>5.0738279166469566E-3</v>
      </c>
      <c r="AI56" s="122">
        <f t="shared" si="7"/>
        <v>5.0738279166469549E-3</v>
      </c>
      <c r="AJ56" s="87" t="b">
        <f t="shared" si="15"/>
        <v>0</v>
      </c>
      <c r="AK56" s="88">
        <f t="shared" si="21"/>
        <v>1.0482472914169977E-3</v>
      </c>
      <c r="AL56" s="312">
        <f>+AC56/'MWh by month-WgtbyCDH&amp;DayLtHrs'!AC56-1</f>
        <v>-2.239368393693586E-2</v>
      </c>
      <c r="AM56" s="89">
        <f t="shared" si="9"/>
        <v>139667.33734094311</v>
      </c>
      <c r="AN56" s="93"/>
      <c r="AO56" s="96">
        <f t="shared" si="28"/>
        <v>31.020193902882777</v>
      </c>
      <c r="AP56" s="92">
        <f t="shared" si="27"/>
        <v>2.7696601699002481E-3</v>
      </c>
      <c r="AR56" s="94">
        <f t="shared" si="10"/>
        <v>5.0738279166469549E-3</v>
      </c>
      <c r="AS56" s="95">
        <v>279638.2946346883</v>
      </c>
      <c r="AU56" s="141">
        <v>56.826872666445894</v>
      </c>
    </row>
    <row r="57" spans="1:47">
      <c r="A57" s="78">
        <v>2009</v>
      </c>
      <c r="B57" s="78">
        <v>5</v>
      </c>
      <c r="C57" s="317">
        <v>205.55904412801459</v>
      </c>
      <c r="D57" s="318">
        <f t="shared" si="29"/>
        <v>9.6582396427839751E-2</v>
      </c>
      <c r="E57" s="104">
        <f>$D57*'MWh Impact Summary'!B$15</f>
        <v>68515.458828112023</v>
      </c>
      <c r="F57" s="320">
        <f>$D57*'MWh Impact Summary'!N$15</f>
        <v>1648.6685708898046</v>
      </c>
      <c r="G57" s="320">
        <f>$D57*'MWh Impact Summary'!C$15</f>
        <v>54119.674978586998</v>
      </c>
      <c r="H57" s="320">
        <f>$D57*'MWh Impact Summary'!D$15</f>
        <v>0</v>
      </c>
      <c r="I57" s="320">
        <f>$D57*'MWh Impact Summary'!E$15</f>
        <v>25262.278410365943</v>
      </c>
      <c r="J57" s="104">
        <f t="shared" si="11"/>
        <v>149546.08078795476</v>
      </c>
      <c r="K57" s="298">
        <f t="shared" si="18"/>
        <v>10.533333333333333</v>
      </c>
      <c r="L57" s="299">
        <f>K57/(SUM(K$53:K$64))</f>
        <v>7.4152293793265281E-2</v>
      </c>
      <c r="M57" s="297">
        <f t="shared" si="31"/>
        <v>8.4931506849315067E-2</v>
      </c>
      <c r="N57" s="304">
        <f>$L57*'MWh Impact Summary'!F$15</f>
        <v>22009.780023915009</v>
      </c>
      <c r="O57" s="304">
        <f>$L57*'MWh Impact Summary'!G$15</f>
        <v>0</v>
      </c>
      <c r="P57" s="304">
        <f>$M57*'MWh Impact Summary'!H$15</f>
        <v>0</v>
      </c>
      <c r="Q57" s="304">
        <f>$M57*'MWh Impact Summary'!I$15</f>
        <v>464.68437474064666</v>
      </c>
      <c r="R57" s="304">
        <f>$M57*'MWh Impact Summary'!J$15</f>
        <v>2901.5041676750739</v>
      </c>
      <c r="S57" s="304">
        <f>$M57*'MWh Impact Summary'!K$15</f>
        <v>0</v>
      </c>
      <c r="T57" s="304">
        <f>$M57*'MWh Impact Summary'!L$15</f>
        <v>0</v>
      </c>
      <c r="U57" s="304">
        <f>$M57*'MWh Impact Summary'!M$15</f>
        <v>0</v>
      </c>
      <c r="V57" s="304">
        <f>$L57*'LED Impact Forecast'!$H$16+$D57*'LED Impact Forecast'!$J$16</f>
        <v>0</v>
      </c>
      <c r="W57" s="304">
        <f>$L57*'CFL Impact Forecast'!$H$16+$D57*'CFL Impact Forecast'!$J$16</f>
        <v>142490.66563697282</v>
      </c>
      <c r="X57" s="304">
        <f>$L57*'EISA Incand Impact Forecast'!$G$16+$D57*'EISA Incand Impact Forecast'!$I$16</f>
        <v>0</v>
      </c>
      <c r="Y57" s="85">
        <f t="shared" si="2"/>
        <v>167866.63420330355</v>
      </c>
      <c r="Z57" s="81">
        <f t="shared" si="3"/>
        <v>317412.71499125834</v>
      </c>
      <c r="AA57" s="81"/>
      <c r="AB57" s="81">
        <f>+'MWh by mo-WgtbyActulCDH&amp;Days'!AB57</f>
        <v>4499097</v>
      </c>
      <c r="AC57" s="308">
        <f t="shared" si="12"/>
        <v>70.550315983687014</v>
      </c>
      <c r="AD57" s="309">
        <f t="shared" si="4"/>
        <v>33.239132383221516</v>
      </c>
      <c r="AE57" s="107">
        <f t="shared" si="5"/>
        <v>3.1556138338501437E-3</v>
      </c>
      <c r="AF57" s="309">
        <f t="shared" si="13"/>
        <v>37.311183600465505</v>
      </c>
      <c r="AG57" s="107">
        <f t="shared" si="6"/>
        <v>3.5422009747277379E-3</v>
      </c>
      <c r="AH57" s="119">
        <f t="shared" si="14"/>
        <v>6.6978148085778816E-3</v>
      </c>
      <c r="AI57" s="122">
        <f t="shared" si="7"/>
        <v>6.6978148085778816E-3</v>
      </c>
      <c r="AJ57" s="87" t="b">
        <f t="shared" si="15"/>
        <v>1</v>
      </c>
      <c r="AK57" s="88">
        <f t="shared" si="21"/>
        <v>5.2639476824571218E-4</v>
      </c>
      <c r="AL57" s="312">
        <f>+AC57/'MWh by month-WgtbyCDH&amp;DayLtHrs'!AC57-1</f>
        <v>-2.652072944756656E-2</v>
      </c>
      <c r="AM57" s="89">
        <f t="shared" si="9"/>
        <v>142490.66563697282</v>
      </c>
      <c r="AN57" s="93"/>
      <c r="AO57" s="96">
        <f t="shared" si="28"/>
        <v>31.670947667270301</v>
      </c>
      <c r="AP57" s="92">
        <f t="shared" si="27"/>
        <v>3.0067355380319905E-3</v>
      </c>
      <c r="AR57" s="94">
        <f t="shared" si="10"/>
        <v>6.6978148085778816E-3</v>
      </c>
      <c r="AS57" s="95">
        <v>336203.57287137385</v>
      </c>
      <c r="AU57" s="141">
        <v>70.550315983687014</v>
      </c>
    </row>
    <row r="58" spans="1:47">
      <c r="A58" s="78">
        <v>2009</v>
      </c>
      <c r="B58" s="78">
        <v>6</v>
      </c>
      <c r="C58" s="317">
        <v>286.28501498299062</v>
      </c>
      <c r="D58" s="318">
        <f t="shared" si="29"/>
        <v>0.13451168215793893</v>
      </c>
      <c r="E58" s="104">
        <f>$D58*'MWh Impact Summary'!B$15</f>
        <v>95422.45752493896</v>
      </c>
      <c r="F58" s="320">
        <f>$D58*'MWh Impact Summary'!N$15</f>
        <v>2296.1242523838359</v>
      </c>
      <c r="G58" s="320">
        <f>$D58*'MWh Impact Summary'!C$15</f>
        <v>75373.24386695672</v>
      </c>
      <c r="H58" s="320">
        <f>$D58*'MWh Impact Summary'!D$15</f>
        <v>0</v>
      </c>
      <c r="I58" s="320">
        <f>$D58*'MWh Impact Summary'!E$15</f>
        <v>35183.135745232103</v>
      </c>
      <c r="J58" s="104">
        <f t="shared" si="11"/>
        <v>208274.96138951162</v>
      </c>
      <c r="K58" s="298">
        <f t="shared" si="18"/>
        <v>10.199999999999999</v>
      </c>
      <c r="L58" s="299">
        <f t="shared" si="30"/>
        <v>7.1805702217529022E-2</v>
      </c>
      <c r="M58" s="297">
        <f>(30/365)</f>
        <v>8.2191780821917804E-2</v>
      </c>
      <c r="N58" s="304">
        <f>$L58*'MWh Impact Summary'!F$15</f>
        <v>21313.267997841744</v>
      </c>
      <c r="O58" s="304">
        <f>$L58*'MWh Impact Summary'!G$15</f>
        <v>0</v>
      </c>
      <c r="P58" s="304">
        <f>$M58*'MWh Impact Summary'!H$15</f>
        <v>0</v>
      </c>
      <c r="Q58" s="304">
        <f>$M58*'MWh Impact Summary'!I$15</f>
        <v>449.69455620062581</v>
      </c>
      <c r="R58" s="304">
        <f>$M58*'MWh Impact Summary'!J$15</f>
        <v>2807.9072590403939</v>
      </c>
      <c r="S58" s="304">
        <f>$M58*'MWh Impact Summary'!K$15</f>
        <v>0</v>
      </c>
      <c r="T58" s="304">
        <f>$M58*'MWh Impact Summary'!L$15</f>
        <v>0</v>
      </c>
      <c r="U58" s="304">
        <f>$M58*'MWh Impact Summary'!M$15</f>
        <v>0</v>
      </c>
      <c r="V58" s="304">
        <f>$L58*'LED Impact Forecast'!$H$16+$D58*'LED Impact Forecast'!$J$16</f>
        <v>0</v>
      </c>
      <c r="W58" s="304">
        <f>$L58*'CFL Impact Forecast'!$H$16+$D58*'CFL Impact Forecast'!$J$16</f>
        <v>148797.76104679742</v>
      </c>
      <c r="X58" s="304">
        <f>$L58*'EISA Incand Impact Forecast'!$G$16+$D58*'EISA Incand Impact Forecast'!$I$16</f>
        <v>0</v>
      </c>
      <c r="Y58" s="85">
        <f t="shared" si="2"/>
        <v>173368.63085988018</v>
      </c>
      <c r="Z58" s="81">
        <f t="shared" si="3"/>
        <v>381643.59224939183</v>
      </c>
      <c r="AA58" s="81"/>
      <c r="AB58" s="81">
        <f>+'MWh by mo-WgtbyActulCDH&amp;Days'!AB58</f>
        <v>4497918</v>
      </c>
      <c r="AC58" s="308">
        <f t="shared" si="12"/>
        <v>84.848943944596556</v>
      </c>
      <c r="AD58" s="309">
        <f t="shared" si="4"/>
        <v>46.304748416825653</v>
      </c>
      <c r="AE58" s="107">
        <f t="shared" si="5"/>
        <v>4.5396812173358484E-3</v>
      </c>
      <c r="AF58" s="309">
        <f t="shared" si="13"/>
        <v>38.544195527770889</v>
      </c>
      <c r="AG58" s="107">
        <f t="shared" si="6"/>
        <v>3.7788426988010675E-3</v>
      </c>
      <c r="AH58" s="119">
        <f t="shared" si="14"/>
        <v>8.3185239161369159E-3</v>
      </c>
      <c r="AI58" s="122">
        <f t="shared" si="7"/>
        <v>8.3185239161369176E-3</v>
      </c>
      <c r="AJ58" s="87" t="b">
        <f t="shared" si="15"/>
        <v>1</v>
      </c>
      <c r="AK58" s="88">
        <f t="shared" si="21"/>
        <v>1.333314493798054E-3</v>
      </c>
      <c r="AL58" s="312">
        <f>+AC58/'MWh by month-WgtbyCDH&amp;DayLtHrs'!AC58-1</f>
        <v>2.9245970330757931E-2</v>
      </c>
      <c r="AM58" s="89">
        <f t="shared" si="9"/>
        <v>148797.76104679742</v>
      </c>
      <c r="AN58" s="93"/>
      <c r="AO58" s="96">
        <f t="shared" si="28"/>
        <v>33.081474817192628</v>
      </c>
      <c r="AP58" s="92">
        <f t="shared" si="27"/>
        <v>3.243281844822807E-3</v>
      </c>
      <c r="AR58" s="94">
        <f t="shared" si="10"/>
        <v>8.3185239161369176E-3</v>
      </c>
      <c r="AS58" s="95">
        <v>410391.3099683905</v>
      </c>
      <c r="AU58" s="141">
        <v>84.848943944596556</v>
      </c>
    </row>
    <row r="59" spans="1:47">
      <c r="A59" s="78">
        <v>2009</v>
      </c>
      <c r="B59" s="78">
        <v>7</v>
      </c>
      <c r="C59" s="317">
        <v>333.19100931503795</v>
      </c>
      <c r="D59" s="318">
        <f t="shared" si="29"/>
        <v>0.15655057302084108</v>
      </c>
      <c r="E59" s="104">
        <f>$D59*'MWh Impact Summary'!B$15</f>
        <v>111056.82543651389</v>
      </c>
      <c r="F59" s="320">
        <f>$D59*'MWh Impact Summary'!N$15</f>
        <v>2672.3297312992854</v>
      </c>
      <c r="G59" s="320">
        <f>$D59*'MWh Impact Summary'!C$15</f>
        <v>87722.674555187288</v>
      </c>
      <c r="H59" s="320">
        <f>$D59*'MWh Impact Summary'!D$15</f>
        <v>0</v>
      </c>
      <c r="I59" s="320">
        <f>$D59*'MWh Impact Summary'!E$15</f>
        <v>40947.67066490843</v>
      </c>
      <c r="J59" s="104">
        <f t="shared" si="11"/>
        <v>242399.50038790889</v>
      </c>
      <c r="K59" s="298">
        <f t="shared" si="18"/>
        <v>10.366666666666667</v>
      </c>
      <c r="L59" s="299">
        <f t="shared" si="30"/>
        <v>7.2978998005397158E-2</v>
      </c>
      <c r="M59" s="297">
        <f t="shared" si="31"/>
        <v>8.4931506849315067E-2</v>
      </c>
      <c r="N59" s="304">
        <f>$L59*'MWh Impact Summary'!F$15</f>
        <v>21661.52401087838</v>
      </c>
      <c r="O59" s="304">
        <f>$L59*'MWh Impact Summary'!G$15</f>
        <v>0</v>
      </c>
      <c r="P59" s="304">
        <f>$M59*'MWh Impact Summary'!H$15</f>
        <v>0</v>
      </c>
      <c r="Q59" s="304">
        <f>$M59*'MWh Impact Summary'!I$15</f>
        <v>464.68437474064666</v>
      </c>
      <c r="R59" s="304">
        <f>$M59*'MWh Impact Summary'!J$15</f>
        <v>2901.5041676750739</v>
      </c>
      <c r="S59" s="304">
        <f>$M59*'MWh Impact Summary'!K$15</f>
        <v>0</v>
      </c>
      <c r="T59" s="304">
        <f>$M59*'MWh Impact Summary'!L$15</f>
        <v>0</v>
      </c>
      <c r="U59" s="304">
        <f>$M59*'MWh Impact Summary'!M$15</f>
        <v>0</v>
      </c>
      <c r="V59" s="304">
        <f>$L59*'LED Impact Forecast'!$H$16+$D59*'LED Impact Forecast'!$J$16</f>
        <v>0</v>
      </c>
      <c r="W59" s="304">
        <f>$L59*'CFL Impact Forecast'!$H$16+$D59*'CFL Impact Forecast'!$J$16</f>
        <v>156465.21588559748</v>
      </c>
      <c r="X59" s="304">
        <f>$L59*'EISA Incand Impact Forecast'!$G$16+$D59*'EISA Incand Impact Forecast'!$I$16</f>
        <v>0</v>
      </c>
      <c r="Y59" s="85">
        <f t="shared" si="2"/>
        <v>181492.9284388916</v>
      </c>
      <c r="Z59" s="81">
        <f t="shared" si="3"/>
        <v>423892.42882680049</v>
      </c>
      <c r="AA59" s="81"/>
      <c r="AB59" s="81">
        <f>+'MWh by mo-WgtbyActulCDH&amp;Days'!AB59</f>
        <v>4498393</v>
      </c>
      <c r="AC59" s="308">
        <f t="shared" si="12"/>
        <v>94.231968800147172</v>
      </c>
      <c r="AD59" s="309">
        <f t="shared" si="4"/>
        <v>53.885798859261271</v>
      </c>
      <c r="AE59" s="107">
        <f t="shared" si="5"/>
        <v>5.1979870282245601E-3</v>
      </c>
      <c r="AF59" s="309">
        <f t="shared" si="13"/>
        <v>40.346169940885908</v>
      </c>
      <c r="AG59" s="107">
        <f t="shared" si="6"/>
        <v>3.891913499120827E-3</v>
      </c>
      <c r="AH59" s="119">
        <f t="shared" si="14"/>
        <v>9.0899005273453876E-3</v>
      </c>
      <c r="AI59" s="122">
        <f t="shared" si="7"/>
        <v>9.0899005273453858E-3</v>
      </c>
      <c r="AJ59" s="87" t="b">
        <f t="shared" si="15"/>
        <v>1</v>
      </c>
      <c r="AK59" s="88">
        <f t="shared" si="21"/>
        <v>2.0506525442408928E-3</v>
      </c>
      <c r="AL59" s="312">
        <f>+AC59/'MWh by month-WgtbyCDH&amp;DayLtHrs'!AC59-1</f>
        <v>2.5877802335578126E-2</v>
      </c>
      <c r="AM59" s="89">
        <f t="shared" si="9"/>
        <v>156465.21588559748</v>
      </c>
      <c r="AN59" s="93"/>
      <c r="AO59" s="96">
        <f t="shared" si="28"/>
        <v>34.782469180793562</v>
      </c>
      <c r="AP59" s="92">
        <f t="shared" si="27"/>
        <v>3.3552221074720475E-3</v>
      </c>
      <c r="AR59" s="94">
        <f t="shared" si="10"/>
        <v>9.0899005273453858E-3</v>
      </c>
      <c r="AS59" s="95">
        <v>431665.33151051996</v>
      </c>
      <c r="AU59" s="141">
        <v>94.231968800147172</v>
      </c>
    </row>
    <row r="60" spans="1:47">
      <c r="A60" s="78">
        <v>2009</v>
      </c>
      <c r="B60" s="78">
        <v>8</v>
      </c>
      <c r="C60" s="317">
        <v>358.89720244871319</v>
      </c>
      <c r="D60" s="318">
        <f t="shared" si="29"/>
        <v>0.16862868783412588</v>
      </c>
      <c r="E60" s="104">
        <f>$D60*'MWh Impact Summary'!B$15</f>
        <v>119625.02843020445</v>
      </c>
      <c r="F60" s="320">
        <f>$D60*'MWh Impact Summary'!N$15</f>
        <v>2878.5040345341281</v>
      </c>
      <c r="G60" s="320">
        <f>$D60*'MWh Impact Summary'!C$15</f>
        <v>94490.61231843596</v>
      </c>
      <c r="H60" s="320">
        <f>$D60*'MWh Impact Summary'!D$15</f>
        <v>0</v>
      </c>
      <c r="I60" s="320">
        <f>$D60*'MWh Impact Summary'!E$15</f>
        <v>44106.845735839008</v>
      </c>
      <c r="J60" s="104">
        <f t="shared" si="11"/>
        <v>261100.99051901355</v>
      </c>
      <c r="K60" s="298">
        <f t="shared" si="18"/>
        <v>10.933333333333334</v>
      </c>
      <c r="L60" s="299">
        <f t="shared" si="30"/>
        <v>7.6968203684148764E-2</v>
      </c>
      <c r="M60" s="297">
        <f t="shared" si="31"/>
        <v>8.4931506849315067E-2</v>
      </c>
      <c r="N60" s="304">
        <f>$L60*'MWh Impact Summary'!F$15</f>
        <v>22845.594455202918</v>
      </c>
      <c r="O60" s="304">
        <f>$L60*'MWh Impact Summary'!G$15</f>
        <v>0</v>
      </c>
      <c r="P60" s="304">
        <f>$M60*'MWh Impact Summary'!H$15</f>
        <v>0</v>
      </c>
      <c r="Q60" s="304">
        <f>$M60*'MWh Impact Summary'!I$15</f>
        <v>464.68437474064666</v>
      </c>
      <c r="R60" s="304">
        <f>$M60*'MWh Impact Summary'!J$15</f>
        <v>2901.5041676750739</v>
      </c>
      <c r="S60" s="304">
        <f>$M60*'MWh Impact Summary'!K$15</f>
        <v>0</v>
      </c>
      <c r="T60" s="304">
        <f>$M60*'MWh Impact Summary'!L$15</f>
        <v>0</v>
      </c>
      <c r="U60" s="304">
        <f>$M60*'MWh Impact Summary'!M$15</f>
        <v>0</v>
      </c>
      <c r="V60" s="304">
        <f>$L60*'LED Impact Forecast'!$H$16+$D60*'LED Impact Forecast'!$J$16</f>
        <v>0</v>
      </c>
      <c r="W60" s="304">
        <f>$L60*'CFL Impact Forecast'!$H$16+$D60*'CFL Impact Forecast'!$J$16</f>
        <v>165947.10103981101</v>
      </c>
      <c r="X60" s="304">
        <f>$L60*'EISA Incand Impact Forecast'!$G$16+$D60*'EISA Incand Impact Forecast'!$I$16</f>
        <v>0</v>
      </c>
      <c r="Y60" s="85">
        <f t="shared" si="2"/>
        <v>192158.88403742964</v>
      </c>
      <c r="Z60" s="81">
        <f t="shared" si="3"/>
        <v>453259.87455644319</v>
      </c>
      <c r="AA60" s="81"/>
      <c r="AB60" s="81">
        <f>+'MWh by mo-WgtbyActulCDH&amp;Days'!AB60</f>
        <v>4498960</v>
      </c>
      <c r="AC60" s="308">
        <f t="shared" si="12"/>
        <v>100.74770048109856</v>
      </c>
      <c r="AD60" s="309">
        <f t="shared" si="4"/>
        <v>58.035855068507736</v>
      </c>
      <c r="AE60" s="107">
        <f t="shared" si="5"/>
        <v>5.308157475778146E-3</v>
      </c>
      <c r="AF60" s="309">
        <f t="shared" si="13"/>
        <v>42.711845412590826</v>
      </c>
      <c r="AG60" s="107">
        <f t="shared" si="6"/>
        <v>3.9065712267613555E-3</v>
      </c>
      <c r="AH60" s="119">
        <f t="shared" si="14"/>
        <v>9.2147287025395007E-3</v>
      </c>
      <c r="AI60" s="122">
        <f t="shared" si="7"/>
        <v>9.2147287025395024E-3</v>
      </c>
      <c r="AJ60" s="87" t="b">
        <f t="shared" si="15"/>
        <v>1</v>
      </c>
      <c r="AK60" s="88">
        <f t="shared" si="21"/>
        <v>1.8205546521943136E-3</v>
      </c>
      <c r="AL60" s="312">
        <f>+AC60/'MWh by month-WgtbyCDH&amp;DayLtHrs'!AC60-1</f>
        <v>6.6525315656825956E-2</v>
      </c>
      <c r="AM60" s="89">
        <f t="shared" si="9"/>
        <v>165947.10103981101</v>
      </c>
      <c r="AN60" s="93"/>
      <c r="AO60" s="96">
        <f t="shared" si="28"/>
        <v>36.88565824986464</v>
      </c>
      <c r="AP60" s="92">
        <f t="shared" si="27"/>
        <v>3.3736882545607901E-3</v>
      </c>
      <c r="AR60" s="94">
        <f t="shared" si="10"/>
        <v>9.2147287025395024E-3</v>
      </c>
      <c r="AS60" s="95">
        <v>448779.68352140411</v>
      </c>
      <c r="AU60" s="141">
        <v>100.74770048109856</v>
      </c>
    </row>
    <row r="61" spans="1:47">
      <c r="A61" s="78">
        <v>2009</v>
      </c>
      <c r="B61" s="78">
        <v>9</v>
      </c>
      <c r="C61" s="317">
        <v>293.17953447835237</v>
      </c>
      <c r="D61" s="318">
        <f t="shared" si="29"/>
        <v>0.13775108822691154</v>
      </c>
      <c r="E61" s="104">
        <f>$D61*'MWh Impact Summary'!B$15</f>
        <v>97720.489064382651</v>
      </c>
      <c r="F61" s="320">
        <f>$D61*'MWh Impact Summary'!N$15</f>
        <v>2351.4211509056599</v>
      </c>
      <c r="G61" s="320">
        <f>$D61*'MWh Impact Summary'!C$15</f>
        <v>77188.435972978274</v>
      </c>
      <c r="H61" s="320">
        <f>$D61*'MWh Impact Summary'!D$15</f>
        <v>0</v>
      </c>
      <c r="I61" s="320">
        <f>$D61*'MWh Impact Summary'!E$15</f>
        <v>36030.44106199091</v>
      </c>
      <c r="J61" s="104">
        <f t="shared" si="11"/>
        <v>213290.7872502575</v>
      </c>
      <c r="K61" s="298">
        <f t="shared" si="18"/>
        <v>11.683333333333334</v>
      </c>
      <c r="L61" s="299">
        <f t="shared" si="30"/>
        <v>8.2248034729555317E-2</v>
      </c>
      <c r="M61" s="297">
        <f>(30/365)</f>
        <v>8.2191780821917804E-2</v>
      </c>
      <c r="N61" s="304">
        <f>$L61*'MWh Impact Summary'!F$15</f>
        <v>24412.746513867754</v>
      </c>
      <c r="O61" s="304">
        <f>$L61*'MWh Impact Summary'!G$15</f>
        <v>0</v>
      </c>
      <c r="P61" s="304">
        <f>$M61*'MWh Impact Summary'!H$15</f>
        <v>0</v>
      </c>
      <c r="Q61" s="304">
        <f>$M61*'MWh Impact Summary'!I$15</f>
        <v>449.69455620062581</v>
      </c>
      <c r="R61" s="304">
        <f>$M61*'MWh Impact Summary'!J$15</f>
        <v>2807.9072590403939</v>
      </c>
      <c r="S61" s="304">
        <f>$M61*'MWh Impact Summary'!K$15</f>
        <v>0</v>
      </c>
      <c r="T61" s="304">
        <f>$M61*'MWh Impact Summary'!L$15</f>
        <v>0</v>
      </c>
      <c r="U61" s="304">
        <f>$M61*'MWh Impact Summary'!M$15</f>
        <v>0</v>
      </c>
      <c r="V61" s="304">
        <f>$L61*'LED Impact Forecast'!$H$16+$D61*'LED Impact Forecast'!$J$16</f>
        <v>0</v>
      </c>
      <c r="W61" s="304">
        <f>$L61*'CFL Impact Forecast'!$H$16+$D61*'CFL Impact Forecast'!$J$16</f>
        <v>166129.22526027812</v>
      </c>
      <c r="X61" s="304">
        <f>$L61*'EISA Incand Impact Forecast'!$G$16+$D61*'EISA Incand Impact Forecast'!$I$16</f>
        <v>0</v>
      </c>
      <c r="Y61" s="85">
        <f t="shared" si="2"/>
        <v>193799.57358938688</v>
      </c>
      <c r="Z61" s="81">
        <f t="shared" si="3"/>
        <v>407090.36083964439</v>
      </c>
      <c r="AA61" s="81"/>
      <c r="AB61" s="81">
        <f>+'MWh by mo-WgtbyActulCDH&amp;Days'!AB61</f>
        <v>4495923</v>
      </c>
      <c r="AC61" s="308">
        <f t="shared" si="12"/>
        <v>90.54655981422377</v>
      </c>
      <c r="AD61" s="309">
        <f t="shared" si="4"/>
        <v>47.440934208672502</v>
      </c>
      <c r="AE61" s="107">
        <f t="shared" si="5"/>
        <v>4.0605649821973608E-3</v>
      </c>
      <c r="AF61" s="309">
        <f t="shared" si="13"/>
        <v>43.105625605551268</v>
      </c>
      <c r="AG61" s="107">
        <f t="shared" si="6"/>
        <v>3.6894971987633039E-3</v>
      </c>
      <c r="AH61" s="119">
        <f t="shared" si="14"/>
        <v>7.7500621809606651E-3</v>
      </c>
      <c r="AI61" s="122">
        <f t="shared" si="7"/>
        <v>7.7500621809606651E-3</v>
      </c>
      <c r="AJ61" s="87" t="b">
        <f t="shared" si="15"/>
        <v>1</v>
      </c>
      <c r="AK61" s="88">
        <f t="shared" si="21"/>
        <v>1.1109563556385912E-3</v>
      </c>
      <c r="AL61" s="312">
        <f>+AC61/'MWh by month-WgtbyCDH&amp;DayLtHrs'!AC61-1</f>
        <v>2.277851212840587E-2</v>
      </c>
      <c r="AM61" s="89">
        <f t="shared" si="9"/>
        <v>166129.22526027812</v>
      </c>
      <c r="AN61" s="93"/>
      <c r="AO61" s="96">
        <f t="shared" si="28"/>
        <v>36.951083294860283</v>
      </c>
      <c r="AP61" s="92">
        <f t="shared" si="27"/>
        <v>3.1627175430693536E-3</v>
      </c>
      <c r="AR61" s="94">
        <f t="shared" si="10"/>
        <v>7.7500621809606651E-3</v>
      </c>
      <c r="AS61" s="95">
        <v>424214.99137736217</v>
      </c>
      <c r="AU61" s="141">
        <v>90.54655981422377</v>
      </c>
    </row>
    <row r="62" spans="1:47">
      <c r="A62" s="78">
        <v>2009</v>
      </c>
      <c r="B62" s="78">
        <v>10</v>
      </c>
      <c r="C62" s="317">
        <v>264.36692505127553</v>
      </c>
      <c r="D62" s="318">
        <f t="shared" si="29"/>
        <v>0.12421341647127998</v>
      </c>
      <c r="E62" s="104">
        <f>$D62*'MWh Impact Summary'!B$15</f>
        <v>88116.877784200056</v>
      </c>
      <c r="F62" s="320">
        <f>$D62*'MWh Impact Summary'!N$15</f>
        <v>2120.3321039155308</v>
      </c>
      <c r="G62" s="320">
        <f>$D62*'MWh Impact Summary'!C$15</f>
        <v>69602.639570328756</v>
      </c>
      <c r="H62" s="320">
        <f>$D62*'MWh Impact Summary'!D$15</f>
        <v>0</v>
      </c>
      <c r="I62" s="320">
        <f>$D62*'MWh Impact Summary'!E$15</f>
        <v>32489.501454280646</v>
      </c>
      <c r="J62" s="104">
        <f t="shared" si="11"/>
        <v>192329.35091272497</v>
      </c>
      <c r="K62" s="298">
        <f t="shared" si="18"/>
        <v>12.466666666666667</v>
      </c>
      <c r="L62" s="299">
        <f t="shared" si="30"/>
        <v>8.7762524932535488E-2</v>
      </c>
      <c r="M62" s="297">
        <f t="shared" si="31"/>
        <v>8.4931506849315067E-2</v>
      </c>
      <c r="N62" s="304">
        <f>$L62*'MWh Impact Summary'!F$15</f>
        <v>26049.549775139916</v>
      </c>
      <c r="O62" s="304">
        <f>$L62*'MWh Impact Summary'!G$15</f>
        <v>0</v>
      </c>
      <c r="P62" s="304">
        <f>$M62*'MWh Impact Summary'!H$15</f>
        <v>0</v>
      </c>
      <c r="Q62" s="304">
        <f>$M62*'MWh Impact Summary'!I$15</f>
        <v>464.68437474064666</v>
      </c>
      <c r="R62" s="304">
        <f>$M62*'MWh Impact Summary'!J$15</f>
        <v>2901.5041676750739</v>
      </c>
      <c r="S62" s="304">
        <f>$M62*'MWh Impact Summary'!K$15</f>
        <v>0</v>
      </c>
      <c r="T62" s="304">
        <f>$M62*'MWh Impact Summary'!L$15</f>
        <v>0</v>
      </c>
      <c r="U62" s="304">
        <f>$M62*'MWh Impact Summary'!M$15</f>
        <v>0</v>
      </c>
      <c r="V62" s="304">
        <f>$L62*'LED Impact Forecast'!$H$16+$D62*'LED Impact Forecast'!$J$16</f>
        <v>0</v>
      </c>
      <c r="W62" s="304">
        <f>$L62*'CFL Impact Forecast'!$H$16+$D62*'CFL Impact Forecast'!$J$16</f>
        <v>171257.68836304382</v>
      </c>
      <c r="X62" s="304">
        <f>$L62*'EISA Incand Impact Forecast'!$G$16+$D62*'EISA Incand Impact Forecast'!$I$16</f>
        <v>0</v>
      </c>
      <c r="Y62" s="85">
        <f t="shared" si="2"/>
        <v>200673.42668059946</v>
      </c>
      <c r="Z62" s="81">
        <f t="shared" si="3"/>
        <v>393002.77759332443</v>
      </c>
      <c r="AA62" s="81"/>
      <c r="AB62" s="81">
        <f>+'MWh by mo-WgtbyActulCDH&amp;Days'!AB62</f>
        <v>4495215</v>
      </c>
      <c r="AC62" s="308">
        <f t="shared" si="12"/>
        <v>87.426914528743211</v>
      </c>
      <c r="AD62" s="309">
        <f t="shared" si="4"/>
        <v>42.78535084811849</v>
      </c>
      <c r="AE62" s="107">
        <f t="shared" si="5"/>
        <v>3.4319800145549591E-3</v>
      </c>
      <c r="AF62" s="309">
        <f t="shared" si="13"/>
        <v>44.641563680624721</v>
      </c>
      <c r="AG62" s="107">
        <f t="shared" si="6"/>
        <v>3.580874092028721E-3</v>
      </c>
      <c r="AH62" s="119">
        <f t="shared" si="14"/>
        <v>7.01285410658368E-3</v>
      </c>
      <c r="AI62" s="122">
        <f t="shared" si="7"/>
        <v>7.0128541065836792E-3</v>
      </c>
      <c r="AJ62" s="87" t="b">
        <f t="shared" si="15"/>
        <v>1</v>
      </c>
      <c r="AK62" s="88">
        <f t="shared" si="21"/>
        <v>2.2730590092744241E-3</v>
      </c>
      <c r="AL62" s="312">
        <f>+AC62/'MWh by month-WgtbyCDH&amp;DayLtHrs'!AC62-1</f>
        <v>0.1305661156100637</v>
      </c>
      <c r="AM62" s="89">
        <f t="shared" si="9"/>
        <v>171257.68836304382</v>
      </c>
      <c r="AN62" s="93"/>
      <c r="AO62" s="96">
        <f t="shared" si="28"/>
        <v>38.097774714456108</v>
      </c>
      <c r="AP62" s="92">
        <f t="shared" si="27"/>
        <v>3.0559712337799015E-3</v>
      </c>
      <c r="AR62" s="94">
        <f t="shared" si="10"/>
        <v>7.0128541065836792E-3</v>
      </c>
      <c r="AS62" s="95">
        <v>341701.86044827267</v>
      </c>
      <c r="AU62" s="141">
        <v>87.426914528743211</v>
      </c>
    </row>
    <row r="63" spans="1:47">
      <c r="A63" s="78">
        <v>2009</v>
      </c>
      <c r="B63" s="78">
        <v>11</v>
      </c>
      <c r="C63" s="317">
        <v>100.30513597769693</v>
      </c>
      <c r="D63" s="318">
        <f t="shared" si="29"/>
        <v>4.7128602138824645E-2</v>
      </c>
      <c r="E63" s="104">
        <f>$D63*'MWh Impact Summary'!B$15</f>
        <v>33432.984880237927</v>
      </c>
      <c r="F63" s="320">
        <f>$D63*'MWh Impact Summary'!N$15</f>
        <v>804.48868541279489</v>
      </c>
      <c r="G63" s="320">
        <f>$D63*'MWh Impact Summary'!C$15</f>
        <v>26408.380039047435</v>
      </c>
      <c r="H63" s="320">
        <f>$D63*'MWh Impact Summary'!D$15</f>
        <v>0</v>
      </c>
      <c r="I63" s="320">
        <f>$D63*'MWh Impact Summary'!E$15</f>
        <v>12327.04832719572</v>
      </c>
      <c r="J63" s="104">
        <f t="shared" si="11"/>
        <v>72972.901931893881</v>
      </c>
      <c r="K63" s="298">
        <f t="shared" si="18"/>
        <v>13.15</v>
      </c>
      <c r="L63" s="299">
        <f t="shared" si="30"/>
        <v>9.2573037662794788E-2</v>
      </c>
      <c r="M63" s="297">
        <f>(30/365)</f>
        <v>8.2191780821917804E-2</v>
      </c>
      <c r="N63" s="304">
        <f>$L63*'MWh Impact Summary'!F$15</f>
        <v>27477.399428590099</v>
      </c>
      <c r="O63" s="304">
        <f>$L63*'MWh Impact Summary'!G$15</f>
        <v>0</v>
      </c>
      <c r="P63" s="304">
        <f>$M63*'MWh Impact Summary'!H$15</f>
        <v>0</v>
      </c>
      <c r="Q63" s="304">
        <f>$M63*'MWh Impact Summary'!I$15</f>
        <v>449.69455620062581</v>
      </c>
      <c r="R63" s="304">
        <f>$M63*'MWh Impact Summary'!J$15</f>
        <v>2807.9072590403939</v>
      </c>
      <c r="S63" s="304">
        <f>$M63*'MWh Impact Summary'!K$15</f>
        <v>0</v>
      </c>
      <c r="T63" s="304">
        <f>$M63*'MWh Impact Summary'!L$15</f>
        <v>0</v>
      </c>
      <c r="U63" s="304">
        <f>$M63*'MWh Impact Summary'!M$15</f>
        <v>0</v>
      </c>
      <c r="V63" s="304">
        <f>$L63*'LED Impact Forecast'!$H$16+$D63*'LED Impact Forecast'!$J$16</f>
        <v>0</v>
      </c>
      <c r="W63" s="304">
        <f>$L63*'CFL Impact Forecast'!$H$16+$D63*'CFL Impact Forecast'!$J$16</f>
        <v>158505.01698273481</v>
      </c>
      <c r="X63" s="304">
        <f>$L63*'EISA Incand Impact Forecast'!$G$16+$D63*'EISA Incand Impact Forecast'!$I$16</f>
        <v>0</v>
      </c>
      <c r="Y63" s="85">
        <f t="shared" si="2"/>
        <v>189240.01822656594</v>
      </c>
      <c r="Z63" s="81">
        <f t="shared" si="3"/>
        <v>262212.9201584598</v>
      </c>
      <c r="AA63" s="81"/>
      <c r="AB63" s="81">
        <f>+'MWh by mo-WgtbyActulCDH&amp;Days'!AB63</f>
        <v>4498782</v>
      </c>
      <c r="AC63" s="308">
        <f t="shared" si="12"/>
        <v>58.285313704567109</v>
      </c>
      <c r="AD63" s="309">
        <f t="shared" si="4"/>
        <v>16.220590802553644</v>
      </c>
      <c r="AE63" s="107">
        <f t="shared" si="5"/>
        <v>1.2335050039964748E-3</v>
      </c>
      <c r="AF63" s="309">
        <f t="shared" si="13"/>
        <v>42.064722902013465</v>
      </c>
      <c r="AG63" s="107">
        <f t="shared" si="6"/>
        <v>3.1988382434991226E-3</v>
      </c>
      <c r="AH63" s="119">
        <f t="shared" si="14"/>
        <v>4.432343247495597E-3</v>
      </c>
      <c r="AI63" s="122">
        <f t="shared" si="7"/>
        <v>4.4323432474955978E-3</v>
      </c>
      <c r="AJ63" s="87" t="b">
        <f t="shared" si="15"/>
        <v>1</v>
      </c>
      <c r="AK63" s="88">
        <f t="shared" si="21"/>
        <v>1.3357250280608868E-3</v>
      </c>
      <c r="AL63" s="312">
        <f>+AC63/'MWh by month-WgtbyCDH&amp;DayLtHrs'!AC63-1</f>
        <v>-2.2160053573185845E-3</v>
      </c>
      <c r="AM63" s="89">
        <f t="shared" si="9"/>
        <v>158505.01698273481</v>
      </c>
      <c r="AN63" s="93"/>
      <c r="AO63" s="96">
        <f t="shared" si="28"/>
        <v>35.232873471694077</v>
      </c>
      <c r="AP63" s="92">
        <f t="shared" si="27"/>
        <v>2.6793059674292074E-3</v>
      </c>
      <c r="AR63" s="94">
        <f t="shared" si="10"/>
        <v>4.4323432474955978E-3</v>
      </c>
      <c r="AS63" s="95">
        <v>263250.27865551104</v>
      </c>
      <c r="AU63" s="141">
        <v>58.285313704567109</v>
      </c>
    </row>
    <row r="64" spans="1:47">
      <c r="A64" s="78">
        <v>2009</v>
      </c>
      <c r="B64" s="78">
        <v>12</v>
      </c>
      <c r="C64" s="317">
        <v>63.292661005303621</v>
      </c>
      <c r="D64" s="318">
        <f t="shared" si="29"/>
        <v>2.9738204427435386E-2</v>
      </c>
      <c r="E64" s="104">
        <f>$D64*'MWh Impact Summary'!B$15</f>
        <v>21096.253524753225</v>
      </c>
      <c r="F64" s="320">
        <f>$D64*'MWh Impact Summary'!N$15</f>
        <v>507.63332457628246</v>
      </c>
      <c r="G64" s="320">
        <f>$D64*'MWh Impact Summary'!C$15</f>
        <v>16663.719451836525</v>
      </c>
      <c r="H64" s="320">
        <f>$D64*'MWh Impact Summary'!D$15</f>
        <v>0</v>
      </c>
      <c r="I64" s="320">
        <f>$D64*'MWh Impact Summary'!E$15</f>
        <v>7778.3822669127894</v>
      </c>
      <c r="J64" s="104">
        <f t="shared" si="11"/>
        <v>46045.988568078821</v>
      </c>
      <c r="K64" s="298">
        <f t="shared" si="18"/>
        <v>13.483333333333333</v>
      </c>
      <c r="L64" s="299">
        <f t="shared" si="30"/>
        <v>9.491962923853102E-2</v>
      </c>
      <c r="M64" s="297">
        <f t="shared" si="31"/>
        <v>8.4931506849315067E-2</v>
      </c>
      <c r="N64" s="304">
        <f>$L64*'MWh Impact Summary'!F$15</f>
        <v>28173.911454663357</v>
      </c>
      <c r="O64" s="304">
        <f>$L64*'MWh Impact Summary'!G$15</f>
        <v>0</v>
      </c>
      <c r="P64" s="304">
        <f>$M64*'MWh Impact Summary'!H$15</f>
        <v>0</v>
      </c>
      <c r="Q64" s="304">
        <f>$M64*'MWh Impact Summary'!I$15</f>
        <v>464.68437474064666</v>
      </c>
      <c r="R64" s="304">
        <f>$M64*'MWh Impact Summary'!J$15</f>
        <v>2901.5041676750739</v>
      </c>
      <c r="S64" s="304">
        <f>$M64*'MWh Impact Summary'!K$15</f>
        <v>0</v>
      </c>
      <c r="T64" s="304">
        <f>$M64*'MWh Impact Summary'!L$15</f>
        <v>0</v>
      </c>
      <c r="U64" s="304">
        <f>$M64*'MWh Impact Summary'!M$15</f>
        <v>0</v>
      </c>
      <c r="V64" s="304">
        <f>$L64*'LED Impact Forecast'!$H$16+$D64*'LED Impact Forecast'!$J$16</f>
        <v>0</v>
      </c>
      <c r="W64" s="304">
        <f>$L64*'CFL Impact Forecast'!$H$16+$D64*'CFL Impact Forecast'!$J$16</f>
        <v>157618.219271398</v>
      </c>
      <c r="X64" s="304">
        <f>$L64*'EISA Incand Impact Forecast'!$G$16+$D64*'EISA Incand Impact Forecast'!$I$16</f>
        <v>0</v>
      </c>
      <c r="Y64" s="85">
        <f t="shared" si="2"/>
        <v>189158.31926847709</v>
      </c>
      <c r="Z64" s="81">
        <f t="shared" si="3"/>
        <v>235204.3078365559</v>
      </c>
      <c r="AA64" s="81">
        <f>SUM(Z53:Z64)</f>
        <v>3726598.274732308</v>
      </c>
      <c r="AB64" s="81">
        <f>+'MWh by mo-WgtbyActulCDH&amp;Days'!AB64</f>
        <v>4498596</v>
      </c>
      <c r="AC64" s="308">
        <f t="shared" si="12"/>
        <v>52.283936551883279</v>
      </c>
      <c r="AD64" s="309">
        <f t="shared" si="4"/>
        <v>10.235635422269265</v>
      </c>
      <c r="AE64" s="107">
        <f t="shared" si="5"/>
        <v>7.5913241697917919E-4</v>
      </c>
      <c r="AF64" s="309">
        <f t="shared" si="13"/>
        <v>42.048301129614011</v>
      </c>
      <c r="AG64" s="107">
        <f t="shared" si="6"/>
        <v>3.1185390207377514E-3</v>
      </c>
      <c r="AH64" s="119">
        <f t="shared" si="14"/>
        <v>3.8776714377169305E-3</v>
      </c>
      <c r="AI64" s="122">
        <f t="shared" si="7"/>
        <v>3.8776714377169305E-3</v>
      </c>
      <c r="AJ64" s="87" t="b">
        <f t="shared" si="15"/>
        <v>1</v>
      </c>
      <c r="AK64" s="88">
        <f t="shared" si="21"/>
        <v>1.0037772048895879E-3</v>
      </c>
      <c r="AL64" s="312">
        <f>+AC64/'MWh by month-WgtbyCDH&amp;DayLtHrs'!AC64-1</f>
        <v>-1.9453264173147522E-2</v>
      </c>
      <c r="AM64" s="89">
        <f t="shared" si="9"/>
        <v>157618.219271398</v>
      </c>
      <c r="AN64" s="90">
        <f>SUM(AM53:AM64)</f>
        <v>1841767.2815556726</v>
      </c>
      <c r="AO64" s="96">
        <f t="shared" si="28"/>
        <v>35.037202556397155</v>
      </c>
      <c r="AP64" s="92">
        <f t="shared" si="27"/>
        <v>2.5985564318712355E-3</v>
      </c>
      <c r="AR64" s="94">
        <f t="shared" si="10"/>
        <v>3.8776714377169305E-3</v>
      </c>
      <c r="AS64" s="95">
        <v>217032.35405401044</v>
      </c>
      <c r="AU64" s="141">
        <v>52.283936551883279</v>
      </c>
    </row>
    <row r="65" spans="1:47">
      <c r="A65" s="78">
        <v>2010</v>
      </c>
      <c r="B65" s="78">
        <v>1</v>
      </c>
      <c r="C65" s="317">
        <v>19.03365586925597</v>
      </c>
      <c r="D65" s="318">
        <f t="shared" ref="D65:D76" si="32">C65/(SUM(C$65:C$76))</f>
        <v>9.3337587400849908E-3</v>
      </c>
      <c r="E65" s="321">
        <f>$D65*'MWh Impact Summary'!B$16</f>
        <v>7925.3543711088932</v>
      </c>
      <c r="F65" s="319">
        <f>$D65*'MWh Impact Summary'!N$16</f>
        <v>254.31737654139854</v>
      </c>
      <c r="G65" s="319">
        <f>$D65*'MWh Impact Summary'!C$16</f>
        <v>6496.2188220308835</v>
      </c>
      <c r="H65" s="319">
        <f>$D65*'MWh Impact Summary'!D$16</f>
        <v>6.6260148135908432</v>
      </c>
      <c r="I65" s="319">
        <f>$D65*'MWh Impact Summary'!E$16</f>
        <v>2891.805931076251</v>
      </c>
      <c r="J65" s="104">
        <f t="shared" si="11"/>
        <v>17574.322515571017</v>
      </c>
      <c r="K65" s="298">
        <f t="shared" si="18"/>
        <v>13.3</v>
      </c>
      <c r="L65" s="299">
        <f t="shared" ref="L65:L76" si="33">K65/(SUM(K$65:K$76))</f>
        <v>9.3629003871876101E-2</v>
      </c>
      <c r="M65" s="297">
        <f>(31/365)</f>
        <v>8.4931506849315067E-2</v>
      </c>
      <c r="N65" s="304">
        <f>$L65*'MWh Impact Summary'!F$16</f>
        <v>36105.914909748528</v>
      </c>
      <c r="O65" s="304">
        <f>$L65*'MWh Impact Summary'!G$16</f>
        <v>0</v>
      </c>
      <c r="P65" s="304">
        <f>$M65*'MWh Impact Summary'!H$16</f>
        <v>629.02008129806632</v>
      </c>
      <c r="Q65" s="304">
        <f>$M65*'MWh Impact Summary'!I$16</f>
        <v>580.85546842580834</v>
      </c>
      <c r="R65" s="304">
        <f>$M65*'MWh Impact Summary'!J$16</f>
        <v>5891.6079990401058</v>
      </c>
      <c r="S65" s="304">
        <f>$M65*'MWh Impact Summary'!K$16</f>
        <v>0</v>
      </c>
      <c r="T65" s="304">
        <f>$M65*'MWh Impact Summary'!L$16</f>
        <v>0</v>
      </c>
      <c r="U65" s="304">
        <f>$M65*'MWh Impact Summary'!M$16</f>
        <v>0</v>
      </c>
      <c r="V65" s="304">
        <f>$L65*'LED Impact Forecast'!$H$17+$D65*'LED Impact Forecast'!$J$17</f>
        <v>0</v>
      </c>
      <c r="W65" s="304">
        <f>$L65*'CFL Impact Forecast'!$H$17+$D65*'CFL Impact Forecast'!$J$17</f>
        <v>174617.54787032233</v>
      </c>
      <c r="X65" s="304">
        <f>$L65*'EISA Incand Impact Forecast'!$G$17+$D65*'EISA Incand Impact Forecast'!$I$17</f>
        <v>0</v>
      </c>
      <c r="Y65" s="85">
        <f t="shared" si="2"/>
        <v>217824.94632883483</v>
      </c>
      <c r="Z65" s="81">
        <f t="shared" si="3"/>
        <v>235399.26884440586</v>
      </c>
      <c r="AA65" s="81"/>
      <c r="AB65" s="81">
        <f>+'MWh by mo-WgtbyActulCDH&amp;Days'!AB65</f>
        <v>4502130</v>
      </c>
      <c r="AC65" s="308">
        <f t="shared" si="12"/>
        <v>52.286199830836928</v>
      </c>
      <c r="AD65" s="309">
        <f t="shared" si="4"/>
        <v>3.9035573196622524</v>
      </c>
      <c r="AE65" s="107">
        <f t="shared" si="5"/>
        <v>2.9350055035054528E-4</v>
      </c>
      <c r="AF65" s="309">
        <f t="shared" si="13"/>
        <v>48.382642511174673</v>
      </c>
      <c r="AG65" s="107">
        <f t="shared" si="6"/>
        <v>3.637792670013133E-3</v>
      </c>
      <c r="AH65" s="119">
        <f t="shared" si="14"/>
        <v>3.9312932203636785E-3</v>
      </c>
      <c r="AI65" s="122">
        <f t="shared" si="7"/>
        <v>3.9312932203636785E-3</v>
      </c>
      <c r="AJ65" s="87" t="b">
        <f t="shared" si="15"/>
        <v>1</v>
      </c>
      <c r="AK65" s="88">
        <f t="shared" si="21"/>
        <v>6.1820156265967718E-4</v>
      </c>
      <c r="AL65" s="312">
        <f>+AC65/'MWh by month-WgtbyCDH&amp;DayLtHrs'!AC65-1</f>
        <v>-0.12368060262949032</v>
      </c>
      <c r="AM65" s="89">
        <f t="shared" si="9"/>
        <v>174617.54787032233</v>
      </c>
      <c r="AN65" s="93"/>
      <c r="AO65" s="96">
        <f t="shared" si="28"/>
        <v>38.785541037313969</v>
      </c>
      <c r="AP65" s="92">
        <f t="shared" si="27"/>
        <v>2.9162060930311255E-3</v>
      </c>
      <c r="AR65" s="94">
        <f t="shared" si="10"/>
        <v>3.9312932203636785E-3</v>
      </c>
      <c r="AS65" s="95">
        <v>252377.30894529319</v>
      </c>
      <c r="AU65" s="141">
        <v>52.286199830836928</v>
      </c>
    </row>
    <row r="66" spans="1:47">
      <c r="A66" s="78">
        <v>2010</v>
      </c>
      <c r="B66" s="78">
        <v>2</v>
      </c>
      <c r="C66" s="317">
        <v>7.1720930852976759</v>
      </c>
      <c r="D66" s="318">
        <f t="shared" si="32"/>
        <v>3.5170640353821376E-3</v>
      </c>
      <c r="E66" s="321">
        <f>$D66*'MWh Impact Summary'!B$16</f>
        <v>2986.3616151312581</v>
      </c>
      <c r="F66" s="319">
        <f>$D66*'MWh Impact Summary'!N$16</f>
        <v>95.829614147316718</v>
      </c>
      <c r="G66" s="319">
        <f>$D66*'MWh Impact Summary'!C$16</f>
        <v>2447.8474557967083</v>
      </c>
      <c r="H66" s="319">
        <f>$D66*'MWh Impact Summary'!D$16</f>
        <v>2.4967560280626486</v>
      </c>
      <c r="I66" s="319">
        <f>$D66*'MWh Impact Summary'!E$16</f>
        <v>1089.6646164437316</v>
      </c>
      <c r="J66" s="104">
        <f t="shared" si="11"/>
        <v>6622.2000575470774</v>
      </c>
      <c r="K66" s="298">
        <f t="shared" si="18"/>
        <v>12.733333333333333</v>
      </c>
      <c r="L66" s="299">
        <f t="shared" si="33"/>
        <v>8.9639798193124468E-2</v>
      </c>
      <c r="M66" s="297">
        <f>(28/365)</f>
        <v>7.6712328767123292E-2</v>
      </c>
      <c r="N66" s="304">
        <f>$L66*'MWh Impact Summary'!F$16</f>
        <v>34567.567657954729</v>
      </c>
      <c r="O66" s="304">
        <f>$L66*'MWh Impact Summary'!G$16</f>
        <v>0</v>
      </c>
      <c r="P66" s="304">
        <f>$M66*'MWh Impact Summary'!H$16</f>
        <v>568.14717020470505</v>
      </c>
      <c r="Q66" s="304">
        <f>$M66*'MWh Impact Summary'!I$16</f>
        <v>524.64364890073023</v>
      </c>
      <c r="R66" s="304">
        <f>$M66*'MWh Impact Summary'!J$16</f>
        <v>5321.4523862297738</v>
      </c>
      <c r="S66" s="304">
        <f>$M66*'MWh Impact Summary'!K$16</f>
        <v>0</v>
      </c>
      <c r="T66" s="304">
        <f>$M66*'MWh Impact Summary'!L$16</f>
        <v>0</v>
      </c>
      <c r="U66" s="304">
        <f>$M66*'MWh Impact Summary'!M$16</f>
        <v>0</v>
      </c>
      <c r="V66" s="304">
        <f>$L66*'LED Impact Forecast'!$H$17+$D66*'LED Impact Forecast'!$J$17</f>
        <v>0</v>
      </c>
      <c r="W66" s="304">
        <f>$L66*'CFL Impact Forecast'!$H$17+$D66*'CFL Impact Forecast'!$J$17</f>
        <v>165511.07173307834</v>
      </c>
      <c r="X66" s="304">
        <f>$L66*'EISA Incand Impact Forecast'!$G$17+$D66*'EISA Incand Impact Forecast'!$I$17</f>
        <v>0</v>
      </c>
      <c r="Y66" s="85">
        <f t="shared" si="2"/>
        <v>206492.88259636826</v>
      </c>
      <c r="Z66" s="81">
        <f t="shared" si="3"/>
        <v>213115.08265391533</v>
      </c>
      <c r="AA66" s="81"/>
      <c r="AB66" s="81">
        <f>+'MWh by mo-WgtbyActulCDH&amp;Days'!AB66</f>
        <v>4510659</v>
      </c>
      <c r="AC66" s="308">
        <f t="shared" si="12"/>
        <v>47.246994874566077</v>
      </c>
      <c r="AD66" s="309">
        <f t="shared" si="4"/>
        <v>1.4681225199127395</v>
      </c>
      <c r="AE66" s="107">
        <f t="shared" si="5"/>
        <v>1.1529758009785912E-4</v>
      </c>
      <c r="AF66" s="309">
        <f t="shared" si="13"/>
        <v>45.778872354653338</v>
      </c>
      <c r="AG66" s="107">
        <f t="shared" si="6"/>
        <v>3.5951993995801054E-3</v>
      </c>
      <c r="AH66" s="119">
        <f t="shared" si="14"/>
        <v>3.7104969796779644E-3</v>
      </c>
      <c r="AI66" s="122">
        <f t="shared" si="7"/>
        <v>3.7104969796779644E-3</v>
      </c>
      <c r="AJ66" s="87" t="b">
        <f t="shared" si="15"/>
        <v>1</v>
      </c>
      <c r="AK66" s="88">
        <f t="shared" si="21"/>
        <v>4.3823891751578695E-4</v>
      </c>
      <c r="AL66" s="312">
        <f>+AC66/'MWh by month-WgtbyCDH&amp;DayLtHrs'!AC66-1</f>
        <v>-0.20208763684261399</v>
      </c>
      <c r="AM66" s="89">
        <f t="shared" si="9"/>
        <v>165511.07173307834</v>
      </c>
      <c r="AN66" s="93"/>
      <c r="AO66" s="96">
        <f t="shared" si="28"/>
        <v>36.693323909672252</v>
      </c>
      <c r="AP66" s="92">
        <f t="shared" si="27"/>
        <v>2.8816746525920619E-3</v>
      </c>
      <c r="AR66" s="94">
        <f t="shared" si="10"/>
        <v>3.7104969796779644E-3</v>
      </c>
      <c r="AS66" s="95">
        <v>234507.32757270089</v>
      </c>
      <c r="AU66" s="141">
        <v>47.246994874566077</v>
      </c>
    </row>
    <row r="67" spans="1:47">
      <c r="A67" s="78">
        <v>2010</v>
      </c>
      <c r="B67" s="78">
        <v>3</v>
      </c>
      <c r="C67" s="317">
        <v>15.393895535335714</v>
      </c>
      <c r="D67" s="318">
        <f t="shared" si="32"/>
        <v>7.5488864558583427E-3</v>
      </c>
      <c r="E67" s="321">
        <f>$D67*'MWh Impact Summary'!B$16</f>
        <v>6409.8078743994683</v>
      </c>
      <c r="F67" s="319">
        <f>$D67*'MWh Impact Summary'!N$16</f>
        <v>205.68487494945776</v>
      </c>
      <c r="G67" s="319">
        <f>$D67*'MWh Impact Summary'!C$16</f>
        <v>5253.962486657806</v>
      </c>
      <c r="H67" s="319">
        <f>$D67*'MWh Impact Summary'!D$16</f>
        <v>5.3589379022429284</v>
      </c>
      <c r="I67" s="319">
        <f>$D67*'MWh Impact Summary'!E$16</f>
        <v>2338.8128227828565</v>
      </c>
      <c r="J67" s="104">
        <f t="shared" si="11"/>
        <v>14213.626996691832</v>
      </c>
      <c r="K67" s="298">
        <f t="shared" si="18"/>
        <v>12</v>
      </c>
      <c r="L67" s="299">
        <f t="shared" si="33"/>
        <v>8.4477296726504739E-2</v>
      </c>
      <c r="M67" s="297">
        <f t="shared" ref="M67:M76" si="34">(31/365)</f>
        <v>8.4931506849315067E-2</v>
      </c>
      <c r="N67" s="304">
        <f>$L67*'MWh Impact Summary'!F$16</f>
        <v>32576.765332103932</v>
      </c>
      <c r="O67" s="304">
        <f>$L67*'MWh Impact Summary'!G$16</f>
        <v>0</v>
      </c>
      <c r="P67" s="304">
        <f>$M67*'MWh Impact Summary'!H$16</f>
        <v>629.02008129806632</v>
      </c>
      <c r="Q67" s="304">
        <f>$M67*'MWh Impact Summary'!I$16</f>
        <v>580.85546842580834</v>
      </c>
      <c r="R67" s="304">
        <f>$M67*'MWh Impact Summary'!J$16</f>
        <v>5891.6079990401058</v>
      </c>
      <c r="S67" s="304">
        <f>$M67*'MWh Impact Summary'!K$16</f>
        <v>0</v>
      </c>
      <c r="T67" s="304">
        <f>$M67*'MWh Impact Summary'!L$16</f>
        <v>0</v>
      </c>
      <c r="U67" s="304">
        <f>$M67*'MWh Impact Summary'!M$16</f>
        <v>0</v>
      </c>
      <c r="V67" s="304">
        <f>$L67*'LED Impact Forecast'!$H$17+$D67*'LED Impact Forecast'!$J$17</f>
        <v>0</v>
      </c>
      <c r="W67" s="304">
        <f>$L67*'CFL Impact Forecast'!$H$17+$D67*'CFL Impact Forecast'!$J$17</f>
        <v>157281.31249513509</v>
      </c>
      <c r="X67" s="304">
        <f>$L67*'EISA Incand Impact Forecast'!$G$17+$D67*'EISA Incand Impact Forecast'!$I$17</f>
        <v>0</v>
      </c>
      <c r="Y67" s="85">
        <f t="shared" si="2"/>
        <v>196959.561376003</v>
      </c>
      <c r="Z67" s="81">
        <f t="shared" si="3"/>
        <v>211173.18837269483</v>
      </c>
      <c r="AA67" s="81"/>
      <c r="AB67" s="81">
        <f>+'MWh by mo-WgtbyActulCDH&amp;Days'!AB67</f>
        <v>4516712</v>
      </c>
      <c r="AC67" s="308">
        <f t="shared" si="12"/>
        <v>46.753742185176918</v>
      </c>
      <c r="AD67" s="309">
        <f t="shared" si="4"/>
        <v>3.1468969012617656</v>
      </c>
      <c r="AE67" s="107">
        <f t="shared" si="5"/>
        <v>2.6224140843848049E-4</v>
      </c>
      <c r="AF67" s="309">
        <f t="shared" si="13"/>
        <v>43.606845283915156</v>
      </c>
      <c r="AG67" s="107">
        <f t="shared" si="6"/>
        <v>3.6339037736595964E-3</v>
      </c>
      <c r="AH67" s="119">
        <f t="shared" si="14"/>
        <v>3.8961451820980768E-3</v>
      </c>
      <c r="AI67" s="122">
        <f t="shared" si="7"/>
        <v>3.8961451820980764E-3</v>
      </c>
      <c r="AJ67" s="87" t="b">
        <f t="shared" si="15"/>
        <v>1</v>
      </c>
      <c r="AK67" s="88">
        <f t="shared" si="21"/>
        <v>-1.265495584100787E-5</v>
      </c>
      <c r="AL67" s="312">
        <f>+AC67/'MWh by month-WgtbyCDH&amp;DayLtHrs'!AC67-1</f>
        <v>-0.25203610298136359</v>
      </c>
      <c r="AM67" s="89">
        <f t="shared" si="9"/>
        <v>157281.31249513509</v>
      </c>
      <c r="AN67" s="93"/>
      <c r="AO67" s="96">
        <f t="shared" si="28"/>
        <v>34.822081304970318</v>
      </c>
      <c r="AP67" s="92">
        <f t="shared" si="27"/>
        <v>2.9018401087475263E-3</v>
      </c>
      <c r="AR67" s="94">
        <f t="shared" si="10"/>
        <v>3.8961451820980764E-3</v>
      </c>
      <c r="AS67" s="95">
        <v>284181.446267744</v>
      </c>
      <c r="AU67" s="141">
        <v>46.753742185176918</v>
      </c>
    </row>
    <row r="68" spans="1:47">
      <c r="A68" s="78">
        <v>2010</v>
      </c>
      <c r="B68" s="78">
        <v>4</v>
      </c>
      <c r="C68" s="317">
        <v>89.075753220245673</v>
      </c>
      <c r="D68" s="318">
        <f t="shared" si="32"/>
        <v>4.3681129671575905E-2</v>
      </c>
      <c r="E68" s="321">
        <f>$D68*'MWh Impact Summary'!B$16</f>
        <v>37089.927179159786</v>
      </c>
      <c r="F68" s="319">
        <f>$D68*'MWh Impact Summary'!N$16</f>
        <v>1190.1818561831255</v>
      </c>
      <c r="G68" s="319">
        <f>$D68*'MWh Impact Summary'!C$16</f>
        <v>30401.704676746253</v>
      </c>
      <c r="H68" s="319">
        <f>$D68*'MWh Impact Summary'!D$16</f>
        <v>31.009137940885857</v>
      </c>
      <c r="I68" s="319">
        <f>$D68*'MWh Impact Summary'!E$16</f>
        <v>13533.384928612779</v>
      </c>
      <c r="J68" s="104">
        <f t="shared" si="11"/>
        <v>82246.207778642827</v>
      </c>
      <c r="K68" s="298">
        <f t="shared" si="18"/>
        <v>11.2</v>
      </c>
      <c r="L68" s="299">
        <f t="shared" si="33"/>
        <v>7.8845476944737758E-2</v>
      </c>
      <c r="M68" s="297">
        <f>(30/365)</f>
        <v>8.2191780821917804E-2</v>
      </c>
      <c r="N68" s="304">
        <f>$L68*'MWh Impact Summary'!F$16</f>
        <v>30404.980976630337</v>
      </c>
      <c r="O68" s="304">
        <f>$L68*'MWh Impact Summary'!G$16</f>
        <v>0</v>
      </c>
      <c r="P68" s="304">
        <f>$M68*'MWh Impact Summary'!H$16</f>
        <v>608.72911093361256</v>
      </c>
      <c r="Q68" s="304">
        <f>$M68*'MWh Impact Summary'!I$16</f>
        <v>562.11819525078226</v>
      </c>
      <c r="R68" s="304">
        <f>$M68*'MWh Impact Summary'!J$16</f>
        <v>5701.5561281033288</v>
      </c>
      <c r="S68" s="304">
        <f>$M68*'MWh Impact Summary'!K$16</f>
        <v>0</v>
      </c>
      <c r="T68" s="304">
        <f>$M68*'MWh Impact Summary'!L$16</f>
        <v>0</v>
      </c>
      <c r="U68" s="304">
        <f>$M68*'MWh Impact Summary'!M$16</f>
        <v>0</v>
      </c>
      <c r="V68" s="304">
        <f>$L68*'LED Impact Forecast'!$H$17+$D68*'LED Impact Forecast'!$J$17</f>
        <v>0</v>
      </c>
      <c r="W68" s="304">
        <f>$L68*'CFL Impact Forecast'!$H$17+$D68*'CFL Impact Forecast'!$J$17</f>
        <v>158063.22451311749</v>
      </c>
      <c r="X68" s="304">
        <f>$L68*'EISA Incand Impact Forecast'!$G$17+$D68*'EISA Incand Impact Forecast'!$I$17</f>
        <v>0</v>
      </c>
      <c r="Y68" s="85">
        <f t="shared" si="2"/>
        <v>195340.60892403554</v>
      </c>
      <c r="Z68" s="81">
        <f t="shared" si="3"/>
        <v>277586.81670267833</v>
      </c>
      <c r="AA68" s="81"/>
      <c r="AB68" s="81">
        <f>+'MWh by mo-WgtbyActulCDH&amp;Days'!AB68</f>
        <v>4520229</v>
      </c>
      <c r="AC68" s="308">
        <f t="shared" si="12"/>
        <v>61.409901290991748</v>
      </c>
      <c r="AD68" s="309">
        <f t="shared" si="4"/>
        <v>18.195141834328048</v>
      </c>
      <c r="AE68" s="107">
        <f t="shared" si="5"/>
        <v>1.6245662352078617E-3</v>
      </c>
      <c r="AF68" s="309">
        <f t="shared" si="13"/>
        <v>43.214759456663714</v>
      </c>
      <c r="AG68" s="107">
        <f t="shared" si="6"/>
        <v>3.8584606657735459E-3</v>
      </c>
      <c r="AH68" s="119">
        <f t="shared" si="14"/>
        <v>5.4830269009814078E-3</v>
      </c>
      <c r="AI68" s="122">
        <f t="shared" si="7"/>
        <v>5.4830269009814069E-3</v>
      </c>
      <c r="AJ68" s="87" t="b">
        <f t="shared" si="15"/>
        <v>1</v>
      </c>
      <c r="AK68" s="88">
        <f t="shared" si="21"/>
        <v>4.09198984334452E-4</v>
      </c>
      <c r="AL68" s="312">
        <f>+AC68/'MWh by month-WgtbyCDH&amp;DayLtHrs'!AC68-1</f>
        <v>-0.12003503071492538</v>
      </c>
      <c r="AM68" s="89">
        <f t="shared" si="9"/>
        <v>158063.22451311749</v>
      </c>
      <c r="AN68" s="93"/>
      <c r="AO68" s="96">
        <f t="shared" si="28"/>
        <v>34.967968329285419</v>
      </c>
      <c r="AP68" s="92">
        <f t="shared" si="27"/>
        <v>3.122140029400484E-3</v>
      </c>
      <c r="AR68" s="94">
        <f t="shared" si="10"/>
        <v>5.4830269009814069E-3</v>
      </c>
      <c r="AS68" s="95">
        <v>334261.39929994685</v>
      </c>
      <c r="AU68" s="141">
        <v>61.409901290991748</v>
      </c>
    </row>
    <row r="69" spans="1:47">
      <c r="A69" s="78">
        <v>2010</v>
      </c>
      <c r="B69" s="78">
        <v>5</v>
      </c>
      <c r="C69" s="317">
        <v>255.19546441188365</v>
      </c>
      <c r="D69" s="318">
        <f t="shared" si="32"/>
        <v>0.12514321540465981</v>
      </c>
      <c r="E69" s="321">
        <f>$D69*'MWh Impact Summary'!B$16</f>
        <v>106259.90630789663</v>
      </c>
      <c r="F69" s="319">
        <f>$D69*'MWh Impact Summary'!N$16</f>
        <v>3409.7832523768893</v>
      </c>
      <c r="G69" s="319">
        <f>$D69*'MWh Impact Summary'!C$16</f>
        <v>87098.642036875026</v>
      </c>
      <c r="H69" s="319">
        <f>$D69*'MWh Impact Summary'!D$16</f>
        <v>88.838893545700884</v>
      </c>
      <c r="I69" s="319">
        <f>$D69*'MWh Impact Summary'!E$16</f>
        <v>38772.149850731286</v>
      </c>
      <c r="J69" s="104">
        <f t="shared" si="11"/>
        <v>235629.32034142554</v>
      </c>
      <c r="K69" s="298">
        <f t="shared" si="18"/>
        <v>10.533333333333333</v>
      </c>
      <c r="L69" s="299">
        <f t="shared" si="33"/>
        <v>7.4152293793265281E-2</v>
      </c>
      <c r="M69" s="297">
        <f t="shared" si="34"/>
        <v>8.4931506849315067E-2</v>
      </c>
      <c r="N69" s="304">
        <f>$L69*'MWh Impact Summary'!F$16</f>
        <v>28595.160680402343</v>
      </c>
      <c r="O69" s="304">
        <f>$L69*'MWh Impact Summary'!G$16</f>
        <v>0</v>
      </c>
      <c r="P69" s="304">
        <f>$M69*'MWh Impact Summary'!H$16</f>
        <v>629.02008129806632</v>
      </c>
      <c r="Q69" s="304">
        <f>$M69*'MWh Impact Summary'!I$16</f>
        <v>580.85546842580834</v>
      </c>
      <c r="R69" s="304">
        <f>$M69*'MWh Impact Summary'!J$16</f>
        <v>5891.6079990401058</v>
      </c>
      <c r="S69" s="304">
        <f>$M69*'MWh Impact Summary'!K$16</f>
        <v>0</v>
      </c>
      <c r="T69" s="304">
        <f>$M69*'MWh Impact Summary'!L$16</f>
        <v>0</v>
      </c>
      <c r="U69" s="304">
        <f>$M69*'MWh Impact Summary'!M$16</f>
        <v>0</v>
      </c>
      <c r="V69" s="304">
        <f>$L69*'LED Impact Forecast'!$H$17+$D69*'LED Impact Forecast'!$J$17</f>
        <v>0</v>
      </c>
      <c r="W69" s="304">
        <f>$L69*'CFL Impact Forecast'!$H$17+$D69*'CFL Impact Forecast'!$J$17</f>
        <v>174508.20739782511</v>
      </c>
      <c r="X69" s="304">
        <f>$L69*'EISA Incand Impact Forecast'!$G$17+$D69*'EISA Incand Impact Forecast'!$I$17</f>
        <v>0</v>
      </c>
      <c r="Y69" s="85">
        <f t="shared" ref="Y69:Y132" si="35">SUM(N69:X69)</f>
        <v>210204.85162699144</v>
      </c>
      <c r="Z69" s="81">
        <f t="shared" ref="Z69:Z132" si="36">Y69+J69</f>
        <v>445834.17196841701</v>
      </c>
      <c r="AA69" s="81"/>
      <c r="AB69" s="81">
        <f>+'MWh by mo-WgtbyActulCDH&amp;Days'!AB69</f>
        <v>4521728</v>
      </c>
      <c r="AC69" s="308">
        <f t="shared" si="12"/>
        <v>98.598184580854266</v>
      </c>
      <c r="AD69" s="309">
        <f t="shared" ref="AD69:AD132" si="37">+J69*1000/AB69</f>
        <v>52.110458732021371</v>
      </c>
      <c r="AE69" s="107">
        <f t="shared" ref="AE69:AE132" si="38">+AD69/K69/1000</f>
        <v>4.9471954492425353E-3</v>
      </c>
      <c r="AF69" s="309">
        <f t="shared" si="13"/>
        <v>46.487725848832888</v>
      </c>
      <c r="AG69" s="107">
        <f t="shared" ref="AG69:AG132" si="39">+AF69/K69/1000</f>
        <v>4.4133916945094517E-3</v>
      </c>
      <c r="AH69" s="119">
        <f t="shared" si="14"/>
        <v>9.3605871437519861E-3</v>
      </c>
      <c r="AI69" s="122">
        <f t="shared" ref="AI69:AI132" si="40">+AC69/K69/1000</f>
        <v>9.3605871437519878E-3</v>
      </c>
      <c r="AJ69" s="87" t="b">
        <f t="shared" si="15"/>
        <v>1</v>
      </c>
      <c r="AK69" s="88">
        <f t="shared" si="21"/>
        <v>2.6627723351741062E-3</v>
      </c>
      <c r="AL69" s="312">
        <f>+AC69/'MWh by month-WgtbyCDH&amp;DayLtHrs'!AC69-1</f>
        <v>0.13146604038342136</v>
      </c>
      <c r="AM69" s="89">
        <f t="shared" ref="AM69:AM132" si="41">+W69</f>
        <v>174508.20739782511</v>
      </c>
      <c r="AN69" s="93"/>
      <c r="AO69" s="96">
        <f t="shared" si="28"/>
        <v>38.593256250226709</v>
      </c>
      <c r="AP69" s="92">
        <f t="shared" si="27"/>
        <v>3.6639167326164598E-3</v>
      </c>
      <c r="AR69" s="94">
        <f t="shared" ref="AR69:AR132" si="42">AI69</f>
        <v>9.3605871437519878E-3</v>
      </c>
      <c r="AS69" s="95">
        <v>402473.95118086669</v>
      </c>
      <c r="AU69" s="141">
        <v>98.598184580854266</v>
      </c>
    </row>
    <row r="70" spans="1:47">
      <c r="A70" s="78">
        <v>2010</v>
      </c>
      <c r="B70" s="78">
        <v>6</v>
      </c>
      <c r="C70" s="317">
        <v>357.76280800516599</v>
      </c>
      <c r="D70" s="318">
        <f t="shared" si="32"/>
        <v>0.17544037567104021</v>
      </c>
      <c r="E70" s="321">
        <f>$D70*'MWh Impact Summary'!B$16</f>
        <v>148967.54747067782</v>
      </c>
      <c r="F70" s="319">
        <f>$D70*'MWh Impact Summary'!N$16</f>
        <v>4780.2324146734991</v>
      </c>
      <c r="G70" s="319">
        <f>$D70*'MWh Impact Summary'!C$16</f>
        <v>122105.04924278797</v>
      </c>
      <c r="H70" s="319">
        <f>$D70*'MWh Impact Summary'!D$16</f>
        <v>124.54473706352408</v>
      </c>
      <c r="I70" s="319">
        <f>$D70*'MWh Impact Summary'!E$16</f>
        <v>54355.328120591636</v>
      </c>
      <c r="J70" s="104">
        <f t="shared" ref="J70:J133" si="43">SUM(E70:I70)</f>
        <v>330332.70198579447</v>
      </c>
      <c r="K70" s="298">
        <f t="shared" si="18"/>
        <v>10.199999999999999</v>
      </c>
      <c r="L70" s="299">
        <f t="shared" si="33"/>
        <v>7.1805702217529022E-2</v>
      </c>
      <c r="M70" s="297">
        <f>(30/365)</f>
        <v>8.2191780821917804E-2</v>
      </c>
      <c r="N70" s="304">
        <f>$L70*'MWh Impact Summary'!F$16</f>
        <v>27690.250532288341</v>
      </c>
      <c r="O70" s="304">
        <f>$L70*'MWh Impact Summary'!G$16</f>
        <v>0</v>
      </c>
      <c r="P70" s="304">
        <f>$M70*'MWh Impact Summary'!H$16</f>
        <v>608.72911093361256</v>
      </c>
      <c r="Q70" s="304">
        <f>$M70*'MWh Impact Summary'!I$16</f>
        <v>562.11819525078226</v>
      </c>
      <c r="R70" s="304">
        <f>$M70*'MWh Impact Summary'!J$16</f>
        <v>5701.5561281033288</v>
      </c>
      <c r="S70" s="304">
        <f>$M70*'MWh Impact Summary'!K$16</f>
        <v>0</v>
      </c>
      <c r="T70" s="304">
        <f>$M70*'MWh Impact Summary'!L$16</f>
        <v>0</v>
      </c>
      <c r="U70" s="304">
        <f>$M70*'MWh Impact Summary'!M$16</f>
        <v>0</v>
      </c>
      <c r="V70" s="304">
        <f>$L70*'LED Impact Forecast'!$H$17+$D70*'LED Impact Forecast'!$J$17</f>
        <v>0</v>
      </c>
      <c r="W70" s="304">
        <f>$L70*'CFL Impact Forecast'!$H$17+$D70*'CFL Impact Forecast'!$J$17</f>
        <v>185672.78021019622</v>
      </c>
      <c r="X70" s="304">
        <f>$L70*'EISA Incand Impact Forecast'!$G$17+$D70*'EISA Incand Impact Forecast'!$I$17</f>
        <v>0</v>
      </c>
      <c r="Y70" s="85">
        <f t="shared" si="35"/>
        <v>220235.43417677228</v>
      </c>
      <c r="Z70" s="81">
        <f t="shared" si="36"/>
        <v>550568.13616256672</v>
      </c>
      <c r="AA70" s="81"/>
      <c r="AB70" s="81">
        <f>+'MWh by mo-WgtbyActulCDH&amp;Days'!AB70</f>
        <v>4521918</v>
      </c>
      <c r="AC70" s="308">
        <f t="shared" ref="AC70:AC133" si="44">+Z70*1000/AB70</f>
        <v>121.75544451769507</v>
      </c>
      <c r="AD70" s="309">
        <f t="shared" si="37"/>
        <v>73.051457807460125</v>
      </c>
      <c r="AE70" s="107">
        <f t="shared" si="38"/>
        <v>7.1619076281823658E-3</v>
      </c>
      <c r="AF70" s="309">
        <f t="shared" ref="AF70:AF133" si="45">+Y70*1000/AB70</f>
        <v>48.703986710234965</v>
      </c>
      <c r="AG70" s="107">
        <f t="shared" si="39"/>
        <v>4.7749006578661733E-3</v>
      </c>
      <c r="AH70" s="119">
        <f t="shared" ref="AH70:AH133" si="46">AE70+AG70</f>
        <v>1.1936808286048539E-2</v>
      </c>
      <c r="AI70" s="122">
        <f t="shared" si="40"/>
        <v>1.1936808286048537E-2</v>
      </c>
      <c r="AJ70" s="87" t="b">
        <f t="shared" ref="AJ70:AJ133" si="47">AH70=AI70</f>
        <v>1</v>
      </c>
      <c r="AK70" s="88">
        <f t="shared" si="21"/>
        <v>3.6182843699116198E-3</v>
      </c>
      <c r="AL70" s="312">
        <f>+AC70/'MWh by month-WgtbyCDH&amp;DayLtHrs'!AC70-1</f>
        <v>0.22728112126295685</v>
      </c>
      <c r="AM70" s="89">
        <f t="shared" si="41"/>
        <v>185672.78021019622</v>
      </c>
      <c r="AN70" s="93"/>
      <c r="AO70" s="96">
        <f t="shared" si="28"/>
        <v>41.060625205984771</v>
      </c>
      <c r="AP70" s="92">
        <f t="shared" si="27"/>
        <v>4.0255514907828211E-3</v>
      </c>
      <c r="AR70" s="94">
        <f t="shared" si="42"/>
        <v>1.1936808286048537E-2</v>
      </c>
      <c r="AS70" s="95">
        <v>491747.42381475423</v>
      </c>
      <c r="AU70" s="141">
        <v>121.75544451769507</v>
      </c>
    </row>
    <row r="71" spans="1:47">
      <c r="A71" s="78">
        <v>2010</v>
      </c>
      <c r="B71" s="78">
        <v>7</v>
      </c>
      <c r="C71" s="317">
        <v>367.3022325447152</v>
      </c>
      <c r="D71" s="318">
        <f t="shared" si="32"/>
        <v>0.18011833600525104</v>
      </c>
      <c r="E71" s="321">
        <f>$D71*'MWh Impact Summary'!B$16</f>
        <v>152939.63357393123</v>
      </c>
      <c r="F71" s="319">
        <f>$D71*'MWh Impact Summary'!N$16</f>
        <v>4907.6930265116816</v>
      </c>
      <c r="G71" s="319">
        <f>$D71*'MWh Impact Summary'!C$16</f>
        <v>125360.87091314085</v>
      </c>
      <c r="H71" s="319">
        <f>$D71*'MWh Impact Summary'!D$16</f>
        <v>127.86561082242618</v>
      </c>
      <c r="I71" s="319">
        <f>$D71*'MWh Impact Summary'!E$16</f>
        <v>55804.664215139885</v>
      </c>
      <c r="J71" s="104">
        <f t="shared" si="43"/>
        <v>339140.72733954608</v>
      </c>
      <c r="K71" s="298">
        <f t="shared" si="18"/>
        <v>10.366666666666667</v>
      </c>
      <c r="L71" s="299">
        <f t="shared" si="33"/>
        <v>7.2978998005397158E-2</v>
      </c>
      <c r="M71" s="297">
        <f t="shared" si="34"/>
        <v>8.4931506849315067E-2</v>
      </c>
      <c r="N71" s="304">
        <f>$L71*'MWh Impact Summary'!F$16</f>
        <v>28142.705606345346</v>
      </c>
      <c r="O71" s="304">
        <f>$L71*'MWh Impact Summary'!G$16</f>
        <v>0</v>
      </c>
      <c r="P71" s="304">
        <f>$M71*'MWh Impact Summary'!H$16</f>
        <v>629.02008129806632</v>
      </c>
      <c r="Q71" s="304">
        <f>$M71*'MWh Impact Summary'!I$16</f>
        <v>580.85546842580834</v>
      </c>
      <c r="R71" s="304">
        <f>$M71*'MWh Impact Summary'!J$16</f>
        <v>5891.6079990401058</v>
      </c>
      <c r="S71" s="304">
        <f>$M71*'MWh Impact Summary'!K$16</f>
        <v>0</v>
      </c>
      <c r="T71" s="304">
        <f>$M71*'MWh Impact Summary'!L$16</f>
        <v>0</v>
      </c>
      <c r="U71" s="304">
        <f>$M71*'MWh Impact Summary'!M$16</f>
        <v>0</v>
      </c>
      <c r="V71" s="304">
        <f>$L71*'LED Impact Forecast'!$H$17+$D71*'LED Impact Forecast'!$J$17</f>
        <v>0</v>
      </c>
      <c r="W71" s="304">
        <f>$L71*'CFL Impact Forecast'!$H$17+$D71*'CFL Impact Forecast'!$J$17</f>
        <v>189263.71480615821</v>
      </c>
      <c r="X71" s="304">
        <f>$L71*'EISA Incand Impact Forecast'!$G$17+$D71*'EISA Incand Impact Forecast'!$I$17</f>
        <v>0</v>
      </c>
      <c r="Y71" s="85">
        <f t="shared" si="35"/>
        <v>224507.90396126756</v>
      </c>
      <c r="Z71" s="81">
        <f t="shared" si="36"/>
        <v>563648.63130081363</v>
      </c>
      <c r="AA71" s="81"/>
      <c r="AB71" s="81">
        <f>+'MWh by mo-WgtbyActulCDH&amp;Days'!AB71</f>
        <v>4522790</v>
      </c>
      <c r="AC71" s="308">
        <f t="shared" si="44"/>
        <v>124.62409957146224</v>
      </c>
      <c r="AD71" s="309">
        <f t="shared" si="37"/>
        <v>74.984849471133103</v>
      </c>
      <c r="AE71" s="107">
        <f t="shared" si="38"/>
        <v>7.2332652222957972E-3</v>
      </c>
      <c r="AF71" s="309">
        <f t="shared" si="45"/>
        <v>49.639250100329122</v>
      </c>
      <c r="AG71" s="107">
        <f t="shared" si="39"/>
        <v>4.7883520997102046E-3</v>
      </c>
      <c r="AH71" s="119">
        <f t="shared" si="46"/>
        <v>1.2021617322006002E-2</v>
      </c>
      <c r="AI71" s="122">
        <f t="shared" si="40"/>
        <v>1.2021617322006004E-2</v>
      </c>
      <c r="AJ71" s="87" t="b">
        <f t="shared" si="47"/>
        <v>1</v>
      </c>
      <c r="AK71" s="88">
        <f t="shared" si="21"/>
        <v>2.9317167946606177E-3</v>
      </c>
      <c r="AL71" s="312">
        <f>+AC71/'MWh by month-WgtbyCDH&amp;DayLtHrs'!AC71-1</f>
        <v>0.12711095056489841</v>
      </c>
      <c r="AM71" s="89">
        <f t="shared" si="41"/>
        <v>189263.71480615821</v>
      </c>
      <c r="AN71" s="93"/>
      <c r="AO71" s="96">
        <f t="shared" si="28"/>
        <v>41.846673138960291</v>
      </c>
      <c r="AP71" s="92">
        <f t="shared" si="27"/>
        <v>4.0366565728900596E-3</v>
      </c>
      <c r="AR71" s="94">
        <f t="shared" si="42"/>
        <v>1.2021617322006004E-2</v>
      </c>
      <c r="AS71" s="95">
        <v>517453.27171815862</v>
      </c>
      <c r="AU71" s="141">
        <v>124.62409957146224</v>
      </c>
    </row>
    <row r="72" spans="1:47">
      <c r="A72" s="78">
        <v>2010</v>
      </c>
      <c r="B72" s="78">
        <v>8</v>
      </c>
      <c r="C72" s="317">
        <v>354.6581128382694</v>
      </c>
      <c r="D72" s="318">
        <f t="shared" si="32"/>
        <v>0.17391788961537247</v>
      </c>
      <c r="E72" s="321">
        <f>$D72*'MWh Impact Summary'!B$16</f>
        <v>147674.79480240724</v>
      </c>
      <c r="F72" s="319">
        <f>$D72*'MWh Impact Summary'!N$16</f>
        <v>4738.7491633617392</v>
      </c>
      <c r="G72" s="319">
        <f>$D72*'MWh Impact Summary'!C$16</f>
        <v>121045.41155056514</v>
      </c>
      <c r="H72" s="319">
        <f>$D72*'MWh Impact Summary'!D$16</f>
        <v>123.46392755909413</v>
      </c>
      <c r="I72" s="319">
        <f>$D72*'MWh Impact Summary'!E$16</f>
        <v>53883.628098300214</v>
      </c>
      <c r="J72" s="104">
        <f t="shared" si="43"/>
        <v>327466.04754219338</v>
      </c>
      <c r="K72" s="298">
        <f t="shared" si="18"/>
        <v>10.933333333333334</v>
      </c>
      <c r="L72" s="299">
        <f t="shared" si="33"/>
        <v>7.6968203684148764E-2</v>
      </c>
      <c r="M72" s="297">
        <f t="shared" si="34"/>
        <v>8.4931506849315067E-2</v>
      </c>
      <c r="N72" s="304">
        <f>$L72*'MWh Impact Summary'!F$16</f>
        <v>29681.052858139137</v>
      </c>
      <c r="O72" s="304">
        <f>$L72*'MWh Impact Summary'!G$16</f>
        <v>0</v>
      </c>
      <c r="P72" s="304">
        <f>$M72*'MWh Impact Summary'!H$16</f>
        <v>629.02008129806632</v>
      </c>
      <c r="Q72" s="304">
        <f>$M72*'MWh Impact Summary'!I$16</f>
        <v>580.85546842580834</v>
      </c>
      <c r="R72" s="304">
        <f>$M72*'MWh Impact Summary'!J$16</f>
        <v>5891.6079990401058</v>
      </c>
      <c r="S72" s="304">
        <f>$M72*'MWh Impact Summary'!K$16</f>
        <v>0</v>
      </c>
      <c r="T72" s="304">
        <f>$M72*'MWh Impact Summary'!L$16</f>
        <v>0</v>
      </c>
      <c r="U72" s="304">
        <f>$M72*'MWh Impact Summary'!M$16</f>
        <v>0</v>
      </c>
      <c r="V72" s="304">
        <f>$L72*'LED Impact Forecast'!$H$17+$D72*'LED Impact Forecast'!$J$17</f>
        <v>0</v>
      </c>
      <c r="W72" s="304">
        <f>$L72*'CFL Impact Forecast'!$H$17+$D72*'CFL Impact Forecast'!$J$17</f>
        <v>194674.29160854412</v>
      </c>
      <c r="X72" s="304">
        <f>$L72*'EISA Incand Impact Forecast'!$G$17+$D72*'EISA Incand Impact Forecast'!$I$17</f>
        <v>0</v>
      </c>
      <c r="Y72" s="85">
        <f t="shared" si="35"/>
        <v>231456.82801544724</v>
      </c>
      <c r="Z72" s="81">
        <f t="shared" si="36"/>
        <v>558922.87555764057</v>
      </c>
      <c r="AA72" s="81"/>
      <c r="AB72" s="81">
        <f>+'MWh by mo-WgtbyActulCDH&amp;Days'!AB72</f>
        <v>4526766</v>
      </c>
      <c r="AC72" s="308">
        <f t="shared" si="44"/>
        <v>123.47067985348492</v>
      </c>
      <c r="AD72" s="309">
        <f t="shared" si="37"/>
        <v>72.339954736382083</v>
      </c>
      <c r="AE72" s="107">
        <f t="shared" si="38"/>
        <v>6.6164592746690929E-3</v>
      </c>
      <c r="AF72" s="309">
        <f t="shared" si="45"/>
        <v>51.130725117102862</v>
      </c>
      <c r="AG72" s="107">
        <f t="shared" si="39"/>
        <v>4.6765907119301394E-3</v>
      </c>
      <c r="AH72" s="119">
        <f t="shared" si="46"/>
        <v>1.1293049986599232E-2</v>
      </c>
      <c r="AI72" s="122">
        <f t="shared" si="40"/>
        <v>1.1293049986599231E-2</v>
      </c>
      <c r="AJ72" s="87" t="b">
        <f t="shared" si="47"/>
        <v>1</v>
      </c>
      <c r="AK72" s="88">
        <f t="shared" si="21"/>
        <v>2.0783212840597282E-3</v>
      </c>
      <c r="AL72" s="312">
        <f>+AC72/'MWh by month-WgtbyCDH&amp;DayLtHrs'!AC72-1</f>
        <v>8.7133388147738966E-2</v>
      </c>
      <c r="AM72" s="89">
        <f t="shared" si="41"/>
        <v>194674.29160854412</v>
      </c>
      <c r="AN72" s="93"/>
      <c r="AO72" s="96">
        <f t="shared" si="28"/>
        <v>43.005159005025689</v>
      </c>
      <c r="AP72" s="92">
        <f t="shared" si="27"/>
        <v>3.9333986894840569E-3</v>
      </c>
      <c r="AR72" s="94">
        <f t="shared" si="42"/>
        <v>1.1293049986599231E-2</v>
      </c>
      <c r="AS72" s="95">
        <v>537984.46334324288</v>
      </c>
      <c r="AU72" s="141">
        <v>123.47067985348492</v>
      </c>
    </row>
    <row r="73" spans="1:47">
      <c r="A73" s="78">
        <v>2010</v>
      </c>
      <c r="B73" s="78">
        <v>9</v>
      </c>
      <c r="C73" s="317">
        <v>310.20753392323581</v>
      </c>
      <c r="D73" s="318">
        <f t="shared" si="32"/>
        <v>0.15212013398187993</v>
      </c>
      <c r="E73" s="321">
        <f>$D73*'MWh Impact Summary'!B$16</f>
        <v>129166.18078088277</v>
      </c>
      <c r="F73" s="319">
        <f>$D73*'MWh Impact Summary'!N$16</f>
        <v>4144.8246596789022</v>
      </c>
      <c r="G73" s="319">
        <f>$D73*'MWh Impact Summary'!C$16</f>
        <v>105874.35406263241</v>
      </c>
      <c r="H73" s="319">
        <f>$D73*'MWh Impact Summary'!D$16</f>
        <v>107.98974874726429</v>
      </c>
      <c r="I73" s="319">
        <f>$D73*'MWh Impact Summary'!E$16</f>
        <v>47130.198876439856</v>
      </c>
      <c r="J73" s="104">
        <f t="shared" si="43"/>
        <v>286423.54812838126</v>
      </c>
      <c r="K73" s="298">
        <f t="shared" si="18"/>
        <v>11.683333333333334</v>
      </c>
      <c r="L73" s="299">
        <f t="shared" si="33"/>
        <v>8.2248034729555317E-2</v>
      </c>
      <c r="M73" s="297">
        <f>(30/365)</f>
        <v>8.2191780821917804E-2</v>
      </c>
      <c r="N73" s="304">
        <f>$L73*'MWh Impact Summary'!F$16</f>
        <v>31717.100691395637</v>
      </c>
      <c r="O73" s="304">
        <f>$L73*'MWh Impact Summary'!G$16</f>
        <v>0</v>
      </c>
      <c r="P73" s="304">
        <f>$M73*'MWh Impact Summary'!H$16</f>
        <v>608.72911093361256</v>
      </c>
      <c r="Q73" s="304">
        <f>$M73*'MWh Impact Summary'!I$16</f>
        <v>562.11819525078226</v>
      </c>
      <c r="R73" s="304">
        <f>$M73*'MWh Impact Summary'!J$16</f>
        <v>5701.5561281033288</v>
      </c>
      <c r="S73" s="304">
        <f>$M73*'MWh Impact Summary'!K$16</f>
        <v>0</v>
      </c>
      <c r="T73" s="304">
        <f>$M73*'MWh Impact Summary'!L$16</f>
        <v>0</v>
      </c>
      <c r="U73" s="304">
        <f>$M73*'MWh Impact Summary'!M$16</f>
        <v>0</v>
      </c>
      <c r="V73" s="304">
        <f>$L73*'LED Impact Forecast'!$H$17+$D73*'LED Impact Forecast'!$J$17</f>
        <v>0</v>
      </c>
      <c r="W73" s="304">
        <f>$L73*'CFL Impact Forecast'!$H$17+$D73*'CFL Impact Forecast'!$J$17</f>
        <v>197655.31901190637</v>
      </c>
      <c r="X73" s="304">
        <f>$L73*'EISA Incand Impact Forecast'!$G$17+$D73*'EISA Incand Impact Forecast'!$I$17</f>
        <v>0</v>
      </c>
      <c r="Y73" s="85">
        <f t="shared" si="35"/>
        <v>236244.82313758973</v>
      </c>
      <c r="Z73" s="81">
        <f t="shared" si="36"/>
        <v>522668.37126597099</v>
      </c>
      <c r="AA73" s="81"/>
      <c r="AB73" s="81">
        <f>+'MWh by mo-WgtbyActulCDH&amp;Days'!AB73</f>
        <v>4524923</v>
      </c>
      <c r="AC73" s="308">
        <f t="shared" si="44"/>
        <v>115.50878794312544</v>
      </c>
      <c r="AD73" s="309">
        <f t="shared" si="37"/>
        <v>63.299098819666376</v>
      </c>
      <c r="AE73" s="107">
        <f t="shared" si="38"/>
        <v>5.4178971885591766E-3</v>
      </c>
      <c r="AF73" s="309">
        <f t="shared" si="45"/>
        <v>52.209689123459057</v>
      </c>
      <c r="AG73" s="107">
        <f t="shared" si="39"/>
        <v>4.4687323072860824E-3</v>
      </c>
      <c r="AH73" s="119">
        <f t="shared" si="46"/>
        <v>9.8866294958452582E-3</v>
      </c>
      <c r="AI73" s="122">
        <f t="shared" si="40"/>
        <v>9.8866294958452599E-3</v>
      </c>
      <c r="AJ73" s="87" t="b">
        <f>AH73=AI73</f>
        <v>1</v>
      </c>
      <c r="AK73" s="88">
        <f t="shared" si="21"/>
        <v>2.1365673148845948E-3</v>
      </c>
      <c r="AL73" s="312">
        <f>+AC73/'MWh by month-WgtbyCDH&amp;DayLtHrs'!AC73-1</f>
        <v>8.6739080467444829E-2</v>
      </c>
      <c r="AM73" s="89">
        <f t="shared" si="41"/>
        <v>197655.31901190637</v>
      </c>
      <c r="AN73" s="93"/>
      <c r="AO73" s="96">
        <f t="shared" si="28"/>
        <v>43.681476792402073</v>
      </c>
      <c r="AP73" s="92">
        <f t="shared" si="27"/>
        <v>3.738785460120006E-3</v>
      </c>
      <c r="AR73" s="94">
        <f t="shared" si="42"/>
        <v>9.8866294958452599E-3</v>
      </c>
      <c r="AS73" s="95">
        <v>508025.22154489503</v>
      </c>
      <c r="AU73" s="141">
        <v>115.50878794312544</v>
      </c>
    </row>
    <row r="74" spans="1:47">
      <c r="A74" s="78">
        <v>2010</v>
      </c>
      <c r="B74" s="78">
        <v>10</v>
      </c>
      <c r="C74" s="317">
        <v>181.64747294989201</v>
      </c>
      <c r="D74" s="318">
        <f>C74/(SUM(C$65:C$76))</f>
        <v>8.9076617750506917E-2</v>
      </c>
      <c r="E74" s="321">
        <f>$D74*'MWh Impact Summary'!B$16</f>
        <v>75635.527070217344</v>
      </c>
      <c r="F74" s="319">
        <f>$D74*'MWh Impact Summary'!N$16</f>
        <v>2427.0749189392068</v>
      </c>
      <c r="G74" s="319">
        <f>$D74*'MWh Impact Summary'!C$16</f>
        <v>61996.588614248256</v>
      </c>
      <c r="H74" s="319">
        <f>$D74*'MWh Impact Summary'!D$16</f>
        <v>63.235295146921004</v>
      </c>
      <c r="I74" s="319">
        <f>$D74*'MWh Impact Summary'!E$16</f>
        <v>27597.916199061987</v>
      </c>
      <c r="J74" s="104">
        <f t="shared" si="43"/>
        <v>167720.3420976137</v>
      </c>
      <c r="K74" s="298">
        <f t="shared" si="18"/>
        <v>12.466666666666667</v>
      </c>
      <c r="L74" s="299">
        <f t="shared" si="33"/>
        <v>8.7762524932535488E-2</v>
      </c>
      <c r="M74" s="297">
        <f t="shared" si="34"/>
        <v>8.4931506849315067E-2</v>
      </c>
      <c r="N74" s="304">
        <f>$L74*'MWh Impact Summary'!F$16</f>
        <v>33843.639539463533</v>
      </c>
      <c r="O74" s="304">
        <f>$L74*'MWh Impact Summary'!G$16</f>
        <v>0</v>
      </c>
      <c r="P74" s="304">
        <f>$M74*'MWh Impact Summary'!H$16</f>
        <v>629.02008129806632</v>
      </c>
      <c r="Q74" s="304">
        <f>$M74*'MWh Impact Summary'!I$16</f>
        <v>580.85546842580834</v>
      </c>
      <c r="R74" s="304">
        <f>$M74*'MWh Impact Summary'!J$16</f>
        <v>5891.6079990401058</v>
      </c>
      <c r="S74" s="304">
        <f>$M74*'MWh Impact Summary'!K$16</f>
        <v>0</v>
      </c>
      <c r="T74" s="304">
        <f>$M74*'MWh Impact Summary'!L$16</f>
        <v>0</v>
      </c>
      <c r="U74" s="304">
        <f>$M74*'MWh Impact Summary'!M$16</f>
        <v>0</v>
      </c>
      <c r="V74" s="304">
        <f>$L74*'LED Impact Forecast'!$H$17+$D74*'LED Impact Forecast'!$J$17</f>
        <v>0</v>
      </c>
      <c r="W74" s="304">
        <f>$L74*'CFL Impact Forecast'!$H$17+$D74*'CFL Impact Forecast'!$J$17</f>
        <v>188381.56147451859</v>
      </c>
      <c r="X74" s="304">
        <f>$L74*'EISA Incand Impact Forecast'!$G$17+$D74*'EISA Incand Impact Forecast'!$I$17</f>
        <v>0</v>
      </c>
      <c r="Y74" s="85">
        <f t="shared" si="35"/>
        <v>229326.68456274609</v>
      </c>
      <c r="Z74" s="81">
        <f t="shared" si="36"/>
        <v>397047.02666035981</v>
      </c>
      <c r="AA74" s="81"/>
      <c r="AB74" s="81">
        <f>+'MWh by mo-WgtbyActulCDH&amp;Days'!AB74</f>
        <v>4524001</v>
      </c>
      <c r="AC74" s="308">
        <f t="shared" si="44"/>
        <v>87.764575352737495</v>
      </c>
      <c r="AD74" s="309">
        <f t="shared" si="37"/>
        <v>37.07345380728556</v>
      </c>
      <c r="AE74" s="107">
        <f t="shared" si="38"/>
        <v>2.9738064551298577E-3</v>
      </c>
      <c r="AF74" s="309">
        <f t="shared" si="45"/>
        <v>50.691121545451928</v>
      </c>
      <c r="AG74" s="107">
        <f t="shared" si="39"/>
        <v>4.0661327442875874E-3</v>
      </c>
      <c r="AH74" s="119">
        <f t="shared" si="46"/>
        <v>7.0399391994174446E-3</v>
      </c>
      <c r="AI74" s="122">
        <f t="shared" si="40"/>
        <v>7.0399391994174455E-3</v>
      </c>
      <c r="AJ74" s="87" t="b">
        <f t="shared" si="47"/>
        <v>0</v>
      </c>
      <c r="AK74" s="88">
        <f t="shared" si="21"/>
        <v>2.7085092833766325E-5</v>
      </c>
      <c r="AL74" s="312">
        <f>+AC74/'MWh by month-WgtbyCDH&amp;DayLtHrs'!AC74-1</f>
        <v>-5.2959585579973933E-2</v>
      </c>
      <c r="AM74" s="89">
        <f t="shared" si="41"/>
        <v>188381.56147451859</v>
      </c>
      <c r="AN74" s="93"/>
      <c r="AO74" s="96">
        <f t="shared" si="28"/>
        <v>41.640477416896815</v>
      </c>
      <c r="AP74" s="92">
        <f t="shared" si="27"/>
        <v>3.3401452473446644E-3</v>
      </c>
      <c r="AR74" s="94">
        <f t="shared" si="42"/>
        <v>7.0399391994174455E-3</v>
      </c>
      <c r="AS74" s="95">
        <v>408735.92382140399</v>
      </c>
      <c r="AU74" s="141">
        <v>87.764575352737495</v>
      </c>
    </row>
    <row r="75" spans="1:47">
      <c r="A75" s="78">
        <v>2010</v>
      </c>
      <c r="B75" s="78">
        <v>11</v>
      </c>
      <c r="C75" s="317">
        <v>78.039164038250874</v>
      </c>
      <c r="D75" s="318">
        <f t="shared" si="32"/>
        <v>3.8268987020380743E-2</v>
      </c>
      <c r="E75" s="321">
        <f>$D75*'MWh Impact Summary'!B$16</f>
        <v>32494.442164799548</v>
      </c>
      <c r="F75" s="319">
        <f>$D75*'MWh Impact Summary'!N$16</f>
        <v>1042.7169431884674</v>
      </c>
      <c r="G75" s="319">
        <f>$D75*'MWh Impact Summary'!C$16</f>
        <v>26634.898191035652</v>
      </c>
      <c r="H75" s="319">
        <f>$D75*'MWh Impact Summary'!D$16</f>
        <v>27.167069768920292</v>
      </c>
      <c r="I75" s="319">
        <f>$D75*'MWh Impact Summary'!E$16</f>
        <v>11856.582832653054</v>
      </c>
      <c r="J75" s="104">
        <f t="shared" si="43"/>
        <v>72055.807201445641</v>
      </c>
      <c r="K75" s="298">
        <f t="shared" si="18"/>
        <v>13.15</v>
      </c>
      <c r="L75" s="299">
        <f t="shared" si="33"/>
        <v>9.2573037662794788E-2</v>
      </c>
      <c r="M75" s="297">
        <f>(30/365)</f>
        <v>8.2191780821917804E-2</v>
      </c>
      <c r="N75" s="304">
        <f>$L75*'MWh Impact Summary'!F$16</f>
        <v>35698.70534309723</v>
      </c>
      <c r="O75" s="304">
        <f>$L75*'MWh Impact Summary'!G$16</f>
        <v>0</v>
      </c>
      <c r="P75" s="304">
        <f>$M75*'MWh Impact Summary'!H$16</f>
        <v>608.72911093361256</v>
      </c>
      <c r="Q75" s="304">
        <f>$M75*'MWh Impact Summary'!I$16</f>
        <v>562.11819525078226</v>
      </c>
      <c r="R75" s="304">
        <f>$M75*'MWh Impact Summary'!J$16</f>
        <v>5701.5561281033288</v>
      </c>
      <c r="S75" s="304">
        <f>$M75*'MWh Impact Summary'!K$16</f>
        <v>0</v>
      </c>
      <c r="T75" s="304">
        <f>$M75*'MWh Impact Summary'!L$16</f>
        <v>0</v>
      </c>
      <c r="U75" s="304">
        <f>$M75*'MWh Impact Summary'!M$16</f>
        <v>0</v>
      </c>
      <c r="V75" s="304">
        <f>$L75*'LED Impact Forecast'!$H$17+$D75*'LED Impact Forecast'!$J$17</f>
        <v>0</v>
      </c>
      <c r="W75" s="304">
        <f>$L75*'CFL Impact Forecast'!$H$17+$D75*'CFL Impact Forecast'!$J$17</f>
        <v>181579.64832371453</v>
      </c>
      <c r="X75" s="304">
        <f>$L75*'EISA Incand Impact Forecast'!$G$17+$D75*'EISA Incand Impact Forecast'!$I$17</f>
        <v>0</v>
      </c>
      <c r="Y75" s="85">
        <f t="shared" si="35"/>
        <v>224150.75710109947</v>
      </c>
      <c r="Z75" s="81">
        <f t="shared" si="36"/>
        <v>296206.5643025451</v>
      </c>
      <c r="AA75" s="81"/>
      <c r="AB75" s="81">
        <f>+'MWh by mo-WgtbyActulCDH&amp;Days'!AB75</f>
        <v>4525048</v>
      </c>
      <c r="AC75" s="308">
        <f t="shared" si="44"/>
        <v>65.459319835401757</v>
      </c>
      <c r="AD75" s="309">
        <f t="shared" si="37"/>
        <v>15.923766378046297</v>
      </c>
      <c r="AE75" s="107">
        <f t="shared" si="38"/>
        <v>1.2109328044141669E-3</v>
      </c>
      <c r="AF75" s="309">
        <f t="shared" si="45"/>
        <v>49.535553457355469</v>
      </c>
      <c r="AG75" s="107">
        <f t="shared" si="39"/>
        <v>3.7669622401030772E-3</v>
      </c>
      <c r="AH75" s="119">
        <f t="shared" si="46"/>
        <v>4.9778950445172436E-3</v>
      </c>
      <c r="AI75" s="122">
        <f t="shared" si="40"/>
        <v>4.9778950445172436E-3</v>
      </c>
      <c r="AJ75" s="87" t="b">
        <f t="shared" si="47"/>
        <v>1</v>
      </c>
      <c r="AK75" s="88">
        <f t="shared" si="21"/>
        <v>5.4555179702164575E-4</v>
      </c>
      <c r="AL75" s="312">
        <f>+AC75/'MWh by month-WgtbyCDH&amp;DayLtHrs'!AC75-1</f>
        <v>-6.1907828530392117E-2</v>
      </c>
      <c r="AM75" s="89">
        <f t="shared" si="41"/>
        <v>181579.64832371453</v>
      </c>
      <c r="AN75" s="93"/>
      <c r="AO75" s="96">
        <f t="shared" si="28"/>
        <v>40.12767341334601</v>
      </c>
      <c r="AP75" s="92">
        <f t="shared" si="27"/>
        <v>3.0515340998742212E-3</v>
      </c>
      <c r="AR75" s="94">
        <f t="shared" si="42"/>
        <v>4.9778950445172436E-3</v>
      </c>
      <c r="AS75" s="95">
        <v>314574.29537016101</v>
      </c>
      <c r="AU75" s="141">
        <v>65.459319835401757</v>
      </c>
    </row>
    <row r="76" spans="1:47">
      <c r="A76" s="78">
        <v>2010</v>
      </c>
      <c r="B76" s="78">
        <v>12</v>
      </c>
      <c r="C76" s="317">
        <v>3.7391387409890919</v>
      </c>
      <c r="D76" s="318">
        <f t="shared" si="32"/>
        <v>1.8336056480074199E-3</v>
      </c>
      <c r="E76" s="321">
        <f>$D76*'MWh Impact Summary'!B$16</f>
        <v>1556.9263082530924</v>
      </c>
      <c r="F76" s="319">
        <f>$D76*'MWh Impact Summary'!N$16</f>
        <v>49.960341915639866</v>
      </c>
      <c r="G76" s="319">
        <f>$D76*'MWh Impact Summary'!C$16</f>
        <v>1276.1743531694792</v>
      </c>
      <c r="H76" s="319">
        <f>$D76*'MWh Impact Summary'!D$16</f>
        <v>1.3016726191778953</v>
      </c>
      <c r="I76" s="319">
        <f>$D76*'MWh Impact Summary'!E$16</f>
        <v>568.09178765150807</v>
      </c>
      <c r="J76" s="104">
        <f t="shared" si="43"/>
        <v>3452.4544636088976</v>
      </c>
      <c r="K76" s="298">
        <f t="shared" si="18"/>
        <v>13.483333333333333</v>
      </c>
      <c r="L76" s="299">
        <f t="shared" si="33"/>
        <v>9.491962923853102E-2</v>
      </c>
      <c r="M76" s="297">
        <f t="shared" si="34"/>
        <v>8.4931506849315067E-2</v>
      </c>
      <c r="N76" s="304">
        <f>$L76*'MWh Impact Summary'!F$16</f>
        <v>36603.615491211225</v>
      </c>
      <c r="O76" s="304">
        <f>$L76*'MWh Impact Summary'!G$16</f>
        <v>0</v>
      </c>
      <c r="P76" s="304">
        <f>$M76*'MWh Impact Summary'!H$16</f>
        <v>629.02008129806632</v>
      </c>
      <c r="Q76" s="304">
        <f>$M76*'MWh Impact Summary'!I$16</f>
        <v>580.85546842580834</v>
      </c>
      <c r="R76" s="304">
        <f>$M76*'MWh Impact Summary'!J$16</f>
        <v>5891.6079990401058</v>
      </c>
      <c r="S76" s="304">
        <f>$M76*'MWh Impact Summary'!K$16</f>
        <v>0</v>
      </c>
      <c r="T76" s="304">
        <f>$M76*'MWh Impact Summary'!L$16</f>
        <v>0</v>
      </c>
      <c r="U76" s="304">
        <f>$M76*'MWh Impact Summary'!M$16</f>
        <v>0</v>
      </c>
      <c r="V76" s="304">
        <f>$L76*'LED Impact Forecast'!$H$17+$D76*'LED Impact Forecast'!$J$17</f>
        <v>0</v>
      </c>
      <c r="W76" s="304">
        <f>$L76*'CFL Impact Forecast'!$H$17+$D76*'CFL Impact Forecast'!$J$17</f>
        <v>174678.29743668227</v>
      </c>
      <c r="X76" s="304">
        <f>$L76*'EISA Incand Impact Forecast'!$G$17+$D76*'EISA Incand Impact Forecast'!$I$17</f>
        <v>0</v>
      </c>
      <c r="Y76" s="85">
        <f t="shared" si="35"/>
        <v>218383.39647665748</v>
      </c>
      <c r="Z76" s="81">
        <f t="shared" si="36"/>
        <v>221835.85094026639</v>
      </c>
      <c r="AA76" s="81">
        <f>SUM(Z65:Z76)</f>
        <v>4494005.9847322749</v>
      </c>
      <c r="AB76" s="81">
        <f>+'MWh by mo-WgtbyActulCDH&amp;Days'!AB76</f>
        <v>4527028</v>
      </c>
      <c r="AC76" s="308">
        <f t="shared" si="44"/>
        <v>49.002535645961636</v>
      </c>
      <c r="AD76" s="309">
        <f t="shared" si="37"/>
        <v>0.76263156835100154</v>
      </c>
      <c r="AE76" s="107">
        <f t="shared" si="38"/>
        <v>5.6561055749147218E-5</v>
      </c>
      <c r="AF76" s="309">
        <f t="shared" si="45"/>
        <v>48.239904077610625</v>
      </c>
      <c r="AG76" s="107">
        <f t="shared" si="39"/>
        <v>3.577743194878415E-3</v>
      </c>
      <c r="AH76" s="119">
        <f t="shared" si="46"/>
        <v>3.6343042506275622E-3</v>
      </c>
      <c r="AI76" s="122">
        <f t="shared" si="40"/>
        <v>3.6343042506275631E-3</v>
      </c>
      <c r="AJ76" s="87" t="b">
        <f t="shared" si="47"/>
        <v>1</v>
      </c>
      <c r="AK76" s="88">
        <f t="shared" si="21"/>
        <v>-2.4336718708936741E-4</v>
      </c>
      <c r="AL76" s="312">
        <f>+AC76/'MWh by month-WgtbyCDH&amp;DayLtHrs'!AC76-1</f>
        <v>-0.22894838425726471</v>
      </c>
      <c r="AM76" s="89">
        <f t="shared" si="41"/>
        <v>174678.29743668227</v>
      </c>
      <c r="AN76" s="90">
        <f>SUM(AM65:AM76)</f>
        <v>2141886.9768811986</v>
      </c>
      <c r="AO76" s="96">
        <f t="shared" si="28"/>
        <v>38.585645469098552</v>
      </c>
      <c r="AP76" s="92">
        <f t="shared" si="27"/>
        <v>2.8617289593892625E-3</v>
      </c>
      <c r="AR76" s="94">
        <f t="shared" si="42"/>
        <v>3.6343042506275631E-3</v>
      </c>
      <c r="AS76" s="95">
        <v>258947.55583039363</v>
      </c>
      <c r="AU76" s="141">
        <v>49.002535645961636</v>
      </c>
    </row>
    <row r="77" spans="1:47">
      <c r="A77" s="78">
        <v>2011</v>
      </c>
      <c r="B77" s="78">
        <v>1</v>
      </c>
      <c r="C77" s="317">
        <v>13.491678757813682</v>
      </c>
      <c r="D77" s="318">
        <f t="shared" ref="D77:D86" si="48">C77/(SUM(C$77:C$88))</f>
        <v>6.2471758822971154E-3</v>
      </c>
      <c r="E77" s="321">
        <f>$D77*'MWh Impact Summary'!B$17</f>
        <v>6318.6456783116882</v>
      </c>
      <c r="F77" s="319">
        <f>$D77*'MWh Impact Summary'!N$17</f>
        <v>230.51576023345285</v>
      </c>
      <c r="G77" s="319">
        <f>$D77*'MWh Impact Summary'!C$17</f>
        <v>5269.0654111792892</v>
      </c>
      <c r="H77" s="319">
        <f>$D77*'MWh Impact Summary'!D$17</f>
        <v>9.2403118369477788</v>
      </c>
      <c r="I77" s="319">
        <f>$D77*'MWh Impact Summary'!E$17</f>
        <v>2263.2214058352865</v>
      </c>
      <c r="J77" s="104">
        <f t="shared" si="43"/>
        <v>14090.688567396664</v>
      </c>
      <c r="K77" s="298">
        <f t="shared" si="18"/>
        <v>13.3</v>
      </c>
      <c r="L77" s="299">
        <f t="shared" ref="L77:L87" si="49">K77/(SUM(K$77:K$88))</f>
        <v>9.3629003871876101E-2</v>
      </c>
      <c r="M77" s="297">
        <f>(31/365)</f>
        <v>8.4931506849315067E-2</v>
      </c>
      <c r="N77" s="304">
        <f>$L77*'MWh Impact Summary'!F$17</f>
        <v>45596.123475217915</v>
      </c>
      <c r="O77" s="304">
        <f>$L77*'MWh Impact Summary'!G$17</f>
        <v>0</v>
      </c>
      <c r="P77" s="304">
        <f>$M77*'MWh Impact Summary'!H$17</f>
        <v>1310.2888089999105</v>
      </c>
      <c r="Q77" s="304">
        <f>$M77*'MWh Impact Summary'!I$17</f>
        <v>673.45338262313226</v>
      </c>
      <c r="R77" s="304">
        <f>$M77*'MWh Impact Summary'!J$17</f>
        <v>9083.059220915311</v>
      </c>
      <c r="S77" s="304">
        <f>$M77*'MWh Impact Summary'!K$17</f>
        <v>0</v>
      </c>
      <c r="T77" s="304">
        <f>$M77*'MWh Impact Summary'!L$17</f>
        <v>0</v>
      </c>
      <c r="U77" s="304">
        <f>$M77*'MWh Impact Summary'!M$17</f>
        <v>0</v>
      </c>
      <c r="V77" s="304">
        <f>$L77*'LED Impact Forecast'!$H$18+$D77*'LED Impact Forecast'!$J$18</f>
        <v>0</v>
      </c>
      <c r="W77" s="304">
        <f>$L77*'CFL Impact Forecast'!$H$18+$D77*'CFL Impact Forecast'!$J$18</f>
        <v>196011.18681988458</v>
      </c>
      <c r="X77" s="304">
        <f>$L77*'EISA Incand Impact Forecast'!$G$18+$D77*'EISA Incand Impact Forecast'!$I$18</f>
        <v>0</v>
      </c>
      <c r="Y77" s="85">
        <f t="shared" si="35"/>
        <v>252674.11170764084</v>
      </c>
      <c r="Z77" s="81">
        <f t="shared" si="36"/>
        <v>266764.80027503753</v>
      </c>
      <c r="AA77" s="81"/>
      <c r="AB77" s="81">
        <f>+'MWh by mo-WgtbyActulCDH&amp;Days'!AB77</f>
        <v>4533029</v>
      </c>
      <c r="AC77" s="308">
        <f t="shared" si="44"/>
        <v>58.849127211636528</v>
      </c>
      <c r="AD77" s="309">
        <f t="shared" si="37"/>
        <v>3.1084488026431476</v>
      </c>
      <c r="AE77" s="107">
        <f t="shared" si="38"/>
        <v>2.3371795508595096E-4</v>
      </c>
      <c r="AF77" s="309">
        <f t="shared" si="45"/>
        <v>55.740678408993375</v>
      </c>
      <c r="AG77" s="107">
        <f t="shared" si="39"/>
        <v>4.1910284518040129E-3</v>
      </c>
      <c r="AH77" s="119">
        <f t="shared" si="46"/>
        <v>4.4247464068899638E-3</v>
      </c>
      <c r="AI77" s="122">
        <f t="shared" si="40"/>
        <v>4.4247464068899647E-3</v>
      </c>
      <c r="AJ77" s="87" t="b">
        <f t="shared" si="47"/>
        <v>1</v>
      </c>
      <c r="AK77" s="88">
        <f t="shared" si="21"/>
        <v>4.934531865262862E-4</v>
      </c>
      <c r="AL77" s="312">
        <f>+AC77/'MWh by month-WgtbyCDH&amp;DayLtHrs'!AC77-1</f>
        <v>-0.14723508223079884</v>
      </c>
      <c r="AM77" s="89">
        <f t="shared" si="41"/>
        <v>196011.18681988458</v>
      </c>
      <c r="AN77" s="93"/>
      <c r="AO77" s="96">
        <f t="shared" si="28"/>
        <v>43.240664646064381</v>
      </c>
      <c r="AP77" s="92">
        <f t="shared" si="27"/>
        <v>3.2511777929371713E-3</v>
      </c>
      <c r="AR77" s="94">
        <f t="shared" si="42"/>
        <v>4.4247464068899647E-3</v>
      </c>
      <c r="AS77" s="95">
        <v>291644.66337637795</v>
      </c>
      <c r="AU77" s="141">
        <v>58.849127211636528</v>
      </c>
    </row>
    <row r="78" spans="1:47">
      <c r="A78" s="78">
        <v>2011</v>
      </c>
      <c r="B78" s="78">
        <v>2</v>
      </c>
      <c r="C78" s="317">
        <v>42.232191903339995</v>
      </c>
      <c r="D78" s="318">
        <f t="shared" si="48"/>
        <v>1.9555159550644602E-2</v>
      </c>
      <c r="E78" s="321">
        <f>$D78*'MWh Impact Summary'!B$17</f>
        <v>19778.877161681845</v>
      </c>
      <c r="F78" s="319">
        <f>$D78*'MWh Impact Summary'!N$17</f>
        <v>721.56964286489369</v>
      </c>
      <c r="G78" s="319">
        <f>$D78*'MWh Impact Summary'!C$17</f>
        <v>16493.439073866204</v>
      </c>
      <c r="H78" s="319">
        <f>$D78*'MWh Impact Summary'!D$17</f>
        <v>28.924393305664552</v>
      </c>
      <c r="I78" s="319">
        <f>$D78*'MWh Impact Summary'!E$17</f>
        <v>7084.4260708199336</v>
      </c>
      <c r="J78" s="104">
        <f t="shared" si="43"/>
        <v>44107.236342538541</v>
      </c>
      <c r="K78" s="298">
        <f t="shared" si="18"/>
        <v>12.733333333333333</v>
      </c>
      <c r="L78" s="299">
        <f t="shared" si="49"/>
        <v>8.9639798193124468E-2</v>
      </c>
      <c r="M78" s="297">
        <f>(28/365)</f>
        <v>7.6712328767123292E-2</v>
      </c>
      <c r="N78" s="304">
        <f>$L78*'MWh Impact Summary'!F$17</f>
        <v>43653.431497577047</v>
      </c>
      <c r="O78" s="304">
        <f>$L78*'MWh Impact Summary'!G$17</f>
        <v>0</v>
      </c>
      <c r="P78" s="304">
        <f>$M78*'MWh Impact Summary'!H$17</f>
        <v>1183.4866661934677</v>
      </c>
      <c r="Q78" s="304">
        <f>$M78*'MWh Impact Summary'!I$17</f>
        <v>608.28047462734526</v>
      </c>
      <c r="R78" s="304">
        <f>$M78*'MWh Impact Summary'!J$17</f>
        <v>8204.0534898589904</v>
      </c>
      <c r="S78" s="304">
        <f>$M78*'MWh Impact Summary'!K$17</f>
        <v>0</v>
      </c>
      <c r="T78" s="304">
        <f>$M78*'MWh Impact Summary'!L$17</f>
        <v>0</v>
      </c>
      <c r="U78" s="304">
        <f>$M78*'MWh Impact Summary'!M$17</f>
        <v>0</v>
      </c>
      <c r="V78" s="304">
        <f>$L78*'LED Impact Forecast'!$H$18+$D78*'LED Impact Forecast'!$J$18</f>
        <v>0</v>
      </c>
      <c r="W78" s="304">
        <f>$L78*'CFL Impact Forecast'!$H$18+$D78*'CFL Impact Forecast'!$J$18</f>
        <v>192382.60311141671</v>
      </c>
      <c r="X78" s="304">
        <f>$L78*'EISA Incand Impact Forecast'!$G$18+$D78*'EISA Incand Impact Forecast'!$I$18</f>
        <v>0</v>
      </c>
      <c r="Y78" s="85">
        <f t="shared" si="35"/>
        <v>246031.85523967358</v>
      </c>
      <c r="Z78" s="81">
        <f t="shared" si="36"/>
        <v>290139.09158221213</v>
      </c>
      <c r="AA78" s="81"/>
      <c r="AB78" s="81">
        <f>+'MWh by mo-WgtbyActulCDH&amp;Days'!AB78</f>
        <v>4539389</v>
      </c>
      <c r="AC78" s="308">
        <f t="shared" si="44"/>
        <v>63.915890791076102</v>
      </c>
      <c r="AD78" s="309">
        <f t="shared" si="37"/>
        <v>9.7165579646376514</v>
      </c>
      <c r="AE78" s="107">
        <f t="shared" si="38"/>
        <v>7.6308046842704072E-4</v>
      </c>
      <c r="AF78" s="309">
        <f t="shared" si="45"/>
        <v>54.199332826438443</v>
      </c>
      <c r="AG78" s="107">
        <f t="shared" si="39"/>
        <v>4.25649210678836E-3</v>
      </c>
      <c r="AH78" s="119">
        <f t="shared" si="46"/>
        <v>5.0195725752154004E-3</v>
      </c>
      <c r="AI78" s="122">
        <f t="shared" si="40"/>
        <v>5.0195725752154004E-3</v>
      </c>
      <c r="AJ78" s="87" t="b">
        <f t="shared" si="47"/>
        <v>1</v>
      </c>
      <c r="AK78" s="88">
        <f t="shared" si="21"/>
        <v>1.309075595537436E-3</v>
      </c>
      <c r="AL78" s="312">
        <f>+AC78/'MWh by month-WgtbyCDH&amp;DayLtHrs'!AC78-1</f>
        <v>-6.8506450565635646E-2</v>
      </c>
      <c r="AM78" s="89">
        <f t="shared" si="41"/>
        <v>192382.60311141671</v>
      </c>
      <c r="AN78" s="93"/>
      <c r="AO78" s="96">
        <f t="shared" si="28"/>
        <v>42.380726373398872</v>
      </c>
      <c r="AP78" s="92">
        <f t="shared" si="27"/>
        <v>3.3283292963402259E-3</v>
      </c>
      <c r="AR78" s="94">
        <f t="shared" si="42"/>
        <v>5.0195725752154004E-3</v>
      </c>
      <c r="AS78" s="95">
        <v>271269.7836528655</v>
      </c>
      <c r="AU78" s="141">
        <v>63.915890791076102</v>
      </c>
    </row>
    <row r="79" spans="1:47">
      <c r="A79" s="78">
        <v>2011</v>
      </c>
      <c r="B79" s="78">
        <v>3</v>
      </c>
      <c r="C79" s="317">
        <v>79.005671513658825</v>
      </c>
      <c r="D79" s="318">
        <f t="shared" si="48"/>
        <v>3.6582721431828627E-2</v>
      </c>
      <c r="E79" s="321">
        <f>$D79*'MWh Impact Summary'!B$17</f>
        <v>37001.240085321275</v>
      </c>
      <c r="F79" s="319">
        <f>$D79*'MWh Impact Summary'!N$17</f>
        <v>1349.8729667853997</v>
      </c>
      <c r="G79" s="319">
        <f>$D79*'MWh Impact Summary'!C$17</f>
        <v>30855.022457344032</v>
      </c>
      <c r="H79" s="319">
        <f>$D79*'MWh Impact Summary'!D$17</f>
        <v>54.11017077847854</v>
      </c>
      <c r="I79" s="319">
        <f>$D79*'MWh Impact Summary'!E$17</f>
        <v>13253.156272235419</v>
      </c>
      <c r="J79" s="104">
        <f t="shared" si="43"/>
        <v>82513.401952464599</v>
      </c>
      <c r="K79" s="298">
        <f t="shared" si="18"/>
        <v>12</v>
      </c>
      <c r="L79" s="299">
        <f t="shared" si="49"/>
        <v>8.4477296726504739E-2</v>
      </c>
      <c r="M79" s="297">
        <f t="shared" ref="M79:M88" si="50">(31/365)</f>
        <v>8.4931506849315067E-2</v>
      </c>
      <c r="N79" s="304">
        <f>$L79*'MWh Impact Summary'!F$17</f>
        <v>41139.359526512402</v>
      </c>
      <c r="O79" s="304">
        <f>$L79*'MWh Impact Summary'!G$17</f>
        <v>0</v>
      </c>
      <c r="P79" s="304">
        <f>$M79*'MWh Impact Summary'!H$17</f>
        <v>1310.2888089999105</v>
      </c>
      <c r="Q79" s="304">
        <f>$M79*'MWh Impact Summary'!I$17</f>
        <v>673.45338262313226</v>
      </c>
      <c r="R79" s="304">
        <f>$M79*'MWh Impact Summary'!J$17</f>
        <v>9083.059220915311</v>
      </c>
      <c r="S79" s="304">
        <f>$M79*'MWh Impact Summary'!K$17</f>
        <v>0</v>
      </c>
      <c r="T79" s="304">
        <f>$M79*'MWh Impact Summary'!L$17</f>
        <v>0</v>
      </c>
      <c r="U79" s="304">
        <f>$M79*'MWh Impact Summary'!M$17</f>
        <v>0</v>
      </c>
      <c r="V79" s="304">
        <f>$L79*'LED Impact Forecast'!$H$18+$D79*'LED Impact Forecast'!$J$18</f>
        <v>0</v>
      </c>
      <c r="W79" s="304">
        <f>$L79*'CFL Impact Forecast'!$H$18+$D79*'CFL Impact Forecast'!$J$18</f>
        <v>187619.10568895654</v>
      </c>
      <c r="X79" s="304">
        <f>$L79*'EISA Incand Impact Forecast'!$G$18+$D79*'EISA Incand Impact Forecast'!$I$18</f>
        <v>0</v>
      </c>
      <c r="Y79" s="85">
        <f t="shared" si="35"/>
        <v>239825.26662800729</v>
      </c>
      <c r="Z79" s="81">
        <f t="shared" si="36"/>
        <v>322338.66858047189</v>
      </c>
      <c r="AA79" s="81"/>
      <c r="AB79" s="81">
        <f>+'MWh by mo-WgtbyActulCDH&amp;Days'!AB79</f>
        <v>4546574</v>
      </c>
      <c r="AC79" s="308">
        <f t="shared" si="44"/>
        <v>70.897046563076259</v>
      </c>
      <c r="AD79" s="309">
        <f t="shared" si="37"/>
        <v>18.148478822177886</v>
      </c>
      <c r="AE79" s="107">
        <f t="shared" si="38"/>
        <v>1.5123732351814904E-3</v>
      </c>
      <c r="AF79" s="309">
        <f t="shared" si="45"/>
        <v>52.748567740898373</v>
      </c>
      <c r="AG79" s="107">
        <f t="shared" si="39"/>
        <v>4.3957139784081981E-3</v>
      </c>
      <c r="AH79" s="119">
        <f t="shared" si="46"/>
        <v>5.9080872135896887E-3</v>
      </c>
      <c r="AI79" s="122">
        <f t="shared" si="40"/>
        <v>5.9080872135896878E-3</v>
      </c>
      <c r="AJ79" s="87" t="b">
        <f t="shared" si="47"/>
        <v>1</v>
      </c>
      <c r="AK79" s="88">
        <f t="shared" si="21"/>
        <v>2.0119420314916115E-3</v>
      </c>
      <c r="AL79" s="312">
        <f>+AC79/'MWh by month-WgtbyCDH&amp;DayLtHrs'!AC79-1</f>
        <v>-2.4298739733869423E-2</v>
      </c>
      <c r="AM79" s="89">
        <f t="shared" si="41"/>
        <v>187619.10568895654</v>
      </c>
      <c r="AN79" s="93"/>
      <c r="AO79" s="96">
        <f t="shared" si="28"/>
        <v>41.26604025117738</v>
      </c>
      <c r="AP79" s="92">
        <f t="shared" si="27"/>
        <v>3.438836687598115E-3</v>
      </c>
      <c r="AR79" s="94">
        <f t="shared" si="42"/>
        <v>5.9080872135896878E-3</v>
      </c>
      <c r="AS79" s="95">
        <v>329734.12848243071</v>
      </c>
      <c r="AU79" s="141">
        <v>70.897046563076259</v>
      </c>
    </row>
    <row r="80" spans="1:47">
      <c r="A80" s="78">
        <v>2011</v>
      </c>
      <c r="B80" s="78">
        <v>4</v>
      </c>
      <c r="C80" s="317">
        <v>190.37241736512024</v>
      </c>
      <c r="D80" s="318">
        <f t="shared" si="48"/>
        <v>8.814988822122706E-2</v>
      </c>
      <c r="E80" s="321">
        <f>$D80*'MWh Impact Summary'!B$17</f>
        <v>89158.352629557747</v>
      </c>
      <c r="F80" s="319">
        <f>$D80*'MWh Impact Summary'!N$17</f>
        <v>3252.6599027556613</v>
      </c>
      <c r="G80" s="319">
        <f>$D80*'MWh Impact Summary'!C$17</f>
        <v>74348.39930503146</v>
      </c>
      <c r="H80" s="319">
        <f>$D80*'MWh Impact Summary'!D$17</f>
        <v>130.38410809985402</v>
      </c>
      <c r="I80" s="319">
        <f>$D80*'MWh Impact Summary'!E$17</f>
        <v>31934.864281572107</v>
      </c>
      <c r="J80" s="104">
        <f t="shared" si="43"/>
        <v>198824.66022701684</v>
      </c>
      <c r="K80" s="298">
        <f t="shared" si="18"/>
        <v>11.2</v>
      </c>
      <c r="L80" s="299">
        <f t="shared" si="49"/>
        <v>7.8845476944737758E-2</v>
      </c>
      <c r="M80" s="297">
        <f>(30/365)</f>
        <v>8.2191780821917804E-2</v>
      </c>
      <c r="N80" s="304">
        <f>$L80*'MWh Impact Summary'!F$17</f>
        <v>38396.735558078239</v>
      </c>
      <c r="O80" s="304">
        <f>$L80*'MWh Impact Summary'!G$17</f>
        <v>0</v>
      </c>
      <c r="P80" s="304">
        <f>$M80*'MWh Impact Summary'!H$17</f>
        <v>1268.0214280644295</v>
      </c>
      <c r="Q80" s="304">
        <f>$M80*'MWh Impact Summary'!I$17</f>
        <v>651.72907995786989</v>
      </c>
      <c r="R80" s="304">
        <f>$M80*'MWh Impact Summary'!J$17</f>
        <v>8790.0573105632047</v>
      </c>
      <c r="S80" s="304">
        <f>$M80*'MWh Impact Summary'!K$17</f>
        <v>0</v>
      </c>
      <c r="T80" s="304">
        <f>$M80*'MWh Impact Summary'!L$17</f>
        <v>0</v>
      </c>
      <c r="U80" s="304">
        <f>$M80*'MWh Impact Summary'!M$17</f>
        <v>0</v>
      </c>
      <c r="V80" s="304">
        <f>$L80*'LED Impact Forecast'!$H$18+$D80*'LED Impact Forecast'!$J$18</f>
        <v>0</v>
      </c>
      <c r="W80" s="304">
        <f>$L80*'CFL Impact Forecast'!$H$18+$D80*'CFL Impact Forecast'!$J$18</f>
        <v>193901.13865728161</v>
      </c>
      <c r="X80" s="304">
        <f>$L80*'EISA Incand Impact Forecast'!$G$18+$D80*'EISA Incand Impact Forecast'!$I$18</f>
        <v>0</v>
      </c>
      <c r="Y80" s="85">
        <f t="shared" si="35"/>
        <v>243007.68203394534</v>
      </c>
      <c r="Z80" s="81">
        <f t="shared" si="36"/>
        <v>441832.34226096218</v>
      </c>
      <c r="AA80" s="81"/>
      <c r="AB80" s="81">
        <f>+'MWh by mo-WgtbyActulCDH&amp;Days'!AB80</f>
        <v>4550254</v>
      </c>
      <c r="AC80" s="308">
        <f t="shared" si="44"/>
        <v>97.100588727785791</v>
      </c>
      <c r="AD80" s="309">
        <f t="shared" si="37"/>
        <v>43.695288268966266</v>
      </c>
      <c r="AE80" s="107">
        <f t="shared" si="38"/>
        <v>3.9013650240148456E-3</v>
      </c>
      <c r="AF80" s="309">
        <f t="shared" si="45"/>
        <v>53.405300458819518</v>
      </c>
      <c r="AG80" s="107">
        <f t="shared" si="39"/>
        <v>4.7683303981088864E-3</v>
      </c>
      <c r="AH80" s="119">
        <f t="shared" si="46"/>
        <v>8.6696954221237316E-3</v>
      </c>
      <c r="AI80" s="122">
        <f t="shared" si="40"/>
        <v>8.6696954221237316E-3</v>
      </c>
      <c r="AJ80" s="87" t="b">
        <f t="shared" si="47"/>
        <v>1</v>
      </c>
      <c r="AK80" s="88">
        <f t="shared" si="21"/>
        <v>3.1866685211423247E-3</v>
      </c>
      <c r="AL80" s="312">
        <f>+AC80/'MWh by month-WgtbyCDH&amp;DayLtHrs'!AC80-1</f>
        <v>0.19178018726519008</v>
      </c>
      <c r="AM80" s="89">
        <f t="shared" si="41"/>
        <v>193901.13865728161</v>
      </c>
      <c r="AN80" s="93"/>
      <c r="AO80" s="96">
        <f t="shared" si="28"/>
        <v>42.613256019835731</v>
      </c>
      <c r="AP80" s="92">
        <f t="shared" si="27"/>
        <v>3.8047550017710477E-3</v>
      </c>
      <c r="AR80" s="94">
        <f t="shared" si="42"/>
        <v>8.6696954221237316E-3</v>
      </c>
      <c r="AS80" s="95">
        <v>389711.18757361744</v>
      </c>
      <c r="AU80" s="141">
        <v>97.100588727785791</v>
      </c>
    </row>
    <row r="81" spans="1:47">
      <c r="A81" s="78">
        <v>2011</v>
      </c>
      <c r="B81" s="78">
        <v>5</v>
      </c>
      <c r="C81" s="317">
        <v>242.30649337743392</v>
      </c>
      <c r="D81" s="318">
        <f t="shared" si="48"/>
        <v>0.11219740024382185</v>
      </c>
      <c r="E81" s="321">
        <f>$D81*'MWh Impact Summary'!B$17</f>
        <v>113480.97628840135</v>
      </c>
      <c r="F81" s="319">
        <f>$D81*'MWh Impact Summary'!N$17</f>
        <v>4139.9937348828953</v>
      </c>
      <c r="G81" s="319">
        <f>$D81*'MWh Impact Summary'!C$17</f>
        <v>94630.830312333477</v>
      </c>
      <c r="H81" s="319">
        <f>$D81*'MWh Impact Summary'!D$17</f>
        <v>165.95322191673927</v>
      </c>
      <c r="I81" s="319">
        <f>$D81*'MWh Impact Summary'!E$17</f>
        <v>40646.775870430029</v>
      </c>
      <c r="J81" s="104">
        <f t="shared" si="43"/>
        <v>253064.5294279645</v>
      </c>
      <c r="K81" s="298">
        <f t="shared" si="18"/>
        <v>10.533333333333333</v>
      </c>
      <c r="L81" s="299">
        <f t="shared" si="49"/>
        <v>7.4152293793265281E-2</v>
      </c>
      <c r="M81" s="297">
        <f t="shared" si="50"/>
        <v>8.4931506849315067E-2</v>
      </c>
      <c r="N81" s="304">
        <f>$L81*'MWh Impact Summary'!F$17</f>
        <v>36111.215584383113</v>
      </c>
      <c r="O81" s="304">
        <f>$L81*'MWh Impact Summary'!G$17</f>
        <v>0</v>
      </c>
      <c r="P81" s="304">
        <f>$M81*'MWh Impact Summary'!H$17</f>
        <v>1310.2888089999105</v>
      </c>
      <c r="Q81" s="304">
        <f>$M81*'MWh Impact Summary'!I$17</f>
        <v>673.45338262313226</v>
      </c>
      <c r="R81" s="304">
        <f>$M81*'MWh Impact Summary'!J$17</f>
        <v>9083.059220915311</v>
      </c>
      <c r="S81" s="304">
        <f>$M81*'MWh Impact Summary'!K$17</f>
        <v>0</v>
      </c>
      <c r="T81" s="304">
        <f>$M81*'MWh Impact Summary'!L$17</f>
        <v>0</v>
      </c>
      <c r="U81" s="304">
        <f>$M81*'MWh Impact Summary'!M$17</f>
        <v>0</v>
      </c>
      <c r="V81" s="304">
        <f>$L81*'LED Impact Forecast'!$H$18+$D81*'LED Impact Forecast'!$J$18</f>
        <v>0</v>
      </c>
      <c r="W81" s="304">
        <f>$L81*'CFL Impact Forecast'!$H$18+$D81*'CFL Impact Forecast'!$J$18</f>
        <v>192551.66564335022</v>
      </c>
      <c r="X81" s="304">
        <f>$L81*'EISA Incand Impact Forecast'!$G$18+$D81*'EISA Incand Impact Forecast'!$I$18</f>
        <v>0</v>
      </c>
      <c r="Y81" s="85">
        <f t="shared" si="35"/>
        <v>239729.6826402717</v>
      </c>
      <c r="Z81" s="81">
        <f t="shared" si="36"/>
        <v>492794.2120682362</v>
      </c>
      <c r="AA81" s="81"/>
      <c r="AB81" s="81">
        <f>+'MWh by mo-WgtbyActulCDH&amp;Days'!AB81</f>
        <v>4549811</v>
      </c>
      <c r="AC81" s="308">
        <f t="shared" si="44"/>
        <v>108.31091930373287</v>
      </c>
      <c r="AD81" s="309">
        <f t="shared" si="37"/>
        <v>55.620888302385417</v>
      </c>
      <c r="AE81" s="107">
        <f t="shared" si="38"/>
        <v>5.2804640793403879E-3</v>
      </c>
      <c r="AF81" s="309">
        <f t="shared" si="45"/>
        <v>52.690031001347464</v>
      </c>
      <c r="AG81" s="107">
        <f t="shared" si="39"/>
        <v>5.0022181330393167E-3</v>
      </c>
      <c r="AH81" s="119">
        <f t="shared" si="46"/>
        <v>1.0282682212379705E-2</v>
      </c>
      <c r="AI81" s="122">
        <f t="shared" si="40"/>
        <v>1.0282682212379702E-2</v>
      </c>
      <c r="AJ81" s="87" t="b">
        <f t="shared" si="47"/>
        <v>1</v>
      </c>
      <c r="AK81" s="88">
        <f t="shared" si="21"/>
        <v>9.2209506862771413E-4</v>
      </c>
      <c r="AL81" s="312">
        <f>+AC81/'MWh by month-WgtbyCDH&amp;DayLtHrs'!AC81-1</f>
        <v>5.8768859375394999E-2</v>
      </c>
      <c r="AM81" s="89">
        <f t="shared" si="41"/>
        <v>192551.66564335022</v>
      </c>
      <c r="AN81" s="93"/>
      <c r="AO81" s="96">
        <f t="shared" si="28"/>
        <v>42.320805335287602</v>
      </c>
      <c r="AP81" s="92">
        <f t="shared" si="27"/>
        <v>4.0177979748690761E-3</v>
      </c>
      <c r="AR81" s="94">
        <f t="shared" si="42"/>
        <v>1.0282682212379702E-2</v>
      </c>
      <c r="AS81" s="95">
        <v>471746.54588684964</v>
      </c>
      <c r="AU81" s="141">
        <v>108.31091930373287</v>
      </c>
    </row>
    <row r="82" spans="1:47">
      <c r="A82" s="78">
        <v>2011</v>
      </c>
      <c r="B82" s="78">
        <v>6</v>
      </c>
      <c r="C82" s="317">
        <v>304.55790465228421</v>
      </c>
      <c r="D82" s="318">
        <f t="shared" si="48"/>
        <v>0.14102224273645644</v>
      </c>
      <c r="E82" s="321">
        <f>$D82*'MWh Impact Summary'!B$17</f>
        <v>142635.5846867692</v>
      </c>
      <c r="F82" s="319">
        <f>$D82*'MWh Impact Summary'!N$17</f>
        <v>5203.6072149560632</v>
      </c>
      <c r="G82" s="319">
        <f>$D82*'MWh Impact Summary'!C$17</f>
        <v>118942.61269563736</v>
      </c>
      <c r="H82" s="319">
        <f>$D82*'MWh Impact Summary'!D$17</f>
        <v>208.58857240168646</v>
      </c>
      <c r="I82" s="319">
        <f>$D82*'MWh Impact Summary'!E$17</f>
        <v>51089.414556820462</v>
      </c>
      <c r="J82" s="104">
        <f t="shared" si="43"/>
        <v>318079.80772658478</v>
      </c>
      <c r="K82" s="298">
        <f t="shared" ref="K82:K145" si="51">+K70</f>
        <v>10.199999999999999</v>
      </c>
      <c r="L82" s="299">
        <f t="shared" si="49"/>
        <v>7.1805702217529022E-2</v>
      </c>
      <c r="M82" s="297">
        <f>(30/365)</f>
        <v>8.2191780821917804E-2</v>
      </c>
      <c r="N82" s="304">
        <f>$L82*'MWh Impact Summary'!F$17</f>
        <v>34968.45559753554</v>
      </c>
      <c r="O82" s="304">
        <f>$L82*'MWh Impact Summary'!G$17</f>
        <v>0</v>
      </c>
      <c r="P82" s="304">
        <f>$M82*'MWh Impact Summary'!H$17</f>
        <v>1268.0214280644295</v>
      </c>
      <c r="Q82" s="304">
        <f>$M82*'MWh Impact Summary'!I$17</f>
        <v>651.72907995786989</v>
      </c>
      <c r="R82" s="304">
        <f>$M82*'MWh Impact Summary'!J$17</f>
        <v>8790.0573105632047</v>
      </c>
      <c r="S82" s="304">
        <f>$M82*'MWh Impact Summary'!K$17</f>
        <v>0</v>
      </c>
      <c r="T82" s="304">
        <f>$M82*'MWh Impact Summary'!L$17</f>
        <v>0</v>
      </c>
      <c r="U82" s="304">
        <f>$M82*'MWh Impact Summary'!M$17</f>
        <v>0</v>
      </c>
      <c r="V82" s="304">
        <f>$L82*'LED Impact Forecast'!$H$18+$D82*'LED Impact Forecast'!$J$18</f>
        <v>0</v>
      </c>
      <c r="W82" s="304">
        <f>$L82*'CFL Impact Forecast'!$H$18+$D82*'CFL Impact Forecast'!$J$18</f>
        <v>197722.42556614234</v>
      </c>
      <c r="X82" s="304">
        <f>$L82*'EISA Incand Impact Forecast'!$G$18+$D82*'EISA Incand Impact Forecast'!$I$18</f>
        <v>0</v>
      </c>
      <c r="Y82" s="85">
        <f t="shared" si="35"/>
        <v>243400.68898226338</v>
      </c>
      <c r="Z82" s="81">
        <f t="shared" si="36"/>
        <v>561480.49670884816</v>
      </c>
      <c r="AA82" s="81"/>
      <c r="AB82" s="81">
        <f>+'MWh by mo-WgtbyActulCDH&amp;Days'!AB82</f>
        <v>4549338</v>
      </c>
      <c r="AC82" s="308">
        <f t="shared" si="44"/>
        <v>123.42026393924745</v>
      </c>
      <c r="AD82" s="309">
        <f t="shared" si="37"/>
        <v>69.917822708839125</v>
      </c>
      <c r="AE82" s="107">
        <f t="shared" si="38"/>
        <v>6.8546885008665811E-3</v>
      </c>
      <c r="AF82" s="309">
        <f t="shared" si="45"/>
        <v>53.50244123040833</v>
      </c>
      <c r="AG82" s="107">
        <f t="shared" si="39"/>
        <v>5.2453373755302285E-3</v>
      </c>
      <c r="AH82" s="119">
        <f t="shared" si="46"/>
        <v>1.210002587639681E-2</v>
      </c>
      <c r="AI82" s="122">
        <f t="shared" si="40"/>
        <v>1.210002587639681E-2</v>
      </c>
      <c r="AJ82" s="87" t="b">
        <f t="shared" si="47"/>
        <v>1</v>
      </c>
      <c r="AK82" s="88">
        <f t="shared" si="21"/>
        <v>1.6321759034827223E-4</v>
      </c>
      <c r="AL82" s="312">
        <f>+AC82/'MWh by month-WgtbyCDH&amp;DayLtHrs'!AC82-1</f>
        <v>5.7191980267083276E-2</v>
      </c>
      <c r="AM82" s="89">
        <f t="shared" si="41"/>
        <v>197722.42556614234</v>
      </c>
      <c r="AN82" s="93"/>
      <c r="AO82" s="96">
        <f t="shared" si="28"/>
        <v>43.461801599736567</v>
      </c>
      <c r="AP82" s="92">
        <f t="shared" si="27"/>
        <v>4.2609609411506447E-3</v>
      </c>
      <c r="AR82" s="94">
        <f t="shared" si="42"/>
        <v>1.210002587639681E-2</v>
      </c>
      <c r="AS82" s="95">
        <v>578320.56171354384</v>
      </c>
      <c r="AU82" s="141">
        <v>123.42026393924745</v>
      </c>
    </row>
    <row r="83" spans="1:47">
      <c r="A83" s="78">
        <v>2011</v>
      </c>
      <c r="B83" s="78">
        <v>7</v>
      </c>
      <c r="C83" s="317">
        <v>355.81307292026935</v>
      </c>
      <c r="D83" s="318">
        <f t="shared" si="48"/>
        <v>0.16475539387314461</v>
      </c>
      <c r="E83" s="321">
        <f>$D83*'MWh Impact Summary'!B$17</f>
        <v>166640.2510653011</v>
      </c>
      <c r="F83" s="319">
        <f>$D83*'MWh Impact Summary'!N$17</f>
        <v>6079.341383496464</v>
      </c>
      <c r="G83" s="319">
        <f>$D83*'MWh Impact Summary'!C$17</f>
        <v>138959.90180494159</v>
      </c>
      <c r="H83" s="319">
        <f>$D83*'MWh Impact Summary'!D$17</f>
        <v>243.69270929622385</v>
      </c>
      <c r="I83" s="319">
        <f>$D83*'MWh Impact Summary'!E$17</f>
        <v>59687.439759326218</v>
      </c>
      <c r="J83" s="104">
        <f t="shared" si="43"/>
        <v>371610.6267223616</v>
      </c>
      <c r="K83" s="298">
        <f t="shared" si="51"/>
        <v>10.366666666666667</v>
      </c>
      <c r="L83" s="299">
        <f t="shared" si="49"/>
        <v>7.2978998005397158E-2</v>
      </c>
      <c r="M83" s="297">
        <f t="shared" si="50"/>
        <v>8.4931506849315067E-2</v>
      </c>
      <c r="N83" s="304">
        <f>$L83*'MWh Impact Summary'!F$17</f>
        <v>35539.83559095933</v>
      </c>
      <c r="O83" s="304">
        <f>$L83*'MWh Impact Summary'!G$17</f>
        <v>0</v>
      </c>
      <c r="P83" s="304">
        <f>$M83*'MWh Impact Summary'!H$17</f>
        <v>1310.2888089999105</v>
      </c>
      <c r="Q83" s="304">
        <f>$M83*'MWh Impact Summary'!I$17</f>
        <v>673.45338262313226</v>
      </c>
      <c r="R83" s="304">
        <f>$M83*'MWh Impact Summary'!J$17</f>
        <v>9083.059220915311</v>
      </c>
      <c r="S83" s="304">
        <f>$M83*'MWh Impact Summary'!K$17</f>
        <v>0</v>
      </c>
      <c r="T83" s="304">
        <f>$M83*'MWh Impact Summary'!L$17</f>
        <v>0</v>
      </c>
      <c r="U83" s="304">
        <f>$M83*'MWh Impact Summary'!M$17</f>
        <v>0</v>
      </c>
      <c r="V83" s="304">
        <f>$L83*'LED Impact Forecast'!$H$18+$D83*'LED Impact Forecast'!$J$18</f>
        <v>0</v>
      </c>
      <c r="W83" s="304">
        <f>$L83*'CFL Impact Forecast'!$H$18+$D83*'CFL Impact Forecast'!$J$18</f>
        <v>208408.79487070098</v>
      </c>
      <c r="X83" s="304">
        <f>$L83*'EISA Incand Impact Forecast'!$G$18+$D83*'EISA Incand Impact Forecast'!$I$18</f>
        <v>0</v>
      </c>
      <c r="Y83" s="85">
        <f t="shared" si="35"/>
        <v>255015.43187419866</v>
      </c>
      <c r="Z83" s="81">
        <f t="shared" si="36"/>
        <v>626626.05859656027</v>
      </c>
      <c r="AA83" s="81"/>
      <c r="AB83" s="81">
        <f>+'MWh by mo-WgtbyActulCDH&amp;Days'!AB83</f>
        <v>4549687</v>
      </c>
      <c r="AC83" s="308">
        <f t="shared" si="44"/>
        <v>137.72948745629321</v>
      </c>
      <c r="AD83" s="309">
        <f t="shared" si="37"/>
        <v>81.678283961591561</v>
      </c>
      <c r="AE83" s="107">
        <f t="shared" si="38"/>
        <v>7.8789341442049732E-3</v>
      </c>
      <c r="AF83" s="309">
        <f t="shared" si="45"/>
        <v>56.051203494701653</v>
      </c>
      <c r="AG83" s="107">
        <f t="shared" si="39"/>
        <v>5.4068685043120561E-3</v>
      </c>
      <c r="AH83" s="119">
        <f t="shared" si="46"/>
        <v>1.3285802648517029E-2</v>
      </c>
      <c r="AI83" s="122">
        <f t="shared" si="40"/>
        <v>1.3285802648517029E-2</v>
      </c>
      <c r="AJ83" s="87" t="b">
        <f t="shared" si="47"/>
        <v>1</v>
      </c>
      <c r="AK83" s="88">
        <f t="shared" si="21"/>
        <v>1.2641853265110258E-3</v>
      </c>
      <c r="AL83" s="312">
        <f>+AC83/'MWh by month-WgtbyCDH&amp;DayLtHrs'!AC83-1</f>
        <v>5.7375383269440361E-2</v>
      </c>
      <c r="AM83" s="89">
        <f t="shared" si="41"/>
        <v>208408.79487070098</v>
      </c>
      <c r="AN83" s="93"/>
      <c r="AO83" s="96">
        <f t="shared" si="28"/>
        <v>45.807281879105304</v>
      </c>
      <c r="AP83" s="92">
        <f t="shared" si="27"/>
        <v>4.4187088629362029E-3</v>
      </c>
      <c r="AR83" s="94">
        <f t="shared" si="42"/>
        <v>1.3285802648517029E-2</v>
      </c>
      <c r="AS83" s="95">
        <v>609448.78170354979</v>
      </c>
      <c r="AU83" s="141">
        <v>137.72948745629321</v>
      </c>
    </row>
    <row r="84" spans="1:47">
      <c r="A84" s="78">
        <v>2011</v>
      </c>
      <c r="B84" s="78">
        <v>8</v>
      </c>
      <c r="C84" s="317">
        <v>342.38255905344039</v>
      </c>
      <c r="D84" s="318">
        <f t="shared" si="48"/>
        <v>0.15853653973187484</v>
      </c>
      <c r="E84" s="321">
        <f>$D84*'MWh Impact Summary'!B$17</f>
        <v>160350.25113827229</v>
      </c>
      <c r="F84" s="319">
        <f>$D84*'MWh Impact Summary'!N$17</f>
        <v>5849.8706727040799</v>
      </c>
      <c r="G84" s="319">
        <f>$D84*'MWh Impact Summary'!C$17</f>
        <v>133714.72384448294</v>
      </c>
      <c r="H84" s="319">
        <f>$D84*'MWh Impact Summary'!D$17</f>
        <v>234.49428866320383</v>
      </c>
      <c r="I84" s="319">
        <f>$D84*'MWh Impact Summary'!E$17</f>
        <v>57434.478729019218</v>
      </c>
      <c r="J84" s="104">
        <f t="shared" si="43"/>
        <v>357583.81867314177</v>
      </c>
      <c r="K84" s="298">
        <f t="shared" si="51"/>
        <v>10.933333333333334</v>
      </c>
      <c r="L84" s="299">
        <f t="shared" si="49"/>
        <v>7.6968203684148764E-2</v>
      </c>
      <c r="M84" s="297">
        <f t="shared" si="50"/>
        <v>8.4931506849315067E-2</v>
      </c>
      <c r="N84" s="304">
        <f>$L84*'MWh Impact Summary'!F$17</f>
        <v>37482.527568600191</v>
      </c>
      <c r="O84" s="304">
        <f>$L84*'MWh Impact Summary'!G$17</f>
        <v>0</v>
      </c>
      <c r="P84" s="304">
        <f>$M84*'MWh Impact Summary'!H$17</f>
        <v>1310.2888089999105</v>
      </c>
      <c r="Q84" s="304">
        <f>$M84*'MWh Impact Summary'!I$17</f>
        <v>673.45338262313226</v>
      </c>
      <c r="R84" s="304">
        <f>$M84*'MWh Impact Summary'!J$17</f>
        <v>9083.059220915311</v>
      </c>
      <c r="S84" s="304">
        <f>$M84*'MWh Impact Summary'!K$17</f>
        <v>0</v>
      </c>
      <c r="T84" s="304">
        <f>$M84*'MWh Impact Summary'!L$17</f>
        <v>0</v>
      </c>
      <c r="U84" s="304">
        <f>$M84*'MWh Impact Summary'!M$17</f>
        <v>0</v>
      </c>
      <c r="V84" s="304">
        <f>$L84*'LED Impact Forecast'!$H$18+$D84*'LED Impact Forecast'!$J$18</f>
        <v>0</v>
      </c>
      <c r="W84" s="304">
        <f>$L84*'CFL Impact Forecast'!$H$18+$D84*'CFL Impact Forecast'!$J$18</f>
        <v>214503.85486251241</v>
      </c>
      <c r="X84" s="304">
        <f>$L84*'EISA Incand Impact Forecast'!$G$18+$D84*'EISA Incand Impact Forecast'!$I$18</f>
        <v>0</v>
      </c>
      <c r="Y84" s="85">
        <f t="shared" si="35"/>
        <v>263053.18384365097</v>
      </c>
      <c r="Z84" s="81">
        <f t="shared" si="36"/>
        <v>620637.00251679274</v>
      </c>
      <c r="AA84" s="81"/>
      <c r="AB84" s="81">
        <f>+'MWh by mo-WgtbyActulCDH&amp;Days'!AB84</f>
        <v>4550328</v>
      </c>
      <c r="AC84" s="308">
        <f t="shared" si="44"/>
        <v>136.39390446508312</v>
      </c>
      <c r="AD84" s="309">
        <f t="shared" si="37"/>
        <v>78.58418528799281</v>
      </c>
      <c r="AE84" s="107">
        <f t="shared" si="38"/>
        <v>7.1875779226822697E-3</v>
      </c>
      <c r="AF84" s="309">
        <f t="shared" si="45"/>
        <v>57.809719177090301</v>
      </c>
      <c r="AG84" s="107">
        <f t="shared" si="39"/>
        <v>5.2874743149777716E-3</v>
      </c>
      <c r="AH84" s="119">
        <f t="shared" si="46"/>
        <v>1.2475052237660041E-2</v>
      </c>
      <c r="AI84" s="122">
        <f t="shared" si="40"/>
        <v>1.2475052237660041E-2</v>
      </c>
      <c r="AJ84" s="87" t="b">
        <f t="shared" si="47"/>
        <v>1</v>
      </c>
      <c r="AK84" s="88">
        <f t="shared" si="21"/>
        <v>1.1820022510608107E-3</v>
      </c>
      <c r="AL84" s="312">
        <f>+AC84/'MWh by month-WgtbyCDH&amp;DayLtHrs'!AC84-1</f>
        <v>1.9180155580041269E-2</v>
      </c>
      <c r="AM84" s="89">
        <f t="shared" si="41"/>
        <v>214503.85486251241</v>
      </c>
      <c r="AN84" s="93"/>
      <c r="AO84" s="96">
        <f t="shared" si="28"/>
        <v>47.140306119144029</v>
      </c>
      <c r="AP84" s="92">
        <f t="shared" si="27"/>
        <v>4.3116133645558557E-3</v>
      </c>
      <c r="AR84" s="94">
        <f t="shared" si="42"/>
        <v>1.2475052237660041E-2</v>
      </c>
      <c r="AS84" s="95">
        <v>633695.24727322243</v>
      </c>
      <c r="AU84" s="141">
        <v>136.39390446508312</v>
      </c>
    </row>
    <row r="85" spans="1:47">
      <c r="A85" s="78">
        <v>2011</v>
      </c>
      <c r="B85" s="78">
        <v>9</v>
      </c>
      <c r="C85" s="317">
        <v>298.65346555739433</v>
      </c>
      <c r="D85" s="318">
        <f t="shared" si="48"/>
        <v>0.13828825609371001</v>
      </c>
      <c r="E85" s="321">
        <f>$D85*'MWh Impact Summary'!B$17</f>
        <v>139870.32031607896</v>
      </c>
      <c r="F85" s="319">
        <f>$D85*'MWh Impact Summary'!N$17</f>
        <v>5102.7253090685244</v>
      </c>
      <c r="G85" s="319">
        <f>$D85*'MWh Impact Summary'!C$17</f>
        <v>116636.68202787067</v>
      </c>
      <c r="H85" s="319">
        <f>$D85*'MWh Impact Summary'!D$17</f>
        <v>204.54468287256091</v>
      </c>
      <c r="I85" s="319">
        <f>$D85*'MWh Impact Summary'!E$17</f>
        <v>50098.948270979912</v>
      </c>
      <c r="J85" s="104">
        <f t="shared" si="43"/>
        <v>311913.2206068706</v>
      </c>
      <c r="K85" s="298">
        <f t="shared" si="51"/>
        <v>11.683333333333334</v>
      </c>
      <c r="L85" s="299">
        <f t="shared" si="49"/>
        <v>8.2248034729555317E-2</v>
      </c>
      <c r="M85" s="297">
        <f>(30/365)</f>
        <v>8.2191780821917804E-2</v>
      </c>
      <c r="N85" s="304">
        <f>$L85*'MWh Impact Summary'!F$17</f>
        <v>40053.737539007219</v>
      </c>
      <c r="O85" s="304">
        <f>$L85*'MWh Impact Summary'!G$17</f>
        <v>0</v>
      </c>
      <c r="P85" s="304">
        <f>$M85*'MWh Impact Summary'!H$17</f>
        <v>1268.0214280644295</v>
      </c>
      <c r="Q85" s="304">
        <f>$M85*'MWh Impact Summary'!I$17</f>
        <v>651.72907995786989</v>
      </c>
      <c r="R85" s="304">
        <f>$M85*'MWh Impact Summary'!J$17</f>
        <v>8790.0573105632047</v>
      </c>
      <c r="S85" s="304">
        <f>$M85*'MWh Impact Summary'!K$17</f>
        <v>0</v>
      </c>
      <c r="T85" s="304">
        <f>$M85*'MWh Impact Summary'!L$17</f>
        <v>0</v>
      </c>
      <c r="U85" s="304">
        <f>$M85*'MWh Impact Summary'!M$17</f>
        <v>0</v>
      </c>
      <c r="V85" s="304">
        <f>$L85*'LED Impact Forecast'!$H$18+$D85*'LED Impact Forecast'!$J$18</f>
        <v>0</v>
      </c>
      <c r="W85" s="304">
        <f>$L85*'CFL Impact Forecast'!$H$18+$D85*'CFL Impact Forecast'!$J$18</f>
        <v>218389.69112383539</v>
      </c>
      <c r="X85" s="304">
        <f>$L85*'EISA Incand Impact Forecast'!$G$18+$D85*'EISA Incand Impact Forecast'!$I$18</f>
        <v>0</v>
      </c>
      <c r="Y85" s="85">
        <f t="shared" si="35"/>
        <v>269153.23648142815</v>
      </c>
      <c r="Z85" s="81">
        <f t="shared" si="36"/>
        <v>581066.45708829875</v>
      </c>
      <c r="AA85" s="81"/>
      <c r="AB85" s="81">
        <f>+'MWh by mo-WgtbyActulCDH&amp;Days'!AB85</f>
        <v>4545995</v>
      </c>
      <c r="AC85" s="308">
        <f t="shared" si="44"/>
        <v>127.81942283005124</v>
      </c>
      <c r="AD85" s="309">
        <f t="shared" si="37"/>
        <v>68.612750477479764</v>
      </c>
      <c r="AE85" s="107">
        <f t="shared" si="38"/>
        <v>5.8727033218955579E-3</v>
      </c>
      <c r="AF85" s="309">
        <f t="shared" si="45"/>
        <v>59.206672352571474</v>
      </c>
      <c r="AG85" s="107">
        <f t="shared" si="39"/>
        <v>5.0676181756837213E-3</v>
      </c>
      <c r="AH85" s="119">
        <f t="shared" si="46"/>
        <v>1.0940321497579279E-2</v>
      </c>
      <c r="AI85" s="122">
        <f t="shared" si="40"/>
        <v>1.0940321497579278E-2</v>
      </c>
      <c r="AJ85" s="87" t="b">
        <f t="shared" si="47"/>
        <v>1</v>
      </c>
      <c r="AK85" s="88">
        <f t="shared" si="21"/>
        <v>1.0536920017340176E-3</v>
      </c>
      <c r="AL85" s="312">
        <f>+AC85/'MWh by month-WgtbyCDH&amp;DayLtHrs'!AC85-1</f>
        <v>2.1978788045237785E-2</v>
      </c>
      <c r="AM85" s="89">
        <f t="shared" si="41"/>
        <v>218389.69112383539</v>
      </c>
      <c r="AN85" s="93"/>
      <c r="AO85" s="96">
        <f t="shared" si="28"/>
        <v>48.040020088855222</v>
      </c>
      <c r="AP85" s="92">
        <f t="shared" si="27"/>
        <v>4.1118419476908891E-3</v>
      </c>
      <c r="AR85" s="94">
        <f t="shared" si="42"/>
        <v>1.0940321497579278E-2</v>
      </c>
      <c r="AS85" s="95">
        <v>597815.27720793081</v>
      </c>
      <c r="AU85" s="141">
        <v>127.81942283005124</v>
      </c>
    </row>
    <row r="86" spans="1:47">
      <c r="A86" s="78">
        <v>2011</v>
      </c>
      <c r="B86" s="78">
        <v>10</v>
      </c>
      <c r="C86" s="317">
        <v>161.51919520840667</v>
      </c>
      <c r="D86" s="318">
        <f t="shared" si="48"/>
        <v>7.4789715864648415E-2</v>
      </c>
      <c r="E86" s="321">
        <f>$D86*'MWh Impact Summary'!B$17</f>
        <v>75645.335401786986</v>
      </c>
      <c r="F86" s="319">
        <f>$D86*'MWh Impact Summary'!N$17</f>
        <v>2759.6802995474582</v>
      </c>
      <c r="G86" s="319">
        <f>$D86*'MWh Impact Summary'!C$17</f>
        <v>63080.008054686608</v>
      </c>
      <c r="H86" s="319">
        <f>$D86*'MWh Impact Summary'!D$17</f>
        <v>110.62283339011073</v>
      </c>
      <c r="I86" s="319">
        <f>$D86*'MWh Impact Summary'!E$17</f>
        <v>27094.752744334684</v>
      </c>
      <c r="J86" s="104">
        <f t="shared" si="43"/>
        <v>168690.39933374585</v>
      </c>
      <c r="K86" s="298">
        <f t="shared" si="51"/>
        <v>12.466666666666667</v>
      </c>
      <c r="L86" s="299">
        <f t="shared" si="49"/>
        <v>8.7762524932535488E-2</v>
      </c>
      <c r="M86" s="297">
        <f t="shared" si="50"/>
        <v>8.4931506849315067E-2</v>
      </c>
      <c r="N86" s="304">
        <f>$L86*'MWh Impact Summary'!F$17</f>
        <v>42739.223508098999</v>
      </c>
      <c r="O86" s="304">
        <f>$L86*'MWh Impact Summary'!G$17</f>
        <v>0</v>
      </c>
      <c r="P86" s="304">
        <f>$M86*'MWh Impact Summary'!H$17</f>
        <v>1310.2888089999105</v>
      </c>
      <c r="Q86" s="304">
        <f>$M86*'MWh Impact Summary'!I$17</f>
        <v>673.45338262313226</v>
      </c>
      <c r="R86" s="304">
        <f>$M86*'MWh Impact Summary'!J$17</f>
        <v>9083.059220915311</v>
      </c>
      <c r="S86" s="304">
        <f>$M86*'MWh Impact Summary'!K$17</f>
        <v>0</v>
      </c>
      <c r="T86" s="304">
        <f>$M86*'MWh Impact Summary'!L$17</f>
        <v>0</v>
      </c>
      <c r="U86" s="304">
        <f>$M86*'MWh Impact Summary'!M$17</f>
        <v>0</v>
      </c>
      <c r="V86" s="304">
        <f>$L86*'LED Impact Forecast'!$H$18+$D86*'LED Impact Forecast'!$J$18</f>
        <v>0</v>
      </c>
      <c r="W86" s="304">
        <f>$L86*'CFL Impact Forecast'!$H$18+$D86*'CFL Impact Forecast'!$J$18</f>
        <v>207713.54606116671</v>
      </c>
      <c r="X86" s="304">
        <f>$L86*'EISA Incand Impact Forecast'!$G$18+$D86*'EISA Incand Impact Forecast'!$I$18</f>
        <v>0</v>
      </c>
      <c r="Y86" s="85">
        <f t="shared" si="35"/>
        <v>261519.57098180405</v>
      </c>
      <c r="Z86" s="81">
        <f t="shared" si="36"/>
        <v>430209.97031554987</v>
      </c>
      <c r="AA86" s="81"/>
      <c r="AB86" s="81">
        <f>+'MWh by mo-WgtbyActulCDH&amp;Days'!AB86</f>
        <v>4546841</v>
      </c>
      <c r="AC86" s="308">
        <f t="shared" si="44"/>
        <v>94.617333290420717</v>
      </c>
      <c r="AD86" s="309">
        <f t="shared" si="37"/>
        <v>37.100571437124337</v>
      </c>
      <c r="AE86" s="107">
        <f t="shared" si="38"/>
        <v>2.9759816660794923E-3</v>
      </c>
      <c r="AF86" s="309">
        <f t="shared" si="45"/>
        <v>57.516761853296394</v>
      </c>
      <c r="AG86" s="107">
        <f t="shared" si="39"/>
        <v>4.6136439989275186E-3</v>
      </c>
      <c r="AH86" s="119">
        <f t="shared" si="46"/>
        <v>7.5896256650070104E-3</v>
      </c>
      <c r="AI86" s="122">
        <f t="shared" si="40"/>
        <v>7.5896256650070095E-3</v>
      </c>
      <c r="AJ86" s="87" t="b">
        <f t="shared" si="47"/>
        <v>1</v>
      </c>
      <c r="AK86" s="88">
        <f t="shared" ref="AK86:AK149" si="52">AI86-AI74</f>
        <v>5.4968646558956405E-4</v>
      </c>
      <c r="AL86" s="312">
        <f>+AC86/'MWh by month-WgtbyCDH&amp;DayLtHrs'!AC86-1</f>
        <v>-0.12909742439669636</v>
      </c>
      <c r="AM86" s="89">
        <f t="shared" si="41"/>
        <v>207713.54606116671</v>
      </c>
      <c r="AN86" s="93"/>
      <c r="AO86" s="96">
        <f t="shared" si="28"/>
        <v>45.683045890799065</v>
      </c>
      <c r="AP86" s="92">
        <f t="shared" si="27"/>
        <v>3.6644154457860212E-3</v>
      </c>
      <c r="AR86" s="94">
        <f t="shared" si="42"/>
        <v>7.5896256650070095E-3</v>
      </c>
      <c r="AS86" s="95">
        <v>479246.04779028392</v>
      </c>
      <c r="AU86" s="141">
        <v>94.617333290420717</v>
      </c>
    </row>
    <row r="87" spans="1:47">
      <c r="A87" s="78">
        <v>2011</v>
      </c>
      <c r="B87" s="78">
        <v>11</v>
      </c>
      <c r="C87" s="317">
        <v>81.388173550047853</v>
      </c>
      <c r="D87" s="318">
        <f>C87/(SUM(C$77:C$88))</f>
        <v>3.7685913223482671E-2</v>
      </c>
      <c r="E87" s="321">
        <f>$D87*'MWh Impact Summary'!B$17</f>
        <v>38117.052762604275</v>
      </c>
      <c r="F87" s="319">
        <f>$D87*'MWh Impact Summary'!N$17</f>
        <v>1390.579855678518</v>
      </c>
      <c r="G87" s="319">
        <f>$D87*'MWh Impact Summary'!C$17</f>
        <v>31785.489250791161</v>
      </c>
      <c r="H87" s="319">
        <f>$D87*'MWh Impact Summary'!D$17</f>
        <v>55.741921886964406</v>
      </c>
      <c r="I87" s="319">
        <f>$D87*'MWh Impact Summary'!E$17</f>
        <v>13652.819628070878</v>
      </c>
      <c r="J87" s="104">
        <f t="shared" si="43"/>
        <v>85001.68341903179</v>
      </c>
      <c r="K87" s="298">
        <f t="shared" si="51"/>
        <v>13.15</v>
      </c>
      <c r="L87" s="299">
        <f t="shared" si="49"/>
        <v>9.2573037662794788E-2</v>
      </c>
      <c r="M87" s="297">
        <f>(30/365)</f>
        <v>8.2191780821917804E-2</v>
      </c>
      <c r="N87" s="304">
        <f>$L87*'MWh Impact Summary'!F$17</f>
        <v>45081.881481136508</v>
      </c>
      <c r="O87" s="304">
        <f>$L87*'MWh Impact Summary'!G$17</f>
        <v>0</v>
      </c>
      <c r="P87" s="304">
        <f>$M87*'MWh Impact Summary'!H$17</f>
        <v>1268.0214280644295</v>
      </c>
      <c r="Q87" s="304">
        <f>$M87*'MWh Impact Summary'!I$17</f>
        <v>651.72907995786989</v>
      </c>
      <c r="R87" s="304">
        <f>$M87*'MWh Impact Summary'!J$17</f>
        <v>8790.0573105632047</v>
      </c>
      <c r="S87" s="304">
        <f>$M87*'MWh Impact Summary'!K$17</f>
        <v>0</v>
      </c>
      <c r="T87" s="304">
        <f>$M87*'MWh Impact Summary'!L$17</f>
        <v>0</v>
      </c>
      <c r="U87" s="304">
        <f>$M87*'MWh Impact Summary'!M$17</f>
        <v>0</v>
      </c>
      <c r="V87" s="304">
        <f>$L87*'LED Impact Forecast'!$H$18+$D87*'LED Impact Forecast'!$J$18</f>
        <v>0</v>
      </c>
      <c r="W87" s="304">
        <f>$L87*'CFL Impact Forecast'!$H$18+$D87*'CFL Impact Forecast'!$J$18</f>
        <v>204763.33025349228</v>
      </c>
      <c r="X87" s="304">
        <f>$L87*'EISA Incand Impact Forecast'!$G$18+$D87*'EISA Incand Impact Forecast'!$I$18</f>
        <v>0</v>
      </c>
      <c r="Y87" s="85">
        <f t="shared" si="35"/>
        <v>260555.01955321431</v>
      </c>
      <c r="Z87" s="81">
        <f t="shared" si="36"/>
        <v>345556.7029722461</v>
      </c>
      <c r="AA87" s="81"/>
      <c r="AB87" s="81">
        <f>+'MWh by mo-WgtbyActulCDH&amp;Days'!AB87</f>
        <v>4549257</v>
      </c>
      <c r="AC87" s="308">
        <f t="shared" si="44"/>
        <v>75.958931968944839</v>
      </c>
      <c r="AD87" s="309">
        <f t="shared" si="37"/>
        <v>18.68473981993802</v>
      </c>
      <c r="AE87" s="107">
        <f t="shared" si="38"/>
        <v>1.420892761972473E-3</v>
      </c>
      <c r="AF87" s="309">
        <f t="shared" si="45"/>
        <v>57.274192149006815</v>
      </c>
      <c r="AG87" s="107">
        <f t="shared" si="39"/>
        <v>4.3554518744491873E-3</v>
      </c>
      <c r="AH87" s="119">
        <f t="shared" si="46"/>
        <v>5.7763446364216603E-3</v>
      </c>
      <c r="AI87" s="122">
        <f t="shared" si="40"/>
        <v>5.7763446364216603E-3</v>
      </c>
      <c r="AJ87" s="87" t="b">
        <f t="shared" si="47"/>
        <v>1</v>
      </c>
      <c r="AK87" s="88">
        <f t="shared" si="52"/>
        <v>7.9844959190441666E-4</v>
      </c>
      <c r="AL87" s="312">
        <f>+AC87/'MWh by month-WgtbyCDH&amp;DayLtHrs'!AC87-1</f>
        <v>-6.4577508595003441E-2</v>
      </c>
      <c r="AM87" s="89">
        <f t="shared" si="41"/>
        <v>204763.33025349228</v>
      </c>
      <c r="AN87" s="93"/>
      <c r="AO87" s="96">
        <f t="shared" si="28"/>
        <v>45.010279756340935</v>
      </c>
      <c r="AP87" s="92">
        <f t="shared" si="27"/>
        <v>3.422834962459387E-3</v>
      </c>
      <c r="AR87" s="94">
        <f t="shared" si="42"/>
        <v>5.7763446364216603E-3</v>
      </c>
      <c r="AS87" s="95">
        <v>366133.39797441743</v>
      </c>
      <c r="AU87" s="141">
        <v>75.958931968944839</v>
      </c>
    </row>
    <row r="88" spans="1:47">
      <c r="A88" s="78">
        <v>2011</v>
      </c>
      <c r="B88" s="78">
        <v>12</v>
      </c>
      <c r="C88" s="317">
        <v>47.92163181325175</v>
      </c>
      <c r="D88" s="318">
        <f>C88/(SUM(C$77:C$88))</f>
        <v>2.2189593146863661E-2</v>
      </c>
      <c r="E88" s="321">
        <f>$D88*'MWh Impact Summary'!B$17</f>
        <v>22443.449565465016</v>
      </c>
      <c r="F88" s="319">
        <f>$D88*'MWh Impact Summary'!N$17</f>
        <v>818.77812148926796</v>
      </c>
      <c r="G88" s="319">
        <f>$D88*'MWh Impact Summary'!C$17</f>
        <v>18715.403558525853</v>
      </c>
      <c r="H88" s="319">
        <f>$D88*'MWh Impact Summary'!D$17</f>
        <v>32.821032107171263</v>
      </c>
      <c r="I88" s="319">
        <f>$D88*'MWh Impact Summary'!E$17</f>
        <v>8038.8263661774317</v>
      </c>
      <c r="J88" s="104">
        <f t="shared" si="43"/>
        <v>50049.278643764745</v>
      </c>
      <c r="K88" s="298">
        <f t="shared" si="51"/>
        <v>13.483333333333333</v>
      </c>
      <c r="L88" s="299">
        <f>K88/(SUM(K$77:K$88))</f>
        <v>9.491962923853102E-2</v>
      </c>
      <c r="M88" s="297">
        <f t="shared" si="50"/>
        <v>8.4931506849315067E-2</v>
      </c>
      <c r="N88" s="304">
        <f>$L88*'MWh Impact Summary'!F$17</f>
        <v>46224.641467984075</v>
      </c>
      <c r="O88" s="304">
        <f>$L88*'MWh Impact Summary'!G$17</f>
        <v>0</v>
      </c>
      <c r="P88" s="304">
        <f>$M88*'MWh Impact Summary'!H$17</f>
        <v>1310.2888089999105</v>
      </c>
      <c r="Q88" s="304">
        <f>$M88*'MWh Impact Summary'!I$17</f>
        <v>673.45338262313226</v>
      </c>
      <c r="R88" s="304">
        <f>$M88*'MWh Impact Summary'!J$17</f>
        <v>9083.059220915311</v>
      </c>
      <c r="S88" s="304">
        <f>$M88*'MWh Impact Summary'!K$17</f>
        <v>0</v>
      </c>
      <c r="T88" s="304">
        <f>$M88*'MWh Impact Summary'!L$17</f>
        <v>0</v>
      </c>
      <c r="U88" s="304">
        <f>$M88*'MWh Impact Summary'!M$17</f>
        <v>0</v>
      </c>
      <c r="V88" s="304">
        <f>$L88*'LED Impact Forecast'!$H$18+$D88*'LED Impact Forecast'!$J$18</f>
        <v>0</v>
      </c>
      <c r="W88" s="304">
        <f>$L88*'CFL Impact Forecast'!$H$18+$D88*'CFL Impact Forecast'!$J$18</f>
        <v>204229.87936921447</v>
      </c>
      <c r="X88" s="304">
        <f>$L88*'EISA Incand Impact Forecast'!$G$18+$D88*'EISA Incand Impact Forecast'!$I$18</f>
        <v>0</v>
      </c>
      <c r="Y88" s="85">
        <f t="shared" si="35"/>
        <v>261521.3222497369</v>
      </c>
      <c r="Z88" s="81">
        <f t="shared" si="36"/>
        <v>311570.60089350166</v>
      </c>
      <c r="AA88" s="81">
        <f>SUM(Z77:Z88)</f>
        <v>5291016.4038587175</v>
      </c>
      <c r="AB88" s="81">
        <f>+'MWh by mo-WgtbyActulCDH&amp;Days'!AB88</f>
        <v>4554107</v>
      </c>
      <c r="AC88" s="308">
        <f t="shared" si="44"/>
        <v>68.415300934629258</v>
      </c>
      <c r="AD88" s="309">
        <f t="shared" si="37"/>
        <v>10.989921546367871</v>
      </c>
      <c r="AE88" s="107">
        <f t="shared" si="38"/>
        <v>8.1507452754273459E-4</v>
      </c>
      <c r="AF88" s="309">
        <f t="shared" si="45"/>
        <v>57.425379388261391</v>
      </c>
      <c r="AG88" s="107">
        <f t="shared" si="39"/>
        <v>4.2589898186596829E-3</v>
      </c>
      <c r="AH88" s="119">
        <f t="shared" si="46"/>
        <v>5.0740643462024171E-3</v>
      </c>
      <c r="AI88" s="122">
        <f t="shared" si="40"/>
        <v>5.074064346202418E-3</v>
      </c>
      <c r="AJ88" s="87" t="b">
        <f t="shared" si="47"/>
        <v>1</v>
      </c>
      <c r="AK88" s="88">
        <f t="shared" si="52"/>
        <v>1.4397600955748549E-3</v>
      </c>
      <c r="AL88" s="312">
        <f>+AC88/'MWh by month-WgtbyCDH&amp;DayLtHrs'!AC88-1</f>
        <v>-7.1393499744386357E-2</v>
      </c>
      <c r="AM88" s="89">
        <f t="shared" si="41"/>
        <v>204229.87936921447</v>
      </c>
      <c r="AN88" s="90">
        <f>SUM(AM77:AM88)</f>
        <v>2418197.2220279546</v>
      </c>
      <c r="AO88" s="96">
        <f t="shared" si="28"/>
        <v>44.845208812444348</v>
      </c>
      <c r="AP88" s="92">
        <f t="shared" si="27"/>
        <v>3.3259734595137962E-3</v>
      </c>
      <c r="AR88" s="94">
        <f t="shared" si="42"/>
        <v>5.074064346202418E-3</v>
      </c>
      <c r="AS88" s="95">
        <v>299855.58805098716</v>
      </c>
      <c r="AU88" s="141">
        <v>68.415300934629258</v>
      </c>
    </row>
    <row r="89" spans="1:47">
      <c r="A89" s="78">
        <v>2012</v>
      </c>
      <c r="B89" s="78">
        <v>1</v>
      </c>
      <c r="C89" s="317">
        <v>27.111349482191514</v>
      </c>
      <c r="D89" s="318">
        <f>C89/(SUM(C$89:C$100))</f>
        <v>1.3833949179418678E-2</v>
      </c>
      <c r="E89" s="321">
        <f>$D89*'MWh Impact Summary'!B$18</f>
        <v>16262.367018294985</v>
      </c>
      <c r="F89" s="319">
        <f>$D89*'MWh Impact Summary'!N$18</f>
        <v>718.82335520801348</v>
      </c>
      <c r="G89" s="319">
        <f>$D89*'MWh Impact Summary'!C$18</f>
        <v>13689.861525228376</v>
      </c>
      <c r="H89" s="319">
        <f>$D89*'MWh Impact Summary'!D$18</f>
        <v>31.013737143405727</v>
      </c>
      <c r="I89" s="319">
        <f>$D89*'MWh Impact Summary'!E$18</f>
        <v>5731.102790567068</v>
      </c>
      <c r="J89" s="104">
        <f t="shared" si="43"/>
        <v>36433.168426441851</v>
      </c>
      <c r="K89" s="298">
        <f t="shared" si="51"/>
        <v>13.3</v>
      </c>
      <c r="L89" s="299">
        <f>K89/(SUM(K$89:K$100))</f>
        <v>9.3629003871876101E-2</v>
      </c>
      <c r="M89" s="297">
        <f>(31/366)</f>
        <v>8.4699453551912565E-2</v>
      </c>
      <c r="N89" s="304">
        <f>$L89*'MWh Impact Summary'!F$18</f>
        <v>54958.118679263804</v>
      </c>
      <c r="O89" s="304">
        <f>$L89*'MWh Impact Summary'!G$18</f>
        <v>0</v>
      </c>
      <c r="P89" s="304">
        <f>$M89*'MWh Impact Summary'!H$18</f>
        <v>1982.1682430244027</v>
      </c>
      <c r="Q89" s="304">
        <f>$M89*'MWh Impact Summary'!I$18</f>
        <v>763.95826049034542</v>
      </c>
      <c r="R89" s="304">
        <f>$M89*'MWh Impact Summary'!J$18</f>
        <v>12219.065285421244</v>
      </c>
      <c r="S89" s="304">
        <f>$M89*'MWh Impact Summary'!K$18</f>
        <v>0</v>
      </c>
      <c r="T89" s="304">
        <f>$M89*'MWh Impact Summary'!L$18</f>
        <v>0</v>
      </c>
      <c r="U89" s="304">
        <f>$M89*'MWh Impact Summary'!M$18</f>
        <v>0</v>
      </c>
      <c r="V89" s="304">
        <f>$L89*'LED Impact Forecast'!$H$19+$D89*'LED Impact Forecast'!$J$19</f>
        <v>177.73723076586654</v>
      </c>
      <c r="W89" s="304">
        <f>$L89*'CFL Impact Forecast'!$H$19+$D89*'CFL Impact Forecast'!$J$19</f>
        <v>219190.83912376483</v>
      </c>
      <c r="X89" s="304">
        <f>$L89*'EISA Incand Impact Forecast'!$G$19+$D89*'EISA Incand Impact Forecast'!$I$19</f>
        <v>0</v>
      </c>
      <c r="Y89" s="85">
        <f t="shared" si="35"/>
        <v>289291.88682273048</v>
      </c>
      <c r="Z89" s="81">
        <f t="shared" si="36"/>
        <v>325725.05524917232</v>
      </c>
      <c r="AA89" s="81"/>
      <c r="AB89" s="81">
        <f>+'MWh by mo-WgtbyActulCDH&amp;Days'!AB89</f>
        <v>4560015</v>
      </c>
      <c r="AC89" s="308">
        <f t="shared" si="44"/>
        <v>71.430698199276165</v>
      </c>
      <c r="AD89" s="309">
        <f t="shared" si="37"/>
        <v>7.9897036361594971</v>
      </c>
      <c r="AE89" s="107">
        <f t="shared" si="38"/>
        <v>6.0072959670372152E-4</v>
      </c>
      <c r="AF89" s="309">
        <f t="shared" si="45"/>
        <v>63.440994563116675</v>
      </c>
      <c r="AG89" s="107">
        <f t="shared" si="39"/>
        <v>4.7699995912117796E-3</v>
      </c>
      <c r="AH89" s="119">
        <f t="shared" si="46"/>
        <v>5.3707291879155012E-3</v>
      </c>
      <c r="AI89" s="122">
        <f t="shared" si="40"/>
        <v>5.3707291879155012E-3</v>
      </c>
      <c r="AJ89" s="87" t="b">
        <f t="shared" si="47"/>
        <v>1</v>
      </c>
      <c r="AK89" s="88">
        <f t="shared" si="52"/>
        <v>9.4598278102553651E-4</v>
      </c>
      <c r="AL89" s="312">
        <f>+AC89/'MWh by month-WgtbyCDH&amp;DayLtHrs'!AC89-1</f>
        <v>-8.1762894670639685E-2</v>
      </c>
      <c r="AM89" s="89">
        <f t="shared" si="41"/>
        <v>219190.83912376483</v>
      </c>
      <c r="AN89" s="93"/>
      <c r="AO89" s="96">
        <f t="shared" si="28"/>
        <v>48.068008356061291</v>
      </c>
      <c r="AP89" s="92">
        <f t="shared" si="27"/>
        <v>3.6141359666211495E-3</v>
      </c>
      <c r="AR89" s="94">
        <f t="shared" si="42"/>
        <v>5.3707291879155012E-3</v>
      </c>
      <c r="AS89" s="95">
        <v>329688.54211650172</v>
      </c>
      <c r="AU89" s="141">
        <v>71.430698199276165</v>
      </c>
    </row>
    <row r="90" spans="1:47">
      <c r="A90" s="78">
        <v>2012</v>
      </c>
      <c r="B90" s="78">
        <v>2</v>
      </c>
      <c r="C90" s="317">
        <v>50.063863942660532</v>
      </c>
      <c r="D90" s="318">
        <f t="shared" ref="D90:D99" si="53">C90/(SUM(C$89:C$100))</f>
        <v>2.55457940211729E-2</v>
      </c>
      <c r="E90" s="321">
        <f>$D90*'MWh Impact Summary'!B$18</f>
        <v>30030.114521754847</v>
      </c>
      <c r="F90" s="319">
        <f>$D90*'MWh Impact Summary'!N$18</f>
        <v>1327.3804270635576</v>
      </c>
      <c r="G90" s="319">
        <f>$D90*'MWh Impact Summary'!C$18</f>
        <v>25279.721514529927</v>
      </c>
      <c r="H90" s="319">
        <f>$D90*'MWh Impact Summary'!D$18</f>
        <v>57.270019617459248</v>
      </c>
      <c r="I90" s="319">
        <f>$D90*'MWh Impact Summary'!E$18</f>
        <v>10583.064134701968</v>
      </c>
      <c r="J90" s="104">
        <f t="shared" si="43"/>
        <v>67277.550617667759</v>
      </c>
      <c r="K90" s="298">
        <f t="shared" si="51"/>
        <v>12.733333333333333</v>
      </c>
      <c r="L90" s="299">
        <f>K90/(SUM(K$89:K$100))</f>
        <v>8.9639798193124468E-2</v>
      </c>
      <c r="M90" s="297">
        <f>(29/366)</f>
        <v>7.9234972677595633E-2</v>
      </c>
      <c r="N90" s="304">
        <f>$L90*'MWh Impact Summary'!F$18</f>
        <v>52616.544700448045</v>
      </c>
      <c r="O90" s="304">
        <f>$L90*'MWh Impact Summary'!G$18</f>
        <v>0</v>
      </c>
      <c r="P90" s="304">
        <f>$M90*'MWh Impact Summary'!H$18</f>
        <v>1854.2864208937963</v>
      </c>
      <c r="Q90" s="304">
        <f>$M90*'MWh Impact Summary'!I$18</f>
        <v>714.67063078129092</v>
      </c>
      <c r="R90" s="304">
        <f>$M90*'MWh Impact Summary'!J$18</f>
        <v>11430.738492813422</v>
      </c>
      <c r="S90" s="304">
        <f>$M90*'MWh Impact Summary'!K$18</f>
        <v>0</v>
      </c>
      <c r="T90" s="304">
        <f>$M90*'MWh Impact Summary'!L$18</f>
        <v>0</v>
      </c>
      <c r="U90" s="304">
        <f>$M90*'MWh Impact Summary'!M$18</f>
        <v>0</v>
      </c>
      <c r="V90" s="304">
        <f>$L90*'LED Impact Forecast'!$H$19+$D90*'LED Impact Forecast'!$J$19</f>
        <v>170.16446654777192</v>
      </c>
      <c r="W90" s="304">
        <f>$L90*'CFL Impact Forecast'!$H$19+$D90*'CFL Impact Forecast'!$J$19</f>
        <v>214584.87952793317</v>
      </c>
      <c r="X90" s="304">
        <f>$L90*'EISA Incand Impact Forecast'!$G$19+$D90*'EISA Incand Impact Forecast'!$I$19</f>
        <v>0</v>
      </c>
      <c r="Y90" s="85">
        <f t="shared" si="35"/>
        <v>281371.28423941752</v>
      </c>
      <c r="Z90" s="81">
        <f t="shared" si="36"/>
        <v>348648.83485708525</v>
      </c>
      <c r="AA90" s="81"/>
      <c r="AB90" s="81">
        <f>+'MWh by mo-WgtbyActulCDH&amp;Days'!AB90</f>
        <v>4565707</v>
      </c>
      <c r="AC90" s="308">
        <f t="shared" si="44"/>
        <v>76.362507462061231</v>
      </c>
      <c r="AD90" s="309">
        <f t="shared" si="37"/>
        <v>14.735406940845692</v>
      </c>
      <c r="AE90" s="107">
        <f t="shared" si="38"/>
        <v>1.1572309115847404E-3</v>
      </c>
      <c r="AF90" s="309">
        <f t="shared" si="45"/>
        <v>61.627100521215567</v>
      </c>
      <c r="AG90" s="107">
        <f t="shared" si="39"/>
        <v>4.8398246482630036E-3</v>
      </c>
      <c r="AH90" s="119">
        <f t="shared" si="46"/>
        <v>5.997055559847744E-3</v>
      </c>
      <c r="AI90" s="122">
        <f t="shared" si="40"/>
        <v>5.9970555598477414E-3</v>
      </c>
      <c r="AJ90" s="87" t="b">
        <f t="shared" si="47"/>
        <v>1</v>
      </c>
      <c r="AK90" s="88">
        <f t="shared" si="52"/>
        <v>9.7748298463234094E-4</v>
      </c>
      <c r="AL90" s="312">
        <f>+AC90/'MWh by month-WgtbyCDH&amp;DayLtHrs'!AC90-1</f>
        <v>-1.4260872557111282E-2</v>
      </c>
      <c r="AM90" s="89">
        <f t="shared" si="41"/>
        <v>214584.87952793317</v>
      </c>
      <c r="AN90" s="93"/>
      <c r="AO90" s="96">
        <f t="shared" si="28"/>
        <v>46.999266384797181</v>
      </c>
      <c r="AP90" s="92">
        <f t="shared" si="27"/>
        <v>3.6910418626804075E-3</v>
      </c>
      <c r="AR90" s="94">
        <f t="shared" si="42"/>
        <v>5.9970555598477414E-3</v>
      </c>
      <c r="AS90" s="95">
        <v>316523.47080675134</v>
      </c>
      <c r="AU90" s="141">
        <v>76.362507462061231</v>
      </c>
    </row>
    <row r="91" spans="1:47">
      <c r="A91" s="78">
        <v>2012</v>
      </c>
      <c r="B91" s="78">
        <v>3</v>
      </c>
      <c r="C91" s="317">
        <v>89.238204374581343</v>
      </c>
      <c r="D91" s="318">
        <f t="shared" si="53"/>
        <v>4.5535054792880975E-2</v>
      </c>
      <c r="E91" s="321">
        <f>$D91*'MWh Impact Summary'!B$18</f>
        <v>53528.299376846473</v>
      </c>
      <c r="F91" s="319">
        <f>$D91*'MWh Impact Summary'!N$18</f>
        <v>2366.0388253048991</v>
      </c>
      <c r="G91" s="319">
        <f>$D91*'MWh Impact Summary'!C$18</f>
        <v>45060.783914519343</v>
      </c>
      <c r="H91" s="319">
        <f>$D91*'MWh Impact Summary'!D$18</f>
        <v>102.08308573650051</v>
      </c>
      <c r="I91" s="319">
        <f>$D91*'MWh Impact Summary'!E$18</f>
        <v>18864.177987609946</v>
      </c>
      <c r="J91" s="104">
        <f t="shared" si="43"/>
        <v>119921.38319001716</v>
      </c>
      <c r="K91" s="298">
        <f t="shared" si="51"/>
        <v>12</v>
      </c>
      <c r="L91" s="299">
        <f t="shared" ref="L91:L98" si="54">K91/(SUM(K$89:K$100))</f>
        <v>8.4477296726504739E-2</v>
      </c>
      <c r="M91" s="297">
        <f>(31/366)</f>
        <v>8.4699453551912565E-2</v>
      </c>
      <c r="N91" s="304">
        <f>$L91*'MWh Impact Summary'!F$18</f>
        <v>49586.272492568838</v>
      </c>
      <c r="O91" s="304">
        <f>$L91*'MWh Impact Summary'!G$18</f>
        <v>0</v>
      </c>
      <c r="P91" s="304">
        <f>$M91*'MWh Impact Summary'!H$18</f>
        <v>1982.1682430244027</v>
      </c>
      <c r="Q91" s="304">
        <f>$M91*'MWh Impact Summary'!I$18</f>
        <v>763.95826049034542</v>
      </c>
      <c r="R91" s="304">
        <f>$M91*'MWh Impact Summary'!J$18</f>
        <v>12219.065285421244</v>
      </c>
      <c r="S91" s="304">
        <f>$M91*'MWh Impact Summary'!K$18</f>
        <v>0</v>
      </c>
      <c r="T91" s="304">
        <f>$M91*'MWh Impact Summary'!L$18</f>
        <v>0</v>
      </c>
      <c r="U91" s="304">
        <f>$M91*'MWh Impact Summary'!M$18</f>
        <v>0</v>
      </c>
      <c r="V91" s="304">
        <f>$L91*'LED Impact Forecast'!$H$19+$D91*'LED Impact Forecast'!$J$19</f>
        <v>160.36441873612014</v>
      </c>
      <c r="W91" s="304">
        <f>$L91*'CFL Impact Forecast'!$H$19+$D91*'CFL Impact Forecast'!$J$19</f>
        <v>210483.6633355527</v>
      </c>
      <c r="X91" s="304">
        <f>$L91*'EISA Incand Impact Forecast'!$G$19+$D91*'EISA Incand Impact Forecast'!$I$19</f>
        <v>0</v>
      </c>
      <c r="Y91" s="85">
        <f t="shared" si="35"/>
        <v>275195.49203579366</v>
      </c>
      <c r="Z91" s="81">
        <f t="shared" si="36"/>
        <v>395116.8752258108</v>
      </c>
      <c r="AA91" s="81"/>
      <c r="AB91" s="81">
        <f>+'MWh by mo-WgtbyActulCDH&amp;Days'!AB91</f>
        <v>4573930</v>
      </c>
      <c r="AC91" s="308">
        <f t="shared" si="44"/>
        <v>86.384547910836162</v>
      </c>
      <c r="AD91" s="309">
        <f t="shared" si="37"/>
        <v>26.218456161335475</v>
      </c>
      <c r="AE91" s="107">
        <f t="shared" si="38"/>
        <v>2.1848713467779563E-3</v>
      </c>
      <c r="AF91" s="309">
        <f t="shared" si="45"/>
        <v>60.166091749500687</v>
      </c>
      <c r="AG91" s="107">
        <f t="shared" si="39"/>
        <v>5.0138409791250574E-3</v>
      </c>
      <c r="AH91" s="119">
        <f t="shared" si="46"/>
        <v>7.1987123259030141E-3</v>
      </c>
      <c r="AI91" s="122">
        <f t="shared" si="40"/>
        <v>7.1987123259030132E-3</v>
      </c>
      <c r="AJ91" s="87" t="b">
        <f t="shared" si="47"/>
        <v>1</v>
      </c>
      <c r="AK91" s="88">
        <f t="shared" si="52"/>
        <v>1.2906251123133254E-3</v>
      </c>
      <c r="AL91" s="312">
        <f>+AC91/'MWh by month-WgtbyCDH&amp;DayLtHrs'!AC91-1</f>
        <v>4.9610987470967149E-2</v>
      </c>
      <c r="AM91" s="89">
        <f t="shared" si="41"/>
        <v>210483.6633355527</v>
      </c>
      <c r="AN91" s="93"/>
      <c r="AO91" s="96">
        <f t="shared" si="28"/>
        <v>46.018120814169151</v>
      </c>
      <c r="AP91" s="92">
        <f t="shared" si="27"/>
        <v>3.8348434011807628E-3</v>
      </c>
      <c r="AR91" s="94">
        <f t="shared" si="42"/>
        <v>7.1987123259030132E-3</v>
      </c>
      <c r="AS91" s="95">
        <v>374414.91472963028</v>
      </c>
      <c r="AU91" s="141">
        <v>86.384547910836162</v>
      </c>
    </row>
    <row r="92" spans="1:47">
      <c r="A92" s="78">
        <v>2012</v>
      </c>
      <c r="B92" s="78">
        <v>4</v>
      </c>
      <c r="C92" s="317">
        <v>106.45317747474797</v>
      </c>
      <c r="D92" s="318">
        <f t="shared" si="53"/>
        <v>5.431923807926433E-2</v>
      </c>
      <c r="E92" s="321">
        <f>$D92*'MWh Impact Summary'!B$18</f>
        <v>63854.462261098262</v>
      </c>
      <c r="F92" s="319">
        <f>$D92*'MWh Impact Summary'!N$18</f>
        <v>2822.4721995198511</v>
      </c>
      <c r="G92" s="319">
        <f>$D92*'MWh Impact Summary'!C$18</f>
        <v>53753.475440502443</v>
      </c>
      <c r="H92" s="319">
        <f>$D92*'MWh Impact Summary'!D$18</f>
        <v>121.77596937588071</v>
      </c>
      <c r="I92" s="319">
        <f>$D92*'MWh Impact Summary'!E$18</f>
        <v>22503.273136256408</v>
      </c>
      <c r="J92" s="104">
        <f t="shared" si="43"/>
        <v>143055.45900675285</v>
      </c>
      <c r="K92" s="298">
        <f t="shared" si="51"/>
        <v>11.2</v>
      </c>
      <c r="L92" s="299">
        <f t="shared" si="54"/>
        <v>7.8845476944737758E-2</v>
      </c>
      <c r="M92" s="297">
        <f>(30/366)</f>
        <v>8.1967213114754092E-2</v>
      </c>
      <c r="N92" s="304">
        <f>$L92*'MWh Impact Summary'!F$18</f>
        <v>46280.520993064252</v>
      </c>
      <c r="O92" s="304">
        <f>$L92*'MWh Impact Summary'!G$18</f>
        <v>0</v>
      </c>
      <c r="P92" s="304">
        <f>$M92*'MWh Impact Summary'!H$18</f>
        <v>1918.2273319590993</v>
      </c>
      <c r="Q92" s="304">
        <f>$M92*'MWh Impact Summary'!I$18</f>
        <v>739.31444563581817</v>
      </c>
      <c r="R92" s="304">
        <f>$M92*'MWh Impact Summary'!J$18</f>
        <v>11824.901889117331</v>
      </c>
      <c r="S92" s="304">
        <f>$M92*'MWh Impact Summary'!K$18</f>
        <v>0</v>
      </c>
      <c r="T92" s="304">
        <f>$M92*'MWh Impact Summary'!L$18</f>
        <v>0</v>
      </c>
      <c r="U92" s="304">
        <f>$M92*'MWh Impact Summary'!M$18</f>
        <v>0</v>
      </c>
      <c r="V92" s="304">
        <f>$L92*'LED Impact Forecast'!$H$19+$D92*'LED Impact Forecast'!$J$19</f>
        <v>149.67345748704548</v>
      </c>
      <c r="W92" s="304">
        <f>$L92*'CFL Impact Forecast'!$H$19+$D92*'CFL Impact Forecast'!$J$19</f>
        <v>200999.19254269561</v>
      </c>
      <c r="X92" s="304">
        <f>$L92*'EISA Incand Impact Forecast'!$G$19+$D92*'EISA Incand Impact Forecast'!$I$19</f>
        <v>0</v>
      </c>
      <c r="Y92" s="85">
        <f t="shared" si="35"/>
        <v>261911.83065995917</v>
      </c>
      <c r="Z92" s="81">
        <f t="shared" si="36"/>
        <v>404967.28966671205</v>
      </c>
      <c r="AA92" s="81"/>
      <c r="AB92" s="81">
        <f>+'MWh by mo-WgtbyActulCDH&amp;Days'!AB92</f>
        <v>4577038</v>
      </c>
      <c r="AC92" s="308">
        <f t="shared" si="44"/>
        <v>88.478026546144477</v>
      </c>
      <c r="AD92" s="309">
        <f t="shared" si="37"/>
        <v>31.255029782744398</v>
      </c>
      <c r="AE92" s="107">
        <f t="shared" si="38"/>
        <v>2.7906276591736071E-3</v>
      </c>
      <c r="AF92" s="309">
        <f t="shared" si="45"/>
        <v>57.222996763400076</v>
      </c>
      <c r="AG92" s="107">
        <f t="shared" si="39"/>
        <v>5.1091961395892931E-3</v>
      </c>
      <c r="AH92" s="119">
        <f t="shared" si="46"/>
        <v>7.8998237987628998E-3</v>
      </c>
      <c r="AI92" s="122">
        <f t="shared" si="40"/>
        <v>7.8998237987628998E-3</v>
      </c>
      <c r="AJ92" s="87" t="b">
        <f t="shared" si="47"/>
        <v>1</v>
      </c>
      <c r="AK92" s="88">
        <f t="shared" si="52"/>
        <v>-7.698716233608318E-4</v>
      </c>
      <c r="AL92" s="312">
        <f>+AC92/'MWh by month-WgtbyCDH&amp;DayLtHrs'!AC92-1</f>
        <v>-4.5633544047571251E-2</v>
      </c>
      <c r="AM92" s="89">
        <f t="shared" si="41"/>
        <v>200999.19254269561</v>
      </c>
      <c r="AN92" s="93"/>
      <c r="AO92" s="96">
        <f t="shared" si="28"/>
        <v>43.914687302726264</v>
      </c>
      <c r="AP92" s="92">
        <f t="shared" si="27"/>
        <v>3.9209542234577028E-3</v>
      </c>
      <c r="AR92" s="94">
        <f t="shared" si="42"/>
        <v>7.8998237987628998E-3</v>
      </c>
      <c r="AS92" s="95">
        <v>444842.69011799514</v>
      </c>
      <c r="AU92" s="141">
        <v>88.478026546144477</v>
      </c>
    </row>
    <row r="93" spans="1:47">
      <c r="A93" s="78">
        <v>2012</v>
      </c>
      <c r="B93" s="78">
        <v>5</v>
      </c>
      <c r="C93" s="317">
        <v>202.05259632338476</v>
      </c>
      <c r="D93" s="318">
        <f t="shared" si="53"/>
        <v>0.1031001924468334</v>
      </c>
      <c r="E93" s="321">
        <f>$D93*'MWh Impact Summary'!B$18</f>
        <v>121198.44792560562</v>
      </c>
      <c r="F93" s="319">
        <f>$D93*'MWh Impact Summary'!N$18</f>
        <v>5357.1706311804537</v>
      </c>
      <c r="G93" s="319">
        <f>$D93*'MWh Impact Summary'!C$18</f>
        <v>102026.35122596684</v>
      </c>
      <c r="H93" s="319">
        <f>$D93*'MWh Impact Summary'!D$18</f>
        <v>231.13589810910381</v>
      </c>
      <c r="I93" s="319">
        <f>$D93*'MWh Impact Summary'!E$18</f>
        <v>42712.156375355291</v>
      </c>
      <c r="J93" s="104">
        <f t="shared" si="43"/>
        <v>271525.2620562173</v>
      </c>
      <c r="K93" s="298">
        <f t="shared" si="51"/>
        <v>10.533333333333333</v>
      </c>
      <c r="L93" s="299">
        <f t="shared" si="54"/>
        <v>7.4152293793265281E-2</v>
      </c>
      <c r="M93" s="297">
        <f>(31/366)</f>
        <v>8.4699453551912565E-2</v>
      </c>
      <c r="N93" s="304">
        <f>$L93*'MWh Impact Summary'!F$18</f>
        <v>43525.728076810432</v>
      </c>
      <c r="O93" s="304">
        <f>$L93*'MWh Impact Summary'!G$18</f>
        <v>0</v>
      </c>
      <c r="P93" s="304">
        <f>$M93*'MWh Impact Summary'!H$18</f>
        <v>1982.1682430244027</v>
      </c>
      <c r="Q93" s="304">
        <f>$M93*'MWh Impact Summary'!I$18</f>
        <v>763.95826049034542</v>
      </c>
      <c r="R93" s="304">
        <f>$M93*'MWh Impact Summary'!J$18</f>
        <v>12219.065285421244</v>
      </c>
      <c r="S93" s="304">
        <f>$M93*'MWh Impact Summary'!K$18</f>
        <v>0</v>
      </c>
      <c r="T93" s="304">
        <f>$M93*'MWh Impact Summary'!L$18</f>
        <v>0</v>
      </c>
      <c r="U93" s="304">
        <f>$M93*'MWh Impact Summary'!M$18</f>
        <v>0</v>
      </c>
      <c r="V93" s="304">
        <f>$L93*'LED Impact Forecast'!$H$19+$D93*'LED Impact Forecast'!$J$19</f>
        <v>140.76432311281661</v>
      </c>
      <c r="W93" s="304">
        <f>$L93*'CFL Impact Forecast'!$H$19+$D93*'CFL Impact Forecast'!$J$19</f>
        <v>209047.8076047159</v>
      </c>
      <c r="X93" s="304">
        <f>$L93*'EISA Incand Impact Forecast'!$G$19+$D93*'EISA Incand Impact Forecast'!$I$19</f>
        <v>0</v>
      </c>
      <c r="Y93" s="85">
        <f t="shared" si="35"/>
        <v>267679.49179357511</v>
      </c>
      <c r="Z93" s="81">
        <f t="shared" si="36"/>
        <v>539204.75384979241</v>
      </c>
      <c r="AA93" s="81"/>
      <c r="AB93" s="81">
        <f>+'MWh by mo-WgtbyActulCDH&amp;Days'!AB93</f>
        <v>4576751</v>
      </c>
      <c r="AC93" s="308">
        <f t="shared" si="44"/>
        <v>117.8138714231542</v>
      </c>
      <c r="AD93" s="309">
        <f t="shared" si="37"/>
        <v>59.327077670648308</v>
      </c>
      <c r="AE93" s="107">
        <f t="shared" si="38"/>
        <v>5.6323175003780042E-3</v>
      </c>
      <c r="AF93" s="309">
        <f t="shared" si="45"/>
        <v>58.486793752505896</v>
      </c>
      <c r="AG93" s="107">
        <f t="shared" si="39"/>
        <v>5.5525437106809395E-3</v>
      </c>
      <c r="AH93" s="119">
        <f t="shared" si="46"/>
        <v>1.1184861211058944E-2</v>
      </c>
      <c r="AI93" s="122">
        <f t="shared" si="40"/>
        <v>1.1184861211058942E-2</v>
      </c>
      <c r="AJ93" s="87" t="b">
        <f t="shared" si="47"/>
        <v>1</v>
      </c>
      <c r="AK93" s="88">
        <f t="shared" si="52"/>
        <v>9.0217899867924001E-4</v>
      </c>
      <c r="AL93" s="312">
        <f>+AC93/'MWh by month-WgtbyCDH&amp;DayLtHrs'!AC93-1</f>
        <v>6.8352180384387839E-3</v>
      </c>
      <c r="AM93" s="89">
        <f t="shared" si="41"/>
        <v>209047.8076047159</v>
      </c>
      <c r="AN93" s="93"/>
      <c r="AO93" s="96">
        <f t="shared" si="28"/>
        <v>45.676028170358379</v>
      </c>
      <c r="AP93" s="92">
        <f t="shared" si="27"/>
        <v>4.3363317883251627E-3</v>
      </c>
      <c r="AR93" s="94">
        <f t="shared" si="42"/>
        <v>1.1184861211058942E-2</v>
      </c>
      <c r="AS93" s="95">
        <v>541584.37654085748</v>
      </c>
      <c r="AU93" s="141">
        <v>117.8138714231542</v>
      </c>
    </row>
    <row r="94" spans="1:47">
      <c r="A94" s="78">
        <v>2012</v>
      </c>
      <c r="B94" s="78">
        <v>6</v>
      </c>
      <c r="C94" s="317">
        <v>276.45568441315464</v>
      </c>
      <c r="D94" s="318">
        <f t="shared" si="53"/>
        <v>0.14106541952274088</v>
      </c>
      <c r="E94" s="321">
        <f>$D94*'MWh Impact Summary'!B$18</f>
        <v>165828.10852605477</v>
      </c>
      <c r="F94" s="319">
        <f>$D94*'MWh Impact Summary'!N$18</f>
        <v>7329.8749944824958</v>
      </c>
      <c r="G94" s="319">
        <f>$D94*'MWh Impact Summary'!C$18</f>
        <v>139596.15104974099</v>
      </c>
      <c r="H94" s="319">
        <f>$D94*'MWh Impact Summary'!D$18</f>
        <v>316.24851185743495</v>
      </c>
      <c r="I94" s="319">
        <f>$D94*'MWh Impact Summary'!E$18</f>
        <v>58440.320185798671</v>
      </c>
      <c r="J94" s="104">
        <f t="shared" si="43"/>
        <v>371510.70326793432</v>
      </c>
      <c r="K94" s="298">
        <f t="shared" si="51"/>
        <v>10.199999999999999</v>
      </c>
      <c r="L94" s="299">
        <f t="shared" si="54"/>
        <v>7.1805702217529022E-2</v>
      </c>
      <c r="M94" s="297">
        <f>(30/366)</f>
        <v>8.1967213114754092E-2</v>
      </c>
      <c r="N94" s="304">
        <f>$L94*'MWh Impact Summary'!F$18</f>
        <v>42148.331618683507</v>
      </c>
      <c r="O94" s="304">
        <f>$L94*'MWh Impact Summary'!G$18</f>
        <v>0</v>
      </c>
      <c r="P94" s="304">
        <f>$M94*'MWh Impact Summary'!H$18</f>
        <v>1918.2273319590993</v>
      </c>
      <c r="Q94" s="304">
        <f>$M94*'MWh Impact Summary'!I$18</f>
        <v>739.31444563581817</v>
      </c>
      <c r="R94" s="304">
        <f>$M94*'MWh Impact Summary'!J$18</f>
        <v>11824.901889117331</v>
      </c>
      <c r="S94" s="304">
        <f>$M94*'MWh Impact Summary'!K$18</f>
        <v>0</v>
      </c>
      <c r="T94" s="304">
        <f>$M94*'MWh Impact Summary'!L$18</f>
        <v>0</v>
      </c>
      <c r="U94" s="304">
        <f>$M94*'MWh Impact Summary'!M$18</f>
        <v>0</v>
      </c>
      <c r="V94" s="304">
        <f>$L94*'LED Impact Forecast'!$H$19+$D94*'LED Impact Forecast'!$J$19</f>
        <v>136.30975592570212</v>
      </c>
      <c r="W94" s="304">
        <f>$L94*'CFL Impact Forecast'!$H$19+$D94*'CFL Impact Forecast'!$J$19</f>
        <v>218295.09749490017</v>
      </c>
      <c r="X94" s="304">
        <f>$L94*'EISA Incand Impact Forecast'!$G$19+$D94*'EISA Incand Impact Forecast'!$I$19</f>
        <v>0</v>
      </c>
      <c r="Y94" s="85">
        <f t="shared" si="35"/>
        <v>275062.18253622163</v>
      </c>
      <c r="Z94" s="81">
        <f t="shared" si="36"/>
        <v>646572.88580415596</v>
      </c>
      <c r="AA94" s="81"/>
      <c r="AB94" s="81">
        <f>+'MWh by mo-WgtbyActulCDH&amp;Days'!AB94</f>
        <v>4575347</v>
      </c>
      <c r="AC94" s="308">
        <f t="shared" si="44"/>
        <v>141.31668828706455</v>
      </c>
      <c r="AD94" s="309">
        <f t="shared" si="37"/>
        <v>81.198366652394739</v>
      </c>
      <c r="AE94" s="107">
        <f t="shared" si="38"/>
        <v>7.9606241816073276E-3</v>
      </c>
      <c r="AF94" s="309">
        <f t="shared" si="45"/>
        <v>60.118321634669812</v>
      </c>
      <c r="AG94" s="107">
        <f t="shared" si="39"/>
        <v>5.8939531014382176E-3</v>
      </c>
      <c r="AH94" s="119">
        <f t="shared" si="46"/>
        <v>1.3854577283045545E-2</v>
      </c>
      <c r="AI94" s="122">
        <f t="shared" si="40"/>
        <v>1.3854577283045545E-2</v>
      </c>
      <c r="AJ94" s="87" t="b">
        <f t="shared" si="47"/>
        <v>1</v>
      </c>
      <c r="AK94" s="88">
        <f t="shared" si="52"/>
        <v>1.7545514066487355E-3</v>
      </c>
      <c r="AL94" s="312">
        <f>+AC94/'MWh by month-WgtbyCDH&amp;DayLtHrs'!AC94-1</f>
        <v>5.5575834123942958E-2</v>
      </c>
      <c r="AM94" s="89">
        <f t="shared" si="41"/>
        <v>218295.09749490017</v>
      </c>
      <c r="AN94" s="93"/>
      <c r="AO94" s="96">
        <f t="shared" si="28"/>
        <v>47.711156660882807</v>
      </c>
      <c r="AP94" s="92">
        <f t="shared" si="27"/>
        <v>4.6775643785179222E-3</v>
      </c>
      <c r="AR94" s="94">
        <f t="shared" si="42"/>
        <v>1.3854577283045545E-2</v>
      </c>
      <c r="AS94" s="95">
        <v>666316.34753543139</v>
      </c>
      <c r="AU94" s="141">
        <v>141.31668828706455</v>
      </c>
    </row>
    <row r="95" spans="1:47">
      <c r="A95" s="78">
        <v>2012</v>
      </c>
      <c r="B95" s="78">
        <v>7</v>
      </c>
      <c r="C95" s="317">
        <v>321.70797733942311</v>
      </c>
      <c r="D95" s="318">
        <f t="shared" si="53"/>
        <v>0.16415604144126156</v>
      </c>
      <c r="E95" s="321">
        <f>$D95*'MWh Impact Summary'!B$18</f>
        <v>192972.06889843554</v>
      </c>
      <c r="F95" s="319">
        <f>$D95*'MWh Impact Summary'!N$18</f>
        <v>8529.6826637201684</v>
      </c>
      <c r="G95" s="319">
        <f>$D95*'MWh Impact Summary'!C$18</f>
        <v>162446.27233443075</v>
      </c>
      <c r="H95" s="319">
        <f>$D95*'MWh Impact Summary'!D$18</f>
        <v>368.01438647291883</v>
      </c>
      <c r="I95" s="319">
        <f>$D95*'MWh Impact Summary'!E$18</f>
        <v>68006.26017855524</v>
      </c>
      <c r="J95" s="104">
        <f t="shared" si="43"/>
        <v>432322.29846161464</v>
      </c>
      <c r="K95" s="298">
        <f t="shared" si="51"/>
        <v>10.366666666666667</v>
      </c>
      <c r="L95" s="299">
        <f t="shared" si="54"/>
        <v>7.2978998005397158E-2</v>
      </c>
      <c r="M95" s="297">
        <f>(31/366)</f>
        <v>8.4699453551912565E-2</v>
      </c>
      <c r="N95" s="304">
        <f>$L95*'MWh Impact Summary'!F$18</f>
        <v>42837.029847746977</v>
      </c>
      <c r="O95" s="304">
        <f>$L95*'MWh Impact Summary'!G$18</f>
        <v>0</v>
      </c>
      <c r="P95" s="304">
        <f>$M95*'MWh Impact Summary'!H$18</f>
        <v>1982.1682430244027</v>
      </c>
      <c r="Q95" s="304">
        <f>$M95*'MWh Impact Summary'!I$18</f>
        <v>763.95826049034542</v>
      </c>
      <c r="R95" s="304">
        <f>$M95*'MWh Impact Summary'!J$18</f>
        <v>12219.065285421244</v>
      </c>
      <c r="S95" s="304">
        <f>$M95*'MWh Impact Summary'!K$18</f>
        <v>0</v>
      </c>
      <c r="T95" s="304">
        <f>$M95*'MWh Impact Summary'!L$18</f>
        <v>0</v>
      </c>
      <c r="U95" s="304">
        <f>$M95*'MWh Impact Summary'!M$18</f>
        <v>0</v>
      </c>
      <c r="V95" s="304">
        <f>$L95*'LED Impact Forecast'!$H$19+$D95*'LED Impact Forecast'!$J$19</f>
        <v>138.53703951925937</v>
      </c>
      <c r="W95" s="304">
        <f>$L95*'CFL Impact Forecast'!$H$19+$D95*'CFL Impact Forecast'!$J$19</f>
        <v>229859.431579172</v>
      </c>
      <c r="X95" s="304">
        <f>$L95*'EISA Incand Impact Forecast'!$G$19+$D95*'EISA Incand Impact Forecast'!$I$19</f>
        <v>0</v>
      </c>
      <c r="Y95" s="85">
        <f t="shared" si="35"/>
        <v>287800.19025537424</v>
      </c>
      <c r="Z95" s="81">
        <f t="shared" si="36"/>
        <v>720122.48871698882</v>
      </c>
      <c r="AA95" s="81"/>
      <c r="AB95" s="81">
        <f>+'MWh by mo-WgtbyActulCDH&amp;Days'!AB95</f>
        <v>4577123</v>
      </c>
      <c r="AC95" s="308">
        <f t="shared" si="44"/>
        <v>157.33081429469752</v>
      </c>
      <c r="AD95" s="309">
        <f t="shared" si="37"/>
        <v>94.452847009270812</v>
      </c>
      <c r="AE95" s="107">
        <f t="shared" si="38"/>
        <v>9.1112071070036157E-3</v>
      </c>
      <c r="AF95" s="309">
        <f t="shared" si="45"/>
        <v>62.877967285426728</v>
      </c>
      <c r="AG95" s="107">
        <f t="shared" si="39"/>
        <v>6.0653987735138316E-3</v>
      </c>
      <c r="AH95" s="119">
        <f t="shared" si="46"/>
        <v>1.5176605880517446E-2</v>
      </c>
      <c r="AI95" s="122">
        <f t="shared" si="40"/>
        <v>1.5176605880517445E-2</v>
      </c>
      <c r="AJ95" s="87" t="b">
        <f t="shared" si="47"/>
        <v>1</v>
      </c>
      <c r="AK95" s="88">
        <f t="shared" si="52"/>
        <v>1.8908032320004153E-3</v>
      </c>
      <c r="AL95" s="312">
        <f>+AC95/'MWh by month-WgtbyCDH&amp;DayLtHrs'!AC95-1</f>
        <v>5.2497155260369022E-2</v>
      </c>
      <c r="AM95" s="89">
        <f t="shared" si="41"/>
        <v>229859.431579172</v>
      </c>
      <c r="AN95" s="93"/>
      <c r="AO95" s="96">
        <f t="shared" si="28"/>
        <v>50.21919480406622</v>
      </c>
      <c r="AP95" s="92">
        <f t="shared" si="27"/>
        <v>4.8442953187202136E-3</v>
      </c>
      <c r="AR95" s="94">
        <f t="shared" si="42"/>
        <v>1.5176605880517445E-2</v>
      </c>
      <c r="AS95" s="95">
        <v>703280.56974415644</v>
      </c>
      <c r="AU95" s="141">
        <v>157.33081429469752</v>
      </c>
    </row>
    <row r="96" spans="1:47">
      <c r="A96" s="78">
        <v>2012</v>
      </c>
      <c r="B96" s="78">
        <v>8</v>
      </c>
      <c r="C96" s="317">
        <v>322.40717165394568</v>
      </c>
      <c r="D96" s="318">
        <f t="shared" si="53"/>
        <v>0.16451281522044939</v>
      </c>
      <c r="E96" s="321">
        <f>$D96*'MWh Impact Summary'!B$18</f>
        <v>193391.4709118742</v>
      </c>
      <c r="F96" s="319">
        <f>$D96*'MWh Impact Summary'!N$18</f>
        <v>8548.2209221509256</v>
      </c>
      <c r="G96" s="319">
        <f>$D96*'MWh Impact Summary'!C$18</f>
        <v>162799.33013228505</v>
      </c>
      <c r="H96" s="319">
        <f>$D96*'MWh Impact Summary'!D$18</f>
        <v>368.81422230171114</v>
      </c>
      <c r="I96" s="319">
        <f>$D96*'MWh Impact Summary'!E$18</f>
        <v>68154.06375763347</v>
      </c>
      <c r="J96" s="104">
        <f t="shared" si="43"/>
        <v>433261.89994624536</v>
      </c>
      <c r="K96" s="298">
        <f t="shared" si="51"/>
        <v>10.933333333333334</v>
      </c>
      <c r="L96" s="299">
        <f t="shared" si="54"/>
        <v>7.6968203684148764E-2</v>
      </c>
      <c r="M96" s="297">
        <f>(31/366)</f>
        <v>8.4699453551912565E-2</v>
      </c>
      <c r="N96" s="304">
        <f>$L96*'MWh Impact Summary'!F$18</f>
        <v>45178.603826562721</v>
      </c>
      <c r="O96" s="304">
        <f>$L96*'MWh Impact Summary'!G$18</f>
        <v>0</v>
      </c>
      <c r="P96" s="304">
        <f>$M96*'MWh Impact Summary'!H$18</f>
        <v>1982.1682430244027</v>
      </c>
      <c r="Q96" s="304">
        <f>$M96*'MWh Impact Summary'!I$18</f>
        <v>763.95826049034542</v>
      </c>
      <c r="R96" s="304">
        <f>$M96*'MWh Impact Summary'!J$18</f>
        <v>12219.065285421244</v>
      </c>
      <c r="S96" s="304">
        <f>$M96*'MWh Impact Summary'!K$18</f>
        <v>0</v>
      </c>
      <c r="T96" s="304">
        <f>$M96*'MWh Impact Summary'!L$18</f>
        <v>0</v>
      </c>
      <c r="U96" s="304">
        <f>$M96*'MWh Impact Summary'!M$18</f>
        <v>0</v>
      </c>
      <c r="V96" s="304">
        <f>$L96*'LED Impact Forecast'!$H$19+$D96*'LED Impact Forecast'!$J$19</f>
        <v>146.10980373735393</v>
      </c>
      <c r="W96" s="304">
        <f>$L96*'CFL Impact Forecast'!$H$19+$D96*'CFL Impact Forecast'!$J$19</f>
        <v>239108.87872782827</v>
      </c>
      <c r="X96" s="304">
        <f>$L96*'EISA Incand Impact Forecast'!$G$19+$D96*'EISA Incand Impact Forecast'!$I$19</f>
        <v>0</v>
      </c>
      <c r="Y96" s="85">
        <f t="shared" si="35"/>
        <v>299398.78414706432</v>
      </c>
      <c r="Z96" s="81">
        <f t="shared" si="36"/>
        <v>732660.68409330968</v>
      </c>
      <c r="AA96" s="81"/>
      <c r="AB96" s="81">
        <f>+'MWh by mo-WgtbyActulCDH&amp;Days'!AB96</f>
        <v>4579585</v>
      </c>
      <c r="AC96" s="308">
        <f t="shared" si="44"/>
        <v>159.9840780536467</v>
      </c>
      <c r="AD96" s="309">
        <f t="shared" si="37"/>
        <v>94.607240600675695</v>
      </c>
      <c r="AE96" s="107">
        <f t="shared" si="38"/>
        <v>8.6531012744520443E-3</v>
      </c>
      <c r="AF96" s="309">
        <f t="shared" si="45"/>
        <v>65.376837452971031</v>
      </c>
      <c r="AG96" s="107">
        <f t="shared" si="39"/>
        <v>5.9795887914302773E-3</v>
      </c>
      <c r="AH96" s="119">
        <f t="shared" si="46"/>
        <v>1.4632690065882321E-2</v>
      </c>
      <c r="AI96" s="122">
        <f t="shared" si="40"/>
        <v>1.4632690065882321E-2</v>
      </c>
      <c r="AJ96" s="87" t="b">
        <f t="shared" si="47"/>
        <v>1</v>
      </c>
      <c r="AK96" s="88">
        <f t="shared" si="52"/>
        <v>2.1576378282222794E-3</v>
      </c>
      <c r="AL96" s="312">
        <f>+AC96/'MWh by month-WgtbyCDH&amp;DayLtHrs'!AC96-1</f>
        <v>4.2578969165897096E-2</v>
      </c>
      <c r="AM96" s="89">
        <f t="shared" si="41"/>
        <v>239108.87872782827</v>
      </c>
      <c r="AN96" s="93"/>
      <c r="AO96" s="96">
        <f t="shared" si="28"/>
        <v>52.211909753357183</v>
      </c>
      <c r="AP96" s="92">
        <f t="shared" si="27"/>
        <v>4.7754795506119371E-3</v>
      </c>
      <c r="AR96" s="94">
        <f t="shared" si="42"/>
        <v>1.4632690065882321E-2</v>
      </c>
      <c r="AS96" s="95">
        <v>731339.80776993698</v>
      </c>
      <c r="AU96" s="141">
        <v>159.9840780536467</v>
      </c>
    </row>
    <row r="97" spans="1:47">
      <c r="A97" s="78">
        <v>2012</v>
      </c>
      <c r="B97" s="78">
        <v>9</v>
      </c>
      <c r="C97" s="317">
        <v>274.50677348457691</v>
      </c>
      <c r="D97" s="318">
        <f t="shared" si="53"/>
        <v>0.14007096018168641</v>
      </c>
      <c r="E97" s="321">
        <f>$D97*'MWh Impact Summary'!B$18</f>
        <v>164659.08133221054</v>
      </c>
      <c r="F97" s="319">
        <f>$D97*'MWh Impact Summary'!N$18</f>
        <v>7278.2020708015107</v>
      </c>
      <c r="G97" s="319">
        <f>$D97*'MWh Impact Summary'!C$18</f>
        <v>138612.04951120421</v>
      </c>
      <c r="H97" s="319">
        <f>$D97*'MWh Impact Summary'!D$18</f>
        <v>314.01907612630242</v>
      </c>
      <c r="I97" s="319">
        <f>$D97*'MWh Impact Summary'!E$18</f>
        <v>58028.337415679649</v>
      </c>
      <c r="J97" s="104">
        <f t="shared" si="43"/>
        <v>368891.6894060222</v>
      </c>
      <c r="K97" s="298">
        <f t="shared" si="51"/>
        <v>11.683333333333334</v>
      </c>
      <c r="L97" s="299">
        <f t="shared" si="54"/>
        <v>8.2248034729555317E-2</v>
      </c>
      <c r="M97" s="297">
        <f>(30/366)</f>
        <v>8.1967213114754092E-2</v>
      </c>
      <c r="N97" s="304">
        <f>$L97*'MWh Impact Summary'!F$18</f>
        <v>48277.74585734828</v>
      </c>
      <c r="O97" s="304">
        <f>$L97*'MWh Impact Summary'!G$18</f>
        <v>0</v>
      </c>
      <c r="P97" s="304">
        <f>$M97*'MWh Impact Summary'!H$18</f>
        <v>1918.2273319590993</v>
      </c>
      <c r="Q97" s="304">
        <f>$M97*'MWh Impact Summary'!I$18</f>
        <v>739.31444563581817</v>
      </c>
      <c r="R97" s="304">
        <f>$M97*'MWh Impact Summary'!J$18</f>
        <v>11824.901889117331</v>
      </c>
      <c r="S97" s="304">
        <f>$M97*'MWh Impact Summary'!K$18</f>
        <v>0</v>
      </c>
      <c r="T97" s="304">
        <f>$M97*'MWh Impact Summary'!L$18</f>
        <v>0</v>
      </c>
      <c r="U97" s="304">
        <f>$M97*'MWh Impact Summary'!M$18</f>
        <v>0</v>
      </c>
      <c r="V97" s="304">
        <f>$L97*'LED Impact Forecast'!$H$19+$D97*'LED Impact Forecast'!$J$19</f>
        <v>156.13257990836144</v>
      </c>
      <c r="W97" s="304">
        <f>$L97*'CFL Impact Forecast'!$H$19+$D97*'CFL Impact Forecast'!$J$19</f>
        <v>241764.93252139681</v>
      </c>
      <c r="X97" s="304">
        <f>$L97*'EISA Incand Impact Forecast'!$G$19+$D97*'EISA Incand Impact Forecast'!$I$19</f>
        <v>0</v>
      </c>
      <c r="Y97" s="85">
        <f t="shared" si="35"/>
        <v>304681.25462536572</v>
      </c>
      <c r="Z97" s="81">
        <f t="shared" si="36"/>
        <v>673572.94403138792</v>
      </c>
      <c r="AA97" s="81"/>
      <c r="AB97" s="81">
        <f>+'MWh by mo-WgtbyActulCDH&amp;Days'!AB97</f>
        <v>4578976</v>
      </c>
      <c r="AC97" s="308">
        <f t="shared" si="44"/>
        <v>147.10121739694375</v>
      </c>
      <c r="AD97" s="309">
        <f t="shared" si="37"/>
        <v>80.56204911447935</v>
      </c>
      <c r="AE97" s="107">
        <f t="shared" si="38"/>
        <v>6.8954678272022266E-3</v>
      </c>
      <c r="AF97" s="309">
        <f t="shared" si="45"/>
        <v>66.539168282464402</v>
      </c>
      <c r="AG97" s="107">
        <f t="shared" si="39"/>
        <v>5.6952212509955268E-3</v>
      </c>
      <c r="AH97" s="119">
        <f t="shared" si="46"/>
        <v>1.2590689078197752E-2</v>
      </c>
      <c r="AI97" s="122">
        <f t="shared" si="40"/>
        <v>1.2590689078197754E-2</v>
      </c>
      <c r="AJ97" s="87" t="b">
        <f t="shared" si="47"/>
        <v>1</v>
      </c>
      <c r="AK97" s="88">
        <f t="shared" si="52"/>
        <v>1.6503675806184767E-3</v>
      </c>
      <c r="AL97" s="312">
        <f>+AC97/'MWh by month-WgtbyCDH&amp;DayLtHrs'!AC97-1</f>
        <v>2.8555512334114797E-2</v>
      </c>
      <c r="AM97" s="89">
        <f t="shared" si="41"/>
        <v>241764.93252139681</v>
      </c>
      <c r="AN97" s="93"/>
      <c r="AO97" s="96">
        <f t="shared" si="28"/>
        <v>52.798907991960824</v>
      </c>
      <c r="AP97" s="92">
        <f t="shared" si="27"/>
        <v>4.5191647354032088E-3</v>
      </c>
      <c r="AR97" s="94">
        <f t="shared" si="42"/>
        <v>1.2590689078197754E-2</v>
      </c>
      <c r="AS97" s="95">
        <v>689207.92416327714</v>
      </c>
      <c r="AU97" s="141">
        <v>147.10121739694375</v>
      </c>
    </row>
    <row r="98" spans="1:47">
      <c r="A98" s="78">
        <v>2012</v>
      </c>
      <c r="B98" s="78">
        <v>10</v>
      </c>
      <c r="C98" s="317">
        <v>198.7182652930268</v>
      </c>
      <c r="D98" s="318">
        <f t="shared" si="53"/>
        <v>0.10139880292169634</v>
      </c>
      <c r="E98" s="321">
        <f>$D98*'MWh Impact Summary'!B$18</f>
        <v>119198.39569612185</v>
      </c>
      <c r="F98" s="319">
        <f>$D98*'MWh Impact Summary'!N$18</f>
        <v>5268.7650348382103</v>
      </c>
      <c r="G98" s="319">
        <f>$D98*'MWh Impact Summary'!C$18</f>
        <v>100342.68254267772</v>
      </c>
      <c r="H98" s="319">
        <f>$D98*'MWh Impact Summary'!D$18</f>
        <v>227.32162592790718</v>
      </c>
      <c r="I98" s="319">
        <f>$D98*'MWh Impact Summary'!E$18</f>
        <v>42007.307880620232</v>
      </c>
      <c r="J98" s="104">
        <f t="shared" si="43"/>
        <v>267044.47278018593</v>
      </c>
      <c r="K98" s="298">
        <f t="shared" si="51"/>
        <v>12.466666666666667</v>
      </c>
      <c r="L98" s="299">
        <f t="shared" si="54"/>
        <v>8.7762524932535488E-2</v>
      </c>
      <c r="M98" s="297">
        <f>(31/366)</f>
        <v>8.4699453551912565E-2</v>
      </c>
      <c r="N98" s="304">
        <f>$L98*'MWh Impact Summary'!F$18</f>
        <v>51514.627533946521</v>
      </c>
      <c r="O98" s="304">
        <f>$L98*'MWh Impact Summary'!G$18</f>
        <v>0</v>
      </c>
      <c r="P98" s="304">
        <f>$M98*'MWh Impact Summary'!H$18</f>
        <v>1982.1682430244027</v>
      </c>
      <c r="Q98" s="304">
        <f>$M98*'MWh Impact Summary'!I$18</f>
        <v>763.95826049034542</v>
      </c>
      <c r="R98" s="304">
        <f>$M98*'MWh Impact Summary'!J$18</f>
        <v>12219.065285421244</v>
      </c>
      <c r="S98" s="304">
        <f>$M98*'MWh Impact Summary'!K$18</f>
        <v>0</v>
      </c>
      <c r="T98" s="304">
        <f>$M98*'MWh Impact Summary'!L$18</f>
        <v>0</v>
      </c>
      <c r="U98" s="304">
        <f>$M98*'MWh Impact Summary'!M$18</f>
        <v>0</v>
      </c>
      <c r="V98" s="304">
        <f>$L98*'LED Impact Forecast'!$H$19+$D98*'LED Impact Forecast'!$J$19</f>
        <v>166.6008127980804</v>
      </c>
      <c r="W98" s="304">
        <f>$L98*'CFL Impact Forecast'!$H$19+$D98*'CFL Impact Forecast'!$J$19</f>
        <v>239481.78584232437</v>
      </c>
      <c r="X98" s="304">
        <f>$L98*'EISA Incand Impact Forecast'!$G$19+$D98*'EISA Incand Impact Forecast'!$I$19</f>
        <v>0</v>
      </c>
      <c r="Y98" s="85">
        <f t="shared" si="35"/>
        <v>306128.20597800496</v>
      </c>
      <c r="Z98" s="81">
        <f t="shared" si="36"/>
        <v>573172.67875819094</v>
      </c>
      <c r="AA98" s="81"/>
      <c r="AB98" s="81">
        <f>+'MWh by mo-WgtbyActulCDH&amp;Days'!AB98</f>
        <v>4580752</v>
      </c>
      <c r="AC98" s="308">
        <f t="shared" si="44"/>
        <v>125.12632833172174</v>
      </c>
      <c r="AD98" s="309">
        <f t="shared" si="37"/>
        <v>58.297081522899717</v>
      </c>
      <c r="AE98" s="107">
        <f t="shared" si="38"/>
        <v>4.6762364857940953E-3</v>
      </c>
      <c r="AF98" s="309">
        <f t="shared" si="45"/>
        <v>66.829246808821992</v>
      </c>
      <c r="AG98" s="107">
        <f t="shared" si="39"/>
        <v>5.3606347707611229E-3</v>
      </c>
      <c r="AH98" s="119">
        <f t="shared" si="46"/>
        <v>1.0036871256555217E-2</v>
      </c>
      <c r="AI98" s="122">
        <f t="shared" si="40"/>
        <v>1.0036871256555219E-2</v>
      </c>
      <c r="AJ98" s="87" t="b">
        <f t="shared" si="47"/>
        <v>1</v>
      </c>
      <c r="AK98" s="88">
        <f t="shared" si="52"/>
        <v>2.4472455915482095E-3</v>
      </c>
      <c r="AL98" s="312">
        <f>+AC98/'MWh by month-WgtbyCDH&amp;DayLtHrs'!AC98-1</f>
        <v>1.0813175789117668E-2</v>
      </c>
      <c r="AM98" s="89">
        <f t="shared" si="41"/>
        <v>239481.78584232437</v>
      </c>
      <c r="AN98" s="93"/>
      <c r="AO98" s="96">
        <f t="shared" si="28"/>
        <v>52.280015561271242</v>
      </c>
      <c r="AP98" s="92">
        <f t="shared" si="27"/>
        <v>4.1935841359308484E-3</v>
      </c>
      <c r="AR98" s="94">
        <f t="shared" si="42"/>
        <v>1.0036871256555219E-2</v>
      </c>
      <c r="AS98" s="95">
        <v>550390.63085847348</v>
      </c>
      <c r="AU98" s="141">
        <v>125.12632833172174</v>
      </c>
    </row>
    <row r="99" spans="1:47">
      <c r="A99" s="78">
        <v>2012</v>
      </c>
      <c r="B99" s="78">
        <v>11</v>
      </c>
      <c r="C99" s="317">
        <v>39.051797399730034</v>
      </c>
      <c r="D99" s="318">
        <f t="shared" si="53"/>
        <v>1.99267314578968E-2</v>
      </c>
      <c r="E99" s="321">
        <f>$D99*'MWh Impact Summary'!B$18</f>
        <v>23424.679116606338</v>
      </c>
      <c r="F99" s="319">
        <f>$D99*'MWh Impact Summary'!N$18</f>
        <v>1035.4093237673983</v>
      </c>
      <c r="G99" s="319">
        <f>$D99*'MWh Impact Summary'!C$18</f>
        <v>19719.184360953575</v>
      </c>
      <c r="H99" s="319">
        <f>$D99*'MWh Impact Summary'!D$18</f>
        <v>44.67288433312104</v>
      </c>
      <c r="I99" s="319">
        <f>$D99*'MWh Impact Summary'!E$18</f>
        <v>8255.2093248351703</v>
      </c>
      <c r="J99" s="104">
        <f t="shared" si="43"/>
        <v>52479.155010495611</v>
      </c>
      <c r="K99" s="298">
        <f t="shared" si="51"/>
        <v>13.15</v>
      </c>
      <c r="L99" s="299">
        <f>K99/(SUM(K$89:K$100))</f>
        <v>9.2573037662794788E-2</v>
      </c>
      <c r="M99" s="297">
        <f>(30/366)</f>
        <v>8.1967213114754092E-2</v>
      </c>
      <c r="N99" s="304">
        <f>$L99*'MWh Impact Summary'!F$18</f>
        <v>54338.290273106693</v>
      </c>
      <c r="O99" s="304">
        <f>$L99*'MWh Impact Summary'!G$18</f>
        <v>0</v>
      </c>
      <c r="P99" s="304">
        <f>$M99*'MWh Impact Summary'!H$18</f>
        <v>1918.2273319590993</v>
      </c>
      <c r="Q99" s="304">
        <f>$M99*'MWh Impact Summary'!I$18</f>
        <v>739.31444563581817</v>
      </c>
      <c r="R99" s="304">
        <f>$M99*'MWh Impact Summary'!J$18</f>
        <v>11824.901889117331</v>
      </c>
      <c r="S99" s="304">
        <f>$M99*'MWh Impact Summary'!K$18</f>
        <v>0</v>
      </c>
      <c r="T99" s="304">
        <f>$M99*'MWh Impact Summary'!L$18</f>
        <v>0</v>
      </c>
      <c r="U99" s="304">
        <f>$M99*'MWh Impact Summary'!M$18</f>
        <v>0</v>
      </c>
      <c r="V99" s="304">
        <f>$L99*'LED Impact Forecast'!$H$19+$D99*'LED Impact Forecast'!$J$19</f>
        <v>175.73267553166502</v>
      </c>
      <c r="W99" s="304">
        <f>$L99*'CFL Impact Forecast'!$H$19+$D99*'CFL Impact Forecast'!$J$19</f>
        <v>219123.03423773241</v>
      </c>
      <c r="X99" s="304">
        <f>$L99*'EISA Incand Impact Forecast'!$G$19+$D99*'EISA Incand Impact Forecast'!$I$19</f>
        <v>0</v>
      </c>
      <c r="Y99" s="85">
        <f t="shared" si="35"/>
        <v>288119.50085308298</v>
      </c>
      <c r="Z99" s="81">
        <f t="shared" si="36"/>
        <v>340598.65586357861</v>
      </c>
      <c r="AA99" s="81"/>
      <c r="AB99" s="81">
        <f>+'MWh by mo-WgtbyActulCDH&amp;Days'!AB99</f>
        <v>4584041</v>
      </c>
      <c r="AC99" s="308">
        <f t="shared" si="44"/>
        <v>74.30096193807573</v>
      </c>
      <c r="AD99" s="309">
        <f t="shared" si="37"/>
        <v>11.448229850146543</v>
      </c>
      <c r="AE99" s="107">
        <f t="shared" si="38"/>
        <v>8.7058782130391955E-4</v>
      </c>
      <c r="AF99" s="309">
        <f t="shared" si="45"/>
        <v>62.852732087929176</v>
      </c>
      <c r="AG99" s="107">
        <f t="shared" si="39"/>
        <v>4.7796754439489867E-3</v>
      </c>
      <c r="AH99" s="119">
        <f t="shared" si="46"/>
        <v>5.6502632652529064E-3</v>
      </c>
      <c r="AI99" s="122">
        <f t="shared" si="40"/>
        <v>5.6502632652529073E-3</v>
      </c>
      <c r="AJ99" s="87" t="b">
        <f t="shared" si="47"/>
        <v>1</v>
      </c>
      <c r="AK99" s="88">
        <f t="shared" si="52"/>
        <v>-1.2608137116875296E-4</v>
      </c>
      <c r="AL99" s="312">
        <f>+AC99/'MWh by month-WgtbyCDH&amp;DayLtHrs'!AC99-1</f>
        <v>-0.19087168552822731</v>
      </c>
      <c r="AM99" s="89">
        <f t="shared" si="41"/>
        <v>219123.03423773241</v>
      </c>
      <c r="AN99" s="93"/>
      <c r="AO99" s="96">
        <f t="shared" si="28"/>
        <v>47.801281497642016</v>
      </c>
      <c r="AP99" s="92">
        <f t="shared" si="27"/>
        <v>3.6350784408853243E-3</v>
      </c>
      <c r="AR99" s="94">
        <f t="shared" si="42"/>
        <v>5.6502632652529073E-3</v>
      </c>
      <c r="AS99" s="95">
        <v>417156.58320965245</v>
      </c>
      <c r="AU99" s="141">
        <v>74.30096193807573</v>
      </c>
    </row>
    <row r="100" spans="1:47">
      <c r="A100" s="78">
        <v>2012</v>
      </c>
      <c r="B100" s="78">
        <v>12</v>
      </c>
      <c r="C100" s="317">
        <v>52.002480932841181</v>
      </c>
      <c r="D100" s="318">
        <f>C100/(SUM(C$89:C$100))</f>
        <v>2.6535000734698281E-2</v>
      </c>
      <c r="E100" s="321">
        <f>$D100*'MWh Impact Summary'!B$18</f>
        <v>31192.967039403546</v>
      </c>
      <c r="F100" s="319">
        <f>$D100*'MWh Impact Summary'!N$18</f>
        <v>1378.7804199064174</v>
      </c>
      <c r="G100" s="319">
        <f>$D100*'MWh Impact Summary'!C$18</f>
        <v>26258.625134339072</v>
      </c>
      <c r="H100" s="319">
        <f>$D100*'MWh Impact Summary'!D$18</f>
        <v>59.487679708289335</v>
      </c>
      <c r="I100" s="319">
        <f>$D100*'MWh Impact Summary'!E$18</f>
        <v>10992.870856036998</v>
      </c>
      <c r="J100" s="104">
        <f t="shared" si="43"/>
        <v>69882.73112939432</v>
      </c>
      <c r="K100" s="298">
        <f t="shared" si="51"/>
        <v>13.483333333333333</v>
      </c>
      <c r="L100" s="299">
        <f>K100/(SUM(K$89:K$100))</f>
        <v>9.491962923853102E-2</v>
      </c>
      <c r="M100" s="297">
        <f>(31/366)</f>
        <v>8.4699453551912565E-2</v>
      </c>
      <c r="N100" s="304">
        <f>$L100*'MWh Impact Summary'!F$18</f>
        <v>55715.686731233596</v>
      </c>
      <c r="O100" s="304">
        <f>$L100*'MWh Impact Summary'!G$18</f>
        <v>0</v>
      </c>
      <c r="P100" s="304">
        <f>$M100*'MWh Impact Summary'!H$18</f>
        <v>1982.1682430244027</v>
      </c>
      <c r="Q100" s="304">
        <f>$M100*'MWh Impact Summary'!I$18</f>
        <v>763.95826049034542</v>
      </c>
      <c r="R100" s="304">
        <f>$M100*'MWh Impact Summary'!J$18</f>
        <v>12219.065285421244</v>
      </c>
      <c r="S100" s="304">
        <f>$M100*'MWh Impact Summary'!K$18</f>
        <v>0</v>
      </c>
      <c r="T100" s="304">
        <f>$M100*'MWh Impact Summary'!L$18</f>
        <v>0</v>
      </c>
      <c r="U100" s="304">
        <f>$M100*'MWh Impact Summary'!M$18</f>
        <v>0</v>
      </c>
      <c r="V100" s="304">
        <f>$L100*'LED Impact Forecast'!$H$19+$D100*'LED Impact Forecast'!$J$19</f>
        <v>180.18724271877946</v>
      </c>
      <c r="W100" s="304">
        <f>$L100*'CFL Impact Forecast'!$H$19+$D100*'CFL Impact Forecast'!$J$19</f>
        <v>227025.71668493928</v>
      </c>
      <c r="X100" s="304">
        <f>$L100*'EISA Incand Impact Forecast'!$G$19+$D100*'EISA Incand Impact Forecast'!$I$19</f>
        <v>0</v>
      </c>
      <c r="Y100" s="85">
        <f t="shared" si="35"/>
        <v>297886.78244782763</v>
      </c>
      <c r="Z100" s="81">
        <f t="shared" si="36"/>
        <v>367769.51357722195</v>
      </c>
      <c r="AA100" s="81">
        <f>SUM(Z89:Z100)</f>
        <v>6068132.659693406</v>
      </c>
      <c r="AB100" s="81">
        <f>+'MWh by mo-WgtbyActulCDH&amp;Days'!AB100</f>
        <v>4588119</v>
      </c>
      <c r="AC100" s="308">
        <f t="shared" si="44"/>
        <v>80.156925654548616</v>
      </c>
      <c r="AD100" s="309">
        <f t="shared" si="37"/>
        <v>15.231237709700713</v>
      </c>
      <c r="AE100" s="107">
        <f t="shared" si="38"/>
        <v>1.1296344407689034E-3</v>
      </c>
      <c r="AF100" s="309">
        <f t="shared" si="45"/>
        <v>64.925687944847908</v>
      </c>
      <c r="AG100" s="107">
        <f t="shared" si="39"/>
        <v>4.8152549773682008E-3</v>
      </c>
      <c r="AH100" s="119">
        <f t="shared" si="46"/>
        <v>5.944889418137104E-3</v>
      </c>
      <c r="AI100" s="122">
        <f t="shared" si="40"/>
        <v>5.944889418137104E-3</v>
      </c>
      <c r="AJ100" s="87" t="b">
        <f t="shared" si="47"/>
        <v>1</v>
      </c>
      <c r="AK100" s="88">
        <f t="shared" si="52"/>
        <v>8.7082507193468606E-4</v>
      </c>
      <c r="AL100" s="312">
        <f>+AC100/'MWh by month-WgtbyCDH&amp;DayLtHrs'!AC100-1</f>
        <v>-3.4883108772707949E-2</v>
      </c>
      <c r="AM100" s="89">
        <f t="shared" si="41"/>
        <v>227025.71668493928</v>
      </c>
      <c r="AN100" s="90">
        <f>SUM(AM89:AM100)</f>
        <v>2668965.2592229554</v>
      </c>
      <c r="AO100" s="96">
        <f t="shared" si="28"/>
        <v>49.481218051436613</v>
      </c>
      <c r="AP100" s="92">
        <f t="shared" si="27"/>
        <v>3.6698060359532719E-3</v>
      </c>
      <c r="AR100" s="94">
        <f t="shared" si="42"/>
        <v>5.944889418137104E-3</v>
      </c>
      <c r="AS100" s="95">
        <v>339742.23967733263</v>
      </c>
      <c r="AU100" s="141">
        <v>80.156925654548616</v>
      </c>
    </row>
    <row r="101" spans="1:47">
      <c r="A101" s="78">
        <v>2013</v>
      </c>
      <c r="B101" s="78">
        <f t="shared" ref="B101:B112" si="55">B89</f>
        <v>1</v>
      </c>
      <c r="C101" s="317">
        <v>50.538702541757459</v>
      </c>
      <c r="D101" s="318">
        <f t="shared" ref="D101:D112" si="56">C101/(SUM(C$101:C$112))</f>
        <v>2.526841009750121E-2</v>
      </c>
      <c r="E101" s="321">
        <f>$D101*'MWh Impact Summary'!B$19</f>
        <v>34139.943856069382</v>
      </c>
      <c r="F101" s="319">
        <f>$D101*'MWh Impact Summary'!N$19</f>
        <v>1834.7578966720434</v>
      </c>
      <c r="G101" s="319">
        <f>$D101*'MWh Impact Summary'!C$19</f>
        <v>28847.21054360416</v>
      </c>
      <c r="H101" s="319">
        <f>$D101*'MWh Impact Summary'!D$19</f>
        <v>76.670286554076128</v>
      </c>
      <c r="I101" s="319">
        <f>$D101*'MWh Impact Summary'!E$19</f>
        <v>11835.070439570807</v>
      </c>
      <c r="J101" s="104">
        <f t="shared" si="43"/>
        <v>76733.653022470477</v>
      </c>
      <c r="K101" s="298">
        <f t="shared" si="51"/>
        <v>13.3</v>
      </c>
      <c r="L101" s="299">
        <f>K101/(SUM(K$101:K$112))</f>
        <v>9.3629003871876101E-2</v>
      </c>
      <c r="M101" s="297">
        <f>(31/365)</f>
        <v>8.4931506849315067E-2</v>
      </c>
      <c r="N101" s="304">
        <f>$L101*'MWh Impact Summary'!F$19</f>
        <v>64907.31120058844</v>
      </c>
      <c r="O101" s="304">
        <f>$L101*'MWh Impact Summary'!G$19</f>
        <v>85.54181185596579</v>
      </c>
      <c r="P101" s="304">
        <f>$M101*'MWh Impact Summary'!H$19</f>
        <v>2683.0390856905556</v>
      </c>
      <c r="Q101" s="304">
        <f>$M101*'MWh Impact Summary'!I$19</f>
        <v>858.64921101777986</v>
      </c>
      <c r="R101" s="304">
        <f>$M101*'MWh Impact Summary'!J$19</f>
        <v>15522.636385467882</v>
      </c>
      <c r="S101" s="304">
        <f>$M101*'MWh Impact Summary'!K$19</f>
        <v>0</v>
      </c>
      <c r="T101" s="304">
        <f>$M101*'MWh Impact Summary'!L$19</f>
        <v>0</v>
      </c>
      <c r="U101" s="304">
        <f>$M101*'MWh Impact Summary'!M$19</f>
        <v>0</v>
      </c>
      <c r="V101" s="304">
        <f>$L101*'LED Impact Forecast'!$H$20+$D101*'LED Impact Forecast'!$J$20</f>
        <v>801.60023151434405</v>
      </c>
      <c r="W101" s="304">
        <f>$L101*'CFL Impact Forecast'!$H$20+$D101*'CFL Impact Forecast'!$J$20</f>
        <v>243738.79509575199</v>
      </c>
      <c r="X101" s="304">
        <f>$L101*'EISA Incand Impact Forecast'!$G$20+$D101*'EISA Incand Impact Forecast'!$I$20</f>
        <v>26467.771940478724</v>
      </c>
      <c r="Y101" s="85">
        <f t="shared" si="35"/>
        <v>355065.34496236569</v>
      </c>
      <c r="Z101" s="81">
        <f t="shared" si="36"/>
        <v>431798.99798483617</v>
      </c>
      <c r="AA101" s="81"/>
      <c r="AB101" s="81">
        <f>+'MWh by mo-WgtbyActulCDH&amp;Days'!AB101</f>
        <v>4594969</v>
      </c>
      <c r="AC101" s="308">
        <f t="shared" si="44"/>
        <v>93.972124291771323</v>
      </c>
      <c r="AD101" s="309">
        <f t="shared" si="37"/>
        <v>16.699493080904457</v>
      </c>
      <c r="AE101" s="107">
        <f t="shared" si="38"/>
        <v>1.2556009835266509E-3</v>
      </c>
      <c r="AF101" s="309">
        <f t="shared" si="45"/>
        <v>77.272631210866862</v>
      </c>
      <c r="AG101" s="107">
        <f t="shared" si="39"/>
        <v>5.8099722714937485E-3</v>
      </c>
      <c r="AH101" s="119">
        <f t="shared" si="46"/>
        <v>7.0655732550203992E-3</v>
      </c>
      <c r="AI101" s="122">
        <f t="shared" si="40"/>
        <v>7.0655732550204001E-3</v>
      </c>
      <c r="AJ101" s="87" t="b">
        <f t="shared" si="47"/>
        <v>1</v>
      </c>
      <c r="AK101" s="88">
        <f t="shared" si="52"/>
        <v>1.6948440671048989E-3</v>
      </c>
      <c r="AL101" s="312">
        <f>+AC101/'MWh by month-WgtbyCDH&amp;DayLtHrs'!AC101-1</f>
        <v>1.0960389213035659E-2</v>
      </c>
      <c r="AM101" s="89">
        <f t="shared" si="41"/>
        <v>243738.79509575199</v>
      </c>
      <c r="AN101" s="93"/>
      <c r="AO101" s="96">
        <f t="shared" si="28"/>
        <v>53.04470935402437</v>
      </c>
      <c r="AP101" s="92">
        <f t="shared" si="27"/>
        <v>3.9883240115807794E-3</v>
      </c>
      <c r="AR101" s="94">
        <f t="shared" si="42"/>
        <v>7.0655732550204001E-3</v>
      </c>
      <c r="AS101" s="95">
        <v>396478.06216397288</v>
      </c>
      <c r="AU101" s="141">
        <v>93.972124291771323</v>
      </c>
    </row>
    <row r="102" spans="1:47">
      <c r="A102" s="78">
        <f t="shared" ref="A102:A112" si="57">A101</f>
        <v>2013</v>
      </c>
      <c r="B102" s="78">
        <f t="shared" si="55"/>
        <v>2</v>
      </c>
      <c r="C102" s="317">
        <v>44.995401174839188</v>
      </c>
      <c r="D102" s="318">
        <f t="shared" si="56"/>
        <v>2.2496862645969444E-2</v>
      </c>
      <c r="E102" s="321">
        <f>$D102*'MWh Impact Summary'!B$19</f>
        <v>30395.328582507565</v>
      </c>
      <c r="F102" s="319">
        <f>$D102*'MWh Impact Summary'!N$19</f>
        <v>1633.5137917569482</v>
      </c>
      <c r="G102" s="319">
        <f>$D102*'MWh Impact Summary'!C$19</f>
        <v>25683.124930088146</v>
      </c>
      <c r="H102" s="319">
        <f>$D102*'MWh Impact Summary'!D$19</f>
        <v>68.260761123420977</v>
      </c>
      <c r="I102" s="319">
        <f>$D102*'MWh Impact Summary'!E$19</f>
        <v>10536.949220668508</v>
      </c>
      <c r="J102" s="104">
        <f t="shared" si="43"/>
        <v>68317.177286144579</v>
      </c>
      <c r="K102" s="298">
        <f t="shared" si="51"/>
        <v>12.733333333333333</v>
      </c>
      <c r="L102" s="299">
        <f>K102/(SUM(K$101:K$112))</f>
        <v>8.9639798193124468E-2</v>
      </c>
      <c r="M102" s="297">
        <f>(28/365)</f>
        <v>7.6712328767123292E-2</v>
      </c>
      <c r="N102" s="304">
        <f>$L102*'MWh Impact Summary'!F$19</f>
        <v>62141.836788533277</v>
      </c>
      <c r="O102" s="304">
        <f>$L102*'MWh Impact Summary'!G$19</f>
        <v>81.897173255586267</v>
      </c>
      <c r="P102" s="304">
        <f>$M102*'MWh Impact Summary'!H$19</f>
        <v>2423.3901419140502</v>
      </c>
      <c r="Q102" s="304">
        <f>$M102*'MWh Impact Summary'!I$19</f>
        <v>775.55412608057543</v>
      </c>
      <c r="R102" s="304">
        <f>$M102*'MWh Impact Summary'!J$19</f>
        <v>14020.445767519379</v>
      </c>
      <c r="S102" s="304">
        <f>$M102*'MWh Impact Summary'!K$19</f>
        <v>0</v>
      </c>
      <c r="T102" s="304">
        <f>$M102*'MWh Impact Summary'!L$19</f>
        <v>0</v>
      </c>
      <c r="U102" s="304">
        <f>$M102*'MWh Impact Summary'!M$19</f>
        <v>0</v>
      </c>
      <c r="V102" s="304">
        <f>$L102*'LED Impact Forecast'!$H$20+$D102*'LED Impact Forecast'!$J$20</f>
        <v>767.0339739290024</v>
      </c>
      <c r="W102" s="304">
        <f>$L102*'CFL Impact Forecast'!$H$20+$D102*'CFL Impact Forecast'!$J$20</f>
        <v>232641.54721645685</v>
      </c>
      <c r="X102" s="304">
        <f>$L102*'EISA Incand Impact Forecast'!$G$20+$D102*'EISA Incand Impact Forecast'!$I$20</f>
        <v>25257.459350399793</v>
      </c>
      <c r="Y102" s="85">
        <f t="shared" si="35"/>
        <v>338109.16453808849</v>
      </c>
      <c r="Z102" s="81">
        <f t="shared" si="36"/>
        <v>406426.34182423307</v>
      </c>
      <c r="AA102" s="81"/>
      <c r="AB102" s="81">
        <f>+'MWh by mo-WgtbyActulCDH&amp;Days'!AB102</f>
        <v>4599265</v>
      </c>
      <c r="AC102" s="308">
        <f t="shared" si="44"/>
        <v>88.367672187671957</v>
      </c>
      <c r="AD102" s="309">
        <f t="shared" si="37"/>
        <v>14.85393367986941</v>
      </c>
      <c r="AE102" s="107">
        <f t="shared" si="38"/>
        <v>1.166539294230582E-3</v>
      </c>
      <c r="AF102" s="309">
        <f t="shared" si="45"/>
        <v>73.513738507802557</v>
      </c>
      <c r="AG102" s="107">
        <f t="shared" si="39"/>
        <v>5.7733302493038659E-3</v>
      </c>
      <c r="AH102" s="119">
        <f t="shared" si="46"/>
        <v>6.9398695435344479E-3</v>
      </c>
      <c r="AI102" s="122">
        <f t="shared" si="40"/>
        <v>6.9398695435344479E-3</v>
      </c>
      <c r="AJ102" s="87" t="b">
        <f t="shared" si="47"/>
        <v>1</v>
      </c>
      <c r="AK102" s="88">
        <f t="shared" si="52"/>
        <v>9.4281398368670655E-4</v>
      </c>
      <c r="AL102" s="312">
        <f>+AC102/'MWh by month-WgtbyCDH&amp;DayLtHrs'!AC102-1</f>
        <v>-4.4211116139997508E-2</v>
      </c>
      <c r="AM102" s="89">
        <f t="shared" si="41"/>
        <v>232641.54721645685</v>
      </c>
      <c r="AN102" s="90"/>
      <c r="AO102" s="96">
        <f t="shared" si="28"/>
        <v>50.582331571774375</v>
      </c>
      <c r="AP102" s="92">
        <f t="shared" si="27"/>
        <v>3.9724344166314962E-3</v>
      </c>
      <c r="AR102" s="94">
        <f t="shared" si="42"/>
        <v>6.9398695435344479E-3</v>
      </c>
      <c r="AS102" s="95">
        <v>368846.96305153822</v>
      </c>
      <c r="AU102" s="141">
        <v>88.367672187671957</v>
      </c>
    </row>
    <row r="103" spans="1:47">
      <c r="A103" s="78">
        <f t="shared" si="57"/>
        <v>2013</v>
      </c>
      <c r="B103" s="78">
        <f t="shared" si="55"/>
        <v>3</v>
      </c>
      <c r="C103" s="317">
        <v>28.558939154600807</v>
      </c>
      <c r="D103" s="318">
        <f t="shared" si="56"/>
        <v>1.4278937729194485E-2</v>
      </c>
      <c r="E103" s="321">
        <f>$D103*'MWh Impact Summary'!B$19</f>
        <v>19292.156907300534</v>
      </c>
      <c r="F103" s="319">
        <f>$D103*'MWh Impact Summary'!N$19</f>
        <v>1036.8042015163714</v>
      </c>
      <c r="G103" s="319">
        <f>$D103*'MWh Impact Summary'!C$19</f>
        <v>16301.283754050672</v>
      </c>
      <c r="H103" s="319">
        <f>$D103*'MWh Impact Summary'!D$19</f>
        <v>43.32564823670532</v>
      </c>
      <c r="I103" s="319">
        <f>$D103*'MWh Impact Summary'!E$19</f>
        <v>6687.8855129857802</v>
      </c>
      <c r="J103" s="104">
        <f t="shared" si="43"/>
        <v>43361.456024090061</v>
      </c>
      <c r="K103" s="298">
        <f t="shared" si="51"/>
        <v>12</v>
      </c>
      <c r="L103" s="299">
        <f t="shared" ref="L103:L111" si="58">K103/(SUM(K$101:K$112))</f>
        <v>8.4477296726504739E-2</v>
      </c>
      <c r="M103" s="297">
        <f t="shared" ref="M103:M112" si="59">(31/365)</f>
        <v>8.4931506849315067E-2</v>
      </c>
      <c r="N103" s="304">
        <f>$L103*'MWh Impact Summary'!F$19</f>
        <v>58562.987549403093</v>
      </c>
      <c r="O103" s="304">
        <f>$L103*'MWh Impact Summary'!G$19</f>
        <v>77.180582125683401</v>
      </c>
      <c r="P103" s="304">
        <f>$M103*'MWh Impact Summary'!H$19</f>
        <v>2683.0390856905556</v>
      </c>
      <c r="Q103" s="304">
        <f>$M103*'MWh Impact Summary'!I$19</f>
        <v>858.64921101777986</v>
      </c>
      <c r="R103" s="304">
        <f>$M103*'MWh Impact Summary'!J$19</f>
        <v>15522.636385467882</v>
      </c>
      <c r="S103" s="304">
        <f>$M103*'MWh Impact Summary'!K$19</f>
        <v>0</v>
      </c>
      <c r="T103" s="304">
        <f>$M103*'MWh Impact Summary'!L$19</f>
        <v>0</v>
      </c>
      <c r="U103" s="304">
        <f>$M103*'MWh Impact Summary'!M$19</f>
        <v>0</v>
      </c>
      <c r="V103" s="304">
        <f>$L103*'LED Impact Forecast'!$H$20+$D103*'LED Impact Forecast'!$J$20</f>
        <v>721.17307451798774</v>
      </c>
      <c r="W103" s="304">
        <f>$L103*'CFL Impact Forecast'!$H$20+$D103*'CFL Impact Forecast'!$J$20</f>
        <v>216333.90243607815</v>
      </c>
      <c r="X103" s="304">
        <f>$L103*'EISA Incand Impact Forecast'!$G$20+$D103*'EISA Incand Impact Forecast'!$I$20</f>
        <v>23465.443584092845</v>
      </c>
      <c r="Y103" s="85">
        <f t="shared" si="35"/>
        <v>318225.01190839399</v>
      </c>
      <c r="Z103" s="81">
        <f t="shared" si="36"/>
        <v>361586.46793248405</v>
      </c>
      <c r="AA103" s="80"/>
      <c r="AB103" s="81">
        <f>+'MWh by mo-WgtbyActulCDH&amp;Days'!AB103</f>
        <v>4605771</v>
      </c>
      <c r="AC103" s="308">
        <f t="shared" si="44"/>
        <v>78.50726141887732</v>
      </c>
      <c r="AD103" s="309">
        <f t="shared" si="37"/>
        <v>9.414592263508121</v>
      </c>
      <c r="AE103" s="107">
        <f t="shared" si="38"/>
        <v>7.8454935529234334E-4</v>
      </c>
      <c r="AF103" s="309">
        <f t="shared" si="45"/>
        <v>69.092669155369208</v>
      </c>
      <c r="AG103" s="107">
        <f t="shared" si="39"/>
        <v>5.7577224296141011E-3</v>
      </c>
      <c r="AH103" s="119">
        <f t="shared" si="46"/>
        <v>6.5422717849064442E-3</v>
      </c>
      <c r="AI103" s="122">
        <f t="shared" si="40"/>
        <v>6.5422717849064433E-3</v>
      </c>
      <c r="AJ103" s="87" t="b">
        <f t="shared" si="47"/>
        <v>1</v>
      </c>
      <c r="AK103" s="88">
        <f t="shared" si="52"/>
        <v>-6.5644054099656991E-4</v>
      </c>
      <c r="AL103" s="312">
        <f>+AC103/'MWh by month-WgtbyCDH&amp;DayLtHrs'!AC103-1</f>
        <v>-0.19746356958254885</v>
      </c>
      <c r="AM103" s="89">
        <f t="shared" si="41"/>
        <v>216333.90243607815</v>
      </c>
      <c r="AN103" s="99"/>
      <c r="AO103" s="96">
        <f t="shared" si="28"/>
        <v>46.970182068556632</v>
      </c>
      <c r="AP103" s="92">
        <f t="shared" si="27"/>
        <v>3.9141818390463854E-3</v>
      </c>
      <c r="AR103" s="94">
        <f t="shared" si="42"/>
        <v>6.5422717849064433E-3</v>
      </c>
      <c r="AS103" s="95">
        <v>448587.31752894237</v>
      </c>
      <c r="AU103" s="141">
        <v>78.50726141887732</v>
      </c>
    </row>
    <row r="104" spans="1:47">
      <c r="A104" s="78">
        <f t="shared" si="57"/>
        <v>2013</v>
      </c>
      <c r="B104" s="78">
        <f t="shared" si="55"/>
        <v>4</v>
      </c>
      <c r="C104" s="317">
        <v>135.35989619627648</v>
      </c>
      <c r="D104" s="318">
        <f t="shared" si="56"/>
        <v>6.7677427314574823E-2</v>
      </c>
      <c r="E104" s="321">
        <f>$D104*'MWh Impact Summary'!B$19</f>
        <v>91438.422913331073</v>
      </c>
      <c r="F104" s="319">
        <f>$D104*'MWh Impact Summary'!N$19</f>
        <v>4914.1079202345118</v>
      </c>
      <c r="G104" s="319">
        <f>$D104*'MWh Impact Summary'!C$19</f>
        <v>77262.676490519298</v>
      </c>
      <c r="H104" s="319">
        <f>$D104*'MWh Impact Summary'!D$19</f>
        <v>205.3491978889576</v>
      </c>
      <c r="I104" s="319">
        <f>$D104*'MWh Impact Summary'!E$19</f>
        <v>31698.358398739696</v>
      </c>
      <c r="J104" s="104">
        <f t="shared" si="43"/>
        <v>205518.91492071352</v>
      </c>
      <c r="K104" s="298">
        <f t="shared" si="51"/>
        <v>11.2</v>
      </c>
      <c r="L104" s="299">
        <f t="shared" si="58"/>
        <v>7.8845476944737758E-2</v>
      </c>
      <c r="M104" s="297">
        <f>(30/365)</f>
        <v>8.2191780821917804E-2</v>
      </c>
      <c r="N104" s="304">
        <f>$L104*'MWh Impact Summary'!F$19</f>
        <v>54658.788379442885</v>
      </c>
      <c r="O104" s="304">
        <f>$L104*'MWh Impact Summary'!G$19</f>
        <v>72.035209983971171</v>
      </c>
      <c r="P104" s="304">
        <f>$M104*'MWh Impact Summary'!H$19</f>
        <v>2596.4894377650535</v>
      </c>
      <c r="Q104" s="304">
        <f>$M104*'MWh Impact Summary'!I$19</f>
        <v>830.95084937204501</v>
      </c>
      <c r="R104" s="304">
        <f>$M104*'MWh Impact Summary'!J$19</f>
        <v>15021.906179485048</v>
      </c>
      <c r="S104" s="304">
        <f>$M104*'MWh Impact Summary'!K$19</f>
        <v>0</v>
      </c>
      <c r="T104" s="304">
        <f>$M104*'MWh Impact Summary'!L$19</f>
        <v>0</v>
      </c>
      <c r="U104" s="304">
        <f>$M104*'MWh Impact Summary'!M$19</f>
        <v>0</v>
      </c>
      <c r="V104" s="304">
        <f>$L104*'LED Impact Forecast'!$H$20+$D104*'LED Impact Forecast'!$J$20</f>
        <v>686.33382355877677</v>
      </c>
      <c r="W104" s="304">
        <f>$L104*'CFL Impact Forecast'!$H$20+$D104*'CFL Impact Forecast'!$J$20</f>
        <v>224755.1255351264</v>
      </c>
      <c r="X104" s="304">
        <f>$L104*'EISA Incand Impact Forecast'!$G$20+$D104*'EISA Incand Impact Forecast'!$I$20</f>
        <v>24550.159934745971</v>
      </c>
      <c r="Y104" s="85">
        <f t="shared" si="35"/>
        <v>323171.78934948018</v>
      </c>
      <c r="Z104" s="81">
        <f t="shared" si="36"/>
        <v>528690.7042701937</v>
      </c>
      <c r="AA104" s="80"/>
      <c r="AB104" s="81">
        <f>+'MWh by mo-WgtbyActulCDH&amp;Days'!AB104</f>
        <v>4609509</v>
      </c>
      <c r="AC104" s="308">
        <f t="shared" si="44"/>
        <v>114.69566590936121</v>
      </c>
      <c r="AD104" s="309">
        <f t="shared" si="37"/>
        <v>44.585858259678744</v>
      </c>
      <c r="AE104" s="107">
        <f t="shared" si="38"/>
        <v>3.9808802017570312E-3</v>
      </c>
      <c r="AF104" s="309">
        <f t="shared" si="45"/>
        <v>70.10980764968248</v>
      </c>
      <c r="AG104" s="107">
        <f t="shared" si="39"/>
        <v>6.2598042544359366E-3</v>
      </c>
      <c r="AH104" s="119">
        <f t="shared" si="46"/>
        <v>1.0240684456192969E-2</v>
      </c>
      <c r="AI104" s="122">
        <f t="shared" si="40"/>
        <v>1.0240684456192965E-2</v>
      </c>
      <c r="AJ104" s="87" t="b">
        <f t="shared" si="47"/>
        <v>1</v>
      </c>
      <c r="AK104" s="88">
        <f t="shared" si="52"/>
        <v>2.3408606574300654E-3</v>
      </c>
      <c r="AL104" s="312">
        <f>+AC104/'MWh by month-WgtbyCDH&amp;DayLtHrs'!AC104-1</f>
        <v>4.7345960693002898E-2</v>
      </c>
      <c r="AM104" s="89">
        <f t="shared" si="41"/>
        <v>224755.1255351264</v>
      </c>
      <c r="AN104" s="93"/>
      <c r="AO104" s="96">
        <f t="shared" si="28"/>
        <v>48.759016531940034</v>
      </c>
      <c r="AP104" s="92">
        <f t="shared" si="27"/>
        <v>4.3534836189232174E-3</v>
      </c>
      <c r="AR104" s="94">
        <f t="shared" si="42"/>
        <v>1.0240684456192965E-2</v>
      </c>
      <c r="AS104" s="95">
        <v>530640.44900559995</v>
      </c>
      <c r="AU104" s="141">
        <v>114.69566590936121</v>
      </c>
    </row>
    <row r="105" spans="1:47">
      <c r="A105" s="78">
        <f t="shared" si="57"/>
        <v>2013</v>
      </c>
      <c r="B105" s="78">
        <f t="shared" si="55"/>
        <v>5</v>
      </c>
      <c r="C105" s="317">
        <v>163.92411756805507</v>
      </c>
      <c r="D105" s="318">
        <f t="shared" si="56"/>
        <v>8.1959006053988398E-2</v>
      </c>
      <c r="E105" s="321">
        <f>$D105*'MWh Impact Summary'!B$19</f>
        <v>110734.14806810959</v>
      </c>
      <c r="F105" s="319">
        <f>$D105*'MWh Impact Summary'!N$19</f>
        <v>5951.1038874510587</v>
      </c>
      <c r="G105" s="319">
        <f>$D105*'MWh Impact Summary'!C$19</f>
        <v>93566.975304779291</v>
      </c>
      <c r="H105" s="319">
        <f>$D105*'MWh Impact Summary'!D$19</f>
        <v>248.68285957049417</v>
      </c>
      <c r="I105" s="319">
        <f>$D105*'MWh Impact Summary'!E$19</f>
        <v>38387.48089267734</v>
      </c>
      <c r="J105" s="104">
        <f t="shared" si="43"/>
        <v>248888.39101258776</v>
      </c>
      <c r="K105" s="298">
        <f t="shared" si="51"/>
        <v>10.533333333333333</v>
      </c>
      <c r="L105" s="299">
        <f t="shared" si="58"/>
        <v>7.4152293793265281E-2</v>
      </c>
      <c r="M105" s="297">
        <f t="shared" si="59"/>
        <v>8.4931506849315067E-2</v>
      </c>
      <c r="N105" s="304">
        <f>$L105*'MWh Impact Summary'!F$19</f>
        <v>51405.289071142717</v>
      </c>
      <c r="O105" s="304">
        <f>$L105*'MWh Impact Summary'!G$19</f>
        <v>67.747399865877668</v>
      </c>
      <c r="P105" s="304">
        <f>$M105*'MWh Impact Summary'!H$19</f>
        <v>2683.0390856905556</v>
      </c>
      <c r="Q105" s="304">
        <f>$M105*'MWh Impact Summary'!I$19</f>
        <v>858.64921101777986</v>
      </c>
      <c r="R105" s="304">
        <f>$M105*'MWh Impact Summary'!J$19</f>
        <v>15522.636385467882</v>
      </c>
      <c r="S105" s="304">
        <f>$M105*'MWh Impact Summary'!K$19</f>
        <v>0</v>
      </c>
      <c r="T105" s="304">
        <f>$M105*'MWh Impact Summary'!L$19</f>
        <v>0</v>
      </c>
      <c r="U105" s="304">
        <f>$M105*'MWh Impact Summary'!M$19</f>
        <v>0</v>
      </c>
      <c r="V105" s="304">
        <f>$L105*'LED Impact Forecast'!$H$20+$D105*'LED Impact Forecast'!$J$20</f>
        <v>649.94066284606379</v>
      </c>
      <c r="W105" s="304">
        <f>$L105*'CFL Impact Forecast'!$H$20+$D105*'CFL Impact Forecast'!$J$20</f>
        <v>219072.53676499365</v>
      </c>
      <c r="X105" s="304">
        <f>$L105*'EISA Incand Impact Forecast'!$G$20+$D105*'EISA Incand Impact Forecast'!$I$20</f>
        <v>23981.283569827432</v>
      </c>
      <c r="Y105" s="85">
        <f t="shared" si="35"/>
        <v>314241.122150852</v>
      </c>
      <c r="Z105" s="81">
        <f t="shared" si="36"/>
        <v>563129.5131634397</v>
      </c>
      <c r="AA105" s="80"/>
      <c r="AB105" s="81">
        <f>+'MWh by mo-WgtbyActulCDH&amp;Days'!AB105</f>
        <v>4611553</v>
      </c>
      <c r="AC105" s="308">
        <f t="shared" si="44"/>
        <v>122.11277050560619</v>
      </c>
      <c r="AD105" s="309">
        <f t="shared" si="37"/>
        <v>53.970623564900535</v>
      </c>
      <c r="AE105" s="107">
        <f t="shared" si="38"/>
        <v>5.1237933764146076E-3</v>
      </c>
      <c r="AF105" s="309">
        <f t="shared" si="45"/>
        <v>68.142146940705658</v>
      </c>
      <c r="AG105" s="107">
        <f t="shared" si="39"/>
        <v>6.4691911652568664E-3</v>
      </c>
      <c r="AH105" s="119">
        <f t="shared" si="46"/>
        <v>1.1592984541671474E-2</v>
      </c>
      <c r="AI105" s="122">
        <f t="shared" si="40"/>
        <v>1.1592984541671474E-2</v>
      </c>
      <c r="AJ105" s="87" t="b">
        <f t="shared" si="47"/>
        <v>1</v>
      </c>
      <c r="AK105" s="88">
        <f t="shared" si="52"/>
        <v>4.0812333061253196E-4</v>
      </c>
      <c r="AL105" s="312">
        <f>+AC105/'MWh by month-WgtbyCDH&amp;DayLtHrs'!AC105-1</f>
        <v>-0.10926516934274544</v>
      </c>
      <c r="AM105" s="89">
        <f t="shared" si="41"/>
        <v>219072.53676499365</v>
      </c>
      <c r="AN105" s="93"/>
      <c r="AO105" s="96">
        <f t="shared" si="28"/>
        <v>47.505154286417969</v>
      </c>
      <c r="AP105" s="92">
        <f t="shared" ref="AP105:AP168" si="60">+AO105/K105/1000</f>
        <v>4.5099830018751237E-3</v>
      </c>
      <c r="AR105" s="94">
        <f t="shared" si="42"/>
        <v>1.1592984541671474E-2</v>
      </c>
      <c r="AS105" s="95">
        <v>642952.08421521494</v>
      </c>
      <c r="AU105" s="141">
        <v>122.11277050560619</v>
      </c>
    </row>
    <row r="106" spans="1:47">
      <c r="A106" s="78">
        <f t="shared" si="57"/>
        <v>2013</v>
      </c>
      <c r="B106" s="78">
        <f t="shared" si="55"/>
        <v>6</v>
      </c>
      <c r="C106" s="317">
        <v>272.87629990709786</v>
      </c>
      <c r="D106" s="318">
        <f t="shared" si="56"/>
        <v>0.13643306822616158</v>
      </c>
      <c r="E106" s="321">
        <f>$D106*'MWh Impact Summary'!B$19</f>
        <v>184333.6114690117</v>
      </c>
      <c r="F106" s="319">
        <f>$D106*'MWh Impact Summary'!N$19</f>
        <v>9906.5057251029775</v>
      </c>
      <c r="G106" s="319">
        <f>$D106*'MWh Impact Summary'!C$19</f>
        <v>155756.27548561897</v>
      </c>
      <c r="H106" s="319">
        <f>$D106*'MWh Impact Summary'!D$19</f>
        <v>413.96994888040268</v>
      </c>
      <c r="I106" s="319">
        <f>$D106*'MWh Impact Summary'!E$19</f>
        <v>63901.724188933797</v>
      </c>
      <c r="J106" s="104">
        <f t="shared" si="43"/>
        <v>414312.0868175478</v>
      </c>
      <c r="K106" s="298">
        <f t="shared" si="51"/>
        <v>10.199999999999999</v>
      </c>
      <c r="L106" s="299">
        <f t="shared" si="58"/>
        <v>7.1805702217529022E-2</v>
      </c>
      <c r="M106" s="297">
        <f>(30/365)</f>
        <v>8.2191780821917804E-2</v>
      </c>
      <c r="N106" s="304">
        <f>$L106*'MWh Impact Summary'!F$19</f>
        <v>49778.539416992622</v>
      </c>
      <c r="O106" s="304">
        <f>$L106*'MWh Impact Summary'!G$19</f>
        <v>65.603494806830881</v>
      </c>
      <c r="P106" s="304">
        <f>$M106*'MWh Impact Summary'!H$19</f>
        <v>2596.4894377650535</v>
      </c>
      <c r="Q106" s="304">
        <f>$M106*'MWh Impact Summary'!I$19</f>
        <v>830.95084937204501</v>
      </c>
      <c r="R106" s="304">
        <f>$M106*'MWh Impact Summary'!J$19</f>
        <v>15021.906179485048</v>
      </c>
      <c r="S106" s="304">
        <f>$M106*'MWh Impact Summary'!K$19</f>
        <v>0</v>
      </c>
      <c r="T106" s="304">
        <f>$M106*'MWh Impact Summary'!L$19</f>
        <v>0</v>
      </c>
      <c r="U106" s="304">
        <f>$M106*'MWh Impact Summary'!M$19</f>
        <v>0</v>
      </c>
      <c r="V106" s="304">
        <f>$L106*'LED Impact Forecast'!$H$20+$D106*'LED Impact Forecast'!$J$20</f>
        <v>643.27376406205371</v>
      </c>
      <c r="W106" s="304">
        <f>$L106*'CFL Impact Forecast'!$H$20+$D106*'CFL Impact Forecast'!$J$20</f>
        <v>236125.41890139607</v>
      </c>
      <c r="X106" s="304">
        <f>$L106*'EISA Incand Impact Forecast'!$G$20+$D106*'EISA Incand Impact Forecast'!$I$20</f>
        <v>26003.903804869373</v>
      </c>
      <c r="Y106" s="85">
        <f t="shared" si="35"/>
        <v>331066.08584874909</v>
      </c>
      <c r="Z106" s="81">
        <f t="shared" si="36"/>
        <v>745378.17266629683</v>
      </c>
      <c r="AA106" s="80"/>
      <c r="AB106" s="81">
        <f>+'MWh by mo-WgtbyActulCDH&amp;Days'!AB106</f>
        <v>4613739</v>
      </c>
      <c r="AC106" s="308">
        <f t="shared" si="44"/>
        <v>161.55620694328329</v>
      </c>
      <c r="AD106" s="309">
        <f t="shared" si="37"/>
        <v>89.799636870995045</v>
      </c>
      <c r="AE106" s="107">
        <f t="shared" si="38"/>
        <v>8.8038859677446128E-3</v>
      </c>
      <c r="AF106" s="309">
        <f t="shared" si="45"/>
        <v>71.756570072288241</v>
      </c>
      <c r="AG106" s="107">
        <f t="shared" si="39"/>
        <v>7.0349578502243377E-3</v>
      </c>
      <c r="AH106" s="119">
        <f t="shared" si="46"/>
        <v>1.5838843817968951E-2</v>
      </c>
      <c r="AI106" s="122">
        <f t="shared" si="40"/>
        <v>1.5838843817968951E-2</v>
      </c>
      <c r="AJ106" s="87" t="b">
        <f t="shared" si="47"/>
        <v>1</v>
      </c>
      <c r="AK106" s="88">
        <f t="shared" si="52"/>
        <v>1.9842665349234061E-3</v>
      </c>
      <c r="AL106" s="312">
        <f>+AC106/'MWh by month-WgtbyCDH&amp;DayLtHrs'!AC106-1</f>
        <v>3.4429687961663458E-2</v>
      </c>
      <c r="AM106" s="89">
        <f t="shared" si="41"/>
        <v>236125.41890139607</v>
      </c>
      <c r="AN106" s="93"/>
      <c r="AO106" s="96">
        <f t="shared" si="28"/>
        <v>51.1787552138073</v>
      </c>
      <c r="AP106" s="92">
        <f t="shared" si="60"/>
        <v>5.0175250209615E-3</v>
      </c>
      <c r="AR106" s="94">
        <f t="shared" si="42"/>
        <v>1.5838843817968951E-2</v>
      </c>
      <c r="AS106" s="95">
        <v>788672.26998075715</v>
      </c>
      <c r="AU106" s="141">
        <v>161.55620694328329</v>
      </c>
    </row>
    <row r="107" spans="1:47">
      <c r="A107" s="78">
        <f t="shared" si="57"/>
        <v>2013</v>
      </c>
      <c r="B107" s="78">
        <f t="shared" si="55"/>
        <v>7</v>
      </c>
      <c r="C107" s="317">
        <v>293.70814398852195</v>
      </c>
      <c r="D107" s="318">
        <f t="shared" si="56"/>
        <v>0.14684860231910155</v>
      </c>
      <c r="E107" s="321">
        <f>$D107*'MWh Impact Summary'!B$19</f>
        <v>198405.95507084008</v>
      </c>
      <c r="F107" s="319">
        <f>$D107*'MWh Impact Summary'!N$19</f>
        <v>10662.785338713027</v>
      </c>
      <c r="G107" s="319">
        <f>$D107*'MWh Impact Summary'!C$19</f>
        <v>167646.97631498531</v>
      </c>
      <c r="H107" s="319">
        <f>$D107*'MWh Impact Summary'!D$19</f>
        <v>445.57312377103131</v>
      </c>
      <c r="I107" s="319">
        <f>$D107*'MWh Impact Summary'!E$19</f>
        <v>68780.091255957363</v>
      </c>
      <c r="J107" s="104">
        <f t="shared" si="43"/>
        <v>445941.38110426685</v>
      </c>
      <c r="K107" s="298">
        <f t="shared" si="51"/>
        <v>10.366666666666667</v>
      </c>
      <c r="L107" s="299">
        <f t="shared" si="58"/>
        <v>7.2978998005397158E-2</v>
      </c>
      <c r="M107" s="297">
        <f t="shared" si="59"/>
        <v>8.4931506849315067E-2</v>
      </c>
      <c r="N107" s="304">
        <f>$L107*'MWh Impact Summary'!F$19</f>
        <v>50591.914244067673</v>
      </c>
      <c r="O107" s="304">
        <f>$L107*'MWh Impact Summary'!G$19</f>
        <v>66.675447336354281</v>
      </c>
      <c r="P107" s="304">
        <f>$M107*'MWh Impact Summary'!H$19</f>
        <v>2683.0390856905556</v>
      </c>
      <c r="Q107" s="304">
        <f>$M107*'MWh Impact Summary'!I$19</f>
        <v>858.64921101777986</v>
      </c>
      <c r="R107" s="304">
        <f>$M107*'MWh Impact Summary'!J$19</f>
        <v>15522.636385467882</v>
      </c>
      <c r="S107" s="304">
        <f>$M107*'MWh Impact Summary'!K$19</f>
        <v>0</v>
      </c>
      <c r="T107" s="304">
        <f>$M107*'MWh Impact Summary'!L$19</f>
        <v>0</v>
      </c>
      <c r="U107" s="304">
        <f>$M107*'MWh Impact Summary'!M$19</f>
        <v>0</v>
      </c>
      <c r="V107" s="304">
        <f>$L107*'LED Impact Forecast'!$H$20+$D107*'LED Impact Forecast'!$J$20</f>
        <v>655.77881856803231</v>
      </c>
      <c r="W107" s="304">
        <f>$L107*'CFL Impact Forecast'!$H$20+$D107*'CFL Impact Forecast'!$J$20</f>
        <v>243424.3525391382</v>
      </c>
      <c r="X107" s="304">
        <f>$L107*'EISA Incand Impact Forecast'!$G$20+$D107*'EISA Incand Impact Forecast'!$I$20</f>
        <v>26827.807318134146</v>
      </c>
      <c r="Y107" s="85">
        <f t="shared" si="35"/>
        <v>340630.85304942064</v>
      </c>
      <c r="Z107" s="81">
        <f t="shared" si="36"/>
        <v>786572.23415368749</v>
      </c>
      <c r="AA107" s="81"/>
      <c r="AB107" s="81">
        <f>+'MWh by mo-WgtbyActulCDH&amp;Days'!AB107</f>
        <v>4620943</v>
      </c>
      <c r="AC107" s="308">
        <f t="shared" si="44"/>
        <v>170.21898650420218</v>
      </c>
      <c r="AD107" s="309">
        <f t="shared" si="37"/>
        <v>96.504410702375438</v>
      </c>
      <c r="AE107" s="107">
        <f t="shared" si="38"/>
        <v>9.3091071417082411E-3</v>
      </c>
      <c r="AF107" s="309">
        <f t="shared" si="45"/>
        <v>73.71457580182674</v>
      </c>
      <c r="AG107" s="107">
        <f t="shared" si="39"/>
        <v>7.1107307847421289E-3</v>
      </c>
      <c r="AH107" s="119">
        <f t="shared" si="46"/>
        <v>1.6419837926450371E-2</v>
      </c>
      <c r="AI107" s="122">
        <f t="shared" si="40"/>
        <v>1.6419837926450371E-2</v>
      </c>
      <c r="AJ107" s="87" t="b">
        <f t="shared" si="47"/>
        <v>1</v>
      </c>
      <c r="AK107" s="88">
        <f t="shared" si="52"/>
        <v>1.2432320459329262E-3</v>
      </c>
      <c r="AL107" s="312">
        <f>+AC107/'MWh by month-WgtbyCDH&amp;DayLtHrs'!AC107-1</f>
        <v>-2.0967916325659419E-2</v>
      </c>
      <c r="AM107" s="89">
        <f t="shared" si="41"/>
        <v>243424.3525391382</v>
      </c>
      <c r="AN107" s="93"/>
      <c r="AO107" s="96">
        <f t="shared" ref="AO107:AO170" si="61">+AM107*1000/AB107</f>
        <v>52.678501452871892</v>
      </c>
      <c r="AP107" s="92">
        <f t="shared" si="60"/>
        <v>5.0815274713381245E-3</v>
      </c>
      <c r="AR107" s="94">
        <f t="shared" si="42"/>
        <v>1.6419837926450371E-2</v>
      </c>
      <c r="AS107" s="95">
        <v>831339.10804242548</v>
      </c>
      <c r="AU107" s="141">
        <v>170.21898650420218</v>
      </c>
    </row>
    <row r="108" spans="1:47">
      <c r="A108" s="78">
        <f t="shared" si="57"/>
        <v>2013</v>
      </c>
      <c r="B108" s="78">
        <f t="shared" si="55"/>
        <v>8</v>
      </c>
      <c r="C108" s="317">
        <v>337.54482289408111</v>
      </c>
      <c r="D108" s="318">
        <f t="shared" si="56"/>
        <v>0.16876612540911221</v>
      </c>
      <c r="E108" s="321">
        <f>$D108*'MWh Impact Summary'!B$19</f>
        <v>228018.54268002501</v>
      </c>
      <c r="F108" s="319">
        <f>$D108*'MWh Impact Summary'!N$19</f>
        <v>12254.232857956258</v>
      </c>
      <c r="G108" s="319">
        <f>$D108*'MWh Impact Summary'!C$19</f>
        <v>192668.70901333055</v>
      </c>
      <c r="H108" s="319">
        <f>$D108*'MWh Impact Summary'!D$19</f>
        <v>512.07603271475125</v>
      </c>
      <c r="I108" s="319">
        <f>$D108*'MWh Impact Summary'!E$19</f>
        <v>79045.692796785908</v>
      </c>
      <c r="J108" s="104">
        <f t="shared" si="43"/>
        <v>512499.25338081247</v>
      </c>
      <c r="K108" s="298">
        <f t="shared" si="51"/>
        <v>10.933333333333334</v>
      </c>
      <c r="L108" s="299">
        <f t="shared" si="58"/>
        <v>7.6968203684148764E-2</v>
      </c>
      <c r="M108" s="297">
        <f t="shared" si="59"/>
        <v>8.4931506849315067E-2</v>
      </c>
      <c r="N108" s="304">
        <f>$L108*'MWh Impact Summary'!F$19</f>
        <v>53357.388656122821</v>
      </c>
      <c r="O108" s="304">
        <f>$L108*'MWh Impact Summary'!G$19</f>
        <v>70.320085936733761</v>
      </c>
      <c r="P108" s="304">
        <f>$M108*'MWh Impact Summary'!H$19</f>
        <v>2683.0390856905556</v>
      </c>
      <c r="Q108" s="304">
        <f>$M108*'MWh Impact Summary'!I$19</f>
        <v>858.64921101777986</v>
      </c>
      <c r="R108" s="304">
        <f>$M108*'MWh Impact Summary'!J$19</f>
        <v>15522.636385467882</v>
      </c>
      <c r="S108" s="304">
        <f>$M108*'MWh Impact Summary'!K$19</f>
        <v>0</v>
      </c>
      <c r="T108" s="304">
        <f>$M108*'MWh Impact Summary'!L$19</f>
        <v>0</v>
      </c>
      <c r="U108" s="304">
        <f>$M108*'MWh Impact Summary'!M$19</f>
        <v>0</v>
      </c>
      <c r="V108" s="304">
        <f>$L108*'LED Impact Forecast'!$H$20+$D108*'LED Impact Forecast'!$J$20</f>
        <v>695.0087511843567</v>
      </c>
      <c r="W108" s="304">
        <f>$L108*'CFL Impact Forecast'!$H$20+$D108*'CFL Impact Forecast'!$J$20</f>
        <v>262568.65477314068</v>
      </c>
      <c r="X108" s="304">
        <f>$L108*'EISA Incand Impact Forecast'!$G$20+$D108*'EISA Incand Impact Forecast'!$I$20</f>
        <v>28971.308797186841</v>
      </c>
      <c r="Y108" s="85">
        <f t="shared" si="35"/>
        <v>364727.00574574765</v>
      </c>
      <c r="Z108" s="81">
        <f t="shared" si="36"/>
        <v>877226.25912656006</v>
      </c>
      <c r="AA108" s="81"/>
      <c r="AB108" s="81">
        <f>+'MWh by mo-WgtbyActulCDH&amp;Days'!AB108</f>
        <v>4630751</v>
      </c>
      <c r="AC108" s="308">
        <f t="shared" si="44"/>
        <v>189.43498778633531</v>
      </c>
      <c r="AD108" s="309">
        <f t="shared" si="37"/>
        <v>110.67303195114842</v>
      </c>
      <c r="AE108" s="107">
        <f t="shared" si="38"/>
        <v>1.0122533410166014E-2</v>
      </c>
      <c r="AF108" s="309">
        <f t="shared" si="45"/>
        <v>78.76195583518691</v>
      </c>
      <c r="AG108" s="107">
        <f t="shared" si="39"/>
        <v>7.2038374239500221E-3</v>
      </c>
      <c r="AH108" s="119">
        <f t="shared" si="46"/>
        <v>1.7326370834116034E-2</v>
      </c>
      <c r="AI108" s="122">
        <f t="shared" si="40"/>
        <v>1.7326370834116034E-2</v>
      </c>
      <c r="AJ108" s="87" t="b">
        <f t="shared" si="47"/>
        <v>1</v>
      </c>
      <c r="AK108" s="88">
        <f t="shared" si="52"/>
        <v>2.6936807682337131E-3</v>
      </c>
      <c r="AL108" s="312">
        <f>+AC108/'MWh by month-WgtbyCDH&amp;DayLtHrs'!AC108-1</f>
        <v>6.2676453038532642E-2</v>
      </c>
      <c r="AM108" s="89">
        <f t="shared" si="41"/>
        <v>262568.65477314068</v>
      </c>
      <c r="AN108" s="93"/>
      <c r="AO108" s="96">
        <f t="shared" si="61"/>
        <v>56.701095518446287</v>
      </c>
      <c r="AP108" s="92">
        <f t="shared" si="60"/>
        <v>5.1860758096139896E-3</v>
      </c>
      <c r="AR108" s="94">
        <f t="shared" si="42"/>
        <v>1.7326370834116034E-2</v>
      </c>
      <c r="AS108" s="95">
        <v>864429.00803286582</v>
      </c>
      <c r="AU108" s="141">
        <v>189.43498778633531</v>
      </c>
    </row>
    <row r="109" spans="1:47">
      <c r="A109" s="78">
        <f t="shared" si="57"/>
        <v>2013</v>
      </c>
      <c r="B109" s="78">
        <f t="shared" si="55"/>
        <v>9</v>
      </c>
      <c r="C109" s="317">
        <v>270.04400483226198</v>
      </c>
      <c r="D109" s="318">
        <f t="shared" si="56"/>
        <v>0.13501697343407715</v>
      </c>
      <c r="E109" s="321">
        <f>$D109*'MWh Impact Summary'!B$19</f>
        <v>182420.33728555145</v>
      </c>
      <c r="F109" s="319">
        <f>$D109*'MWh Impact Summary'!N$19</f>
        <v>9803.6820376534051</v>
      </c>
      <c r="G109" s="319">
        <f>$D109*'MWh Impact Summary'!C$19</f>
        <v>154139.61719729236</v>
      </c>
      <c r="H109" s="319">
        <f>$D109*'MWh Impact Summary'!D$19</f>
        <v>409.67318493372346</v>
      </c>
      <c r="I109" s="319">
        <f>$D109*'MWh Impact Summary'!E$19</f>
        <v>63238.461975412654</v>
      </c>
      <c r="J109" s="104">
        <f t="shared" si="43"/>
        <v>410011.77168084361</v>
      </c>
      <c r="K109" s="298">
        <f t="shared" si="51"/>
        <v>11.683333333333334</v>
      </c>
      <c r="L109" s="299">
        <f t="shared" si="58"/>
        <v>8.2248034729555317E-2</v>
      </c>
      <c r="M109" s="297">
        <f>(30/365)</f>
        <v>8.2191780821917804E-2</v>
      </c>
      <c r="N109" s="304">
        <f>$L109*'MWh Impact Summary'!F$19</f>
        <v>57017.575377960515</v>
      </c>
      <c r="O109" s="304">
        <f>$L109*'MWh Impact Summary'!G$19</f>
        <v>75.143872319588979</v>
      </c>
      <c r="P109" s="304">
        <f>$M109*'MWh Impact Summary'!H$19</f>
        <v>2596.4894377650535</v>
      </c>
      <c r="Q109" s="304">
        <f>$M109*'MWh Impact Summary'!I$19</f>
        <v>830.95084937204501</v>
      </c>
      <c r="R109" s="304">
        <f>$M109*'MWh Impact Summary'!J$19</f>
        <v>15021.906179485048</v>
      </c>
      <c r="S109" s="304">
        <f>$M109*'MWh Impact Summary'!K$19</f>
        <v>0</v>
      </c>
      <c r="T109" s="304">
        <f>$M109*'MWh Impact Summary'!L$19</f>
        <v>0</v>
      </c>
      <c r="U109" s="304">
        <f>$M109*'MWh Impact Summary'!M$19</f>
        <v>0</v>
      </c>
      <c r="V109" s="304">
        <f>$L109*'LED Impact Forecast'!$H$20+$D109*'LED Impact Forecast'!$J$20</f>
        <v>731.64389309445266</v>
      </c>
      <c r="W109" s="304">
        <f>$L109*'CFL Impact Forecast'!$H$20+$D109*'CFL Impact Forecast'!$J$20</f>
        <v>261529.66381846118</v>
      </c>
      <c r="X109" s="304">
        <f>$L109*'EISA Incand Impact Forecast'!$G$20+$D109*'EISA Incand Impact Forecast'!$I$20</f>
        <v>28749.442743330161</v>
      </c>
      <c r="Y109" s="85">
        <f t="shared" si="35"/>
        <v>366552.81617178803</v>
      </c>
      <c r="Z109" s="81">
        <f t="shared" si="36"/>
        <v>776564.5878526317</v>
      </c>
      <c r="AA109" s="81"/>
      <c r="AB109" s="81">
        <f>+'MWh by mo-WgtbyActulCDH&amp;Days'!AB109</f>
        <v>4644296</v>
      </c>
      <c r="AC109" s="308">
        <f t="shared" si="44"/>
        <v>167.20824595431293</v>
      </c>
      <c r="AD109" s="309">
        <f t="shared" si="37"/>
        <v>88.282868206686999</v>
      </c>
      <c r="AE109" s="107">
        <f t="shared" si="38"/>
        <v>7.556308263054522E-3</v>
      </c>
      <c r="AF109" s="309">
        <f t="shared" si="45"/>
        <v>78.925377747625916</v>
      </c>
      <c r="AG109" s="107">
        <f t="shared" si="39"/>
        <v>6.7553818328923753E-3</v>
      </c>
      <c r="AH109" s="119">
        <f t="shared" si="46"/>
        <v>1.4311690095946898E-2</v>
      </c>
      <c r="AI109" s="122">
        <f t="shared" si="40"/>
        <v>1.4311690095946898E-2</v>
      </c>
      <c r="AJ109" s="87" t="b">
        <f t="shared" si="47"/>
        <v>1</v>
      </c>
      <c r="AK109" s="88">
        <f t="shared" si="52"/>
        <v>1.7210010177491439E-3</v>
      </c>
      <c r="AL109" s="312">
        <f>+AC109/'MWh by month-WgtbyCDH&amp;DayLtHrs'!AC109-1</f>
        <v>6.9337989276649914E-3</v>
      </c>
      <c r="AM109" s="89">
        <f t="shared" si="41"/>
        <v>261529.66381846118</v>
      </c>
      <c r="AN109" s="93"/>
      <c r="AO109" s="96">
        <f t="shared" si="61"/>
        <v>56.312014526735844</v>
      </c>
      <c r="AP109" s="92">
        <f t="shared" si="60"/>
        <v>4.8198585900201861E-3</v>
      </c>
      <c r="AR109" s="94">
        <f t="shared" si="42"/>
        <v>1.4311690095946898E-2</v>
      </c>
      <c r="AS109" s="95">
        <v>815342.50819848932</v>
      </c>
      <c r="AU109" s="141">
        <v>167.20824595431293</v>
      </c>
    </row>
    <row r="110" spans="1:47">
      <c r="A110" s="78">
        <f t="shared" si="57"/>
        <v>2013</v>
      </c>
      <c r="B110" s="78">
        <f t="shared" si="55"/>
        <v>10</v>
      </c>
      <c r="C110" s="317">
        <v>213.28592721551468</v>
      </c>
      <c r="D110" s="318">
        <f t="shared" si="56"/>
        <v>0.10663899162141027</v>
      </c>
      <c r="E110" s="321">
        <f>$D110*'MWh Impact Summary'!B$19</f>
        <v>144079.07631603713</v>
      </c>
      <c r="F110" s="319">
        <f>$D110*'MWh Impact Summary'!N$19</f>
        <v>7743.1358449368709</v>
      </c>
      <c r="G110" s="319">
        <f>$D110*'MWh Impact Summary'!C$19</f>
        <v>121742.42192486305</v>
      </c>
      <c r="H110" s="319">
        <f>$D110*'MWh Impact Summary'!D$19</f>
        <v>323.56772800120797</v>
      </c>
      <c r="I110" s="319">
        <f>$D110*'MWh Impact Summary'!E$19</f>
        <v>49946.948485255059</v>
      </c>
      <c r="J110" s="104">
        <f t="shared" si="43"/>
        <v>323835.15029909334</v>
      </c>
      <c r="K110" s="298">
        <f t="shared" si="51"/>
        <v>12.466666666666667</v>
      </c>
      <c r="L110" s="299">
        <f t="shared" si="58"/>
        <v>8.7762524932535488E-2</v>
      </c>
      <c r="M110" s="297">
        <f t="shared" si="59"/>
        <v>8.4931506849315067E-2</v>
      </c>
      <c r="N110" s="304">
        <f>$L110*'MWh Impact Summary'!F$19</f>
        <v>60840.43706521322</v>
      </c>
      <c r="O110" s="304">
        <f>$L110*'MWh Impact Summary'!G$19</f>
        <v>80.182049208348872</v>
      </c>
      <c r="P110" s="304">
        <f>$M110*'MWh Impact Summary'!H$19</f>
        <v>2683.0390856905556</v>
      </c>
      <c r="Q110" s="304">
        <f>$M110*'MWh Impact Summary'!I$19</f>
        <v>858.64921101777986</v>
      </c>
      <c r="R110" s="304">
        <f>$M110*'MWh Impact Summary'!J$19</f>
        <v>15522.636385467882</v>
      </c>
      <c r="S110" s="304">
        <f>$M110*'MWh Impact Summary'!K$19</f>
        <v>0</v>
      </c>
      <c r="T110" s="304">
        <f>$M110*'MWh Impact Summary'!L$19</f>
        <v>0</v>
      </c>
      <c r="U110" s="304">
        <f>$M110*'MWh Impact Summary'!M$19</f>
        <v>0</v>
      </c>
      <c r="V110" s="304">
        <f>$L110*'LED Impact Forecast'!$H$20+$D110*'LED Impact Forecast'!$J$20</f>
        <v>771.58096925414009</v>
      </c>
      <c r="W110" s="304">
        <f>$L110*'CFL Impact Forecast'!$H$20+$D110*'CFL Impact Forecast'!$J$20</f>
        <v>263332.43275105476</v>
      </c>
      <c r="X110" s="304">
        <f>$L110*'EISA Incand Impact Forecast'!$G$20+$D110*'EISA Incand Impact Forecast'!$I$20</f>
        <v>28852.620010057006</v>
      </c>
      <c r="Y110" s="85">
        <f t="shared" si="35"/>
        <v>372941.57752696367</v>
      </c>
      <c r="Z110" s="81">
        <f t="shared" si="36"/>
        <v>696776.727826057</v>
      </c>
      <c r="AA110" s="81"/>
      <c r="AB110" s="81">
        <f>+'MWh by mo-WgtbyActulCDH&amp;Days'!AB110</f>
        <v>4655414</v>
      </c>
      <c r="AC110" s="308">
        <f t="shared" si="44"/>
        <v>149.67019642636657</v>
      </c>
      <c r="AD110" s="309">
        <f t="shared" si="37"/>
        <v>69.560977884908482</v>
      </c>
      <c r="AE110" s="107">
        <f t="shared" si="38"/>
        <v>5.5797575843509481E-3</v>
      </c>
      <c r="AF110" s="309">
        <f t="shared" si="45"/>
        <v>80.109218541458105</v>
      </c>
      <c r="AG110" s="107">
        <f t="shared" si="39"/>
        <v>6.425873145036746E-3</v>
      </c>
      <c r="AH110" s="119">
        <f t="shared" si="46"/>
        <v>1.2005630729387694E-2</v>
      </c>
      <c r="AI110" s="122">
        <f t="shared" si="40"/>
        <v>1.2005630729387694E-2</v>
      </c>
      <c r="AJ110" s="87" t="b">
        <f t="shared" si="47"/>
        <v>1</v>
      </c>
      <c r="AK110" s="88">
        <f t="shared" si="52"/>
        <v>1.968759472832475E-3</v>
      </c>
      <c r="AL110" s="312">
        <f>+AC110/'MWh by month-WgtbyCDH&amp;DayLtHrs'!AC110-1</f>
        <v>3.8563252105711321E-2</v>
      </c>
      <c r="AM110" s="89">
        <f t="shared" si="41"/>
        <v>263332.43275105476</v>
      </c>
      <c r="AN110" s="93"/>
      <c r="AO110" s="96">
        <f t="shared" si="61"/>
        <v>56.56477227397064</v>
      </c>
      <c r="AP110" s="92">
        <f t="shared" si="60"/>
        <v>4.5372811984468429E-3</v>
      </c>
      <c r="AR110" s="94">
        <f t="shared" si="42"/>
        <v>1.2005630729387694E-2</v>
      </c>
      <c r="AS110" s="95">
        <v>653211.96732746228</v>
      </c>
      <c r="AU110" s="141">
        <v>149.67019642636657</v>
      </c>
    </row>
    <row r="111" spans="1:47">
      <c r="A111" s="78">
        <f t="shared" si="57"/>
        <v>2013</v>
      </c>
      <c r="B111" s="78">
        <f t="shared" si="55"/>
        <v>11</v>
      </c>
      <c r="C111" s="317">
        <v>110.23315885291359</v>
      </c>
      <c r="D111" s="318">
        <f t="shared" si="56"/>
        <v>5.5114526573708029E-2</v>
      </c>
      <c r="E111" s="321">
        <f>$D111*'MWh Impact Summary'!B$19</f>
        <v>74464.789657118468</v>
      </c>
      <c r="F111" s="319">
        <f>$D111*'MWh Impact Summary'!N$19</f>
        <v>4001.9064302922611</v>
      </c>
      <c r="G111" s="319">
        <f>$D111*'MWh Impact Summary'!C$19</f>
        <v>62920.4744559709</v>
      </c>
      <c r="H111" s="319">
        <f>$D111*'MWh Impact Summary'!D$19</f>
        <v>167.23040861665893</v>
      </c>
      <c r="I111" s="319">
        <f>$D111*'MWh Impact Summary'!E$19</f>
        <v>25814.220274505358</v>
      </c>
      <c r="J111" s="104">
        <f t="shared" si="43"/>
        <v>167368.62122650363</v>
      </c>
      <c r="K111" s="298">
        <f t="shared" si="51"/>
        <v>13.15</v>
      </c>
      <c r="L111" s="299">
        <f t="shared" si="58"/>
        <v>9.2573037662794788E-2</v>
      </c>
      <c r="M111" s="297">
        <f>(30/365)</f>
        <v>8.2191780821917804E-2</v>
      </c>
      <c r="N111" s="304">
        <f>$L111*'MWh Impact Summary'!F$19</f>
        <v>64175.273856220898</v>
      </c>
      <c r="O111" s="304">
        <f>$L111*'MWh Impact Summary'!G$19</f>
        <v>84.577054579394741</v>
      </c>
      <c r="P111" s="304">
        <f>$M111*'MWh Impact Summary'!H$19</f>
        <v>2596.4894377650535</v>
      </c>
      <c r="Q111" s="304">
        <f>$M111*'MWh Impact Summary'!I$19</f>
        <v>830.95084937204501</v>
      </c>
      <c r="R111" s="304">
        <f>$M111*'MWh Impact Summary'!J$19</f>
        <v>15021.906179485048</v>
      </c>
      <c r="S111" s="304">
        <f>$M111*'MWh Impact Summary'!K$19</f>
        <v>0</v>
      </c>
      <c r="T111" s="304">
        <f>$M111*'MWh Impact Summary'!L$19</f>
        <v>0</v>
      </c>
      <c r="U111" s="304">
        <f>$M111*'MWh Impact Summary'!M$19</f>
        <v>0</v>
      </c>
      <c r="V111" s="304">
        <f>$L111*'LED Impact Forecast'!$H$20+$D111*'LED Impact Forecast'!$J$20</f>
        <v>799.89911505967791</v>
      </c>
      <c r="W111" s="304">
        <f>$L111*'CFL Impact Forecast'!$H$20+$D111*'CFL Impact Forecast'!$J$20</f>
        <v>253653.96328426371</v>
      </c>
      <c r="X111" s="304">
        <f>$L111*'EISA Incand Impact Forecast'!$G$20+$D111*'EISA Incand Impact Forecast'!$I$20</f>
        <v>27637.875067265326</v>
      </c>
      <c r="Y111" s="85">
        <f t="shared" si="35"/>
        <v>364800.93484401121</v>
      </c>
      <c r="Z111" s="81">
        <f t="shared" si="36"/>
        <v>532169.55607051484</v>
      </c>
      <c r="AA111" s="81"/>
      <c r="AB111" s="81">
        <f>+'MWh by mo-WgtbyActulCDH&amp;Days'!AB111</f>
        <v>4665143</v>
      </c>
      <c r="AC111" s="308">
        <f t="shared" si="44"/>
        <v>114.07357846705125</v>
      </c>
      <c r="AD111" s="309">
        <f t="shared" si="37"/>
        <v>35.876418199078493</v>
      </c>
      <c r="AE111" s="107">
        <f t="shared" si="38"/>
        <v>2.7282447299679462E-3</v>
      </c>
      <c r="AF111" s="309">
        <f t="shared" si="45"/>
        <v>78.197160267972748</v>
      </c>
      <c r="AG111" s="107">
        <f t="shared" si="39"/>
        <v>5.9465521116329086E-3</v>
      </c>
      <c r="AH111" s="119">
        <f t="shared" si="46"/>
        <v>8.6747968416008552E-3</v>
      </c>
      <c r="AI111" s="122">
        <f t="shared" si="40"/>
        <v>8.6747968416008552E-3</v>
      </c>
      <c r="AJ111" s="87" t="b">
        <f t="shared" si="47"/>
        <v>1</v>
      </c>
      <c r="AK111" s="88">
        <f t="shared" si="52"/>
        <v>3.0245335763479479E-3</v>
      </c>
      <c r="AL111" s="312">
        <f>+AC111/'MWh by month-WgtbyCDH&amp;DayLtHrs'!AC111-1</f>
        <v>5.739080958102849E-2</v>
      </c>
      <c r="AM111" s="89">
        <f t="shared" si="41"/>
        <v>253653.96328426371</v>
      </c>
      <c r="AN111" s="93"/>
      <c r="AO111" s="96">
        <f t="shared" si="61"/>
        <v>54.37217321832658</v>
      </c>
      <c r="AP111" s="92">
        <f t="shared" si="60"/>
        <v>4.1347660242073443E-3</v>
      </c>
      <c r="AR111" s="94">
        <f t="shared" si="42"/>
        <v>8.6747968416008552E-3</v>
      </c>
      <c r="AS111" s="95">
        <v>498384.25806814851</v>
      </c>
      <c r="AU111" s="141">
        <v>114.07357846705125</v>
      </c>
    </row>
    <row r="112" spans="1:47">
      <c r="A112" s="78">
        <f t="shared" si="57"/>
        <v>2013</v>
      </c>
      <c r="B112" s="78">
        <f t="shared" si="55"/>
        <v>12</v>
      </c>
      <c r="C112" s="317">
        <v>79.005079745838657</v>
      </c>
      <c r="D112" s="318">
        <f t="shared" si="56"/>
        <v>3.9501068575200832E-2</v>
      </c>
      <c r="E112" s="321">
        <f>$D112*'MWh Impact Summary'!B$19</f>
        <v>53369.573242182829</v>
      </c>
      <c r="F112" s="319">
        <f>$D112*'MWh Impact Summary'!N$19</f>
        <v>2868.2017275990256</v>
      </c>
      <c r="G112" s="319">
        <f>$D112*'MWh Impact Summary'!C$19</f>
        <v>45095.660450708332</v>
      </c>
      <c r="H112" s="319">
        <f>$D112*'MWh Impact Summary'!D$19</f>
        <v>119.85551268033097</v>
      </c>
      <c r="I112" s="319">
        <f>$D112*'MWh Impact Summary'!E$19</f>
        <v>18501.27994685544</v>
      </c>
      <c r="J112" s="104">
        <f t="shared" si="43"/>
        <v>119954.57088002596</v>
      </c>
      <c r="K112" s="298">
        <f t="shared" si="51"/>
        <v>13.483333333333333</v>
      </c>
      <c r="L112" s="299">
        <f>K112/(SUM(K$101:K$112))</f>
        <v>9.491962923853102E-2</v>
      </c>
      <c r="M112" s="297">
        <f t="shared" si="59"/>
        <v>8.4931506849315067E-2</v>
      </c>
      <c r="N112" s="304">
        <f>$L112*'MWh Impact Summary'!F$19</f>
        <v>65802.023510370971</v>
      </c>
      <c r="O112" s="304">
        <f>$L112*'MWh Impact Summary'!G$19</f>
        <v>86.720959638441485</v>
      </c>
      <c r="P112" s="304">
        <f>$M112*'MWh Impact Summary'!H$19</f>
        <v>2683.0390856905556</v>
      </c>
      <c r="Q112" s="304">
        <f>$M112*'MWh Impact Summary'!I$19</f>
        <v>858.64921101777986</v>
      </c>
      <c r="R112" s="304">
        <f>$M112*'MWh Impact Summary'!J$19</f>
        <v>15522.636385467882</v>
      </c>
      <c r="S112" s="304">
        <f>$M112*'MWh Impact Summary'!K$19</f>
        <v>0</v>
      </c>
      <c r="T112" s="304">
        <f>$M112*'MWh Impact Summary'!L$19</f>
        <v>0</v>
      </c>
      <c r="U112" s="304">
        <f>$M112*'MWh Impact Summary'!M$19</f>
        <v>0</v>
      </c>
      <c r="V112" s="304">
        <f>$L112*'LED Impact Forecast'!$H$20+$D112*'LED Impact Forecast'!$J$20</f>
        <v>816.03187929738669</v>
      </c>
      <c r="W112" s="304">
        <f>$L112*'CFL Impact Forecast'!$H$20+$D112*'CFL Impact Forecast'!$J$20</f>
        <v>252934.19469334072</v>
      </c>
      <c r="X112" s="304">
        <f>$L112*'EISA Incand Impact Forecast'!$G$20+$D112*'EISA Incand Impact Forecast'!$I$20</f>
        <v>27509.34916924897</v>
      </c>
      <c r="Y112" s="85">
        <f t="shared" si="35"/>
        <v>366212.64489407267</v>
      </c>
      <c r="Z112" s="81">
        <f t="shared" si="36"/>
        <v>486167.21577409864</v>
      </c>
      <c r="AA112" s="81">
        <f>SUM(Z101:Z112)</f>
        <v>7192486.778645033</v>
      </c>
      <c r="AB112" s="81">
        <f>+'MWh by mo-WgtbyActulCDH&amp;Days'!AB112</f>
        <v>4671859</v>
      </c>
      <c r="AC112" s="308">
        <f t="shared" si="44"/>
        <v>104.06290424734536</v>
      </c>
      <c r="AD112" s="309">
        <f t="shared" si="37"/>
        <v>25.675982704106858</v>
      </c>
      <c r="AE112" s="107">
        <f t="shared" si="38"/>
        <v>1.9042756022823381E-3</v>
      </c>
      <c r="AF112" s="309">
        <f t="shared" si="45"/>
        <v>78.3869215432385</v>
      </c>
      <c r="AG112" s="107">
        <f t="shared" si="39"/>
        <v>5.813615936457738E-3</v>
      </c>
      <c r="AH112" s="119">
        <f t="shared" si="46"/>
        <v>7.7178915387400761E-3</v>
      </c>
      <c r="AI112" s="122">
        <f t="shared" si="40"/>
        <v>7.7178915387400761E-3</v>
      </c>
      <c r="AJ112" s="87" t="b">
        <f t="shared" si="47"/>
        <v>1</v>
      </c>
      <c r="AK112" s="88">
        <f t="shared" si="52"/>
        <v>1.7730021206029721E-3</v>
      </c>
      <c r="AL112" s="312">
        <f>+AC112/'MWh by month-WgtbyCDH&amp;DayLtHrs'!AC112-1</f>
        <v>6.2178676250680631E-2</v>
      </c>
      <c r="AM112" s="89">
        <f t="shared" si="41"/>
        <v>252934.19469334072</v>
      </c>
      <c r="AN112" s="90">
        <f>SUM(AM101:AM112)</f>
        <v>2910110.5878092027</v>
      </c>
      <c r="AO112" s="96">
        <f t="shared" si="61"/>
        <v>54.139946152771458</v>
      </c>
      <c r="AP112" s="92">
        <f t="shared" si="60"/>
        <v>4.0153235712809491E-3</v>
      </c>
      <c r="AR112" s="94">
        <f t="shared" si="42"/>
        <v>7.7178915387400761E-3</v>
      </c>
      <c r="AS112" s="95">
        <v>407792.31518567307</v>
      </c>
      <c r="AU112" s="141">
        <v>104.06290424734536</v>
      </c>
    </row>
    <row r="113" spans="1:47">
      <c r="A113" s="78">
        <v>2014</v>
      </c>
      <c r="B113" s="78">
        <v>1</v>
      </c>
      <c r="C113" s="317">
        <v>26.95686291874426</v>
      </c>
      <c r="D113" s="318">
        <f t="shared" ref="D113:D124" si="62">C113/(SUM(C$113:C$124))</f>
        <v>1.3698320627674477E-2</v>
      </c>
      <c r="E113" s="321">
        <f>$D113*'MWh Impact Summary'!B$20</f>
        <v>21041.870780556987</v>
      </c>
      <c r="F113" s="319">
        <f>$D113*'MWh Impact Summary'!N$20</f>
        <v>1300.2087457768455</v>
      </c>
      <c r="G113" s="319">
        <f>$D113*'MWh Impact Summary'!C$20</f>
        <v>17953.750842222504</v>
      </c>
      <c r="H113" s="319">
        <f>$D113*'MWh Impact Summary'!D$20</f>
        <v>53.587236161098986</v>
      </c>
      <c r="I113" s="319">
        <f>$D113*'MWh Impact Summary'!E$20</f>
        <v>7239.6949150570272</v>
      </c>
      <c r="J113" s="104">
        <f t="shared" si="43"/>
        <v>47589.112519774462</v>
      </c>
      <c r="K113" s="298">
        <f t="shared" si="51"/>
        <v>13.3</v>
      </c>
      <c r="L113" s="300">
        <f>L101</f>
        <v>9.3629003871876101E-2</v>
      </c>
      <c r="M113" s="297">
        <f>(31/365)</f>
        <v>8.4931506849315067E-2</v>
      </c>
      <c r="N113" s="304">
        <f>$L113*'MWh Impact Summary'!F$20</f>
        <v>76547.668205967231</v>
      </c>
      <c r="O113" s="304">
        <f>$L113*'MWh Impact Summary'!G$20</f>
        <v>335.74735033453743</v>
      </c>
      <c r="P113" s="304">
        <f>$M113*'MWh Impact Summary'!H$20</f>
        <v>3430.6954612875843</v>
      </c>
      <c r="Q113" s="304">
        <f>$M113*'MWh Impact Summary'!I$20</f>
        <v>951.24712521510378</v>
      </c>
      <c r="R113" s="304">
        <f>$M113*'MWh Impact Summary'!J$20</f>
        <v>19082.497207732114</v>
      </c>
      <c r="S113" s="304">
        <f>$M113*'MWh Impact Summary'!K$20</f>
        <v>0</v>
      </c>
      <c r="T113" s="304">
        <f>$M113*'MWh Impact Summary'!L$20</f>
        <v>0</v>
      </c>
      <c r="U113" s="304">
        <f>$M113*'MWh Impact Summary'!M$20</f>
        <v>0</v>
      </c>
      <c r="V113" s="304">
        <f>$L113*'LED Impact Forecast'!$H$21+$D113*'LED Impact Forecast'!$J$21</f>
        <v>2479.415839875307</v>
      </c>
      <c r="W113" s="304">
        <f>$L113*'CFL Impact Forecast'!$H$21+$D113*'CFL Impact Forecast'!$J$21</f>
        <v>258422.75745959958</v>
      </c>
      <c r="X113" s="304">
        <f>$L113*'EISA Incand Impact Forecast'!$G$21+$D113*'EISA Incand Impact Forecast'!$I$21</f>
        <v>51767.900533128304</v>
      </c>
      <c r="Y113" s="85">
        <f t="shared" si="35"/>
        <v>413017.92918313976</v>
      </c>
      <c r="Z113" s="81">
        <f t="shared" si="36"/>
        <v>460607.04170291423</v>
      </c>
      <c r="AA113" s="81"/>
      <c r="AB113" s="81">
        <f>+'MWh by mo-WgtbyActulCDH&amp;Days'!AB113</f>
        <v>4679556</v>
      </c>
      <c r="AC113" s="308">
        <f t="shared" si="44"/>
        <v>98.429646253386906</v>
      </c>
      <c r="AD113" s="309">
        <f t="shared" si="37"/>
        <v>10.169578592450749</v>
      </c>
      <c r="AE113" s="107">
        <f t="shared" si="38"/>
        <v>7.6462996935719918E-4</v>
      </c>
      <c r="AF113" s="309">
        <f t="shared" si="45"/>
        <v>88.260067660936159</v>
      </c>
      <c r="AG113" s="107">
        <f t="shared" si="39"/>
        <v>6.636095312852342E-3</v>
      </c>
      <c r="AH113" s="119">
        <f t="shared" si="46"/>
        <v>7.4007252822095408E-3</v>
      </c>
      <c r="AI113" s="122">
        <f t="shared" si="40"/>
        <v>7.4007252822095417E-3</v>
      </c>
      <c r="AJ113" s="87" t="b">
        <f t="shared" si="47"/>
        <v>1</v>
      </c>
      <c r="AK113" s="88">
        <f t="shared" si="52"/>
        <v>3.3515202718914158E-4</v>
      </c>
      <c r="AL113" s="312">
        <f>+AC113/'MWh by month-WgtbyCDH&amp;DayLtHrs'!AC113-1</f>
        <v>-8.4450695713882751E-2</v>
      </c>
      <c r="AM113" s="89">
        <f t="shared" si="41"/>
        <v>258422.75745959958</v>
      </c>
      <c r="AN113" s="93"/>
      <c r="AO113" s="96">
        <f t="shared" si="61"/>
        <v>55.223777097570704</v>
      </c>
      <c r="AP113" s="92">
        <f t="shared" si="60"/>
        <v>4.1521636915466693E-3</v>
      </c>
      <c r="AR113" s="94">
        <f t="shared" si="42"/>
        <v>7.4007252822095417E-3</v>
      </c>
      <c r="AS113" s="95">
        <v>462445.94354477955</v>
      </c>
      <c r="AU113" s="141">
        <v>98.429646253386906</v>
      </c>
    </row>
    <row r="114" spans="1:47">
      <c r="A114" s="78">
        <v>2014</v>
      </c>
      <c r="B114" s="78">
        <v>2</v>
      </c>
      <c r="C114" s="317">
        <v>57.510679559652473</v>
      </c>
      <c r="D114" s="318">
        <f t="shared" si="62"/>
        <v>2.9224458739810315E-2</v>
      </c>
      <c r="E114" s="321">
        <f>$D114*'MWh Impact Summary'!B$20</f>
        <v>44891.436048916898</v>
      </c>
      <c r="F114" s="319">
        <f>$D114*'MWh Impact Summary'!N$20</f>
        <v>2773.9091438208461</v>
      </c>
      <c r="G114" s="319">
        <f>$D114*'MWh Impact Summary'!C$20</f>
        <v>38303.136930037028</v>
      </c>
      <c r="H114" s="319">
        <f>$D114*'MWh Impact Summary'!D$20</f>
        <v>114.32481504386963</v>
      </c>
      <c r="I114" s="319">
        <f>$D114*'MWh Impact Summary'!E$20</f>
        <v>15445.409045723096</v>
      </c>
      <c r="J114" s="104">
        <f t="shared" si="43"/>
        <v>101528.21598354174</v>
      </c>
      <c r="K114" s="298">
        <f t="shared" si="51"/>
        <v>12.733333333333333</v>
      </c>
      <c r="L114" s="300">
        <f t="shared" ref="L114:L177" si="63">L102</f>
        <v>8.9639798193124468E-2</v>
      </c>
      <c r="M114" s="297">
        <f>(28/365)</f>
        <v>7.6712328767123292E-2</v>
      </c>
      <c r="N114" s="304">
        <f>$L114*'MWh Impact Summary'!F$20</f>
        <v>73286.238733532518</v>
      </c>
      <c r="O114" s="304">
        <f>$L114*'MWh Impact Summary'!G$20</f>
        <v>321.44232538294051</v>
      </c>
      <c r="P114" s="304">
        <f>$M114*'MWh Impact Summary'!H$20</f>
        <v>3098.6926747113666</v>
      </c>
      <c r="Q114" s="304">
        <f>$M114*'MWh Impact Summary'!I$20</f>
        <v>859.19095180719057</v>
      </c>
      <c r="R114" s="304">
        <f>$M114*'MWh Impact Summary'!J$20</f>
        <v>17235.803929564492</v>
      </c>
      <c r="S114" s="304">
        <f>$M114*'MWh Impact Summary'!K$20</f>
        <v>0</v>
      </c>
      <c r="T114" s="304">
        <f>$M114*'MWh Impact Summary'!L$20</f>
        <v>0</v>
      </c>
      <c r="U114" s="304">
        <f>$M114*'MWh Impact Summary'!M$20</f>
        <v>0</v>
      </c>
      <c r="V114" s="304">
        <f>$L114*'LED Impact Forecast'!$H$21+$D114*'LED Impact Forecast'!$J$21</f>
        <v>2400.2076649589862</v>
      </c>
      <c r="W114" s="304">
        <f>$L114*'CFL Impact Forecast'!$H$21+$D114*'CFL Impact Forecast'!$J$21</f>
        <v>254752.57840706166</v>
      </c>
      <c r="X114" s="304">
        <f>$L114*'EISA Incand Impact Forecast'!$G$21+$D114*'EISA Incand Impact Forecast'!$I$21</f>
        <v>51139.860068791786</v>
      </c>
      <c r="Y114" s="85">
        <f t="shared" si="35"/>
        <v>403094.01475581096</v>
      </c>
      <c r="Z114" s="81">
        <f t="shared" si="36"/>
        <v>504622.2307393527</v>
      </c>
      <c r="AA114" s="81"/>
      <c r="AB114" s="81">
        <f>+'MWh by mo-WgtbyActulCDH&amp;Days'!AB114</f>
        <v>4687089</v>
      </c>
      <c r="AC114" s="308">
        <f t="shared" si="44"/>
        <v>107.66218237787947</v>
      </c>
      <c r="AD114" s="309">
        <f t="shared" si="37"/>
        <v>21.661252001731082</v>
      </c>
      <c r="AE114" s="107">
        <f t="shared" si="38"/>
        <v>1.701145445162127E-3</v>
      </c>
      <c r="AF114" s="309">
        <f t="shared" si="45"/>
        <v>86.000930376148389</v>
      </c>
      <c r="AG114" s="107">
        <f t="shared" si="39"/>
        <v>6.753999767760345E-3</v>
      </c>
      <c r="AH114" s="119">
        <f t="shared" si="46"/>
        <v>8.455145212922472E-3</v>
      </c>
      <c r="AI114" s="122">
        <f t="shared" si="40"/>
        <v>8.455145212922472E-3</v>
      </c>
      <c r="AJ114" s="87" t="b">
        <f t="shared" si="47"/>
        <v>1</v>
      </c>
      <c r="AK114" s="88">
        <f t="shared" si="52"/>
        <v>1.5152756693880241E-3</v>
      </c>
      <c r="AL114" s="312">
        <f>+AC114/'MWh by month-WgtbyCDH&amp;DayLtHrs'!AC114-1</f>
        <v>8.4728208511484215E-3</v>
      </c>
      <c r="AM114" s="89">
        <f t="shared" si="41"/>
        <v>254752.57840706166</v>
      </c>
      <c r="AN114" s="93"/>
      <c r="AO114" s="96">
        <f t="shared" si="61"/>
        <v>54.351982308648644</v>
      </c>
      <c r="AP114" s="92">
        <f t="shared" si="60"/>
        <v>4.2684802860195274E-3</v>
      </c>
      <c r="AR114" s="94">
        <f t="shared" si="42"/>
        <v>8.455145212922472E-3</v>
      </c>
      <c r="AS114" s="95">
        <v>429989.36628902756</v>
      </c>
      <c r="AU114" s="141">
        <v>107.66218237787947</v>
      </c>
    </row>
    <row r="115" spans="1:47">
      <c r="A115" s="78">
        <v>2014</v>
      </c>
      <c r="B115" s="78">
        <v>3</v>
      </c>
      <c r="C115" s="317">
        <v>62.20178223460303</v>
      </c>
      <c r="D115" s="318">
        <f t="shared" si="62"/>
        <v>3.1608275756371665E-2</v>
      </c>
      <c r="E115" s="321">
        <f>$D115*'MWh Impact Summary'!B$20</f>
        <v>48553.196566161576</v>
      </c>
      <c r="F115" s="319">
        <f>$D115*'MWh Impact Summary'!N$20</f>
        <v>3000.1748166364578</v>
      </c>
      <c r="G115" s="319">
        <f>$D115*'MWh Impact Summary'!C$20</f>
        <v>41427.494866463756</v>
      </c>
      <c r="H115" s="319">
        <f>$D115*'MWh Impact Summary'!D$20</f>
        <v>123.65020381986632</v>
      </c>
      <c r="I115" s="319">
        <f>$D115*'MWh Impact Summary'!E$20</f>
        <v>16705.279390585616</v>
      </c>
      <c r="J115" s="104">
        <f t="shared" si="43"/>
        <v>109809.79584366726</v>
      </c>
      <c r="K115" s="298">
        <f t="shared" si="51"/>
        <v>12</v>
      </c>
      <c r="L115" s="300">
        <f t="shared" si="63"/>
        <v>8.4477296726504739E-2</v>
      </c>
      <c r="M115" s="297">
        <f t="shared" ref="M115:M124" si="64">(31/365)</f>
        <v>8.4931506849315067E-2</v>
      </c>
      <c r="N115" s="304">
        <f>$L115*'MWh Impact Summary'!F$20</f>
        <v>69065.565298617032</v>
      </c>
      <c r="O115" s="304">
        <f>$L115*'MWh Impact Summary'!G$20</f>
        <v>302.92994015146229</v>
      </c>
      <c r="P115" s="304">
        <f>$M115*'MWh Impact Summary'!H$20</f>
        <v>3430.6954612875843</v>
      </c>
      <c r="Q115" s="304">
        <f>$M115*'MWh Impact Summary'!I$20</f>
        <v>951.24712521510378</v>
      </c>
      <c r="R115" s="304">
        <f>$M115*'MWh Impact Summary'!J$20</f>
        <v>19082.497207732114</v>
      </c>
      <c r="S115" s="304">
        <f>$M115*'MWh Impact Summary'!K$20</f>
        <v>0</v>
      </c>
      <c r="T115" s="304">
        <f>$M115*'MWh Impact Summary'!L$20</f>
        <v>0</v>
      </c>
      <c r="U115" s="304">
        <f>$M115*'MWh Impact Summary'!M$20</f>
        <v>0</v>
      </c>
      <c r="V115" s="304">
        <f>$L115*'LED Impact Forecast'!$H$21+$D115*'LED Impact Forecast'!$J$21</f>
        <v>2268.6483207159981</v>
      </c>
      <c r="W115" s="304">
        <f>$L115*'CFL Impact Forecast'!$H$21+$D115*'CFL Impact Forecast'!$J$21</f>
        <v>241934.02089366273</v>
      </c>
      <c r="X115" s="304">
        <f>$L115*'EISA Incand Impact Forecast'!$G$21+$D115*'EISA Incand Impact Forecast'!$I$21</f>
        <v>48592.898863418413</v>
      </c>
      <c r="Y115" s="85">
        <f t="shared" si="35"/>
        <v>385628.50311080046</v>
      </c>
      <c r="Z115" s="81">
        <f t="shared" si="36"/>
        <v>495438.29895446775</v>
      </c>
      <c r="AA115" s="85"/>
      <c r="AB115" s="81">
        <f>+'MWh by mo-WgtbyActulCDH&amp;Days'!AB115</f>
        <v>4694845</v>
      </c>
      <c r="AC115" s="308">
        <f t="shared" si="44"/>
        <v>105.52814820392746</v>
      </c>
      <c r="AD115" s="309">
        <f t="shared" si="37"/>
        <v>23.389440086662557</v>
      </c>
      <c r="AE115" s="107">
        <f t="shared" si="38"/>
        <v>1.9491200072218797E-3</v>
      </c>
      <c r="AF115" s="309">
        <f t="shared" si="45"/>
        <v>82.138708117264883</v>
      </c>
      <c r="AG115" s="107">
        <f t="shared" si="39"/>
        <v>6.8448923431054069E-3</v>
      </c>
      <c r="AH115" s="119">
        <f t="shared" si="46"/>
        <v>8.7940123503272866E-3</v>
      </c>
      <c r="AI115" s="122">
        <f t="shared" si="40"/>
        <v>8.7940123503272884E-3</v>
      </c>
      <c r="AJ115" s="87" t="b">
        <f t="shared" si="47"/>
        <v>1</v>
      </c>
      <c r="AK115" s="88">
        <f t="shared" si="52"/>
        <v>2.251740565420845E-3</v>
      </c>
      <c r="AL115" s="312">
        <f>+AC115/'MWh by month-WgtbyCDH&amp;DayLtHrs'!AC115-1</f>
        <v>-6.282507549741978E-2</v>
      </c>
      <c r="AM115" s="89">
        <f t="shared" si="41"/>
        <v>241934.02089366273</v>
      </c>
      <c r="AN115" s="89"/>
      <c r="AO115" s="96">
        <f t="shared" si="61"/>
        <v>51.531844159639505</v>
      </c>
      <c r="AP115" s="92">
        <f t="shared" si="60"/>
        <v>4.2943203466366247E-3</v>
      </c>
      <c r="AR115" s="94">
        <f t="shared" si="42"/>
        <v>8.7940123503272884E-3</v>
      </c>
      <c r="AS115" s="95">
        <v>522118.50113084482</v>
      </c>
      <c r="AU115" s="141">
        <v>105.52814820392746</v>
      </c>
    </row>
    <row r="116" spans="1:47">
      <c r="A116" s="78">
        <v>2014</v>
      </c>
      <c r="B116" s="78">
        <v>4</v>
      </c>
      <c r="C116" s="317">
        <v>137.13602413996043</v>
      </c>
      <c r="D116" s="318">
        <f t="shared" si="62"/>
        <v>6.9686640984009313E-2</v>
      </c>
      <c r="E116" s="321">
        <f>$D116*'MWh Impact Summary'!B$20</f>
        <v>107045.04110921269</v>
      </c>
      <c r="F116" s="319">
        <f>$D116*'MWh Impact Summary'!N$20</f>
        <v>6614.4735938044832</v>
      </c>
      <c r="G116" s="319">
        <f>$D116*'MWh Impact Summary'!C$20</f>
        <v>91335.034656048651</v>
      </c>
      <c r="H116" s="319">
        <f>$D116*'MWh Impact Summary'!D$20</f>
        <v>272.61111702550284</v>
      </c>
      <c r="I116" s="319">
        <f>$D116*'MWh Impact Summary'!E$20</f>
        <v>36830.063632769998</v>
      </c>
      <c r="J116" s="104">
        <f t="shared" si="43"/>
        <v>242097.22410886135</v>
      </c>
      <c r="K116" s="298">
        <f t="shared" si="51"/>
        <v>11.2</v>
      </c>
      <c r="L116" s="300">
        <f t="shared" si="63"/>
        <v>7.8845476944737758E-2</v>
      </c>
      <c r="M116" s="297">
        <f>(30/365)</f>
        <v>8.2191780821917804E-2</v>
      </c>
      <c r="N116" s="304">
        <f>$L116*'MWh Impact Summary'!F$20</f>
        <v>64461.194278709234</v>
      </c>
      <c r="O116" s="304">
        <f>$L116*'MWh Impact Summary'!G$20</f>
        <v>282.73461080803145</v>
      </c>
      <c r="P116" s="304">
        <f>$M116*'MWh Impact Summary'!H$20</f>
        <v>3320.0278657621784</v>
      </c>
      <c r="Q116" s="304">
        <f>$M116*'MWh Impact Summary'!I$20</f>
        <v>920.56173407913263</v>
      </c>
      <c r="R116" s="304">
        <f>$M116*'MWh Impact Summary'!J$20</f>
        <v>18466.932781676242</v>
      </c>
      <c r="S116" s="304">
        <f>$M116*'MWh Impact Summary'!K$20</f>
        <v>0</v>
      </c>
      <c r="T116" s="304">
        <f>$M116*'MWh Impact Summary'!L$20</f>
        <v>0</v>
      </c>
      <c r="U116" s="304">
        <f>$M116*'MWh Impact Summary'!M$20</f>
        <v>0</v>
      </c>
      <c r="V116" s="304">
        <f>$L116*'LED Impact Forecast'!$H$21+$D116*'LED Impact Forecast'!$J$21</f>
        <v>2183.3370556581758</v>
      </c>
      <c r="W116" s="304">
        <f>$L116*'CFL Impact Forecast'!$H$21+$D116*'CFL Impact Forecast'!$J$21</f>
        <v>244115.38545576503</v>
      </c>
      <c r="X116" s="304">
        <f>$L116*'EISA Incand Impact Forecast'!$G$21+$D116*'EISA Incand Impact Forecast'!$I$21</f>
        <v>49288.694305263889</v>
      </c>
      <c r="Y116" s="85">
        <f t="shared" si="35"/>
        <v>383038.86808772193</v>
      </c>
      <c r="Z116" s="81">
        <f t="shared" si="36"/>
        <v>625136.09219658328</v>
      </c>
      <c r="AA116" s="81"/>
      <c r="AB116" s="81">
        <f>+'MWh by mo-WgtbyActulCDH&amp;Days'!AB116</f>
        <v>4699582</v>
      </c>
      <c r="AC116" s="308">
        <f t="shared" si="44"/>
        <v>133.01950943649527</v>
      </c>
      <c r="AD116" s="309">
        <f t="shared" si="37"/>
        <v>51.514629196567135</v>
      </c>
      <c r="AE116" s="107">
        <f t="shared" si="38"/>
        <v>4.5995204639792085E-3</v>
      </c>
      <c r="AF116" s="309">
        <f t="shared" si="45"/>
        <v>81.504880239928141</v>
      </c>
      <c r="AG116" s="107">
        <f t="shared" si="39"/>
        <v>7.2772214499935844E-3</v>
      </c>
      <c r="AH116" s="119">
        <f t="shared" si="46"/>
        <v>1.1876741913972793E-2</v>
      </c>
      <c r="AI116" s="122">
        <f t="shared" si="40"/>
        <v>1.1876741913972793E-2</v>
      </c>
      <c r="AJ116" s="87" t="b">
        <f t="shared" si="47"/>
        <v>1</v>
      </c>
      <c r="AK116" s="88">
        <f t="shared" si="52"/>
        <v>1.6360574577798277E-3</v>
      </c>
      <c r="AL116" s="312">
        <f>+AC116/'MWh by month-WgtbyCDH&amp;DayLtHrs'!AC116-1</f>
        <v>5.9686150530150472E-2</v>
      </c>
      <c r="AM116" s="89">
        <f t="shared" si="41"/>
        <v>244115.38545576503</v>
      </c>
      <c r="AN116" s="93"/>
      <c r="AO116" s="96">
        <f t="shared" si="61"/>
        <v>51.944063420058427</v>
      </c>
      <c r="AP116" s="92">
        <f t="shared" si="60"/>
        <v>4.6378628053623597E-3</v>
      </c>
      <c r="AR116" s="94">
        <f t="shared" si="42"/>
        <v>1.1876741913972793E-2</v>
      </c>
      <c r="AS116" s="95">
        <v>616081.08376351488</v>
      </c>
      <c r="AU116" s="141">
        <v>133.01950943649527</v>
      </c>
    </row>
    <row r="117" spans="1:47">
      <c r="A117" s="78">
        <v>2014</v>
      </c>
      <c r="B117" s="78">
        <v>5</v>
      </c>
      <c r="C117" s="317">
        <v>220.65709530534707</v>
      </c>
      <c r="D117" s="318">
        <f t="shared" si="62"/>
        <v>0.11212846425695193</v>
      </c>
      <c r="E117" s="321">
        <f>$D117*'MWh Impact Summary'!B$20</f>
        <v>172239.55547882605</v>
      </c>
      <c r="F117" s="319">
        <f>$D117*'MWh Impact Summary'!N$20</f>
        <v>10642.94038955969</v>
      </c>
      <c r="G117" s="319">
        <f>$D117*'MWh Impact Summary'!C$20</f>
        <v>146961.55567590398</v>
      </c>
      <c r="H117" s="319">
        <f>$D117*'MWh Impact Summary'!D$20</f>
        <v>438.64168884902944</v>
      </c>
      <c r="I117" s="319">
        <f>$D117*'MWh Impact Summary'!E$20</f>
        <v>59260.977646719111</v>
      </c>
      <c r="J117" s="104">
        <f t="shared" si="43"/>
        <v>389543.67087985785</v>
      </c>
      <c r="K117" s="298">
        <f t="shared" si="51"/>
        <v>10.533333333333333</v>
      </c>
      <c r="L117" s="300">
        <f t="shared" si="63"/>
        <v>7.4152293793265281E-2</v>
      </c>
      <c r="M117" s="297">
        <f t="shared" si="64"/>
        <v>8.4931506849315067E-2</v>
      </c>
      <c r="N117" s="304">
        <f>$L117*'MWh Impact Summary'!F$20</f>
        <v>60624.218428786073</v>
      </c>
      <c r="O117" s="304">
        <f>$L117*'MWh Impact Summary'!G$20</f>
        <v>265.90516968850585</v>
      </c>
      <c r="P117" s="304">
        <f>$M117*'MWh Impact Summary'!H$20</f>
        <v>3430.6954612875843</v>
      </c>
      <c r="Q117" s="304">
        <f>$M117*'MWh Impact Summary'!I$20</f>
        <v>951.24712521510378</v>
      </c>
      <c r="R117" s="304">
        <f>$M117*'MWh Impact Summary'!J$20</f>
        <v>19082.497207732114</v>
      </c>
      <c r="S117" s="304">
        <f>$M117*'MWh Impact Summary'!K$20</f>
        <v>0</v>
      </c>
      <c r="T117" s="304">
        <f>$M117*'MWh Impact Summary'!L$20</f>
        <v>0</v>
      </c>
      <c r="U117" s="304">
        <f>$M117*'MWh Impact Summary'!M$20</f>
        <v>0</v>
      </c>
      <c r="V117" s="304">
        <f>$L117*'LED Impact Forecast'!$H$21+$D117*'LED Impact Forecast'!$J$21</f>
        <v>2129.8158479242056</v>
      </c>
      <c r="W117" s="304">
        <f>$L117*'CFL Impact Forecast'!$H$21+$D117*'CFL Impact Forecast'!$J$21</f>
        <v>250813.06364048441</v>
      </c>
      <c r="X117" s="304">
        <f>$L117*'EISA Incand Impact Forecast'!$G$21+$D117*'EISA Incand Impact Forecast'!$I$21</f>
        <v>50917.325767065806</v>
      </c>
      <c r="Y117" s="85">
        <f t="shared" si="35"/>
        <v>388214.76864818385</v>
      </c>
      <c r="Z117" s="81">
        <f t="shared" si="36"/>
        <v>777758.43952804175</v>
      </c>
      <c r="AA117" s="81"/>
      <c r="AB117" s="81">
        <f>+'MWh by mo-WgtbyActulCDH&amp;Days'!AB117</f>
        <v>4702414</v>
      </c>
      <c r="AC117" s="308">
        <f t="shared" si="44"/>
        <v>165.39556906900194</v>
      </c>
      <c r="AD117" s="309">
        <f t="shared" si="37"/>
        <v>82.839084538251598</v>
      </c>
      <c r="AE117" s="107">
        <f t="shared" si="38"/>
        <v>7.8644700510998346E-3</v>
      </c>
      <c r="AF117" s="309">
        <f t="shared" si="45"/>
        <v>82.556484530750339</v>
      </c>
      <c r="AG117" s="107">
        <f t="shared" si="39"/>
        <v>7.8376409364636392E-3</v>
      </c>
      <c r="AH117" s="119">
        <f t="shared" si="46"/>
        <v>1.5702110987563474E-2</v>
      </c>
      <c r="AI117" s="122">
        <f t="shared" si="40"/>
        <v>1.5702110987563477E-2</v>
      </c>
      <c r="AJ117" s="87" t="b">
        <f t="shared" si="47"/>
        <v>1</v>
      </c>
      <c r="AK117" s="88">
        <f t="shared" si="52"/>
        <v>4.1091264458920033E-3</v>
      </c>
      <c r="AL117" s="312">
        <f>+AC117/'MWh by month-WgtbyCDH&amp;DayLtHrs'!AC117-1</f>
        <v>5.8104035466716608E-2</v>
      </c>
      <c r="AM117" s="89">
        <f t="shared" si="41"/>
        <v>250813.06364048441</v>
      </c>
      <c r="AN117" s="93"/>
      <c r="AO117" s="96">
        <f t="shared" si="61"/>
        <v>53.337086789994338</v>
      </c>
      <c r="AP117" s="92">
        <f t="shared" si="60"/>
        <v>5.0636474800627536E-3</v>
      </c>
      <c r="AR117" s="94">
        <f t="shared" si="42"/>
        <v>1.5702110987563477E-2</v>
      </c>
      <c r="AS117" s="95">
        <v>744422.3141190504</v>
      </c>
      <c r="AU117" s="141">
        <v>165.39556906900194</v>
      </c>
    </row>
    <row r="118" spans="1:47">
      <c r="A118" s="78">
        <v>2014</v>
      </c>
      <c r="B118" s="78">
        <v>6</v>
      </c>
      <c r="C118" s="317">
        <v>247.5875604864128</v>
      </c>
      <c r="D118" s="318">
        <f t="shared" si="62"/>
        <v>0.12581337068744566</v>
      </c>
      <c r="E118" s="321">
        <f>$D118*'MWh Impact Summary'!B$20</f>
        <v>193260.82082814997</v>
      </c>
      <c r="F118" s="319">
        <f>$D118*'MWh Impact Summary'!N$20</f>
        <v>11941.875894844798</v>
      </c>
      <c r="G118" s="319">
        <f>$D118*'MWh Impact Summary'!C$20</f>
        <v>164897.72515465299</v>
      </c>
      <c r="H118" s="319">
        <f>$D118*'MWh Impact Summary'!D$20</f>
        <v>492.17644925256849</v>
      </c>
      <c r="I118" s="319">
        <f>$D118*'MWh Impact Summary'!E$20</f>
        <v>66493.583028850277</v>
      </c>
      <c r="J118" s="104">
        <f t="shared" si="43"/>
        <v>437086.1813557506</v>
      </c>
      <c r="K118" s="298">
        <f t="shared" si="51"/>
        <v>10.199999999999999</v>
      </c>
      <c r="L118" s="300">
        <f t="shared" si="63"/>
        <v>7.1805702217529022E-2</v>
      </c>
      <c r="M118" s="297">
        <f>(30/365)</f>
        <v>8.2191780821917804E-2</v>
      </c>
      <c r="N118" s="304">
        <f>$L118*'MWh Impact Summary'!F$20</f>
        <v>58705.730503824474</v>
      </c>
      <c r="O118" s="304">
        <f>$L118*'MWh Impact Summary'!G$20</f>
        <v>257.49044912874291</v>
      </c>
      <c r="P118" s="304">
        <f>$M118*'MWh Impact Summary'!H$20</f>
        <v>3320.0278657621784</v>
      </c>
      <c r="Q118" s="304">
        <f>$M118*'MWh Impact Summary'!I$20</f>
        <v>920.56173407913263</v>
      </c>
      <c r="R118" s="304">
        <f>$M118*'MWh Impact Summary'!J$20</f>
        <v>18466.932781676242</v>
      </c>
      <c r="S118" s="304">
        <f>$M118*'MWh Impact Summary'!K$20</f>
        <v>0</v>
      </c>
      <c r="T118" s="304">
        <f>$M118*'MWh Impact Summary'!L$20</f>
        <v>0</v>
      </c>
      <c r="U118" s="304">
        <f>$M118*'MWh Impact Summary'!M$20</f>
        <v>0</v>
      </c>
      <c r="V118" s="304">
        <f>$L118*'LED Impact Forecast'!$H$21+$D118*'LED Impact Forecast'!$J$21</f>
        <v>2090.6910198394744</v>
      </c>
      <c r="W118" s="304">
        <f>$L118*'CFL Impact Forecast'!$H$21+$D118*'CFL Impact Forecast'!$J$21</f>
        <v>250728.17107189941</v>
      </c>
      <c r="X118" s="304">
        <f>$L118*'EISA Incand Impact Forecast'!$G$21+$D118*'EISA Incand Impact Forecast'!$I$21</f>
        <v>50993.650291649741</v>
      </c>
      <c r="Y118" s="85">
        <f t="shared" si="35"/>
        <v>385483.25571785937</v>
      </c>
      <c r="Z118" s="81">
        <f t="shared" si="36"/>
        <v>822569.43707361002</v>
      </c>
      <c r="AA118" s="81"/>
      <c r="AB118" s="81">
        <f>+'MWh by mo-WgtbyActulCDH&amp;Days'!AB118</f>
        <v>4705494</v>
      </c>
      <c r="AC118" s="308">
        <f t="shared" si="44"/>
        <v>174.81043160901066</v>
      </c>
      <c r="AD118" s="309">
        <f t="shared" si="37"/>
        <v>92.888479159839676</v>
      </c>
      <c r="AE118" s="107">
        <f t="shared" si="38"/>
        <v>9.1067136431215376E-3</v>
      </c>
      <c r="AF118" s="309">
        <f t="shared" si="45"/>
        <v>81.921952449170988</v>
      </c>
      <c r="AG118" s="107">
        <f t="shared" si="39"/>
        <v>8.031563965604999E-3</v>
      </c>
      <c r="AH118" s="119">
        <f t="shared" si="46"/>
        <v>1.7138277608726535E-2</v>
      </c>
      <c r="AI118" s="122">
        <f t="shared" si="40"/>
        <v>1.7138277608726535E-2</v>
      </c>
      <c r="AJ118" s="87" t="b">
        <f t="shared" si="47"/>
        <v>1</v>
      </c>
      <c r="AK118" s="88">
        <f t="shared" si="52"/>
        <v>1.2994337907575836E-3</v>
      </c>
      <c r="AL118" s="312">
        <f>+AC118/'MWh by month-WgtbyCDH&amp;DayLtHrs'!AC118-1</f>
        <v>-1.5846539674547522E-2</v>
      </c>
      <c r="AM118" s="89">
        <f t="shared" si="41"/>
        <v>250728.17107189941</v>
      </c>
      <c r="AN118" s="93"/>
      <c r="AO118" s="96">
        <f t="shared" si="61"/>
        <v>53.284133625906101</v>
      </c>
      <c r="AP118" s="92">
        <f t="shared" si="60"/>
        <v>5.2239346692064814E-3</v>
      </c>
      <c r="AR118" s="94">
        <f t="shared" si="42"/>
        <v>1.7138277608726535E-2</v>
      </c>
      <c r="AS118" s="95">
        <v>911564.45976524334</v>
      </c>
      <c r="AU118" s="141">
        <v>174.81043160901066</v>
      </c>
    </row>
    <row r="119" spans="1:47">
      <c r="A119" s="78">
        <v>2014</v>
      </c>
      <c r="B119" s="78">
        <v>7</v>
      </c>
      <c r="C119" s="317">
        <v>311.6666769190017</v>
      </c>
      <c r="D119" s="318">
        <f t="shared" si="62"/>
        <v>0.15837562709975736</v>
      </c>
      <c r="E119" s="321">
        <f>$D119*'MWh Impact Summary'!B$20</f>
        <v>243279.41875518253</v>
      </c>
      <c r="F119" s="319">
        <f>$D119*'MWh Impact Summary'!N$20</f>
        <v>15032.600058796812</v>
      </c>
      <c r="G119" s="319">
        <f>$D119*'MWh Impact Summary'!C$20</f>
        <v>207575.55803484705</v>
      </c>
      <c r="H119" s="319">
        <f>$D119*'MWh Impact Summary'!D$20</f>
        <v>619.55858402167098</v>
      </c>
      <c r="I119" s="319">
        <f>$D119*'MWh Impact Summary'!E$20</f>
        <v>83703.050421132881</v>
      </c>
      <c r="J119" s="104">
        <f t="shared" si="43"/>
        <v>550210.18585398095</v>
      </c>
      <c r="K119" s="298">
        <f t="shared" si="51"/>
        <v>10.366666666666667</v>
      </c>
      <c r="L119" s="300">
        <f t="shared" si="63"/>
        <v>7.2978998005397158E-2</v>
      </c>
      <c r="M119" s="297">
        <f t="shared" si="64"/>
        <v>8.4931506849315067E-2</v>
      </c>
      <c r="N119" s="304">
        <f>$L119*'MWh Impact Summary'!F$20</f>
        <v>59664.974466305277</v>
      </c>
      <c r="O119" s="304">
        <f>$L119*'MWh Impact Summary'!G$20</f>
        <v>261.69780940862438</v>
      </c>
      <c r="P119" s="304">
        <f>$M119*'MWh Impact Summary'!H$20</f>
        <v>3430.6954612875843</v>
      </c>
      <c r="Q119" s="304">
        <f>$M119*'MWh Impact Summary'!I$20</f>
        <v>951.24712521510378</v>
      </c>
      <c r="R119" s="304">
        <f>$M119*'MWh Impact Summary'!J$20</f>
        <v>19082.497207732114</v>
      </c>
      <c r="S119" s="304">
        <f>$M119*'MWh Impact Summary'!K$20</f>
        <v>0</v>
      </c>
      <c r="T119" s="304">
        <f>$M119*'MWh Impact Summary'!L$20</f>
        <v>0</v>
      </c>
      <c r="U119" s="304">
        <f>$M119*'MWh Impact Summary'!M$20</f>
        <v>0</v>
      </c>
      <c r="V119" s="304">
        <f>$L119*'LED Impact Forecast'!$H$21+$D119*'LED Impact Forecast'!$J$21</f>
        <v>2174.9042205723581</v>
      </c>
      <c r="W119" s="304">
        <f>$L119*'CFL Impact Forecast'!$H$21+$D119*'CFL Impact Forecast'!$J$21</f>
        <v>268725.11650265648</v>
      </c>
      <c r="X119" s="304">
        <f>$L119*'EISA Incand Impact Forecast'!$G$21+$D119*'EISA Incand Impact Forecast'!$I$21</f>
        <v>54814.340086618438</v>
      </c>
      <c r="Y119" s="85">
        <f t="shared" si="35"/>
        <v>409105.47287979594</v>
      </c>
      <c r="Z119" s="81">
        <f t="shared" si="36"/>
        <v>959315.65873377689</v>
      </c>
      <c r="AA119" s="81"/>
      <c r="AB119" s="81">
        <f>+'MWh by mo-WgtbyActulCDH&amp;Days'!AB119</f>
        <v>4709239</v>
      </c>
      <c r="AC119" s="308">
        <f t="shared" si="44"/>
        <v>203.70927420200525</v>
      </c>
      <c r="AD119" s="309">
        <f t="shared" si="37"/>
        <v>116.83632660265934</v>
      </c>
      <c r="AE119" s="107">
        <f t="shared" si="38"/>
        <v>1.1270385202828874E-2</v>
      </c>
      <c r="AF119" s="309">
        <f t="shared" si="45"/>
        <v>86.872947599345878</v>
      </c>
      <c r="AG119" s="107">
        <f t="shared" si="39"/>
        <v>8.3800270996153576E-3</v>
      </c>
      <c r="AH119" s="119">
        <f t="shared" si="46"/>
        <v>1.9650412302444232E-2</v>
      </c>
      <c r="AI119" s="122">
        <f t="shared" si="40"/>
        <v>1.9650412302444235E-2</v>
      </c>
      <c r="AJ119" s="87" t="b">
        <f t="shared" si="47"/>
        <v>1</v>
      </c>
      <c r="AK119" s="88">
        <f t="shared" si="52"/>
        <v>3.2305743759938645E-3</v>
      </c>
      <c r="AL119" s="312">
        <f>+AC119/'MWh by month-WgtbyCDH&amp;DayLtHrs'!AC119-1</f>
        <v>3.0684603482298956E-2</v>
      </c>
      <c r="AM119" s="89">
        <f t="shared" si="41"/>
        <v>268725.11650265648</v>
      </c>
      <c r="AN119" s="93"/>
      <c r="AO119" s="96">
        <f t="shared" si="61"/>
        <v>57.063384657830376</v>
      </c>
      <c r="AP119" s="92">
        <f t="shared" si="60"/>
        <v>5.5045065586331546E-3</v>
      </c>
      <c r="AR119" s="94">
        <f t="shared" si="42"/>
        <v>1.9650412302444235E-2</v>
      </c>
      <c r="AS119" s="95">
        <v>960152.42672691226</v>
      </c>
      <c r="AU119" s="141">
        <v>203.70927420200525</v>
      </c>
    </row>
    <row r="120" spans="1:47">
      <c r="A120" s="78">
        <v>2014</v>
      </c>
      <c r="B120" s="78">
        <v>8</v>
      </c>
      <c r="C120" s="317">
        <v>350.95807565684066</v>
      </c>
      <c r="D120" s="318">
        <f t="shared" si="62"/>
        <v>0.1783418293779338</v>
      </c>
      <c r="E120" s="321">
        <f>$D120*'MWh Impact Summary'!B$20</f>
        <v>273949.32784367894</v>
      </c>
      <c r="F120" s="319">
        <f>$D120*'MWh Impact Summary'!N$20</f>
        <v>16927.739727931697</v>
      </c>
      <c r="G120" s="319">
        <f>$D120*'MWh Impact Summary'!C$20</f>
        <v>233744.32942742112</v>
      </c>
      <c r="H120" s="319">
        <f>$D120*'MWh Impact Summary'!D$20</f>
        <v>697.66550134402837</v>
      </c>
      <c r="I120" s="319">
        <f>$D120*'MWh Impact Summary'!E$20</f>
        <v>94255.381399156831</v>
      </c>
      <c r="J120" s="104">
        <f t="shared" si="43"/>
        <v>619574.44389953266</v>
      </c>
      <c r="K120" s="298">
        <f t="shared" si="51"/>
        <v>10.933333333333334</v>
      </c>
      <c r="L120" s="300">
        <f t="shared" si="63"/>
        <v>7.6968203684148764E-2</v>
      </c>
      <c r="M120" s="297">
        <f t="shared" si="64"/>
        <v>8.4931506849315067E-2</v>
      </c>
      <c r="N120" s="304">
        <f>$L120*'MWh Impact Summary'!F$20</f>
        <v>62926.403938739968</v>
      </c>
      <c r="O120" s="304">
        <f>$L120*'MWh Impact Summary'!G$20</f>
        <v>276.00283436022119</v>
      </c>
      <c r="P120" s="304">
        <f>$M120*'MWh Impact Summary'!H$20</f>
        <v>3430.6954612875843</v>
      </c>
      <c r="Q120" s="304">
        <f>$M120*'MWh Impact Summary'!I$20</f>
        <v>951.24712521510378</v>
      </c>
      <c r="R120" s="304">
        <f>$M120*'MWh Impact Summary'!J$20</f>
        <v>19082.497207732114</v>
      </c>
      <c r="S120" s="304">
        <f>$M120*'MWh Impact Summary'!K$20</f>
        <v>0</v>
      </c>
      <c r="T120" s="304">
        <f>$M120*'MWh Impact Summary'!L$20</f>
        <v>0</v>
      </c>
      <c r="U120" s="304">
        <f>$M120*'MWh Impact Summary'!M$20</f>
        <v>0</v>
      </c>
      <c r="V120" s="304">
        <f>$L120*'LED Impact Forecast'!$H$21+$D120*'LED Impact Forecast'!$J$21</f>
        <v>2312.3442096400631</v>
      </c>
      <c r="W120" s="304">
        <f>$L120*'CFL Impact Forecast'!$H$21+$D120*'CFL Impact Forecast'!$J$21</f>
        <v>288567.14915510558</v>
      </c>
      <c r="X120" s="304">
        <f>$L120*'EISA Incand Impact Forecast'!$G$21+$D120*'EISA Incand Impact Forecast'!$I$21</f>
        <v>58918.09936798604</v>
      </c>
      <c r="Y120" s="85">
        <f t="shared" si="35"/>
        <v>436464.43930006668</v>
      </c>
      <c r="Z120" s="81">
        <f t="shared" si="36"/>
        <v>1056038.8831995993</v>
      </c>
      <c r="AA120" s="81"/>
      <c r="AB120" s="81">
        <f>+'MWh by mo-WgtbyActulCDH&amp;Days'!AB120</f>
        <v>4712926</v>
      </c>
      <c r="AC120" s="308">
        <f t="shared" si="44"/>
        <v>224.07287600093858</v>
      </c>
      <c r="AD120" s="309">
        <f t="shared" si="37"/>
        <v>131.46279909753147</v>
      </c>
      <c r="AE120" s="107">
        <f t="shared" si="38"/>
        <v>1.2024036502823E-2</v>
      </c>
      <c r="AF120" s="309">
        <f t="shared" si="45"/>
        <v>92.610076903407062</v>
      </c>
      <c r="AG120" s="107">
        <f t="shared" si="39"/>
        <v>8.4704338631164996E-3</v>
      </c>
      <c r="AH120" s="119">
        <f t="shared" si="46"/>
        <v>2.0494470365939502E-2</v>
      </c>
      <c r="AI120" s="122">
        <f t="shared" si="40"/>
        <v>2.0494470365939502E-2</v>
      </c>
      <c r="AJ120" s="87" t="b">
        <f t="shared" si="47"/>
        <v>1</v>
      </c>
      <c r="AK120" s="88">
        <f t="shared" si="52"/>
        <v>3.1680995318234678E-3</v>
      </c>
      <c r="AL120" s="312">
        <f>+AC120/'MWh by month-WgtbyCDH&amp;DayLtHrs'!AC120-1</f>
        <v>0.10400731746064062</v>
      </c>
      <c r="AM120" s="89">
        <f t="shared" si="41"/>
        <v>288567.14915510558</v>
      </c>
      <c r="AN120" s="93"/>
      <c r="AO120" s="96">
        <f t="shared" si="61"/>
        <v>61.228873348553655</v>
      </c>
      <c r="AP120" s="92">
        <f t="shared" si="60"/>
        <v>5.6002018306603946E-3</v>
      </c>
      <c r="AR120" s="94">
        <f t="shared" si="42"/>
        <v>2.0494470365939502E-2</v>
      </c>
      <c r="AS120" s="95">
        <v>998316.77050706814</v>
      </c>
      <c r="AU120" s="141">
        <v>224.07287600093858</v>
      </c>
    </row>
    <row r="121" spans="1:47">
      <c r="A121" s="78">
        <v>2014</v>
      </c>
      <c r="B121" s="78">
        <v>9</v>
      </c>
      <c r="C121" s="317">
        <v>254.35467918779301</v>
      </c>
      <c r="D121" s="318">
        <f t="shared" si="62"/>
        <v>0.12925212993686047</v>
      </c>
      <c r="E121" s="321">
        <f>$D121*'MWh Impact Summary'!B$20</f>
        <v>198543.06890354163</v>
      </c>
      <c r="F121" s="319">
        <f>$D121*'MWh Impact Summary'!N$20</f>
        <v>12268.273923642375</v>
      </c>
      <c r="G121" s="319">
        <f>$D121*'MWh Impact Summary'!C$20</f>
        <v>169404.74674134678</v>
      </c>
      <c r="H121" s="319">
        <f>$D121*'MWh Impact Summary'!D$20</f>
        <v>505.62872628770157</v>
      </c>
      <c r="I121" s="319">
        <f>$D121*'MWh Impact Summary'!E$20</f>
        <v>68311.000545111179</v>
      </c>
      <c r="J121" s="104">
        <f t="shared" si="43"/>
        <v>449032.71883992967</v>
      </c>
      <c r="K121" s="298">
        <f t="shared" si="51"/>
        <v>11.683333333333334</v>
      </c>
      <c r="L121" s="300">
        <f t="shared" si="63"/>
        <v>8.2248034729555317E-2</v>
      </c>
      <c r="M121" s="297">
        <f>(30/365)</f>
        <v>8.2191780821917804E-2</v>
      </c>
      <c r="N121" s="304">
        <f>$L121*'MWh Impact Summary'!F$20</f>
        <v>67243.001769903538</v>
      </c>
      <c r="O121" s="304">
        <f>$L121*'MWh Impact Summary'!G$20</f>
        <v>294.9359556196876</v>
      </c>
      <c r="P121" s="304">
        <f>$M121*'MWh Impact Summary'!H$20</f>
        <v>3320.0278657621784</v>
      </c>
      <c r="Q121" s="304">
        <f>$M121*'MWh Impact Summary'!I$20</f>
        <v>920.56173407913263</v>
      </c>
      <c r="R121" s="304">
        <f>$M121*'MWh Impact Summary'!J$20</f>
        <v>18466.932781676242</v>
      </c>
      <c r="S121" s="304">
        <f>$M121*'MWh Impact Summary'!K$20</f>
        <v>0</v>
      </c>
      <c r="T121" s="304">
        <f>$M121*'MWh Impact Summary'!L$20</f>
        <v>0</v>
      </c>
      <c r="U121" s="304">
        <f>$M121*'MWh Impact Summary'!M$20</f>
        <v>0</v>
      </c>
      <c r="V121" s="304">
        <f>$L121*'LED Impact Forecast'!$H$21+$D121*'LED Impact Forecast'!$J$21</f>
        <v>2370.3527030738042</v>
      </c>
      <c r="W121" s="304">
        <f>$L121*'CFL Impact Forecast'!$H$21+$D121*'CFL Impact Forecast'!$J$21</f>
        <v>280420.49226794002</v>
      </c>
      <c r="X121" s="304">
        <f>$L121*'EISA Incand Impact Forecast'!$G$21+$D121*'EISA Incand Impact Forecast'!$I$21</f>
        <v>56954.40517252648</v>
      </c>
      <c r="Y121" s="85">
        <f t="shared" si="35"/>
        <v>429990.71025058109</v>
      </c>
      <c r="Z121" s="81">
        <f t="shared" si="36"/>
        <v>879023.42909051082</v>
      </c>
      <c r="AA121" s="81"/>
      <c r="AB121" s="81">
        <f>+'MWh by mo-WgtbyActulCDH&amp;Days'!AB121</f>
        <v>4718734</v>
      </c>
      <c r="AC121" s="308">
        <f t="shared" si="44"/>
        <v>186.2837424382283</v>
      </c>
      <c r="AD121" s="309">
        <f t="shared" si="37"/>
        <v>95.159574334965626</v>
      </c>
      <c r="AE121" s="107">
        <f t="shared" si="38"/>
        <v>8.1448993724649605E-3</v>
      </c>
      <c r="AF121" s="309">
        <f t="shared" si="45"/>
        <v>91.124168103262676</v>
      </c>
      <c r="AG121" s="107">
        <f t="shared" si="39"/>
        <v>7.7995008362279038E-3</v>
      </c>
      <c r="AH121" s="119">
        <f t="shared" si="46"/>
        <v>1.5944400208692866E-2</v>
      </c>
      <c r="AI121" s="122">
        <f t="shared" si="40"/>
        <v>1.5944400208692863E-2</v>
      </c>
      <c r="AJ121" s="87" t="b">
        <f t="shared" si="47"/>
        <v>1</v>
      </c>
      <c r="AK121" s="88">
        <f t="shared" si="52"/>
        <v>1.6327101127459644E-3</v>
      </c>
      <c r="AL121" s="312">
        <f>+AC121/'MWh by month-WgtbyCDH&amp;DayLtHrs'!AC121-1</f>
        <v>-1.8057576943416365E-2</v>
      </c>
      <c r="AM121" s="89">
        <f t="shared" si="41"/>
        <v>280420.49226794002</v>
      </c>
      <c r="AN121" s="93"/>
      <c r="AO121" s="96">
        <f t="shared" si="61"/>
        <v>59.427060789597391</v>
      </c>
      <c r="AP121" s="92">
        <f t="shared" si="60"/>
        <v>5.0864816653007757E-3</v>
      </c>
      <c r="AR121" s="94">
        <f t="shared" si="42"/>
        <v>1.5944400208692863E-2</v>
      </c>
      <c r="AS121" s="95">
        <v>942105.70075468137</v>
      </c>
      <c r="AU121" s="141">
        <v>186.2837424382283</v>
      </c>
    </row>
    <row r="122" spans="1:47">
      <c r="A122" s="78">
        <v>2014</v>
      </c>
      <c r="B122" s="78">
        <v>10</v>
      </c>
      <c r="C122" s="317">
        <v>189.00769564614495</v>
      </c>
      <c r="D122" s="318">
        <f t="shared" si="62"/>
        <v>9.6045597882181713E-2</v>
      </c>
      <c r="E122" s="321">
        <f>$D122*'MWh Impact Summary'!B$20</f>
        <v>147534.80478440961</v>
      </c>
      <c r="F122" s="319">
        <f>$D122*'MWh Impact Summary'!N$20</f>
        <v>9116.3968017719799</v>
      </c>
      <c r="G122" s="319">
        <f>$D122*'MWh Impact Summary'!C$20</f>
        <v>125882.49178408422</v>
      </c>
      <c r="H122" s="319">
        <f>$D122*'MWh Impact Summary'!D$20</f>
        <v>375.7262131496903</v>
      </c>
      <c r="I122" s="319">
        <f>$D122*'MWh Impact Summary'!E$20</f>
        <v>50761.027245665289</v>
      </c>
      <c r="J122" s="104">
        <f t="shared" si="43"/>
        <v>333670.44682908081</v>
      </c>
      <c r="K122" s="298">
        <f t="shared" si="51"/>
        <v>12.466666666666667</v>
      </c>
      <c r="L122" s="300">
        <f t="shared" si="63"/>
        <v>8.7762524932535488E-2</v>
      </c>
      <c r="M122" s="297">
        <f t="shared" si="64"/>
        <v>8.4931506849315067E-2</v>
      </c>
      <c r="N122" s="304">
        <f>$L122*'MWh Impact Summary'!F$20</f>
        <v>71751.44839356326</v>
      </c>
      <c r="O122" s="304">
        <f>$L122*'MWh Impact Summary'!G$20</f>
        <v>314.7105489351303</v>
      </c>
      <c r="P122" s="304">
        <f>$M122*'MWh Impact Summary'!H$20</f>
        <v>3430.6954612875843</v>
      </c>
      <c r="Q122" s="304">
        <f>$M122*'MWh Impact Summary'!I$20</f>
        <v>951.24712521510378</v>
      </c>
      <c r="R122" s="304">
        <f>$M122*'MWh Impact Summary'!J$20</f>
        <v>19082.497207732114</v>
      </c>
      <c r="S122" s="304">
        <f>$M122*'MWh Impact Summary'!K$20</f>
        <v>0</v>
      </c>
      <c r="T122" s="304">
        <f>$M122*'MWh Impact Summary'!L$20</f>
        <v>0</v>
      </c>
      <c r="U122" s="304">
        <f>$M122*'MWh Impact Summary'!M$20</f>
        <v>0</v>
      </c>
      <c r="V122" s="304">
        <f>$L122*'LED Impact Forecast'!$H$21+$D122*'LED Impact Forecast'!$J$21</f>
        <v>2460.5782468121652</v>
      </c>
      <c r="W122" s="304">
        <f>$L122*'CFL Impact Forecast'!$H$21+$D122*'CFL Impact Forecast'!$J$21</f>
        <v>280142.93019195279</v>
      </c>
      <c r="X122" s="304">
        <f>$L122*'EISA Incand Impact Forecast'!$G$21+$D122*'EISA Incand Impact Forecast'!$I$21</f>
        <v>56672.510998728787</v>
      </c>
      <c r="Y122" s="85">
        <f t="shared" si="35"/>
        <v>434806.61817422695</v>
      </c>
      <c r="Z122" s="81">
        <f t="shared" si="36"/>
        <v>768477.06500330777</v>
      </c>
      <c r="AA122" s="81"/>
      <c r="AB122" s="81">
        <f>+'MWh by mo-WgtbyActulCDH&amp;Days'!AB122</f>
        <v>4724910</v>
      </c>
      <c r="AC122" s="308">
        <f t="shared" si="44"/>
        <v>162.6437466540755</v>
      </c>
      <c r="AD122" s="309">
        <f t="shared" si="37"/>
        <v>70.619429116973834</v>
      </c>
      <c r="AE122" s="107">
        <f t="shared" si="38"/>
        <v>5.6646600895968319E-3</v>
      </c>
      <c r="AF122" s="309">
        <f t="shared" si="45"/>
        <v>92.024317537101652</v>
      </c>
      <c r="AG122" s="107">
        <f t="shared" si="39"/>
        <v>7.3816297489653739E-3</v>
      </c>
      <c r="AH122" s="119">
        <f t="shared" si="46"/>
        <v>1.3046289838562205E-2</v>
      </c>
      <c r="AI122" s="122">
        <f t="shared" si="40"/>
        <v>1.3046289838562207E-2</v>
      </c>
      <c r="AJ122" s="87" t="b">
        <f t="shared" si="47"/>
        <v>1</v>
      </c>
      <c r="AK122" s="88">
        <f t="shared" si="52"/>
        <v>1.0406591091745125E-3</v>
      </c>
      <c r="AL122" s="312">
        <f>+AC122/'MWh by month-WgtbyCDH&amp;DayLtHrs'!AC122-1</f>
        <v>-1.6267885692210826E-2</v>
      </c>
      <c r="AM122" s="89">
        <f t="shared" si="41"/>
        <v>280142.93019195279</v>
      </c>
      <c r="AN122" s="93"/>
      <c r="AO122" s="96">
        <f t="shared" si="61"/>
        <v>59.290638380826884</v>
      </c>
      <c r="AP122" s="92">
        <f t="shared" si="60"/>
        <v>4.7559335599593753E-3</v>
      </c>
      <c r="AR122" s="94">
        <f t="shared" si="42"/>
        <v>1.3046289838562207E-2</v>
      </c>
      <c r="AS122" s="95">
        <v>756171.3491331538</v>
      </c>
      <c r="AU122" s="141">
        <v>162.6437466540755</v>
      </c>
    </row>
    <row r="123" spans="1:47">
      <c r="A123" s="78">
        <v>2014</v>
      </c>
      <c r="B123" s="78">
        <v>11</v>
      </c>
      <c r="C123" s="317">
        <v>63.249322643906929</v>
      </c>
      <c r="D123" s="318">
        <f t="shared" si="62"/>
        <v>3.2140590827318301E-2</v>
      </c>
      <c r="E123" s="321">
        <f>$D123*'MWh Impact Summary'!B$20</f>
        <v>49370.881101503313</v>
      </c>
      <c r="F123" s="319">
        <f>$D123*'MWh Impact Summary'!N$20</f>
        <v>3050.7007701139487</v>
      </c>
      <c r="G123" s="319">
        <f>$D123*'MWh Impact Summary'!C$20</f>
        <v>42125.175437177502</v>
      </c>
      <c r="H123" s="319">
        <f>$D123*'MWh Impact Summary'!D$20</f>
        <v>125.73259728942055</v>
      </c>
      <c r="I123" s="319">
        <f>$D123*'MWh Impact Summary'!E$20</f>
        <v>16986.613053089823</v>
      </c>
      <c r="J123" s="104">
        <f t="shared" si="43"/>
        <v>111659.10295917401</v>
      </c>
      <c r="K123" s="298">
        <f t="shared" si="51"/>
        <v>13.15</v>
      </c>
      <c r="L123" s="300">
        <f>L111</f>
        <v>9.2573037662794788E-2</v>
      </c>
      <c r="M123" s="297">
        <f>(30/365)</f>
        <v>8.2191780821917804E-2</v>
      </c>
      <c r="N123" s="304">
        <f>$L123*'MWh Impact Summary'!F$20</f>
        <v>75684.348639734511</v>
      </c>
      <c r="O123" s="304">
        <f>$L123*'MWh Impact Summary'!G$20</f>
        <v>331.96072608264416</v>
      </c>
      <c r="P123" s="304">
        <f>$M123*'MWh Impact Summary'!H$20</f>
        <v>3320.0278657621784</v>
      </c>
      <c r="Q123" s="304">
        <f>$M123*'MWh Impact Summary'!I$20</f>
        <v>920.56173407913263</v>
      </c>
      <c r="R123" s="304">
        <f>$M123*'MWh Impact Summary'!J$20</f>
        <v>18466.932781676242</v>
      </c>
      <c r="S123" s="304">
        <f>$M123*'MWh Impact Summary'!K$20</f>
        <v>0</v>
      </c>
      <c r="T123" s="304">
        <f>$M123*'MWh Impact Summary'!L$20</f>
        <v>0</v>
      </c>
      <c r="U123" s="304">
        <f>$M123*'MWh Impact Summary'!M$20</f>
        <v>0</v>
      </c>
      <c r="V123" s="304">
        <f>$L123*'LED Impact Forecast'!$H$21+$D123*'LED Impact Forecast'!$J$21</f>
        <v>2481.9639660339321</v>
      </c>
      <c r="W123" s="304">
        <f>$L123*'CFL Impact Forecast'!$H$21+$D123*'CFL Impact Forecast'!$J$21</f>
        <v>263981.70873980416</v>
      </c>
      <c r="X123" s="304">
        <f>$L123*'EISA Incand Impact Forecast'!$G$21+$D123*'EISA Incand Impact Forecast'!$I$21</f>
        <v>53005.208843212553</v>
      </c>
      <c r="Y123" s="85">
        <f t="shared" si="35"/>
        <v>418192.71329638537</v>
      </c>
      <c r="Z123" s="81">
        <f t="shared" si="36"/>
        <v>529851.81625555933</v>
      </c>
      <c r="AA123" s="81"/>
      <c r="AB123" s="81">
        <f>+'MWh by mo-WgtbyActulCDH&amp;Days'!AB123</f>
        <v>4731887</v>
      </c>
      <c r="AC123" s="308">
        <f t="shared" si="44"/>
        <v>111.97473994107622</v>
      </c>
      <c r="AD123" s="309">
        <f t="shared" si="37"/>
        <v>23.597161757914762</v>
      </c>
      <c r="AE123" s="107">
        <f t="shared" si="38"/>
        <v>1.7944609701836321E-3</v>
      </c>
      <c r="AF123" s="309">
        <f t="shared" si="45"/>
        <v>88.377578183161461</v>
      </c>
      <c r="AG123" s="107">
        <f t="shared" si="39"/>
        <v>6.7207283789476394E-3</v>
      </c>
      <c r="AH123" s="119">
        <f t="shared" si="46"/>
        <v>8.5151893491312719E-3</v>
      </c>
      <c r="AI123" s="122">
        <f t="shared" si="40"/>
        <v>8.5151893491312702E-3</v>
      </c>
      <c r="AJ123" s="87" t="b">
        <f t="shared" si="47"/>
        <v>1</v>
      </c>
      <c r="AK123" s="88">
        <f t="shared" si="52"/>
        <v>-1.5960749246958505E-4</v>
      </c>
      <c r="AL123" s="312">
        <f>+AC123/'MWh by month-WgtbyCDH&amp;DayLtHrs'!AC123-1</f>
        <v>-0.10207733562846399</v>
      </c>
      <c r="AM123" s="89">
        <f t="shared" si="41"/>
        <v>263981.70873980416</v>
      </c>
      <c r="AN123" s="93"/>
      <c r="AO123" s="96">
        <f t="shared" si="61"/>
        <v>55.787830254569506</v>
      </c>
      <c r="AP123" s="92">
        <f t="shared" si="60"/>
        <v>4.2424205516782892E-3</v>
      </c>
      <c r="AR123" s="94">
        <f t="shared" si="42"/>
        <v>8.5151893491312702E-3</v>
      </c>
      <c r="AS123" s="95">
        <v>579143.12720011803</v>
      </c>
      <c r="AU123" s="141">
        <v>111.97473994107622</v>
      </c>
    </row>
    <row r="124" spans="1:47" ht="13.8" thickBot="1">
      <c r="A124" s="313">
        <v>2014</v>
      </c>
      <c r="B124" s="313">
        <v>12</v>
      </c>
      <c r="C124" s="322">
        <v>46.609001353612989</v>
      </c>
      <c r="D124" s="323">
        <f t="shared" si="62"/>
        <v>2.3684693823684964E-2</v>
      </c>
      <c r="E124" s="321">
        <f>$D124*'MWh Impact Summary'!B$20</f>
        <v>36381.851502890539</v>
      </c>
      <c r="F124" s="319">
        <f>$D124*'MWh Impact Summary'!N$20</f>
        <v>2248.0891554244495</v>
      </c>
      <c r="G124" s="319">
        <f>$D124*'MWh Impact Summary'!C$20</f>
        <v>31042.425071120266</v>
      </c>
      <c r="H124" s="319">
        <f>$D124*'MWh Impact Summary'!D$20</f>
        <v>92.653494967039364</v>
      </c>
      <c r="I124" s="319">
        <f>$D124*'MWh Impact Summary'!E$20</f>
        <v>12517.589717793353</v>
      </c>
      <c r="J124" s="104">
        <f t="shared" si="43"/>
        <v>82282.608942195657</v>
      </c>
      <c r="K124" s="298">
        <f t="shared" si="51"/>
        <v>13.483333333333333</v>
      </c>
      <c r="L124" s="300">
        <f t="shared" si="63"/>
        <v>9.491962923853102E-2</v>
      </c>
      <c r="M124" s="297">
        <f t="shared" si="64"/>
        <v>8.4931506849315067E-2</v>
      </c>
      <c r="N124" s="304">
        <f>$L124*'MWh Impact Summary'!F$20</f>
        <v>77602.836564696088</v>
      </c>
      <c r="O124" s="304">
        <f>$L124*'MWh Impact Summary'!G$20</f>
        <v>340.37544664240693</v>
      </c>
      <c r="P124" s="304">
        <f>$M124*'MWh Impact Summary'!H$20</f>
        <v>3430.6954612875843</v>
      </c>
      <c r="Q124" s="304">
        <f>$M124*'MWh Impact Summary'!I$20</f>
        <v>951.24712521510378</v>
      </c>
      <c r="R124" s="304">
        <f>$M124*'MWh Impact Summary'!J$20</f>
        <v>19082.497207732114</v>
      </c>
      <c r="S124" s="304">
        <f>$M124*'MWh Impact Summary'!K$20</f>
        <v>0</v>
      </c>
      <c r="T124" s="304">
        <f>$M124*'MWh Impact Summary'!L$20</f>
        <v>0</v>
      </c>
      <c r="U124" s="304">
        <f>$M124*'MWh Impact Summary'!M$20</f>
        <v>0</v>
      </c>
      <c r="V124" s="304">
        <f>$L124*'LED Impact Forecast'!$H$21+$D124*'LED Impact Forecast'!$J$21</f>
        <v>2529.6679608287814</v>
      </c>
      <c r="W124" s="304">
        <f>$L124*'CFL Impact Forecast'!$H$21+$D124*'CFL Impact Forecast'!$J$21</f>
        <v>266449.16537696827</v>
      </c>
      <c r="X124" s="304">
        <f>$L124*'EISA Incand Impact Forecast'!$G$21+$D124*'EISA Incand Impact Forecast'!$I$21</f>
        <v>53440.954423318915</v>
      </c>
      <c r="Y124" s="85">
        <f t="shared" si="35"/>
        <v>423827.43956668925</v>
      </c>
      <c r="Z124" s="81">
        <f t="shared" si="36"/>
        <v>506110.04850888491</v>
      </c>
      <c r="AA124" s="81">
        <f>SUM(Z113:Z124)</f>
        <v>8384948.4409866091</v>
      </c>
      <c r="AB124" s="81">
        <f>+'MWh by mo-WgtbyActulCDH&amp;Days'!AB124</f>
        <v>4739276</v>
      </c>
      <c r="AC124" s="308">
        <f t="shared" si="44"/>
        <v>106.79058331038009</v>
      </c>
      <c r="AD124" s="309">
        <f t="shared" si="37"/>
        <v>17.361852093483403</v>
      </c>
      <c r="AE124" s="107">
        <f t="shared" si="38"/>
        <v>1.287652812866507E-3</v>
      </c>
      <c r="AF124" s="309">
        <f t="shared" si="45"/>
        <v>89.428731216896679</v>
      </c>
      <c r="AG124" s="107">
        <f t="shared" si="39"/>
        <v>6.6325387799923375E-3</v>
      </c>
      <c r="AH124" s="119">
        <f t="shared" si="46"/>
        <v>7.9201915928588454E-3</v>
      </c>
      <c r="AI124" s="122">
        <f t="shared" si="40"/>
        <v>7.9201915928588454E-3</v>
      </c>
      <c r="AJ124" s="87" t="b">
        <f t="shared" si="47"/>
        <v>1</v>
      </c>
      <c r="AK124" s="88">
        <f t="shared" si="52"/>
        <v>2.0230005411876924E-4</v>
      </c>
      <c r="AL124" s="312">
        <f>+AC124/'MWh by month-WgtbyCDH&amp;DayLtHrs'!AC124-1</f>
        <v>-5.9739982477826414E-2</v>
      </c>
      <c r="AM124" s="89">
        <f t="shared" si="41"/>
        <v>266449.16537696827</v>
      </c>
      <c r="AN124" s="90">
        <f>SUM(AM113:AM124)</f>
        <v>3149052.5391628998</v>
      </c>
      <c r="AO124" s="96">
        <f t="shared" si="61"/>
        <v>56.22149150565788</v>
      </c>
      <c r="AP124" s="92">
        <f t="shared" si="60"/>
        <v>4.1697027074653554E-3</v>
      </c>
      <c r="AR124" s="94">
        <f t="shared" si="42"/>
        <v>7.9201915928588454E-3</v>
      </c>
      <c r="AS124" s="95">
        <v>475130.71205991617</v>
      </c>
      <c r="AU124" s="141">
        <v>106.79058331038009</v>
      </c>
    </row>
    <row r="125" spans="1:47">
      <c r="A125" s="78">
        <v>2015</v>
      </c>
      <c r="B125" s="78">
        <v>1</v>
      </c>
      <c r="C125" s="317">
        <v>26.112829868525239</v>
      </c>
      <c r="D125" s="318">
        <f>C125/(SUM(C$125:C$136))</f>
        <v>1.3280829182176284E-2</v>
      </c>
      <c r="E125" s="321">
        <f>$D125*'MWh Impact Summary'!B$21</f>
        <v>23985.466685329604</v>
      </c>
      <c r="F125" s="319">
        <f>$D125*'MWh Impact Summary'!N$21</f>
        <v>1826.9167860960506</v>
      </c>
      <c r="G125" s="319">
        <f>$D125*'MWh Impact Summary'!C$21</f>
        <v>19878.765482832459</v>
      </c>
      <c r="H125" s="319">
        <f>$D125*'MWh Impact Summary'!D$21</f>
        <v>64.754740061430709</v>
      </c>
      <c r="I125" s="319">
        <f>$D125*'MWh Impact Summary'!E$21</f>
        <v>7898.618877553411</v>
      </c>
      <c r="J125" s="104">
        <f t="shared" si="43"/>
        <v>53654.522571872949</v>
      </c>
      <c r="K125" s="298">
        <f t="shared" si="51"/>
        <v>13.3</v>
      </c>
      <c r="L125" s="300">
        <f t="shared" si="63"/>
        <v>9.3629003871876101E-2</v>
      </c>
      <c r="M125" s="297">
        <f>(31/365)</f>
        <v>8.4931506849315067E-2</v>
      </c>
      <c r="N125" s="304">
        <f>$L125*'MWh Impact Summary'!F$21</f>
        <v>89894.23208319438</v>
      </c>
      <c r="O125" s="304">
        <f>$L125*'MWh Impact Summary'!G$21</f>
        <v>794.75515570656842</v>
      </c>
      <c r="P125" s="304">
        <f>$M125*'MWh Impact Summary'!H$21</f>
        <v>4231.0324141611218</v>
      </c>
      <c r="Q125" s="304">
        <f>$M125*'MWh Impact Summary'!I$21</f>
        <v>1043.8450394124277</v>
      </c>
      <c r="R125" s="304">
        <f>$M125*'MWh Impact Summary'!J$21</f>
        <v>22934.702028285679</v>
      </c>
      <c r="S125" s="304">
        <f>$M125*'MWh Impact Summary'!K$21</f>
        <v>3389.0551970478264</v>
      </c>
      <c r="T125" s="304">
        <f>$M125*'MWh Impact Summary'!L$21</f>
        <v>1274.0601707877818</v>
      </c>
      <c r="U125" s="304">
        <f>$M125*'MWh Impact Summary'!M$21</f>
        <v>3736.4736000662137</v>
      </c>
      <c r="V125" s="304">
        <f>$L125*'LED Impact Forecast'!$H$22+$D125*'LED Impact Forecast'!$J$22</f>
        <v>5681.0769444509106</v>
      </c>
      <c r="W125" s="304">
        <f>$L125*'CFL Impact Forecast'!$H$22+$D125*'CFL Impact Forecast'!$J$22</f>
        <v>277565.22604910436</v>
      </c>
      <c r="X125" s="304">
        <f>$L125*'EISA Incand Impact Forecast'!$G$22+$D125*'EISA Incand Impact Forecast'!$I$22</f>
        <v>77191.82947440134</v>
      </c>
      <c r="Y125" s="85">
        <f t="shared" si="35"/>
        <v>487736.2881566186</v>
      </c>
      <c r="Z125" s="81">
        <f t="shared" si="36"/>
        <v>541390.81072849152</v>
      </c>
      <c r="AA125" s="81"/>
      <c r="AB125" s="81">
        <f>+'MWh by mo-WgtbyActulCDH&amp;Days'!AB125</f>
        <v>4746212</v>
      </c>
      <c r="AC125" s="308">
        <f t="shared" si="44"/>
        <v>114.0679789964063</v>
      </c>
      <c r="AD125" s="309">
        <f t="shared" si="37"/>
        <v>11.304704166580201</v>
      </c>
      <c r="AE125" s="107">
        <f t="shared" si="38"/>
        <v>8.4997775688572935E-4</v>
      </c>
      <c r="AF125" s="309">
        <f t="shared" si="45"/>
        <v>102.7632748298261</v>
      </c>
      <c r="AG125" s="107">
        <f t="shared" si="39"/>
        <v>7.7265620172801575E-3</v>
      </c>
      <c r="AH125" s="119">
        <f t="shared" si="46"/>
        <v>8.576539774165887E-3</v>
      </c>
      <c r="AI125" s="122">
        <f t="shared" si="40"/>
        <v>8.576539774165887E-3</v>
      </c>
      <c r="AJ125" s="87" t="b">
        <f t="shared" si="47"/>
        <v>1</v>
      </c>
      <c r="AK125" s="88">
        <f t="shared" si="52"/>
        <v>1.1758144919563453E-3</v>
      </c>
      <c r="AL125" s="312">
        <f>+AC125/'MWh by month-WgtbyCDH&amp;DayLtHrs'!AC125-1</f>
        <v>-8.5939077700089461E-2</v>
      </c>
      <c r="AM125" s="89">
        <f t="shared" si="41"/>
        <v>277565.22604910436</v>
      </c>
      <c r="AN125" s="93"/>
      <c r="AO125" s="96">
        <f t="shared" si="61"/>
        <v>58.481421826312086</v>
      </c>
      <c r="AP125" s="92">
        <f t="shared" si="60"/>
        <v>4.397099385436999E-3</v>
      </c>
      <c r="AR125" s="94">
        <f t="shared" si="42"/>
        <v>8.576539774165887E-3</v>
      </c>
      <c r="AS125" s="95">
        <v>536870.30337730492</v>
      </c>
      <c r="AU125" s="141">
        <v>114.0679789964063</v>
      </c>
    </row>
    <row r="126" spans="1:47">
      <c r="A126" s="78">
        <v>2015</v>
      </c>
      <c r="B126" s="78">
        <v>2</v>
      </c>
      <c r="C126" s="317">
        <v>35.042184420393127</v>
      </c>
      <c r="D126" s="318">
        <f>C126/(SUM(C$125:C$136))</f>
        <v>1.7822245532205266E-2</v>
      </c>
      <c r="E126" s="321">
        <f>$D126*'MWh Impact Summary'!B$21</f>
        <v>32187.363500177551</v>
      </c>
      <c r="F126" s="319">
        <f>$D126*'MWh Impact Summary'!N$21</f>
        <v>2451.6360448644582</v>
      </c>
      <c r="G126" s="319">
        <f>$D126*'MWh Impact Summary'!C$21</f>
        <v>26676.364438723373</v>
      </c>
      <c r="H126" s="319">
        <f>$D126*'MWh Impact Summary'!D$21</f>
        <v>86.897802909609638</v>
      </c>
      <c r="I126" s="319">
        <f>$D126*'MWh Impact Summary'!E$21</f>
        <v>10599.573495756744</v>
      </c>
      <c r="J126" s="104">
        <f t="shared" si="43"/>
        <v>72001.835282431741</v>
      </c>
      <c r="K126" s="298">
        <f t="shared" si="51"/>
        <v>12.733333333333333</v>
      </c>
      <c r="L126" s="300">
        <f t="shared" si="63"/>
        <v>8.9639798193124468E-2</v>
      </c>
      <c r="M126" s="297">
        <f>(28/365)</f>
        <v>7.6712328767123292E-2</v>
      </c>
      <c r="N126" s="304">
        <f>$L126*'MWh Impact Summary'!F$21</f>
        <v>86064.15201949935</v>
      </c>
      <c r="O126" s="304">
        <f>$L126*'MWh Impact Summary'!G$21</f>
        <v>760.89340721781718</v>
      </c>
      <c r="P126" s="304">
        <f>$M126*'MWh Impact Summary'!H$21</f>
        <v>3821.5776644035941</v>
      </c>
      <c r="Q126" s="304">
        <f>$M126*'MWh Impact Summary'!I$21</f>
        <v>942.82777753380572</v>
      </c>
      <c r="R126" s="304">
        <f>$M126*'MWh Impact Summary'!J$21</f>
        <v>20715.214735225774</v>
      </c>
      <c r="S126" s="304">
        <f>$M126*'MWh Impact Summary'!K$21</f>
        <v>3061.082113462553</v>
      </c>
      <c r="T126" s="304">
        <f>$M126*'MWh Impact Summary'!L$21</f>
        <v>1150.764025227674</v>
      </c>
      <c r="U126" s="304">
        <f>$M126*'MWh Impact Summary'!M$21</f>
        <v>3374.8793807049674</v>
      </c>
      <c r="V126" s="304">
        <f>$L126*'LED Impact Forecast'!$H$22+$D126*'LED Impact Forecast'!$J$22</f>
        <v>5461.9613078051925</v>
      </c>
      <c r="W126" s="304">
        <f>$L126*'CFL Impact Forecast'!$H$22+$D126*'CFL Impact Forecast'!$J$22</f>
        <v>268245.38058247243</v>
      </c>
      <c r="X126" s="304">
        <f>$L126*'EISA Incand Impact Forecast'!$G$22+$D126*'EISA Incand Impact Forecast'!$I$22</f>
        <v>74653.047045500411</v>
      </c>
      <c r="Y126" s="85">
        <f t="shared" si="35"/>
        <v>468251.78005905362</v>
      </c>
      <c r="Z126" s="81">
        <f t="shared" si="36"/>
        <v>540253.61534148536</v>
      </c>
      <c r="AA126" s="81"/>
      <c r="AB126" s="81">
        <f>+'MWh by mo-WgtbyActulCDH&amp;Days'!AB126</f>
        <v>4753351</v>
      </c>
      <c r="AC126" s="308">
        <f t="shared" si="44"/>
        <v>113.65742091031893</v>
      </c>
      <c r="AD126" s="309">
        <f t="shared" si="37"/>
        <v>15.14759488252219</v>
      </c>
      <c r="AE126" s="107">
        <f t="shared" si="38"/>
        <v>1.1896016923446746E-3</v>
      </c>
      <c r="AF126" s="309">
        <f t="shared" si="45"/>
        <v>98.50982602779672</v>
      </c>
      <c r="AG126" s="107">
        <f t="shared" si="39"/>
        <v>7.7363737718164965E-3</v>
      </c>
      <c r="AH126" s="119">
        <f t="shared" si="46"/>
        <v>8.9259754641611705E-3</v>
      </c>
      <c r="AI126" s="122">
        <f t="shared" si="40"/>
        <v>8.9259754641611722E-3</v>
      </c>
      <c r="AJ126" s="87" t="b">
        <f t="shared" si="47"/>
        <v>1</v>
      </c>
      <c r="AK126" s="88">
        <f t="shared" si="52"/>
        <v>4.7083025123870019E-4</v>
      </c>
      <c r="AL126" s="312">
        <f>+AC126/'MWh by month-WgtbyCDH&amp;DayLtHrs'!AC126-1</f>
        <v>-8.310391848676002E-2</v>
      </c>
      <c r="AM126" s="89">
        <f t="shared" si="41"/>
        <v>268245.38058247243</v>
      </c>
      <c r="AN126" s="93"/>
      <c r="AO126" s="96">
        <f t="shared" si="61"/>
        <v>56.432899775857585</v>
      </c>
      <c r="AP126" s="92">
        <f t="shared" si="60"/>
        <v>4.4319031237584489E-3</v>
      </c>
      <c r="AR126" s="94">
        <f t="shared" si="42"/>
        <v>8.9259754641611722E-3</v>
      </c>
      <c r="AS126" s="95">
        <v>498744.60648130899</v>
      </c>
      <c r="AU126" s="141">
        <v>113.65742091031893</v>
      </c>
    </row>
    <row r="127" spans="1:47">
      <c r="A127" s="78">
        <v>2015</v>
      </c>
      <c r="B127" s="78">
        <v>3</v>
      </c>
      <c r="C127" s="317">
        <v>64.582270600115152</v>
      </c>
      <c r="D127" s="318">
        <f>C127/(SUM(C$125:C$136))</f>
        <v>3.2846156787895278E-2</v>
      </c>
      <c r="E127" s="321">
        <f>$D127*'MWh Impact Summary'!B$21</f>
        <v>59320.874364869735</v>
      </c>
      <c r="F127" s="319">
        <f>$D127*'MWh Impact Summary'!N$21</f>
        <v>4518.3319784793321</v>
      </c>
      <c r="G127" s="319">
        <f>$D127*'MWh Impact Summary'!C$21</f>
        <v>49164.177841787474</v>
      </c>
      <c r="H127" s="319">
        <f>$D127*'MWh Impact Summary'!D$21</f>
        <v>160.15147214389677</v>
      </c>
      <c r="I127" s="319">
        <f>$D127*'MWh Impact Summary'!E$21</f>
        <v>19534.870187784112</v>
      </c>
      <c r="J127" s="104">
        <f t="shared" si="43"/>
        <v>132698.40584506455</v>
      </c>
      <c r="K127" s="298">
        <f t="shared" si="51"/>
        <v>12</v>
      </c>
      <c r="L127" s="300">
        <f t="shared" si="63"/>
        <v>8.4477296726504739E-2</v>
      </c>
      <c r="M127" s="297">
        <f t="shared" ref="M127:M136" si="65">(31/365)</f>
        <v>8.4931506849315067E-2</v>
      </c>
      <c r="N127" s="304">
        <f>$L127*'MWh Impact Summary'!F$21</f>
        <v>81107.577819423488</v>
      </c>
      <c r="O127" s="304">
        <f>$L127*'MWh Impact Summary'!G$21</f>
        <v>717.07232093825712</v>
      </c>
      <c r="P127" s="304">
        <f>$M127*'MWh Impact Summary'!H$21</f>
        <v>4231.0324141611218</v>
      </c>
      <c r="Q127" s="304">
        <f>$M127*'MWh Impact Summary'!I$21</f>
        <v>1043.8450394124277</v>
      </c>
      <c r="R127" s="304">
        <f>$M127*'MWh Impact Summary'!J$21</f>
        <v>22934.702028285679</v>
      </c>
      <c r="S127" s="304">
        <f>$M127*'MWh Impact Summary'!K$21</f>
        <v>3389.0551970478264</v>
      </c>
      <c r="T127" s="304">
        <f>$M127*'MWh Impact Summary'!L$21</f>
        <v>1274.0601707877818</v>
      </c>
      <c r="U127" s="304">
        <f>$M127*'MWh Impact Summary'!M$21</f>
        <v>3736.4736000662137</v>
      </c>
      <c r="V127" s="304">
        <f>$L127*'LED Impact Forecast'!$H$22+$D127*'LED Impact Forecast'!$J$22</f>
        <v>5219.4754676222865</v>
      </c>
      <c r="W127" s="304">
        <f>$L127*'CFL Impact Forecast'!$H$22+$D127*'CFL Impact Forecast'!$J$22</f>
        <v>260672.92153526226</v>
      </c>
      <c r="X127" s="304">
        <f>$L127*'EISA Incand Impact Forecast'!$G$22+$D127*'EISA Incand Impact Forecast'!$I$22</f>
        <v>72710.931185474357</v>
      </c>
      <c r="Y127" s="85">
        <f t="shared" si="35"/>
        <v>457037.14677848166</v>
      </c>
      <c r="Z127" s="81">
        <f t="shared" si="36"/>
        <v>589735.55262354622</v>
      </c>
      <c r="AA127" s="81"/>
      <c r="AB127" s="81">
        <f>+'MWh by mo-WgtbyActulCDH&amp;Days'!AB127</f>
        <v>4761186</v>
      </c>
      <c r="AC127" s="308">
        <f t="shared" si="44"/>
        <v>123.86316195661044</v>
      </c>
      <c r="AD127" s="309">
        <f t="shared" si="37"/>
        <v>27.870872056891823</v>
      </c>
      <c r="AE127" s="107">
        <f t="shared" si="38"/>
        <v>2.3225726714076519E-3</v>
      </c>
      <c r="AF127" s="309">
        <f t="shared" si="45"/>
        <v>95.992289899718614</v>
      </c>
      <c r="AG127" s="107">
        <f t="shared" si="39"/>
        <v>7.9993574916432178E-3</v>
      </c>
      <c r="AH127" s="119">
        <f t="shared" si="46"/>
        <v>1.032193016305087E-2</v>
      </c>
      <c r="AI127" s="122">
        <f t="shared" si="40"/>
        <v>1.0321930163050871E-2</v>
      </c>
      <c r="AJ127" s="87" t="b">
        <f t="shared" si="47"/>
        <v>1</v>
      </c>
      <c r="AK127" s="88">
        <f t="shared" si="52"/>
        <v>1.527917812723583E-3</v>
      </c>
      <c r="AL127" s="312">
        <f>+AC127/'MWh by month-WgtbyCDH&amp;DayLtHrs'!AC127-1</f>
        <v>-5.2173750984889078E-2</v>
      </c>
      <c r="AM127" s="89">
        <f t="shared" si="41"/>
        <v>260672.92153526226</v>
      </c>
      <c r="AN127" s="93"/>
      <c r="AO127" s="96">
        <f t="shared" si="61"/>
        <v>54.749577423621396</v>
      </c>
      <c r="AP127" s="92">
        <f t="shared" si="60"/>
        <v>4.5624647853017833E-3</v>
      </c>
      <c r="AR127" s="94">
        <f t="shared" si="42"/>
        <v>1.0321930163050871E-2</v>
      </c>
      <c r="AS127" s="95">
        <v>603983.5175966213</v>
      </c>
      <c r="AU127" s="141">
        <v>123.86316195661044</v>
      </c>
    </row>
    <row r="128" spans="1:47">
      <c r="A128" s="78">
        <v>2015</v>
      </c>
      <c r="B128" s="78">
        <v>4</v>
      </c>
      <c r="C128" s="317">
        <v>114.03392869270741</v>
      </c>
      <c r="D128" s="318">
        <f t="shared" ref="D128:D135" si="66">C128/(SUM(C$125:C$136))</f>
        <v>5.7996974497419709E-2</v>
      </c>
      <c r="E128" s="321">
        <f>$D128*'MWh Impact Summary'!B$21</f>
        <v>104743.79879267589</v>
      </c>
      <c r="F128" s="319">
        <f>$D128*'MWh Impact Summary'!N$21</f>
        <v>7978.0896809003334</v>
      </c>
      <c r="G128" s="319">
        <f>$D128*'MWh Impact Summary'!C$21</f>
        <v>86809.960352121489</v>
      </c>
      <c r="H128" s="319">
        <f>$D128*'MWh Impact Summary'!D$21</f>
        <v>282.78196763271865</v>
      </c>
      <c r="I128" s="319">
        <f>$D128*'MWh Impact Summary'!E$21</f>
        <v>34493.026852652918</v>
      </c>
      <c r="J128" s="104">
        <f t="shared" si="43"/>
        <v>234307.65764598336</v>
      </c>
      <c r="K128" s="298">
        <f t="shared" si="51"/>
        <v>11.2</v>
      </c>
      <c r="L128" s="300">
        <f t="shared" si="63"/>
        <v>7.8845476944737758E-2</v>
      </c>
      <c r="M128" s="297">
        <f>(30/365)</f>
        <v>8.2191780821917804E-2</v>
      </c>
      <c r="N128" s="304">
        <f>$L128*'MWh Impact Summary'!F$21</f>
        <v>75700.405964795253</v>
      </c>
      <c r="O128" s="304">
        <f>$L128*'MWh Impact Summary'!G$21</f>
        <v>669.26749954237334</v>
      </c>
      <c r="P128" s="304">
        <f>$M128*'MWh Impact Summary'!H$21</f>
        <v>4094.5474975752791</v>
      </c>
      <c r="Q128" s="304">
        <f>$M128*'MWh Impact Summary'!I$21</f>
        <v>1010.1726187862204</v>
      </c>
      <c r="R128" s="304">
        <f>$M128*'MWh Impact Summary'!J$21</f>
        <v>22194.872930599042</v>
      </c>
      <c r="S128" s="304">
        <f>$M128*'MWh Impact Summary'!K$21</f>
        <v>3279.7308358527348</v>
      </c>
      <c r="T128" s="304">
        <f>$M128*'MWh Impact Summary'!L$21</f>
        <v>1232.9614556010793</v>
      </c>
      <c r="U128" s="304">
        <f>$M128*'MWh Impact Summary'!M$21</f>
        <v>3615.942193612465</v>
      </c>
      <c r="V128" s="304">
        <f>$L128*'LED Impact Forecast'!$H$22+$D128*'LED Impact Forecast'!$J$22</f>
        <v>4994.2890190003882</v>
      </c>
      <c r="W128" s="304">
        <f>$L128*'CFL Impact Forecast'!$H$22+$D128*'CFL Impact Forecast'!$J$22</f>
        <v>256711.30948942638</v>
      </c>
      <c r="X128" s="304">
        <f>$L128*'EISA Incand Impact Forecast'!$G$22+$D128*'EISA Incand Impact Forecast'!$I$22</f>
        <v>71878.981525143303</v>
      </c>
      <c r="Y128" s="85">
        <f t="shared" si="35"/>
        <v>445382.48102993454</v>
      </c>
      <c r="Z128" s="81">
        <f t="shared" si="36"/>
        <v>679690.13867591787</v>
      </c>
      <c r="AA128" s="81"/>
      <c r="AB128" s="81">
        <f>+'MWh by mo-WgtbyActulCDH&amp;Days'!AB128</f>
        <v>4765589</v>
      </c>
      <c r="AC128" s="308">
        <f t="shared" si="44"/>
        <v>142.62458190916544</v>
      </c>
      <c r="AD128" s="309">
        <f t="shared" si="37"/>
        <v>49.166568423333061</v>
      </c>
      <c r="AE128" s="107">
        <f t="shared" si="38"/>
        <v>4.3898721806547381E-3</v>
      </c>
      <c r="AF128" s="309">
        <f t="shared" si="45"/>
        <v>93.458013485832396</v>
      </c>
      <c r="AG128" s="107">
        <f t="shared" si="39"/>
        <v>8.344465489806465E-3</v>
      </c>
      <c r="AH128" s="119">
        <f t="shared" si="46"/>
        <v>1.2734337670461202E-2</v>
      </c>
      <c r="AI128" s="122">
        <f t="shared" si="40"/>
        <v>1.2734337670461201E-2</v>
      </c>
      <c r="AJ128" s="87" t="b">
        <f t="shared" si="47"/>
        <v>1</v>
      </c>
      <c r="AK128" s="88">
        <f t="shared" si="52"/>
        <v>8.5759575648840757E-4</v>
      </c>
      <c r="AL128" s="312">
        <f>+AC128/'MWh by month-WgtbyCDH&amp;DayLtHrs'!AC128-1</f>
        <v>-2.0010204680288135E-2</v>
      </c>
      <c r="AM128" s="89">
        <f t="shared" si="41"/>
        <v>256711.30948942638</v>
      </c>
      <c r="AN128" s="93"/>
      <c r="AO128" s="96">
        <f t="shared" si="61"/>
        <v>53.867698093441625</v>
      </c>
      <c r="AP128" s="92">
        <f t="shared" si="60"/>
        <v>4.8096159012001455E-3</v>
      </c>
      <c r="AR128" s="94">
        <f t="shared" si="42"/>
        <v>1.2734337670461201E-2</v>
      </c>
      <c r="AS128" s="95">
        <v>709662.42917555431</v>
      </c>
      <c r="AU128" s="141">
        <v>142.62458190916544</v>
      </c>
    </row>
    <row r="129" spans="1:47">
      <c r="A129" s="78">
        <v>2015</v>
      </c>
      <c r="B129" s="78">
        <v>5</v>
      </c>
      <c r="C129" s="317">
        <v>208.47875842628665</v>
      </c>
      <c r="D129" s="318">
        <f t="shared" si="66"/>
        <v>0.10603105035770212</v>
      </c>
      <c r="E129" s="321">
        <f>$D129*'MWh Impact Summary'!B$21</f>
        <v>191494.3857103675</v>
      </c>
      <c r="F129" s="319">
        <f>$D129*'MWh Impact Summary'!N$21</f>
        <v>14585.678581413626</v>
      </c>
      <c r="G129" s="319">
        <f>$D129*'MWh Impact Summary'!C$21</f>
        <v>158707.43874847179</v>
      </c>
      <c r="H129" s="319">
        <f>$D129*'MWh Impact Summary'!D$21</f>
        <v>516.98677922671391</v>
      </c>
      <c r="I129" s="319">
        <f>$D129*'MWh Impact Summary'!E$21</f>
        <v>63060.735476226058</v>
      </c>
      <c r="J129" s="104">
        <f t="shared" si="43"/>
        <v>428365.22529570572</v>
      </c>
      <c r="K129" s="298">
        <f t="shared" si="51"/>
        <v>10.533333333333333</v>
      </c>
      <c r="L129" s="300">
        <f t="shared" si="63"/>
        <v>7.4152293793265281E-2</v>
      </c>
      <c r="M129" s="297">
        <f t="shared" si="65"/>
        <v>8.4931506849315067E-2</v>
      </c>
      <c r="N129" s="304">
        <f>$L129*'MWh Impact Summary'!F$21</f>
        <v>71194.429419271735</v>
      </c>
      <c r="O129" s="304">
        <f>$L129*'MWh Impact Summary'!G$21</f>
        <v>629.43014837913688</v>
      </c>
      <c r="P129" s="304">
        <f>$M129*'MWh Impact Summary'!H$21</f>
        <v>4231.0324141611218</v>
      </c>
      <c r="Q129" s="304">
        <f>$M129*'MWh Impact Summary'!I$21</f>
        <v>1043.8450394124277</v>
      </c>
      <c r="R129" s="304">
        <f>$M129*'MWh Impact Summary'!J$21</f>
        <v>22934.702028285679</v>
      </c>
      <c r="S129" s="304">
        <f>$M129*'MWh Impact Summary'!K$21</f>
        <v>3389.0551970478264</v>
      </c>
      <c r="T129" s="304">
        <f>$M129*'MWh Impact Summary'!L$21</f>
        <v>1274.0601707877818</v>
      </c>
      <c r="U129" s="304">
        <f>$M129*'MWh Impact Summary'!M$21</f>
        <v>3736.4736000662137</v>
      </c>
      <c r="V129" s="304">
        <f>$L129*'LED Impact Forecast'!$H$22+$D129*'LED Impact Forecast'!$J$22</f>
        <v>4928.2199419496565</v>
      </c>
      <c r="W129" s="304">
        <f>$L129*'CFL Impact Forecast'!$H$22+$D129*'CFL Impact Forecast'!$J$22</f>
        <v>266696.26227081718</v>
      </c>
      <c r="X129" s="304">
        <f>$L129*'EISA Incand Impact Forecast'!$G$22+$D129*'EISA Incand Impact Forecast'!$I$22</f>
        <v>75162.142457914859</v>
      </c>
      <c r="Y129" s="85">
        <f t="shared" si="35"/>
        <v>455219.6526880936</v>
      </c>
      <c r="Z129" s="81">
        <f t="shared" si="36"/>
        <v>883584.87798379932</v>
      </c>
      <c r="AA129" s="81"/>
      <c r="AB129" s="81">
        <f>+'MWh by mo-WgtbyActulCDH&amp;Days'!AB129</f>
        <v>4767866</v>
      </c>
      <c r="AC129" s="308">
        <f t="shared" si="44"/>
        <v>185.32082864405152</v>
      </c>
      <c r="AD129" s="309">
        <f t="shared" si="37"/>
        <v>89.844224920688987</v>
      </c>
      <c r="AE129" s="107">
        <f t="shared" si="38"/>
        <v>8.5295150241160422E-3</v>
      </c>
      <c r="AF129" s="309">
        <f t="shared" si="45"/>
        <v>95.47660372336253</v>
      </c>
      <c r="AG129" s="107">
        <f t="shared" si="39"/>
        <v>9.0642345306989752E-3</v>
      </c>
      <c r="AH129" s="119">
        <f t="shared" si="46"/>
        <v>1.7593749554815019E-2</v>
      </c>
      <c r="AI129" s="122">
        <f t="shared" si="40"/>
        <v>1.7593749554815016E-2</v>
      </c>
      <c r="AJ129" s="87" t="b">
        <f t="shared" si="47"/>
        <v>1</v>
      </c>
      <c r="AK129" s="88">
        <f t="shared" si="52"/>
        <v>1.8916385672515384E-3</v>
      </c>
      <c r="AL129" s="312">
        <f>+AC129/'MWh by month-WgtbyCDH&amp;DayLtHrs'!AC129-1</f>
        <v>2.4532583704483191E-2</v>
      </c>
      <c r="AM129" s="89">
        <f t="shared" si="41"/>
        <v>266696.26227081718</v>
      </c>
      <c r="AN129" s="93"/>
      <c r="AO129" s="96">
        <f t="shared" si="61"/>
        <v>55.936190797060405</v>
      </c>
      <c r="AP129" s="92">
        <f t="shared" si="60"/>
        <v>5.3103978604804184E-3</v>
      </c>
      <c r="AR129" s="94">
        <f t="shared" si="42"/>
        <v>1.7593749554815016E-2</v>
      </c>
      <c r="AS129" s="95">
        <v>853466.02375972236</v>
      </c>
      <c r="AU129" s="141">
        <v>185.32082864405152</v>
      </c>
    </row>
    <row r="130" spans="1:47">
      <c r="A130" s="78">
        <v>2015</v>
      </c>
      <c r="B130" s="78">
        <v>6</v>
      </c>
      <c r="C130" s="317">
        <v>271.66325293295364</v>
      </c>
      <c r="D130" s="318">
        <f t="shared" si="66"/>
        <v>0.13816630657965029</v>
      </c>
      <c r="E130" s="321">
        <f>$D130*'MWh Impact Summary'!B$21</f>
        <v>249531.35817369103</v>
      </c>
      <c r="F130" s="319">
        <f>$D130*'MWh Impact Summary'!N$21</f>
        <v>19006.218760950389</v>
      </c>
      <c r="G130" s="319">
        <f>$D130*'MWh Impact Summary'!C$21</f>
        <v>206807.53953315492</v>
      </c>
      <c r="H130" s="319">
        <f>$D130*'MWh Impact Summary'!D$21</f>
        <v>673.6720384763729</v>
      </c>
      <c r="I130" s="319">
        <f>$D130*'MWh Impact Summary'!E$21</f>
        <v>82172.805810685575</v>
      </c>
      <c r="J130" s="104">
        <f t="shared" si="43"/>
        <v>558191.59431695833</v>
      </c>
      <c r="K130" s="298">
        <f t="shared" si="51"/>
        <v>10.199999999999999</v>
      </c>
      <c r="L130" s="300">
        <f t="shared" si="63"/>
        <v>7.1805702217529022E-2</v>
      </c>
      <c r="M130" s="297">
        <f>(30/365)</f>
        <v>8.2191780821917804E-2</v>
      </c>
      <c r="N130" s="304">
        <f>$L130*'MWh Impact Summary'!F$21</f>
        <v>68941.441146509955</v>
      </c>
      <c r="O130" s="304">
        <f>$L130*'MWh Impact Summary'!G$21</f>
        <v>609.51147279751854</v>
      </c>
      <c r="P130" s="304">
        <f>$M130*'MWh Impact Summary'!H$21</f>
        <v>4094.5474975752791</v>
      </c>
      <c r="Q130" s="304">
        <f>$M130*'MWh Impact Summary'!I$21</f>
        <v>1010.1726187862204</v>
      </c>
      <c r="R130" s="304">
        <f>$M130*'MWh Impact Summary'!J$21</f>
        <v>22194.872930599042</v>
      </c>
      <c r="S130" s="304">
        <f>$M130*'MWh Impact Summary'!K$21</f>
        <v>3279.7308358527348</v>
      </c>
      <c r="T130" s="304">
        <f>$M130*'MWh Impact Summary'!L$21</f>
        <v>1232.9614556010793</v>
      </c>
      <c r="U130" s="304">
        <f>$M130*'MWh Impact Summary'!M$21</f>
        <v>3615.942193612465</v>
      </c>
      <c r="V130" s="304">
        <f>$L130*'LED Impact Forecast'!$H$22+$D130*'LED Impact Forecast'!$J$22</f>
        <v>4931.6419822290645</v>
      </c>
      <c r="W130" s="304">
        <f>$L130*'CFL Impact Forecast'!$H$22+$D130*'CFL Impact Forecast'!$J$22</f>
        <v>275672.51738878054</v>
      </c>
      <c r="X130" s="304">
        <f>$L130*'EISA Incand Impact Forecast'!$G$22+$D130*'EISA Incand Impact Forecast'!$I$22</f>
        <v>77996.027082334243</v>
      </c>
      <c r="Y130" s="85">
        <f t="shared" si="35"/>
        <v>463579.3666046781</v>
      </c>
      <c r="Z130" s="81">
        <f t="shared" si="36"/>
        <v>1021770.9609216364</v>
      </c>
      <c r="AA130" s="81"/>
      <c r="AB130" s="81">
        <f>+'MWh by mo-WgtbyActulCDH&amp;Days'!AB130</f>
        <v>4772498</v>
      </c>
      <c r="AC130" s="308">
        <f t="shared" si="44"/>
        <v>214.09562893931783</v>
      </c>
      <c r="AD130" s="309">
        <f t="shared" si="37"/>
        <v>116.96004782337432</v>
      </c>
      <c r="AE130" s="107">
        <f t="shared" si="38"/>
        <v>1.1466671355232778E-2</v>
      </c>
      <c r="AF130" s="309">
        <f t="shared" si="45"/>
        <v>97.135581115943495</v>
      </c>
      <c r="AG130" s="107">
        <f t="shared" si="39"/>
        <v>9.5230961878375979E-3</v>
      </c>
      <c r="AH130" s="119">
        <f t="shared" si="46"/>
        <v>2.0989767543070376E-2</v>
      </c>
      <c r="AI130" s="122">
        <f t="shared" si="40"/>
        <v>2.098976754307038E-2</v>
      </c>
      <c r="AJ130" s="87">
        <f>AH130-AI130</f>
        <v>0</v>
      </c>
      <c r="AK130" s="88">
        <f t="shared" si="52"/>
        <v>3.851489934343845E-3</v>
      </c>
      <c r="AL130" s="312">
        <f>+AC130/'MWh by month-WgtbyCDH&amp;DayLtHrs'!AC130-1</f>
        <v>4.2991400122158518E-2</v>
      </c>
      <c r="AM130" s="89">
        <f t="shared" si="41"/>
        <v>275672.51738878054</v>
      </c>
      <c r="AN130" s="93"/>
      <c r="AO130" s="96">
        <f t="shared" si="61"/>
        <v>57.76273083588103</v>
      </c>
      <c r="AP130" s="92">
        <f t="shared" si="60"/>
        <v>5.6630128270471602E-3</v>
      </c>
      <c r="AR130" s="94">
        <f t="shared" si="42"/>
        <v>2.098976754307038E-2</v>
      </c>
      <c r="AS130" s="95">
        <v>1041990.050347965</v>
      </c>
      <c r="AU130" s="141">
        <v>214.09562893931783</v>
      </c>
    </row>
    <row r="131" spans="1:47">
      <c r="A131" s="78">
        <v>2015</v>
      </c>
      <c r="B131" s="78">
        <v>7</v>
      </c>
      <c r="C131" s="317">
        <v>322.31916585708109</v>
      </c>
      <c r="D131" s="318">
        <f t="shared" si="66"/>
        <v>0.16392960109808263</v>
      </c>
      <c r="E131" s="321">
        <f>$D131*'MWh Impact Summary'!B$21</f>
        <v>296060.42905471061</v>
      </c>
      <c r="F131" s="319">
        <f>$D131*'MWh Impact Summary'!N$21</f>
        <v>22550.229046394605</v>
      </c>
      <c r="G131" s="319">
        <f>$D131*'MWh Impact Summary'!C$21</f>
        <v>245370.0782701479</v>
      </c>
      <c r="H131" s="319">
        <f>$D131*'MWh Impact Summary'!D$21</f>
        <v>799.28885176286008</v>
      </c>
      <c r="I131" s="319">
        <f>$D131*'MWh Impact Summary'!E$21</f>
        <v>97495.225942732781</v>
      </c>
      <c r="J131" s="104">
        <f t="shared" si="43"/>
        <v>662275.25116574881</v>
      </c>
      <c r="K131" s="298">
        <f t="shared" si="51"/>
        <v>10.366666666666667</v>
      </c>
      <c r="L131" s="300">
        <f t="shared" si="63"/>
        <v>7.2978998005397158E-2</v>
      </c>
      <c r="M131" s="297">
        <f t="shared" si="65"/>
        <v>8.4931506849315067E-2</v>
      </c>
      <c r="N131" s="304">
        <f>$L131*'MWh Impact Summary'!F$21</f>
        <v>70067.935282890845</v>
      </c>
      <c r="O131" s="304">
        <f>$L131*'MWh Impact Summary'!G$21</f>
        <v>619.47081058832771</v>
      </c>
      <c r="P131" s="304">
        <f>$M131*'MWh Impact Summary'!H$21</f>
        <v>4231.0324141611218</v>
      </c>
      <c r="Q131" s="304">
        <f>$M131*'MWh Impact Summary'!I$21</f>
        <v>1043.8450394124277</v>
      </c>
      <c r="R131" s="304">
        <f>$M131*'MWh Impact Summary'!J$21</f>
        <v>22934.702028285679</v>
      </c>
      <c r="S131" s="304">
        <f>$M131*'MWh Impact Summary'!K$21</f>
        <v>3389.0551970478264</v>
      </c>
      <c r="T131" s="304">
        <f>$M131*'MWh Impact Summary'!L$21</f>
        <v>1274.0601707877818</v>
      </c>
      <c r="U131" s="304">
        <f>$M131*'MWh Impact Summary'!M$21</f>
        <v>3736.4736000662137</v>
      </c>
      <c r="V131" s="304">
        <f>$L131*'LED Impact Forecast'!$H$22+$D131*'LED Impact Forecast'!$J$22</f>
        <v>5117.7815805993905</v>
      </c>
      <c r="W131" s="304">
        <f>$L131*'CFL Impact Forecast'!$H$22+$D131*'CFL Impact Forecast'!$J$22</f>
        <v>291711.6944332245</v>
      </c>
      <c r="X131" s="304">
        <f>$L131*'EISA Incand Impact Forecast'!$G$22+$D131*'EISA Incand Impact Forecast'!$I$22</f>
        <v>82722.696729383955</v>
      </c>
      <c r="Y131" s="85">
        <f t="shared" si="35"/>
        <v>486848.74728644808</v>
      </c>
      <c r="Z131" s="81">
        <f t="shared" si="36"/>
        <v>1149123.9984521968</v>
      </c>
      <c r="AA131" s="81"/>
      <c r="AB131" s="262">
        <f>+'MWh by mo-WgtbyActulCDH&amp;Days'!AB131</f>
        <v>4784923.7420767779</v>
      </c>
      <c r="AC131" s="308">
        <f t="shared" si="44"/>
        <v>240.15513316278015</v>
      </c>
      <c r="AD131" s="309">
        <f t="shared" si="37"/>
        <v>138.40873687117627</v>
      </c>
      <c r="AE131" s="107">
        <f t="shared" si="38"/>
        <v>1.3351325100113467E-2</v>
      </c>
      <c r="AF131" s="309">
        <f t="shared" si="45"/>
        <v>101.74639629160389</v>
      </c>
      <c r="AG131" s="107">
        <f t="shared" si="39"/>
        <v>9.8147649155887993E-3</v>
      </c>
      <c r="AH131" s="119">
        <f t="shared" si="46"/>
        <v>2.3166090015702266E-2</v>
      </c>
      <c r="AI131" s="122">
        <f t="shared" si="40"/>
        <v>2.3166090015702263E-2</v>
      </c>
      <c r="AJ131" s="87" t="b">
        <f t="shared" si="47"/>
        <v>1</v>
      </c>
      <c r="AK131" s="88">
        <f t="shared" si="52"/>
        <v>3.5156777132580273E-3</v>
      </c>
      <c r="AL131" s="312">
        <f>+AC131/'MWh by month-WgtbyCDH&amp;DayLtHrs'!AC131-1</f>
        <v>5.4205814097380456E-2</v>
      </c>
      <c r="AM131" s="89">
        <f t="shared" si="41"/>
        <v>291711.6944332245</v>
      </c>
      <c r="AN131" s="93"/>
      <c r="AO131" s="96">
        <f t="shared" si="61"/>
        <v>60.96475307809488</v>
      </c>
      <c r="AP131" s="92">
        <f t="shared" si="60"/>
        <v>5.880844348369281E-3</v>
      </c>
      <c r="AR131" s="94">
        <f t="shared" si="42"/>
        <v>2.3166090015702263E-2</v>
      </c>
      <c r="AS131" s="95">
        <v>1096095.832950097</v>
      </c>
      <c r="AU131" s="141">
        <v>240.15513316278015</v>
      </c>
    </row>
    <row r="132" spans="1:47">
      <c r="A132" s="78">
        <v>2015</v>
      </c>
      <c r="B132" s="78">
        <v>8</v>
      </c>
      <c r="C132" s="317">
        <v>326.45437890907908</v>
      </c>
      <c r="D132" s="318">
        <f t="shared" si="66"/>
        <v>0.16603274573816959</v>
      </c>
      <c r="E132" s="321">
        <f>$D132*'MWh Impact Summary'!B$21</f>
        <v>299858.75406945712</v>
      </c>
      <c r="F132" s="319">
        <f>$D132*'MWh Impact Summary'!N$21</f>
        <v>22839.538561173951</v>
      </c>
      <c r="G132" s="319">
        <f>$D132*'MWh Impact Summary'!C$21</f>
        <v>248518.06839209551</v>
      </c>
      <c r="H132" s="319">
        <f>$D132*'MWh Impact Summary'!D$21</f>
        <v>809.54337598060965</v>
      </c>
      <c r="I132" s="319">
        <f>$D132*'MWh Impact Summary'!E$21</f>
        <v>98746.046785960731</v>
      </c>
      <c r="J132" s="104">
        <f t="shared" si="43"/>
        <v>670771.95118466788</v>
      </c>
      <c r="K132" s="298">
        <f t="shared" si="51"/>
        <v>10.933333333333334</v>
      </c>
      <c r="L132" s="300">
        <f t="shared" si="63"/>
        <v>7.6968203684148764E-2</v>
      </c>
      <c r="M132" s="297">
        <f t="shared" si="65"/>
        <v>8.4931506849315067E-2</v>
      </c>
      <c r="N132" s="304">
        <f>$L132*'MWh Impact Summary'!F$21</f>
        <v>73898.015346585846</v>
      </c>
      <c r="O132" s="304">
        <f>$L132*'MWh Impact Summary'!G$21</f>
        <v>653.33255907707871</v>
      </c>
      <c r="P132" s="304">
        <f>$M132*'MWh Impact Summary'!H$21</f>
        <v>4231.0324141611218</v>
      </c>
      <c r="Q132" s="304">
        <f>$M132*'MWh Impact Summary'!I$21</f>
        <v>1043.8450394124277</v>
      </c>
      <c r="R132" s="304">
        <f>$M132*'MWh Impact Summary'!J$21</f>
        <v>22934.702028285679</v>
      </c>
      <c r="S132" s="304">
        <f>$M132*'MWh Impact Summary'!K$21</f>
        <v>3389.0551970478264</v>
      </c>
      <c r="T132" s="304">
        <f>$M132*'MWh Impact Summary'!L$21</f>
        <v>1274.0601707877818</v>
      </c>
      <c r="U132" s="304">
        <f>$M132*'MWh Impact Summary'!M$21</f>
        <v>3736.4736000662137</v>
      </c>
      <c r="V132" s="304">
        <f>$L132*'LED Impact Forecast'!$H$22+$D132*'LED Impact Forecast'!$J$22</f>
        <v>5366.7360257930077</v>
      </c>
      <c r="W132" s="304">
        <f>$L132*'CFL Impact Forecast'!$H$22+$D132*'CFL Impact Forecast'!$J$22</f>
        <v>304292.1643094233</v>
      </c>
      <c r="X132" s="304">
        <f>$L132*'EISA Incand Impact Forecast'!$G$22+$D132*'EISA Incand Impact Forecast'!$I$22</f>
        <v>86237.350637968833</v>
      </c>
      <c r="Y132" s="85">
        <f t="shared" si="35"/>
        <v>507056.76732860913</v>
      </c>
      <c r="Z132" s="81">
        <f t="shared" si="36"/>
        <v>1177828.7185132769</v>
      </c>
      <c r="AA132" s="81"/>
      <c r="AB132" s="262">
        <f>+'MWh by mo-WgtbyActulCDH&amp;Days'!AB132</f>
        <v>4793100.8139620237</v>
      </c>
      <c r="AC132" s="308">
        <f t="shared" si="44"/>
        <v>245.73418424297071</v>
      </c>
      <c r="AD132" s="309">
        <f t="shared" si="37"/>
        <v>139.94530414022341</v>
      </c>
      <c r="AE132" s="107">
        <f t="shared" si="38"/>
        <v>1.2799875378678971E-2</v>
      </c>
      <c r="AF132" s="309">
        <f t="shared" si="45"/>
        <v>105.78888010274731</v>
      </c>
      <c r="AG132" s="107">
        <f t="shared" si="39"/>
        <v>9.6758122045195721E-3</v>
      </c>
      <c r="AH132" s="119">
        <f t="shared" si="46"/>
        <v>2.2475687583198543E-2</v>
      </c>
      <c r="AI132" s="122">
        <f t="shared" si="40"/>
        <v>2.2475687583198539E-2</v>
      </c>
      <c r="AJ132" s="87" t="b">
        <f t="shared" si="47"/>
        <v>1</v>
      </c>
      <c r="AK132" s="88">
        <f t="shared" si="52"/>
        <v>1.9812172172590375E-3</v>
      </c>
      <c r="AL132" s="312">
        <f>+AC132/'MWh by month-WgtbyCDH&amp;DayLtHrs'!AC132-1</f>
        <v>5.1676595661388047E-2</v>
      </c>
      <c r="AM132" s="89">
        <f t="shared" si="41"/>
        <v>304292.1643094233</v>
      </c>
      <c r="AN132" s="93"/>
      <c r="AO132" s="96">
        <f t="shared" si="61"/>
        <v>63.4854504672712</v>
      </c>
      <c r="AP132" s="92">
        <f t="shared" si="60"/>
        <v>5.8065960793235848E-3</v>
      </c>
      <c r="AR132" s="94">
        <f t="shared" si="42"/>
        <v>2.2475687583198539E-2</v>
      </c>
      <c r="AS132" s="95">
        <v>1139559.6309116844</v>
      </c>
      <c r="AU132" s="141">
        <v>245.73418424297071</v>
      </c>
    </row>
    <row r="133" spans="1:47">
      <c r="A133" s="78">
        <v>2015</v>
      </c>
      <c r="B133" s="78">
        <v>9</v>
      </c>
      <c r="C133" s="317">
        <v>277.87653293728147</v>
      </c>
      <c r="D133" s="318">
        <f t="shared" si="66"/>
        <v>0.14132634365008559</v>
      </c>
      <c r="E133" s="321">
        <f>$D133*'MWh Impact Summary'!B$21</f>
        <v>255238.45393086364</v>
      </c>
      <c r="F133" s="319">
        <f>$D133*'MWh Impact Summary'!N$21</f>
        <v>19440.914869865934</v>
      </c>
      <c r="G133" s="319">
        <f>$D133*'MWh Impact Summary'!C$21</f>
        <v>211537.48786533778</v>
      </c>
      <c r="H133" s="319">
        <f>$D133*'MWh Impact Summary'!D$21</f>
        <v>689.07976462611862</v>
      </c>
      <c r="I133" s="319">
        <f>$D133*'MWh Impact Summary'!E$21</f>
        <v>84052.201149329543</v>
      </c>
      <c r="J133" s="104">
        <f t="shared" si="43"/>
        <v>570958.13758002303</v>
      </c>
      <c r="K133" s="298">
        <f t="shared" si="51"/>
        <v>11.683333333333334</v>
      </c>
      <c r="L133" s="300">
        <f>L121</f>
        <v>8.2248034729555317E-2</v>
      </c>
      <c r="M133" s="297">
        <f>(30/365)</f>
        <v>8.2191780821917804E-2</v>
      </c>
      <c r="N133" s="304">
        <f>$L133*'MWh Impact Summary'!F$21</f>
        <v>78967.238960299816</v>
      </c>
      <c r="O133" s="304">
        <f>$L133*'MWh Impact Summary'!G$21</f>
        <v>698.14957913571982</v>
      </c>
      <c r="P133" s="304">
        <f>$M133*'MWh Impact Summary'!H$21</f>
        <v>4094.5474975752791</v>
      </c>
      <c r="Q133" s="304">
        <f>$M133*'MWh Impact Summary'!I$21</f>
        <v>1010.1726187862204</v>
      </c>
      <c r="R133" s="304">
        <f>$M133*'MWh Impact Summary'!J$21</f>
        <v>22194.872930599042</v>
      </c>
      <c r="S133" s="304">
        <f>$M133*'MWh Impact Summary'!K$21</f>
        <v>3279.7308358527348</v>
      </c>
      <c r="T133" s="304">
        <f>$M133*'MWh Impact Summary'!L$21</f>
        <v>1232.9614556010793</v>
      </c>
      <c r="U133" s="304">
        <f>$M133*'MWh Impact Summary'!M$21</f>
        <v>3615.942193612465</v>
      </c>
      <c r="V133" s="304">
        <f>$L133*'LED Impact Forecast'!$H$22+$D133*'LED Impact Forecast'!$J$22</f>
        <v>5572.7849967169977</v>
      </c>
      <c r="W133" s="304">
        <f>$L133*'CFL Impact Forecast'!$H$22+$D133*'CFL Impact Forecast'!$J$22</f>
        <v>307452.88273380278</v>
      </c>
      <c r="X133" s="304">
        <f>$L133*'EISA Incand Impact Forecast'!$G$22+$D133*'EISA Incand Impact Forecast'!$I$22</f>
        <v>86851.708557615246</v>
      </c>
      <c r="Y133" s="85">
        <f t="shared" ref="Y133:Y196" si="67">SUM(N133:X133)</f>
        <v>514970.99235959735</v>
      </c>
      <c r="Z133" s="81">
        <f t="shared" ref="Z133:Z196" si="68">Y133+J133</f>
        <v>1085929.1299396204</v>
      </c>
      <c r="AA133" s="81"/>
      <c r="AB133" s="262">
        <f>+'MWh by mo-WgtbyActulCDH&amp;Days'!AB133</f>
        <v>4797009.9970391067</v>
      </c>
      <c r="AC133" s="308">
        <f t="shared" si="44"/>
        <v>226.37624908221923</v>
      </c>
      <c r="AD133" s="309">
        <f t="shared" ref="AD133:AD196" si="69">+J133*1000/AB133</f>
        <v>119.02375394932254</v>
      </c>
      <c r="AE133" s="107">
        <f t="shared" ref="AE133:AE196" si="70">+AD133/K133/1000</f>
        <v>1.0187482506361416E-2</v>
      </c>
      <c r="AF133" s="309">
        <f t="shared" si="45"/>
        <v>107.35249513289666</v>
      </c>
      <c r="AG133" s="107">
        <f t="shared" ref="AG133:AG196" si="71">+AF133/K133/1000</f>
        <v>9.1885159885503574E-3</v>
      </c>
      <c r="AH133" s="119">
        <f t="shared" si="46"/>
        <v>1.9375998494911773E-2</v>
      </c>
      <c r="AI133" s="122">
        <f t="shared" ref="AI133:AI196" si="72">+AC133/K133/1000</f>
        <v>1.9375998494911773E-2</v>
      </c>
      <c r="AJ133" s="87" t="b">
        <f t="shared" si="47"/>
        <v>1</v>
      </c>
      <c r="AK133" s="88">
        <f t="shared" si="52"/>
        <v>3.4315982862189107E-3</v>
      </c>
      <c r="AL133" s="312">
        <f>+AC133/'MWh by month-WgtbyCDH&amp;DayLtHrs'!AC133-1</f>
        <v>3.5709410987370793E-2</v>
      </c>
      <c r="AM133" s="89">
        <f t="shared" ref="AM133:AM196" si="73">+W133</f>
        <v>307452.88273380278</v>
      </c>
      <c r="AN133" s="93"/>
      <c r="AO133" s="96">
        <f t="shared" si="61"/>
        <v>64.092608296329203</v>
      </c>
      <c r="AP133" s="92">
        <f t="shared" si="60"/>
        <v>5.4858152607414438E-3</v>
      </c>
      <c r="AR133" s="94">
        <f t="shared" ref="AR133:AR196" si="74">AI133</f>
        <v>1.9375998494911773E-2</v>
      </c>
      <c r="AS133" s="95">
        <v>1076339.5223995293</v>
      </c>
      <c r="AU133" s="141">
        <v>226.37624908221923</v>
      </c>
    </row>
    <row r="134" spans="1:47">
      <c r="A134" s="78">
        <v>2015</v>
      </c>
      <c r="B134" s="78">
        <v>10</v>
      </c>
      <c r="C134" s="317">
        <v>198.89039579254836</v>
      </c>
      <c r="D134" s="318">
        <f t="shared" si="66"/>
        <v>0.10115446643644242</v>
      </c>
      <c r="E134" s="321">
        <f>$D134*'MWh Impact Summary'!B$21</f>
        <v>182687.16896379826</v>
      </c>
      <c r="F134" s="319">
        <f>$D134*'MWh Impact Summary'!N$21</f>
        <v>13914.853522048203</v>
      </c>
      <c r="G134" s="319">
        <f>$D134*'MWh Impact Summary'!C$21</f>
        <v>151408.16045806403</v>
      </c>
      <c r="H134" s="319">
        <f>$D134*'MWh Impact Summary'!D$21</f>
        <v>493.20950448902482</v>
      </c>
      <c r="I134" s="319">
        <f>$D134*'MWh Impact Summary'!E$21</f>
        <v>60160.443838552623</v>
      </c>
      <c r="J134" s="104">
        <f t="shared" ref="J134:J197" si="75">SUM(E134:I134)</f>
        <v>408663.83628695214</v>
      </c>
      <c r="K134" s="298">
        <f t="shared" si="51"/>
        <v>12.466666666666667</v>
      </c>
      <c r="L134" s="300">
        <f t="shared" si="63"/>
        <v>8.7762524932535488E-2</v>
      </c>
      <c r="M134" s="297">
        <f t="shared" si="65"/>
        <v>8.4931506849315067E-2</v>
      </c>
      <c r="N134" s="304">
        <f>$L134*'MWh Impact Summary'!F$21</f>
        <v>84261.761401289958</v>
      </c>
      <c r="O134" s="304">
        <f>$L134*'MWh Impact Summary'!G$21</f>
        <v>744.95846675252278</v>
      </c>
      <c r="P134" s="304">
        <f>$M134*'MWh Impact Summary'!H$21</f>
        <v>4231.0324141611218</v>
      </c>
      <c r="Q134" s="304">
        <f>$M134*'MWh Impact Summary'!I$21</f>
        <v>1043.8450394124277</v>
      </c>
      <c r="R134" s="304">
        <f>$M134*'MWh Impact Summary'!J$21</f>
        <v>22934.702028285679</v>
      </c>
      <c r="S134" s="304">
        <f>$M134*'MWh Impact Summary'!K$21</f>
        <v>3389.0551970478264</v>
      </c>
      <c r="T134" s="304">
        <f>$M134*'MWh Impact Summary'!L$21</f>
        <v>1274.0601707877818</v>
      </c>
      <c r="U134" s="304">
        <f>$M134*'MWh Impact Summary'!M$21</f>
        <v>3736.4736000662137</v>
      </c>
      <c r="V134" s="304">
        <f>$L134*'LED Impact Forecast'!$H$22+$D134*'LED Impact Forecast'!$J$22</f>
        <v>5723.4717892139488</v>
      </c>
      <c r="W134" s="304">
        <f>$L134*'CFL Impact Forecast'!$H$22+$D134*'CFL Impact Forecast'!$J$22</f>
        <v>303703.68895432638</v>
      </c>
      <c r="X134" s="304">
        <f>$L134*'EISA Incand Impact Forecast'!$G$22+$D134*'EISA Incand Impact Forecast'!$I$22</f>
        <v>85383.262205611682</v>
      </c>
      <c r="Y134" s="85">
        <f t="shared" si="67"/>
        <v>516426.31126695551</v>
      </c>
      <c r="Z134" s="81">
        <f t="shared" si="68"/>
        <v>925090.14755390771</v>
      </c>
      <c r="AA134" s="81"/>
      <c r="AB134" s="262">
        <f>+'MWh by mo-WgtbyActulCDH&amp;Days'!AB134</f>
        <v>4802322.38639032</v>
      </c>
      <c r="AC134" s="308">
        <f t="shared" ref="AC134:AC197" si="76">+Z134*1000/AB134</f>
        <v>192.63391191220182</v>
      </c>
      <c r="AD134" s="309">
        <f t="shared" si="69"/>
        <v>85.097126641288554</v>
      </c>
      <c r="AE134" s="107">
        <f t="shared" si="70"/>
        <v>6.8259727252370497E-3</v>
      </c>
      <c r="AF134" s="309">
        <f t="shared" ref="AF134:AF197" si="77">+Y134*1000/AB134</f>
        <v>107.53678527091324</v>
      </c>
      <c r="AG134" s="107">
        <f t="shared" si="71"/>
        <v>8.6259453425866234E-3</v>
      </c>
      <c r="AH134" s="119">
        <f t="shared" ref="AH134:AH197" si="78">AE134+AG134</f>
        <v>1.5451918067823672E-2</v>
      </c>
      <c r="AI134" s="122">
        <f t="shared" si="72"/>
        <v>1.5451918067823676E-2</v>
      </c>
      <c r="AJ134" s="87" t="b">
        <f t="shared" ref="AJ134:AJ197" si="79">AH134=AI134</f>
        <v>1</v>
      </c>
      <c r="AK134" s="88">
        <f t="shared" si="52"/>
        <v>2.4056282292614691E-3</v>
      </c>
      <c r="AL134" s="312">
        <f>+AC134/'MWh by month-WgtbyCDH&amp;DayLtHrs'!AC134-1</f>
        <v>1.0141454180260245E-2</v>
      </c>
      <c r="AM134" s="89">
        <f t="shared" si="73"/>
        <v>303703.68895432638</v>
      </c>
      <c r="AN134" s="93"/>
      <c r="AO134" s="96">
        <f t="shared" si="61"/>
        <v>63.241003939055865</v>
      </c>
      <c r="AP134" s="92">
        <f t="shared" si="60"/>
        <v>5.0728078025980639E-3</v>
      </c>
      <c r="AR134" s="94">
        <f t="shared" si="74"/>
        <v>1.5451918067823676E-2</v>
      </c>
      <c r="AS134" s="95">
        <v>866680.06276977342</v>
      </c>
      <c r="AU134" s="141">
        <v>192.63391191220182</v>
      </c>
    </row>
    <row r="135" spans="1:47">
      <c r="A135" s="78">
        <v>2015</v>
      </c>
      <c r="B135" s="78">
        <v>11</v>
      </c>
      <c r="C135" s="317">
        <v>78.117279066674627</v>
      </c>
      <c r="D135" s="318">
        <f t="shared" si="66"/>
        <v>3.9729981188725644E-2</v>
      </c>
      <c r="E135" s="321">
        <f>$D135*'MWh Impact Summary'!B$21</f>
        <v>71753.211124035821</v>
      </c>
      <c r="F135" s="319">
        <f>$D135*'MWh Impact Summary'!N$21</f>
        <v>5465.2739335262813</v>
      </c>
      <c r="G135" s="319">
        <f>$D135*'MWh Impact Summary'!C$21</f>
        <v>59467.896759636147</v>
      </c>
      <c r="H135" s="319">
        <f>$D135*'MWh Impact Summary'!D$21</f>
        <v>193.71566106536434</v>
      </c>
      <c r="I135" s="319">
        <f>$D135*'MWh Impact Summary'!E$21</f>
        <v>23628.944783302075</v>
      </c>
      <c r="J135" s="104">
        <f t="shared" si="75"/>
        <v>160509.04226156569</v>
      </c>
      <c r="K135" s="298">
        <f t="shared" si="51"/>
        <v>13.15</v>
      </c>
      <c r="L135" s="300">
        <f t="shared" si="63"/>
        <v>9.2573037662794788E-2</v>
      </c>
      <c r="M135" s="297">
        <f>(30/365)</f>
        <v>8.2191780821917804E-2</v>
      </c>
      <c r="N135" s="304">
        <f>$L135*'MWh Impact Summary'!F$21</f>
        <v>88880.387360451583</v>
      </c>
      <c r="O135" s="304">
        <f>$L135*'MWh Impact Summary'!G$21</f>
        <v>785.79175169484017</v>
      </c>
      <c r="P135" s="304">
        <f>$M135*'MWh Impact Summary'!H$21</f>
        <v>4094.5474975752791</v>
      </c>
      <c r="Q135" s="304">
        <f>$M135*'MWh Impact Summary'!I$21</f>
        <v>1010.1726187862204</v>
      </c>
      <c r="R135" s="304">
        <f>$M135*'MWh Impact Summary'!J$21</f>
        <v>22194.872930599042</v>
      </c>
      <c r="S135" s="304">
        <f>$M135*'MWh Impact Summary'!K$21</f>
        <v>3279.7308358527348</v>
      </c>
      <c r="T135" s="304">
        <f>$M135*'MWh Impact Summary'!L$21</f>
        <v>1232.9614556010793</v>
      </c>
      <c r="U135" s="304">
        <f>$M135*'MWh Impact Summary'!M$21</f>
        <v>3615.942193612465</v>
      </c>
      <c r="V135" s="304">
        <f>$L135*'LED Impact Forecast'!$H$22+$D135*'LED Impact Forecast'!$J$22</f>
        <v>5736.4528033393008</v>
      </c>
      <c r="W135" s="304">
        <f>$L135*'CFL Impact Forecast'!$H$22+$D135*'CFL Impact Forecast'!$J$22</f>
        <v>287487.44272077037</v>
      </c>
      <c r="X135" s="304">
        <f>$L135*'EISA Incand Impact Forecast'!$G$22+$D135*'EISA Incand Impact Forecast'!$I$22</f>
        <v>80227.769812518745</v>
      </c>
      <c r="Y135" s="85">
        <f t="shared" si="67"/>
        <v>498546.07198080164</v>
      </c>
      <c r="Z135" s="81">
        <f t="shared" si="68"/>
        <v>659055.11424236733</v>
      </c>
      <c r="AA135" s="81"/>
      <c r="AB135" s="262">
        <f>+'MWh by mo-WgtbyActulCDH&amp;Days'!AB135</f>
        <v>4807951.5017482825</v>
      </c>
      <c r="AC135" s="308">
        <f t="shared" si="76"/>
        <v>137.07607366728215</v>
      </c>
      <c r="AD135" s="309">
        <f t="shared" si="69"/>
        <v>33.384080975692221</v>
      </c>
      <c r="AE135" s="107">
        <f t="shared" si="70"/>
        <v>2.5387133821819182E-3</v>
      </c>
      <c r="AF135" s="309">
        <f t="shared" si="77"/>
        <v>103.69199269158992</v>
      </c>
      <c r="AG135" s="107">
        <f t="shared" si="71"/>
        <v>7.8853226381437203E-3</v>
      </c>
      <c r="AH135" s="119">
        <f t="shared" si="78"/>
        <v>1.0424036020325638E-2</v>
      </c>
      <c r="AI135" s="122">
        <f t="shared" si="72"/>
        <v>1.0424036020325638E-2</v>
      </c>
      <c r="AJ135" s="87" t="b">
        <f t="shared" si="79"/>
        <v>1</v>
      </c>
      <c r="AK135" s="88">
        <f t="shared" si="52"/>
        <v>1.9088466711943679E-3</v>
      </c>
      <c r="AL135" s="312">
        <f>+AC135/'MWh by month-WgtbyCDH&amp;DayLtHrs'!AC135-1</f>
        <v>-4.963612086828828E-2</v>
      </c>
      <c r="AM135" s="89">
        <f t="shared" si="73"/>
        <v>287487.44272077037</v>
      </c>
      <c r="AN135" s="93"/>
      <c r="AO135" s="96">
        <f t="shared" si="61"/>
        <v>59.79416444118317</v>
      </c>
      <c r="AP135" s="92">
        <f t="shared" si="60"/>
        <v>4.5470847483789481E-3</v>
      </c>
      <c r="AR135" s="94">
        <f t="shared" si="74"/>
        <v>1.0424036020325638E-2</v>
      </c>
      <c r="AS135" s="95">
        <v>668118.62592751079</v>
      </c>
      <c r="AU135" s="141">
        <v>137.07607366728215</v>
      </c>
    </row>
    <row r="136" spans="1:47">
      <c r="A136" s="78">
        <v>2015</v>
      </c>
      <c r="B136" s="78">
        <v>12</v>
      </c>
      <c r="C136" s="317">
        <v>42.633806123140985</v>
      </c>
      <c r="D136" s="318">
        <f>C136/(SUM(C$125:C$136))</f>
        <v>2.1683298951445065E-2</v>
      </c>
      <c r="E136" s="321">
        <f>$D136*'MWh Impact Summary'!B$21</f>
        <v>39160.51004751373</v>
      </c>
      <c r="F136" s="319">
        <f>$D136*'MWh Impact Summary'!N$21</f>
        <v>2982.7642754036642</v>
      </c>
      <c r="G136" s="319">
        <f>$D136*'MWh Impact Summary'!C$21</f>
        <v>32455.595116636447</v>
      </c>
      <c r="H136" s="319">
        <f>$D136*'MWh Impact Summary'!D$21</f>
        <v>105.72354843321867</v>
      </c>
      <c r="I136" s="319">
        <f>$D136*'MWh Impact Summary'!E$21</f>
        <v>12895.890164401088</v>
      </c>
      <c r="J136" s="104">
        <f t="shared" si="75"/>
        <v>87600.483152388158</v>
      </c>
      <c r="K136" s="298">
        <f t="shared" si="51"/>
        <v>13.483333333333333</v>
      </c>
      <c r="L136" s="300">
        <f t="shared" si="63"/>
        <v>9.491962923853102E-2</v>
      </c>
      <c r="M136" s="297">
        <f t="shared" si="65"/>
        <v>8.4931506849315067E-2</v>
      </c>
      <c r="N136" s="304">
        <f>$L136*'MWh Impact Summary'!F$21</f>
        <v>91133.375633213334</v>
      </c>
      <c r="O136" s="304">
        <f>$L136*'MWh Impact Summary'!G$21</f>
        <v>805.71042727645829</v>
      </c>
      <c r="P136" s="304">
        <f>$M136*'MWh Impact Summary'!H$21</f>
        <v>4231.0324141611218</v>
      </c>
      <c r="Q136" s="304">
        <f>$M136*'MWh Impact Summary'!I$21</f>
        <v>1043.8450394124277</v>
      </c>
      <c r="R136" s="304">
        <f>$M136*'MWh Impact Summary'!J$21</f>
        <v>22934.702028285679</v>
      </c>
      <c r="S136" s="304">
        <f>$M136*'MWh Impact Summary'!K$21</f>
        <v>3389.0551970478264</v>
      </c>
      <c r="T136" s="304">
        <f>$M136*'MWh Impact Summary'!L$21</f>
        <v>1274.0601707877818</v>
      </c>
      <c r="U136" s="304">
        <f>$M136*'MWh Impact Summary'!M$21</f>
        <v>3736.4736000662137</v>
      </c>
      <c r="V136" s="304">
        <f>$L136*'LED Impact Forecast'!$H$22+$D136*'LED Impact Forecast'!$J$22</f>
        <v>5796.298488718031</v>
      </c>
      <c r="W136" s="304">
        <f>$L136*'CFL Impact Forecast'!$H$22+$D136*'CFL Impact Forecast'!$J$22</f>
        <v>285424.74416414055</v>
      </c>
      <c r="X136" s="304">
        <f>$L136*'EISA Incand Impact Forecast'!$G$22+$D136*'EISA Incand Impact Forecast'!$I$22</f>
        <v>79463.041835394237</v>
      </c>
      <c r="Y136" s="85">
        <f t="shared" si="67"/>
        <v>499232.33899850363</v>
      </c>
      <c r="Z136" s="81">
        <f t="shared" si="68"/>
        <v>586832.82215089176</v>
      </c>
      <c r="AA136" s="81">
        <f>SUM(Z125:Z136)</f>
        <v>9840285.8871271368</v>
      </c>
      <c r="AB136" s="262">
        <f>+'MWh by mo-WgtbyActulCDH&amp;Days'!AB136</f>
        <v>4813839.2600633735</v>
      </c>
      <c r="AC136" s="308">
        <f t="shared" si="76"/>
        <v>121.9053629437486</v>
      </c>
      <c r="AD136" s="309">
        <f t="shared" si="69"/>
        <v>18.197633618376138</v>
      </c>
      <c r="AE136" s="107">
        <f t="shared" si="70"/>
        <v>1.3496390817089843E-3</v>
      </c>
      <c r="AF136" s="309">
        <f t="shared" si="77"/>
        <v>103.70772932537247</v>
      </c>
      <c r="AG136" s="107">
        <f t="shared" si="71"/>
        <v>7.691549764551729E-3</v>
      </c>
      <c r="AH136" s="119">
        <f t="shared" si="78"/>
        <v>9.0411888462607129E-3</v>
      </c>
      <c r="AI136" s="122">
        <f t="shared" si="72"/>
        <v>9.0411888462607129E-3</v>
      </c>
      <c r="AJ136" s="87" t="b">
        <f t="shared" si="79"/>
        <v>1</v>
      </c>
      <c r="AK136" s="88">
        <f t="shared" si="52"/>
        <v>1.1209972534018675E-3</v>
      </c>
      <c r="AL136" s="312">
        <f>+AC136/'MWh by month-WgtbyCDH&amp;DayLtHrs'!AC136-1</f>
        <v>-7.3179131530942132E-2</v>
      </c>
      <c r="AM136" s="89">
        <f t="shared" si="73"/>
        <v>285424.74416414055</v>
      </c>
      <c r="AN136" s="90">
        <f>SUM(AM125:AM136)</f>
        <v>3385636.234631551</v>
      </c>
      <c r="AO136" s="96">
        <f t="shared" si="61"/>
        <v>59.292537358296201</v>
      </c>
      <c r="AP136" s="92">
        <f t="shared" si="60"/>
        <v>4.3974687781183838E-3</v>
      </c>
      <c r="AR136" s="94">
        <f t="shared" si="74"/>
        <v>9.0411888462607129E-3</v>
      </c>
      <c r="AS136" s="95">
        <v>550596.06631922</v>
      </c>
      <c r="AU136" s="141">
        <v>121.9053629437486</v>
      </c>
    </row>
    <row r="137" spans="1:47">
      <c r="A137" s="78">
        <v>2016</v>
      </c>
      <c r="B137" s="78">
        <v>1</v>
      </c>
      <c r="C137" s="317">
        <f>+C125</f>
        <v>26.112829868525239</v>
      </c>
      <c r="D137" s="324">
        <f t="shared" ref="D137:D200" si="80">D125</f>
        <v>1.3280829182176284E-2</v>
      </c>
      <c r="E137" s="321">
        <f>$D137*'MWh Impact Summary'!B$22</f>
        <v>27470.366647375555</v>
      </c>
      <c r="F137" s="319">
        <f>$D137*'MWh Impact Summary'!N$22</f>
        <v>2436.9032296743749</v>
      </c>
      <c r="G137" s="319">
        <f>$D137*'MWh Impact Summary'!C$22</f>
        <v>22099.85470608377</v>
      </c>
      <c r="H137" s="319">
        <f>$D137*'MWh Impact Summary'!D$22</f>
        <v>76.293020643730046</v>
      </c>
      <c r="I137" s="319">
        <f>$D137*'MWh Impact Summary'!E$22</f>
        <v>8688.849208168589</v>
      </c>
      <c r="J137" s="104">
        <f t="shared" si="75"/>
        <v>60772.266811946021</v>
      </c>
      <c r="K137" s="298">
        <f t="shared" si="51"/>
        <v>13.3</v>
      </c>
      <c r="L137" s="300">
        <f t="shared" si="63"/>
        <v>9.3629003871876101E-2</v>
      </c>
      <c r="M137" s="297">
        <f>(31/366)</f>
        <v>8.4699453551912565E-2</v>
      </c>
      <c r="N137" s="304">
        <f>$L137*'MWh Impact Summary'!F$22</f>
        <v>101357.07850780238</v>
      </c>
      <c r="O137" s="304">
        <f>$L137*'MWh Impact Summary'!G$22</f>
        <v>1997.1383974667312</v>
      </c>
      <c r="P137" s="304">
        <f>$M137*'MWh Impact Summary'!H$22</f>
        <v>4959.6200007486323</v>
      </c>
      <c r="Q137" s="304">
        <f>$M137*'MWh Impact Summary'!I$22</f>
        <v>1133.3379182173751</v>
      </c>
      <c r="R137" s="304">
        <f>$M137*'MWh Impact Summary'!J$22</f>
        <v>26391.841511107759</v>
      </c>
      <c r="S137" s="304">
        <f>$M137*'MWh Impact Summary'!K$22</f>
        <v>6675.463536611971</v>
      </c>
      <c r="T137" s="304">
        <f>$M137*'MWh Impact Summary'!L$22</f>
        <v>2424.6605303305378</v>
      </c>
      <c r="U137" s="304">
        <f>$M137*'MWh Impact Summary'!M$22</f>
        <v>7359.7778208164382</v>
      </c>
      <c r="V137" s="304">
        <f>$L137*'LED Impact Forecast'!$H$23+$D137*'LED Impact Forecast'!$J$23</f>
        <v>10957.446033758964</v>
      </c>
      <c r="W137" s="304">
        <f>$L137*'CFL Impact Forecast'!$H$23+$D137*'CFL Impact Forecast'!$J$23</f>
        <v>294351.83650977985</v>
      </c>
      <c r="X137" s="304">
        <f>$L137*'EISA Incand Impact Forecast'!$G$23+$D137*'EISA Incand Impact Forecast'!$I$23</f>
        <v>99106.113872340487</v>
      </c>
      <c r="Y137" s="85">
        <f t="shared" si="67"/>
        <v>556714.31463898113</v>
      </c>
      <c r="Z137" s="81">
        <f t="shared" si="68"/>
        <v>617486.58145092719</v>
      </c>
      <c r="AA137" s="81"/>
      <c r="AB137" s="262">
        <f>+'MWh by mo-WgtbyActulCDH&amp;Days'!AB137</f>
        <v>4820575.9363739984</v>
      </c>
      <c r="AC137" s="308">
        <f t="shared" si="76"/>
        <v>128.09394346257224</v>
      </c>
      <c r="AD137" s="309">
        <f t="shared" si="69"/>
        <v>12.606847732318572</v>
      </c>
      <c r="AE137" s="107">
        <f t="shared" si="70"/>
        <v>9.4788328814425352E-4</v>
      </c>
      <c r="AF137" s="309">
        <f t="shared" si="77"/>
        <v>115.48709573025366</v>
      </c>
      <c r="AG137" s="107">
        <f t="shared" si="71"/>
        <v>8.6832402804701992E-3</v>
      </c>
      <c r="AH137" s="119">
        <f t="shared" si="78"/>
        <v>9.6311235686144525E-3</v>
      </c>
      <c r="AI137" s="122">
        <f t="shared" si="72"/>
        <v>9.6311235686144542E-3</v>
      </c>
      <c r="AJ137" s="87" t="b">
        <f t="shared" si="79"/>
        <v>1</v>
      </c>
      <c r="AK137" s="88">
        <f t="shared" si="52"/>
        <v>1.0545837944485673E-3</v>
      </c>
      <c r="AL137" s="312">
        <f>+AC137/'MWh by month-WgtbyCDH&amp;DayLtHrs'!AC137-1</f>
        <v>-8.4704581816303359E-2</v>
      </c>
      <c r="AM137" s="89">
        <f t="shared" si="73"/>
        <v>294351.83650977985</v>
      </c>
      <c r="AN137" s="93"/>
      <c r="AO137" s="96">
        <f t="shared" si="61"/>
        <v>61.061549573097096</v>
      </c>
      <c r="AP137" s="92">
        <f t="shared" si="60"/>
        <v>4.5910939528644428E-3</v>
      </c>
      <c r="AR137" s="94">
        <f t="shared" si="74"/>
        <v>9.6311235686144542E-3</v>
      </c>
      <c r="AS137" s="95">
        <v>607892.27708418097</v>
      </c>
      <c r="AU137" s="141">
        <v>128.09394346257224</v>
      </c>
    </row>
    <row r="138" spans="1:47">
      <c r="A138" s="78">
        <v>2016</v>
      </c>
      <c r="B138" s="78">
        <v>2</v>
      </c>
      <c r="C138" s="317">
        <f t="shared" ref="C138:C201" si="81">+C126</f>
        <v>35.042184420393127</v>
      </c>
      <c r="D138" s="324">
        <f t="shared" si="80"/>
        <v>1.7822245532205266E-2</v>
      </c>
      <c r="E138" s="321">
        <f>$D138*'MWh Impact Summary'!B$22</f>
        <v>36863.934663528526</v>
      </c>
      <c r="F138" s="319">
        <f>$D138*'MWh Impact Summary'!N$22</f>
        <v>3270.2090435564064</v>
      </c>
      <c r="G138" s="319">
        <f>$D138*'MWh Impact Summary'!C$22</f>
        <v>29656.961278177139</v>
      </c>
      <c r="H138" s="319">
        <f>$D138*'MWh Impact Summary'!D$22</f>
        <v>102.38163051829498</v>
      </c>
      <c r="I138" s="319">
        <f>$D138*'MWh Impact Summary'!E$22</f>
        <v>11660.02527824941</v>
      </c>
      <c r="J138" s="104">
        <f t="shared" si="75"/>
        <v>81553.511894029783</v>
      </c>
      <c r="K138" s="298">
        <f t="shared" si="51"/>
        <v>12.733333333333333</v>
      </c>
      <c r="L138" s="300">
        <f t="shared" si="63"/>
        <v>8.9639798193124468E-2</v>
      </c>
      <c r="M138" s="297">
        <f>(29/366)</f>
        <v>7.9234972677595633E-2</v>
      </c>
      <c r="N138" s="304">
        <f>$L138*'MWh Impact Summary'!F$22</f>
        <v>97038.606491179191</v>
      </c>
      <c r="O138" s="304">
        <f>$L138*'MWh Impact Summary'!G$22</f>
        <v>1912.0472878002286</v>
      </c>
      <c r="P138" s="304">
        <f>$M138*'MWh Impact Summary'!H$22</f>
        <v>4639.6445168293658</v>
      </c>
      <c r="Q138" s="304">
        <f>$M138*'MWh Impact Summary'!I$22</f>
        <v>1060.2193428485123</v>
      </c>
      <c r="R138" s="304">
        <f>$M138*'MWh Impact Summary'!J$22</f>
        <v>24689.14205877823</v>
      </c>
      <c r="S138" s="304">
        <f>$M138*'MWh Impact Summary'!K$22</f>
        <v>6244.7884697337795</v>
      </c>
      <c r="T138" s="304">
        <f>$M138*'MWh Impact Summary'!L$22</f>
        <v>2268.2308186963096</v>
      </c>
      <c r="U138" s="304">
        <f>$M138*'MWh Impact Summary'!M$22</f>
        <v>6884.9534452798944</v>
      </c>
      <c r="V138" s="304">
        <f>$L138*'LED Impact Forecast'!$H$23+$D138*'LED Impact Forecast'!$J$23</f>
        <v>10541.877725349088</v>
      </c>
      <c r="W138" s="304">
        <f>$L138*'CFL Impact Forecast'!$H$23+$D138*'CFL Impact Forecast'!$J$23</f>
        <v>284474.10841251363</v>
      </c>
      <c r="X138" s="304">
        <f>$L138*'EISA Incand Impact Forecast'!$G$23+$D138*'EISA Incand Impact Forecast'!$I$23</f>
        <v>95851.191311654344</v>
      </c>
      <c r="Y138" s="85">
        <f t="shared" si="67"/>
        <v>535604.80988066259</v>
      </c>
      <c r="Z138" s="81">
        <f t="shared" si="68"/>
        <v>617158.32177469239</v>
      </c>
      <c r="AA138" s="81"/>
      <c r="AB138" s="262">
        <f>+'MWh by mo-WgtbyActulCDH&amp;Days'!AB138</f>
        <v>4826494.7966620158</v>
      </c>
      <c r="AC138" s="308">
        <f t="shared" si="76"/>
        <v>127.8688463937673</v>
      </c>
      <c r="AD138" s="309">
        <f t="shared" si="69"/>
        <v>16.89704751167076</v>
      </c>
      <c r="AE138" s="107">
        <f t="shared" si="70"/>
        <v>1.3269932600788556E-3</v>
      </c>
      <c r="AF138" s="309">
        <f t="shared" si="77"/>
        <v>110.97179888209654</v>
      </c>
      <c r="AG138" s="107">
        <f t="shared" si="71"/>
        <v>8.7150627394316661E-3</v>
      </c>
      <c r="AH138" s="119">
        <f t="shared" si="78"/>
        <v>1.0042055999510522E-2</v>
      </c>
      <c r="AI138" s="122">
        <f t="shared" si="72"/>
        <v>1.0042055999510522E-2</v>
      </c>
      <c r="AJ138" s="87" t="b">
        <f t="shared" si="79"/>
        <v>1</v>
      </c>
      <c r="AK138" s="88">
        <f t="shared" si="52"/>
        <v>1.1160805353493501E-3</v>
      </c>
      <c r="AL138" s="312">
        <f>+AC138/'MWh by month-WgtbyCDH&amp;DayLtHrs'!AC138-1</f>
        <v>-8.0665003962492432E-2</v>
      </c>
      <c r="AM138" s="89">
        <f t="shared" si="73"/>
        <v>284474.10841251363</v>
      </c>
      <c r="AN138" s="93"/>
      <c r="AO138" s="96">
        <f t="shared" si="61"/>
        <v>58.940104650947674</v>
      </c>
      <c r="AP138" s="92">
        <f t="shared" si="60"/>
        <v>4.6288040301791372E-3</v>
      </c>
      <c r="AR138" s="94">
        <f t="shared" si="74"/>
        <v>1.0042055999510522E-2</v>
      </c>
      <c r="AS138" s="95">
        <v>582164.70607935276</v>
      </c>
      <c r="AU138" s="141">
        <v>127.8688463937673</v>
      </c>
    </row>
    <row r="139" spans="1:47">
      <c r="A139" s="78">
        <v>2016</v>
      </c>
      <c r="B139" s="78">
        <v>3</v>
      </c>
      <c r="C139" s="317">
        <f t="shared" si="81"/>
        <v>64.582270600115152</v>
      </c>
      <c r="D139" s="324">
        <f t="shared" si="80"/>
        <v>3.2846156787895278E-2</v>
      </c>
      <c r="E139" s="321">
        <f>$D139*'MWh Impact Summary'!B$22</f>
        <v>67939.73158932013</v>
      </c>
      <c r="F139" s="319">
        <f>$D139*'MWh Impact Summary'!N$22</f>
        <v>6026.9509125405784</v>
      </c>
      <c r="G139" s="319">
        <f>$D139*'MWh Impact Summary'!C$22</f>
        <v>54657.377390255904</v>
      </c>
      <c r="H139" s="319">
        <f>$D139*'MWh Impact Summary'!D$22</f>
        <v>188.68795641534257</v>
      </c>
      <c r="I139" s="319">
        <f>$D139*'MWh Impact Summary'!E$22</f>
        <v>21489.268439722411</v>
      </c>
      <c r="J139" s="104">
        <f t="shared" si="75"/>
        <v>150302.01628825438</v>
      </c>
      <c r="K139" s="298">
        <f t="shared" si="51"/>
        <v>12</v>
      </c>
      <c r="L139" s="300">
        <f t="shared" si="63"/>
        <v>8.4477296726504739E-2</v>
      </c>
      <c r="M139" s="297">
        <f>(31/366)</f>
        <v>8.4699453551912565E-2</v>
      </c>
      <c r="N139" s="304">
        <f>$L139*'MWh Impact Summary'!F$22</f>
        <v>91449.995646137468</v>
      </c>
      <c r="O139" s="304">
        <f>$L139*'MWh Impact Summary'!G$22</f>
        <v>1801.9293811729904</v>
      </c>
      <c r="P139" s="304">
        <f>$M139*'MWh Impact Summary'!H$22</f>
        <v>4959.6200007486323</v>
      </c>
      <c r="Q139" s="304">
        <f>$M139*'MWh Impact Summary'!I$22</f>
        <v>1133.3379182173751</v>
      </c>
      <c r="R139" s="304">
        <f>$M139*'MWh Impact Summary'!J$22</f>
        <v>26391.841511107759</v>
      </c>
      <c r="S139" s="304">
        <f>$M139*'MWh Impact Summary'!K$22</f>
        <v>6675.463536611971</v>
      </c>
      <c r="T139" s="304">
        <f>$M139*'MWh Impact Summary'!L$22</f>
        <v>2424.6605303305378</v>
      </c>
      <c r="U139" s="304">
        <f>$M139*'MWh Impact Summary'!M$22</f>
        <v>7359.7778208164382</v>
      </c>
      <c r="V139" s="304">
        <f>$L139*'LED Impact Forecast'!$H$23+$D139*'LED Impact Forecast'!$J$23</f>
        <v>10095.94105157601</v>
      </c>
      <c r="W139" s="304">
        <f>$L139*'CFL Impact Forecast'!$H$23+$D139*'CFL Impact Forecast'!$J$23</f>
        <v>276461.46287826676</v>
      </c>
      <c r="X139" s="304">
        <f>$L139*'EISA Incand Impact Forecast'!$G$23+$D139*'EISA Incand Impact Forecast'!$I$23</f>
        <v>93371.926000041683</v>
      </c>
      <c r="Y139" s="85">
        <f t="shared" si="67"/>
        <v>522125.95627502759</v>
      </c>
      <c r="Z139" s="81">
        <f t="shared" si="68"/>
        <v>672427.972563282</v>
      </c>
      <c r="AA139" s="81"/>
      <c r="AB139" s="262">
        <f>+'MWh by mo-WgtbyActulCDH&amp;Days'!AB139</f>
        <v>4833093.7745679663</v>
      </c>
      <c r="AC139" s="308">
        <f t="shared" si="76"/>
        <v>139.12992462543122</v>
      </c>
      <c r="AD139" s="309">
        <f t="shared" si="69"/>
        <v>31.098510250132687</v>
      </c>
      <c r="AE139" s="107">
        <f t="shared" si="70"/>
        <v>2.5915425208443907E-3</v>
      </c>
      <c r="AF139" s="309">
        <f t="shared" si="77"/>
        <v>108.03141437529852</v>
      </c>
      <c r="AG139" s="107">
        <f t="shared" si="71"/>
        <v>9.0026178646082106E-3</v>
      </c>
      <c r="AH139" s="119">
        <f t="shared" si="78"/>
        <v>1.1594160385452601E-2</v>
      </c>
      <c r="AI139" s="122">
        <f t="shared" si="72"/>
        <v>1.1594160385452601E-2</v>
      </c>
      <c r="AJ139" s="87" t="b">
        <f t="shared" si="79"/>
        <v>1</v>
      </c>
      <c r="AK139" s="88">
        <f t="shared" si="52"/>
        <v>1.2722302224017299E-3</v>
      </c>
      <c r="AL139" s="312">
        <f>+AC139/'MWh by month-WgtbyCDH&amp;DayLtHrs'!AC139-1</f>
        <v>-5.1403728071314436E-2</v>
      </c>
      <c r="AM139" s="89">
        <f t="shared" si="73"/>
        <v>276461.46287826676</v>
      </c>
      <c r="AN139" s="93"/>
      <c r="AO139" s="96">
        <f t="shared" si="61"/>
        <v>57.201758495360423</v>
      </c>
      <c r="AP139" s="92">
        <f t="shared" si="60"/>
        <v>4.7668132079467015E-3</v>
      </c>
      <c r="AR139" s="94">
        <f t="shared" si="74"/>
        <v>1.1594160385452601E-2</v>
      </c>
      <c r="AS139" s="95">
        <v>682340.71158247255</v>
      </c>
      <c r="AU139" s="141">
        <v>139.12992462543122</v>
      </c>
    </row>
    <row r="140" spans="1:47">
      <c r="A140" s="78">
        <v>2016</v>
      </c>
      <c r="B140" s="78">
        <v>4</v>
      </c>
      <c r="C140" s="317">
        <f t="shared" si="81"/>
        <v>114.03392869270741</v>
      </c>
      <c r="D140" s="324">
        <f t="shared" si="80"/>
        <v>5.7996974497419709E-2</v>
      </c>
      <c r="E140" s="321">
        <f>$D140*'MWh Impact Summary'!B$22</f>
        <v>119962.25025021646</v>
      </c>
      <c r="F140" s="319">
        <f>$D140*'MWh Impact Summary'!N$22</f>
        <v>10641.881807634596</v>
      </c>
      <c r="G140" s="319">
        <f>$D140*'MWh Impact Summary'!C$22</f>
        <v>96509.389000016454</v>
      </c>
      <c r="H140" s="319">
        <f>$D140*'MWh Impact Summary'!D$22</f>
        <v>333.16928573585164</v>
      </c>
      <c r="I140" s="319">
        <f>$D140*'MWh Impact Summary'!E$22</f>
        <v>37943.938516608665</v>
      </c>
      <c r="J140" s="104">
        <f t="shared" si="75"/>
        <v>265390.62886021199</v>
      </c>
      <c r="K140" s="298">
        <f t="shared" si="51"/>
        <v>11.2</v>
      </c>
      <c r="L140" s="300">
        <f t="shared" si="63"/>
        <v>7.8845476944737758E-2</v>
      </c>
      <c r="M140" s="297">
        <f>(30/366)</f>
        <v>8.1967213114754092E-2</v>
      </c>
      <c r="N140" s="304">
        <f>$L140*'MWh Impact Summary'!F$22</f>
        <v>85353.329269728303</v>
      </c>
      <c r="O140" s="304">
        <f>$L140*'MWh Impact Summary'!G$22</f>
        <v>1681.8007557614578</v>
      </c>
      <c r="P140" s="304">
        <f>$M140*'MWh Impact Summary'!H$22</f>
        <v>4799.6322587889981</v>
      </c>
      <c r="Q140" s="304">
        <f>$M140*'MWh Impact Summary'!I$22</f>
        <v>1096.7786305329437</v>
      </c>
      <c r="R140" s="304">
        <f>$M140*'MWh Impact Summary'!J$22</f>
        <v>25540.491784942991</v>
      </c>
      <c r="S140" s="304">
        <f>$M140*'MWh Impact Summary'!K$22</f>
        <v>6460.1260031728743</v>
      </c>
      <c r="T140" s="304">
        <f>$M140*'MWh Impact Summary'!L$22</f>
        <v>2346.4456745134235</v>
      </c>
      <c r="U140" s="304">
        <f>$M140*'MWh Impact Summary'!M$22</f>
        <v>7122.3656330481654</v>
      </c>
      <c r="V140" s="304">
        <f>$L140*'LED Impact Forecast'!$H$23+$D140*'LED Impact Forecast'!$J$23</f>
        <v>9697.448974088622</v>
      </c>
      <c r="W140" s="304">
        <f>$L140*'CFL Impact Forecast'!$H$23+$D140*'CFL Impact Forecast'!$J$23</f>
        <v>272289.54501673783</v>
      </c>
      <c r="X140" s="304">
        <f>$L140*'EISA Incand Impact Forecast'!$G$23+$D140*'EISA Incand Impact Forecast'!$I$23</f>
        <v>92327.186333355436</v>
      </c>
      <c r="Y140" s="85">
        <f t="shared" si="67"/>
        <v>508715.15033467108</v>
      </c>
      <c r="Z140" s="81">
        <f t="shared" si="68"/>
        <v>774105.77919488307</v>
      </c>
      <c r="AA140" s="81"/>
      <c r="AB140" s="262">
        <f>+'MWh by mo-WgtbyActulCDH&amp;Days'!AB140</f>
        <v>4838808.8957821839</v>
      </c>
      <c r="AC140" s="308">
        <f t="shared" si="76"/>
        <v>159.97858065228476</v>
      </c>
      <c r="AD140" s="309">
        <f t="shared" si="69"/>
        <v>54.846272001265326</v>
      </c>
      <c r="AE140" s="107">
        <f t="shared" si="70"/>
        <v>4.8969885715415473E-3</v>
      </c>
      <c r="AF140" s="309">
        <f t="shared" si="77"/>
        <v>105.13230865101943</v>
      </c>
      <c r="AG140" s="107">
        <f t="shared" si="71"/>
        <v>9.3868132724124493E-3</v>
      </c>
      <c r="AH140" s="119">
        <f t="shared" si="78"/>
        <v>1.4283801843953996E-2</v>
      </c>
      <c r="AI140" s="122">
        <f t="shared" si="72"/>
        <v>1.4283801843953997E-2</v>
      </c>
      <c r="AJ140" s="87" t="b">
        <f t="shared" si="79"/>
        <v>1</v>
      </c>
      <c r="AK140" s="88">
        <f t="shared" si="52"/>
        <v>1.5494641734927969E-3</v>
      </c>
      <c r="AL140" s="312">
        <f>+AC140/'MWh by month-WgtbyCDH&amp;DayLtHrs'!AC140-1</f>
        <v>-2.0029565345840883E-2</v>
      </c>
      <c r="AM140" s="89">
        <f t="shared" si="73"/>
        <v>272289.54501673783</v>
      </c>
      <c r="AN140" s="93"/>
      <c r="AO140" s="96">
        <f t="shared" si="61"/>
        <v>56.272018771826851</v>
      </c>
      <c r="AP140" s="92">
        <f t="shared" si="60"/>
        <v>5.024287390341684E-3</v>
      </c>
      <c r="AR140" s="94">
        <f t="shared" si="74"/>
        <v>1.4283801843953997E-2</v>
      </c>
      <c r="AS140" s="95">
        <v>799569.9281839102</v>
      </c>
      <c r="AU140" s="141">
        <v>159.97858065228476</v>
      </c>
    </row>
    <row r="141" spans="1:47">
      <c r="A141" s="78">
        <v>2016</v>
      </c>
      <c r="B141" s="78">
        <v>5</v>
      </c>
      <c r="C141" s="317">
        <f t="shared" si="81"/>
        <v>208.47875842628665</v>
      </c>
      <c r="D141" s="324">
        <f t="shared" si="80"/>
        <v>0.10603105035770212</v>
      </c>
      <c r="E141" s="321">
        <f>$D141*'MWh Impact Summary'!B$22</f>
        <v>219317.01623280137</v>
      </c>
      <c r="F141" s="319">
        <f>$D141*'MWh Impact Summary'!N$22</f>
        <v>19455.66843139756</v>
      </c>
      <c r="G141" s="319">
        <f>$D141*'MWh Impact Summary'!C$22</f>
        <v>176440.09836249432</v>
      </c>
      <c r="H141" s="319">
        <f>$D141*'MWh Impact Summary'!D$22</f>
        <v>609.10572697321311</v>
      </c>
      <c r="I141" s="319">
        <f>$D141*'MWh Impact Summary'!E$22</f>
        <v>69369.75058592204</v>
      </c>
      <c r="J141" s="104">
        <f t="shared" si="75"/>
        <v>485191.63933958852</v>
      </c>
      <c r="K141" s="298">
        <f t="shared" si="51"/>
        <v>10.533333333333333</v>
      </c>
      <c r="L141" s="300">
        <f t="shared" si="63"/>
        <v>7.4152293793265281E-2</v>
      </c>
      <c r="M141" s="297">
        <f>(31/366)</f>
        <v>8.4699453551912565E-2</v>
      </c>
      <c r="N141" s="304">
        <f>$L141*'MWh Impact Summary'!F$22</f>
        <v>80272.773956054007</v>
      </c>
      <c r="O141" s="304">
        <f>$L141*'MWh Impact Summary'!G$22</f>
        <v>1581.693567918514</v>
      </c>
      <c r="P141" s="304">
        <f>$M141*'MWh Impact Summary'!H$22</f>
        <v>4959.6200007486323</v>
      </c>
      <c r="Q141" s="304">
        <f>$M141*'MWh Impact Summary'!I$22</f>
        <v>1133.3379182173751</v>
      </c>
      <c r="R141" s="304">
        <f>$M141*'MWh Impact Summary'!J$22</f>
        <v>26391.841511107759</v>
      </c>
      <c r="S141" s="304">
        <f>$M141*'MWh Impact Summary'!K$22</f>
        <v>6675.463536611971</v>
      </c>
      <c r="T141" s="304">
        <f>$M141*'MWh Impact Summary'!L$22</f>
        <v>2424.6605303305378</v>
      </c>
      <c r="U141" s="304">
        <f>$M141*'MWh Impact Summary'!M$22</f>
        <v>7359.7778208164382</v>
      </c>
      <c r="V141" s="304">
        <f>$L141*'LED Impact Forecast'!$H$23+$D141*'LED Impact Forecast'!$J$23</f>
        <v>9637.2765846195052</v>
      </c>
      <c r="W141" s="304">
        <f>$L141*'CFL Impact Forecast'!$H$23+$D141*'CFL Impact Forecast'!$J$23</f>
        <v>282933.3274540556</v>
      </c>
      <c r="X141" s="304">
        <f>$L141*'EISA Incand Impact Forecast'!$G$23+$D141*'EISA Incand Impact Forecast'!$I$23</f>
        <v>96586.322546340205</v>
      </c>
      <c r="Y141" s="85">
        <f t="shared" si="67"/>
        <v>519956.09542682057</v>
      </c>
      <c r="Z141" s="81">
        <f t="shared" si="68"/>
        <v>1005147.734766409</v>
      </c>
      <c r="AA141" s="81"/>
      <c r="AB141" s="262">
        <f>+'MWh by mo-WgtbyActulCDH&amp;Days'!AB141</f>
        <v>4843834.8322112709</v>
      </c>
      <c r="AC141" s="308">
        <f t="shared" si="76"/>
        <v>207.51073675803818</v>
      </c>
      <c r="AD141" s="309">
        <f t="shared" si="69"/>
        <v>100.16684221210171</v>
      </c>
      <c r="AE141" s="107">
        <f t="shared" si="70"/>
        <v>9.5095103365919354E-3</v>
      </c>
      <c r="AF141" s="309">
        <f t="shared" si="77"/>
        <v>107.34389454593648</v>
      </c>
      <c r="AG141" s="107">
        <f t="shared" si="71"/>
        <v>1.0190876064487641E-2</v>
      </c>
      <c r="AH141" s="119">
        <f t="shared" si="78"/>
        <v>1.9700386401079576E-2</v>
      </c>
      <c r="AI141" s="122">
        <f t="shared" si="72"/>
        <v>1.9700386401079573E-2</v>
      </c>
      <c r="AJ141" s="87" t="b">
        <f t="shared" si="79"/>
        <v>1</v>
      </c>
      <c r="AK141" s="88">
        <f t="shared" si="52"/>
        <v>2.106636846264557E-3</v>
      </c>
      <c r="AL141" s="312">
        <f>+AC141/'MWh by month-WgtbyCDH&amp;DayLtHrs'!AC141-1</f>
        <v>2.4226368981118629E-2</v>
      </c>
      <c r="AM141" s="89">
        <f t="shared" si="73"/>
        <v>282933.3274540556</v>
      </c>
      <c r="AN141" s="93"/>
      <c r="AO141" s="96">
        <f t="shared" si="61"/>
        <v>58.411018801170194</v>
      </c>
      <c r="AP141" s="92">
        <f t="shared" si="60"/>
        <v>5.5453498861870437E-3</v>
      </c>
      <c r="AR141" s="94">
        <f t="shared" si="74"/>
        <v>1.9700386401079573E-2</v>
      </c>
      <c r="AS141" s="95">
        <v>958692.5151507766</v>
      </c>
      <c r="AU141" s="141">
        <v>207.51073675803818</v>
      </c>
    </row>
    <row r="142" spans="1:47">
      <c r="A142" s="78">
        <v>2016</v>
      </c>
      <c r="B142" s="78">
        <v>6</v>
      </c>
      <c r="C142" s="317">
        <f t="shared" si="81"/>
        <v>271.66325293295364</v>
      </c>
      <c r="D142" s="324">
        <f t="shared" si="80"/>
        <v>0.13816630657965029</v>
      </c>
      <c r="E142" s="321">
        <f>$D142*'MWh Impact Summary'!B$22</f>
        <v>285786.30505619821</v>
      </c>
      <c r="F142" s="319">
        <f>$D142*'MWh Impact Summary'!N$22</f>
        <v>25352.175991240038</v>
      </c>
      <c r="G142" s="319">
        <f>$D142*'MWh Impact Summary'!C$22</f>
        <v>229914.50750563288</v>
      </c>
      <c r="H142" s="319">
        <f>$D142*'MWh Impact Summary'!D$22</f>
        <v>793.70984563946161</v>
      </c>
      <c r="I142" s="319">
        <f>$D142*'MWh Impact Summary'!E$22</f>
        <v>90393.91946485755</v>
      </c>
      <c r="J142" s="104">
        <f t="shared" si="75"/>
        <v>632240.61786356813</v>
      </c>
      <c r="K142" s="298">
        <f t="shared" si="51"/>
        <v>10.199999999999999</v>
      </c>
      <c r="L142" s="300">
        <f t="shared" si="63"/>
        <v>7.1805702217529022E-2</v>
      </c>
      <c r="M142" s="297">
        <f>(30/366)</f>
        <v>8.1967213114754092E-2</v>
      </c>
      <c r="N142" s="304">
        <f>$L142*'MWh Impact Summary'!F$22</f>
        <v>77732.496299216829</v>
      </c>
      <c r="O142" s="304">
        <f>$L142*'MWh Impact Summary'!G$22</f>
        <v>1531.6399739970416</v>
      </c>
      <c r="P142" s="304">
        <f>$M142*'MWh Impact Summary'!H$22</f>
        <v>4799.6322587889981</v>
      </c>
      <c r="Q142" s="304">
        <f>$M142*'MWh Impact Summary'!I$22</f>
        <v>1096.7786305329437</v>
      </c>
      <c r="R142" s="304">
        <f>$M142*'MWh Impact Summary'!J$22</f>
        <v>25540.491784942991</v>
      </c>
      <c r="S142" s="304">
        <f>$M142*'MWh Impact Summary'!K$22</f>
        <v>6460.1260031728743</v>
      </c>
      <c r="T142" s="304">
        <f>$M142*'MWh Impact Summary'!L$22</f>
        <v>2346.4456745134235</v>
      </c>
      <c r="U142" s="304">
        <f>$M142*'MWh Impact Summary'!M$22</f>
        <v>7122.3656330481654</v>
      </c>
      <c r="V142" s="304">
        <f>$L142*'LED Impact Forecast'!$H$23+$D142*'LED Impact Forecast'!$J$23</f>
        <v>9688.7185087925263</v>
      </c>
      <c r="W142" s="304">
        <f>$L142*'CFL Impact Forecast'!$H$23+$D142*'CFL Impact Forecast'!$J$23</f>
        <v>292489.09028207033</v>
      </c>
      <c r="X142" s="304">
        <f>$L142*'EISA Incand Impact Forecast'!$G$23+$D142*'EISA Incand Impact Forecast'!$I$23</f>
        <v>100254.00173031782</v>
      </c>
      <c r="Y142" s="85">
        <f t="shared" si="67"/>
        <v>529061.78677939391</v>
      </c>
      <c r="Z142" s="81">
        <f t="shared" si="68"/>
        <v>1161302.4046429619</v>
      </c>
      <c r="AA142" s="81"/>
      <c r="AB142" s="262">
        <f>+'MWh by mo-WgtbyActulCDH&amp;Days'!AB142</f>
        <v>4848895.9460375952</v>
      </c>
      <c r="AC142" s="308">
        <f t="shared" si="76"/>
        <v>239.49831416612503</v>
      </c>
      <c r="AD142" s="309">
        <f t="shared" si="69"/>
        <v>130.38857193465256</v>
      </c>
      <c r="AE142" s="107">
        <f t="shared" si="70"/>
        <v>1.2783193326926724E-2</v>
      </c>
      <c r="AF142" s="309">
        <f t="shared" si="77"/>
        <v>109.10974223147248</v>
      </c>
      <c r="AG142" s="107">
        <f t="shared" si="71"/>
        <v>1.0697033552105146E-2</v>
      </c>
      <c r="AH142" s="119">
        <f t="shared" si="78"/>
        <v>2.3480226879031868E-2</v>
      </c>
      <c r="AI142" s="122">
        <f t="shared" si="72"/>
        <v>2.3480226879031868E-2</v>
      </c>
      <c r="AJ142" s="87" t="b">
        <f t="shared" si="79"/>
        <v>1</v>
      </c>
      <c r="AK142" s="88">
        <f t="shared" si="52"/>
        <v>2.4904593359614882E-3</v>
      </c>
      <c r="AL142" s="312">
        <f>+AC142/'MWh by month-WgtbyCDH&amp;DayLtHrs'!AC142-1</f>
        <v>4.2233867814057469E-2</v>
      </c>
      <c r="AM142" s="89">
        <f t="shared" si="73"/>
        <v>292489.09028207033</v>
      </c>
      <c r="AN142" s="93"/>
      <c r="AO142" s="96">
        <f t="shared" si="61"/>
        <v>60.320760341554788</v>
      </c>
      <c r="AP142" s="92">
        <f t="shared" si="60"/>
        <v>5.9138000334857639E-3</v>
      </c>
      <c r="AR142" s="94">
        <f t="shared" si="74"/>
        <v>2.3480226879031868E-2</v>
      </c>
      <c r="AS142" s="95">
        <v>1168219.7004325814</v>
      </c>
      <c r="AU142" s="141">
        <v>239.49831416612503</v>
      </c>
    </row>
    <row r="143" spans="1:47">
      <c r="A143" s="78">
        <v>2016</v>
      </c>
      <c r="B143" s="78">
        <v>7</v>
      </c>
      <c r="C143" s="317">
        <f t="shared" si="81"/>
        <v>322.31916585708109</v>
      </c>
      <c r="D143" s="324">
        <f t="shared" si="80"/>
        <v>0.16392960109808263</v>
      </c>
      <c r="E143" s="321">
        <f>$D143*'MWh Impact Summary'!B$22</f>
        <v>339075.68456387776</v>
      </c>
      <c r="F143" s="319">
        <f>$D143*'MWh Impact Summary'!N$22</f>
        <v>30079.490435075983</v>
      </c>
      <c r="G143" s="319">
        <f>$D143*'MWh Impact Summary'!C$22</f>
        <v>272785.70611810533</v>
      </c>
      <c r="H143" s="319">
        <f>$D143*'MWh Impact Summary'!D$22</f>
        <v>941.70960782171767</v>
      </c>
      <c r="I143" s="319">
        <f>$D143*'MWh Impact Summary'!E$22</f>
        <v>107249.29634725285</v>
      </c>
      <c r="J143" s="104">
        <f t="shared" si="75"/>
        <v>750131.88707213383</v>
      </c>
      <c r="K143" s="298">
        <f t="shared" si="51"/>
        <v>10.366666666666667</v>
      </c>
      <c r="L143" s="300">
        <f t="shared" si="63"/>
        <v>7.2978998005397158E-2</v>
      </c>
      <c r="M143" s="297">
        <f>(31/366)</f>
        <v>8.4699453551912565E-2</v>
      </c>
      <c r="N143" s="304">
        <f>$L143*'MWh Impact Summary'!F$22</f>
        <v>79002.635127635425</v>
      </c>
      <c r="O143" s="304">
        <f>$L143*'MWh Impact Summary'!G$22</f>
        <v>1556.666770957778</v>
      </c>
      <c r="P143" s="304">
        <f>$M143*'MWh Impact Summary'!H$22</f>
        <v>4959.6200007486323</v>
      </c>
      <c r="Q143" s="304">
        <f>$M143*'MWh Impact Summary'!I$22</f>
        <v>1133.3379182173751</v>
      </c>
      <c r="R143" s="304">
        <f>$M143*'MWh Impact Summary'!J$22</f>
        <v>26391.841511107759</v>
      </c>
      <c r="S143" s="304">
        <f>$M143*'MWh Impact Summary'!K$22</f>
        <v>6675.463536611971</v>
      </c>
      <c r="T143" s="304">
        <f>$M143*'MWh Impact Summary'!L$22</f>
        <v>2424.6605303305378</v>
      </c>
      <c r="U143" s="304">
        <f>$M143*'MWh Impact Summary'!M$22</f>
        <v>7359.7778208164382</v>
      </c>
      <c r="V143" s="304">
        <f>$L143*'LED Impact Forecast'!$H$23+$D143*'LED Impact Forecast'!$J$23</f>
        <v>10083.089285010938</v>
      </c>
      <c r="W143" s="304">
        <f>$L143*'CFL Impact Forecast'!$H$23+$D143*'CFL Impact Forecast'!$J$23</f>
        <v>309527.17258667195</v>
      </c>
      <c r="X143" s="304">
        <f>$L143*'EISA Incand Impact Forecast'!$G$23+$D143*'EISA Incand Impact Forecast'!$I$23</f>
        <v>106345.6210463079</v>
      </c>
      <c r="Y143" s="85">
        <f t="shared" si="67"/>
        <v>555459.8861344168</v>
      </c>
      <c r="Z143" s="81">
        <f t="shared" si="68"/>
        <v>1305591.7732065506</v>
      </c>
      <c r="AA143" s="81"/>
      <c r="AB143" s="262">
        <f>+'MWh by mo-WgtbyActulCDH&amp;Days'!AB143</f>
        <v>4855525.4877184592</v>
      </c>
      <c r="AC143" s="308">
        <f t="shared" si="76"/>
        <v>268.88784262566588</v>
      </c>
      <c r="AD143" s="309">
        <f t="shared" si="69"/>
        <v>154.49036133566045</v>
      </c>
      <c r="AE143" s="107">
        <f t="shared" si="70"/>
        <v>1.4902607202796828E-2</v>
      </c>
      <c r="AF143" s="309">
        <f t="shared" si="77"/>
        <v>114.3974812900054</v>
      </c>
      <c r="AG143" s="107">
        <f t="shared" si="71"/>
        <v>1.1035126812540715E-2</v>
      </c>
      <c r="AH143" s="119">
        <f t="shared" si="78"/>
        <v>2.5937734015337541E-2</v>
      </c>
      <c r="AI143" s="122">
        <f t="shared" si="72"/>
        <v>2.5937734015337544E-2</v>
      </c>
      <c r="AJ143" s="87" t="b">
        <f t="shared" si="79"/>
        <v>1</v>
      </c>
      <c r="AK143" s="88">
        <f t="shared" si="52"/>
        <v>2.7716439996352815E-3</v>
      </c>
      <c r="AL143" s="312">
        <f>+AC143/'MWh by month-WgtbyCDH&amp;DayLtHrs'!AC143-1</f>
        <v>5.3556022090909483E-2</v>
      </c>
      <c r="AM143" s="89">
        <f t="shared" si="73"/>
        <v>309527.17258667195</v>
      </c>
      <c r="AN143" s="93"/>
      <c r="AO143" s="96">
        <f t="shared" si="61"/>
        <v>63.747409702531343</v>
      </c>
      <c r="AP143" s="92">
        <f t="shared" si="60"/>
        <v>6.1492678169644387E-3</v>
      </c>
      <c r="AR143" s="94">
        <f t="shared" si="74"/>
        <v>2.5937734015337544E-2</v>
      </c>
      <c r="AS143" s="95">
        <v>1227840.8440896038</v>
      </c>
      <c r="AU143" s="141">
        <v>268.88784262566588</v>
      </c>
    </row>
    <row r="144" spans="1:47">
      <c r="A144" s="78">
        <v>2016</v>
      </c>
      <c r="B144" s="78">
        <v>8</v>
      </c>
      <c r="C144" s="317">
        <f t="shared" si="81"/>
        <v>326.45437890907908</v>
      </c>
      <c r="D144" s="324">
        <f t="shared" si="80"/>
        <v>0.16603274573816959</v>
      </c>
      <c r="E144" s="321">
        <f>$D144*'MWh Impact Summary'!B$22</f>
        <v>343425.8763766893</v>
      </c>
      <c r="F144" s="319">
        <f>$D144*'MWh Impact Summary'!N$22</f>
        <v>30465.397060001073</v>
      </c>
      <c r="G144" s="319">
        <f>$D144*'MWh Impact Summary'!C$22</f>
        <v>276285.42668029573</v>
      </c>
      <c r="H144" s="319">
        <f>$D144*'MWh Impact Summary'!D$22</f>
        <v>953.79132766329542</v>
      </c>
      <c r="I144" s="319">
        <f>$D144*'MWh Impact Summary'!E$22</f>
        <v>108625.25762120767</v>
      </c>
      <c r="J144" s="104">
        <f t="shared" si="75"/>
        <v>759755.74906585715</v>
      </c>
      <c r="K144" s="298">
        <f t="shared" si="51"/>
        <v>10.933333333333334</v>
      </c>
      <c r="L144" s="300">
        <f t="shared" si="63"/>
        <v>7.6968203684148764E-2</v>
      </c>
      <c r="M144" s="297">
        <f>(31/366)</f>
        <v>8.4699453551912565E-2</v>
      </c>
      <c r="N144" s="304">
        <f>$L144*'MWh Impact Summary'!F$22</f>
        <v>83321.107144258582</v>
      </c>
      <c r="O144" s="304">
        <f>$L144*'MWh Impact Summary'!G$22</f>
        <v>1641.7578806242802</v>
      </c>
      <c r="P144" s="304">
        <f>$M144*'MWh Impact Summary'!H$22</f>
        <v>4959.6200007486323</v>
      </c>
      <c r="Q144" s="304">
        <f>$M144*'MWh Impact Summary'!I$22</f>
        <v>1133.3379182173751</v>
      </c>
      <c r="R144" s="304">
        <f>$M144*'MWh Impact Summary'!J$22</f>
        <v>26391.841511107759</v>
      </c>
      <c r="S144" s="304">
        <f>$M144*'MWh Impact Summary'!K$22</f>
        <v>6675.463536611971</v>
      </c>
      <c r="T144" s="304">
        <f>$M144*'MWh Impact Summary'!L$22</f>
        <v>2424.6605303305378</v>
      </c>
      <c r="U144" s="304">
        <f>$M144*'MWh Impact Summary'!M$22</f>
        <v>7359.7778208164382</v>
      </c>
      <c r="V144" s="304">
        <f>$L144*'LED Impact Forecast'!$H$23+$D144*'LED Impact Forecast'!$J$23</f>
        <v>10565.386343377872</v>
      </c>
      <c r="W144" s="304">
        <f>$L144*'CFL Impact Forecast'!$H$23+$D144*'CFL Impact Forecast'!$J$23</f>
        <v>322870.21993521729</v>
      </c>
      <c r="X144" s="304">
        <f>$L144*'EISA Incand Impact Forecast'!$G$23+$D144*'EISA Incand Impact Forecast'!$I$23</f>
        <v>110859.44950192886</v>
      </c>
      <c r="Y144" s="85">
        <f t="shared" si="67"/>
        <v>578202.62212323956</v>
      </c>
      <c r="Z144" s="81">
        <f t="shared" si="68"/>
        <v>1337958.3711890967</v>
      </c>
      <c r="AA144" s="81"/>
      <c r="AB144" s="262">
        <f>+'MWh by mo-WgtbyActulCDH&amp;Days'!AB144</f>
        <v>4862964.3023347482</v>
      </c>
      <c r="AC144" s="308">
        <f t="shared" si="76"/>
        <v>275.13226254750259</v>
      </c>
      <c r="AD144" s="309">
        <f t="shared" si="69"/>
        <v>156.23305083713905</v>
      </c>
      <c r="AE144" s="107">
        <f t="shared" si="70"/>
        <v>1.4289608308274913E-2</v>
      </c>
      <c r="AF144" s="309">
        <f t="shared" si="77"/>
        <v>118.89921171036353</v>
      </c>
      <c r="AG144" s="107">
        <f t="shared" si="71"/>
        <v>1.0874927900338126E-2</v>
      </c>
      <c r="AH144" s="119">
        <f t="shared" si="78"/>
        <v>2.5164536208613038E-2</v>
      </c>
      <c r="AI144" s="122">
        <f t="shared" si="72"/>
        <v>2.5164536208613041E-2</v>
      </c>
      <c r="AJ144" s="87" t="b">
        <f t="shared" si="79"/>
        <v>1</v>
      </c>
      <c r="AK144" s="88">
        <f t="shared" si="52"/>
        <v>2.6888486254145021E-3</v>
      </c>
      <c r="AL144" s="312">
        <f>+AC144/'MWh by month-WgtbyCDH&amp;DayLtHrs'!AC144-1</f>
        <v>5.1068751687351366E-2</v>
      </c>
      <c r="AM144" s="89">
        <f t="shared" si="73"/>
        <v>322870.21993521729</v>
      </c>
      <c r="AN144" s="93"/>
      <c r="AO144" s="96">
        <f t="shared" si="61"/>
        <v>66.393705538863344</v>
      </c>
      <c r="AP144" s="92">
        <f t="shared" si="60"/>
        <v>6.0725950187984759E-3</v>
      </c>
      <c r="AR144" s="94">
        <f t="shared" si="74"/>
        <v>2.5164536208613041E-2</v>
      </c>
      <c r="AS144" s="95">
        <v>1276453.2668340718</v>
      </c>
      <c r="AU144" s="141">
        <v>275.13226254750259</v>
      </c>
    </row>
    <row r="145" spans="1:47">
      <c r="A145" s="78">
        <v>2016</v>
      </c>
      <c r="B145" s="78">
        <v>9</v>
      </c>
      <c r="C145" s="317">
        <f t="shared" si="81"/>
        <v>277.87653293728147</v>
      </c>
      <c r="D145" s="324">
        <f t="shared" si="80"/>
        <v>0.14132634365008559</v>
      </c>
      <c r="E145" s="321">
        <f>$D145*'MWh Impact Summary'!B$22</f>
        <v>292322.59701157233</v>
      </c>
      <c r="F145" s="319">
        <f>$D145*'MWh Impact Summary'!N$22</f>
        <v>25932.012117222996</v>
      </c>
      <c r="G145" s="319">
        <f>$D145*'MWh Impact Summary'!C$22</f>
        <v>235172.94123476959</v>
      </c>
      <c r="H145" s="319">
        <f>$D145*'MWh Impact Summary'!D$22</f>
        <v>811.86298729519717</v>
      </c>
      <c r="I145" s="319">
        <f>$D145*'MWh Impact Summary'!E$22</f>
        <v>92461.342004564955</v>
      </c>
      <c r="J145" s="104">
        <f t="shared" si="75"/>
        <v>646700.75535542495</v>
      </c>
      <c r="K145" s="298">
        <f t="shared" si="51"/>
        <v>11.683333333333334</v>
      </c>
      <c r="L145" s="300">
        <f t="shared" si="63"/>
        <v>8.2248034729555317E-2</v>
      </c>
      <c r="M145" s="297">
        <f>(30/366)</f>
        <v>8.1967213114754092E-2</v>
      </c>
      <c r="N145" s="304">
        <f>$L145*'MWh Impact Summary'!F$22</f>
        <v>89036.731872142176</v>
      </c>
      <c r="O145" s="304">
        <f>$L145*'MWh Impact Summary'!G$22</f>
        <v>1754.3784669475922</v>
      </c>
      <c r="P145" s="304">
        <f>$M145*'MWh Impact Summary'!H$22</f>
        <v>4799.6322587889981</v>
      </c>
      <c r="Q145" s="304">
        <f>$M145*'MWh Impact Summary'!I$22</f>
        <v>1096.7786305329437</v>
      </c>
      <c r="R145" s="304">
        <f>$M145*'MWh Impact Summary'!J$22</f>
        <v>25540.491784942991</v>
      </c>
      <c r="S145" s="304">
        <f>$M145*'MWh Impact Summary'!K$22</f>
        <v>6460.1260031728743</v>
      </c>
      <c r="T145" s="304">
        <f>$M145*'MWh Impact Summary'!L$22</f>
        <v>2346.4456745134235</v>
      </c>
      <c r="U145" s="304">
        <f>$M145*'MWh Impact Summary'!M$22</f>
        <v>7122.3656330481654</v>
      </c>
      <c r="V145" s="304">
        <f>$L145*'LED Impact Forecast'!$H$23+$D145*'LED Impact Forecast'!$J$23</f>
        <v>10927.649515348168</v>
      </c>
      <c r="W145" s="304">
        <f>$L145*'CFL Impact Forecast'!$H$23+$D145*'CFL Impact Forecast'!$J$23</f>
        <v>326193.36555027659</v>
      </c>
      <c r="X145" s="304">
        <f>$L145*'EISA Incand Impact Forecast'!$G$23+$D145*'EISA Incand Impact Forecast'!$I$23</f>
        <v>111625.27015853085</v>
      </c>
      <c r="Y145" s="85">
        <f t="shared" si="67"/>
        <v>586903.23554824479</v>
      </c>
      <c r="Z145" s="81">
        <f t="shared" si="68"/>
        <v>1233603.9909036697</v>
      </c>
      <c r="AA145" s="81"/>
      <c r="AB145" s="262">
        <f>+'MWh by mo-WgtbyActulCDH&amp;Days'!AB145</f>
        <v>4867498.8173319157</v>
      </c>
      <c r="AC145" s="308">
        <f t="shared" si="76"/>
        <v>253.43693695643483</v>
      </c>
      <c r="AD145" s="309">
        <f t="shared" si="69"/>
        <v>132.86099896987943</v>
      </c>
      <c r="AE145" s="107">
        <f t="shared" si="70"/>
        <v>1.1371840140075274E-2</v>
      </c>
      <c r="AF145" s="309">
        <f t="shared" si="77"/>
        <v>120.5759379865554</v>
      </c>
      <c r="AG145" s="107">
        <f t="shared" si="71"/>
        <v>1.032033706019019E-2</v>
      </c>
      <c r="AH145" s="119">
        <f t="shared" si="78"/>
        <v>2.1692177200265464E-2</v>
      </c>
      <c r="AI145" s="122">
        <f t="shared" si="72"/>
        <v>2.169217720026546E-2</v>
      </c>
      <c r="AJ145" s="87" t="b">
        <f t="shared" si="79"/>
        <v>1</v>
      </c>
      <c r="AK145" s="88">
        <f t="shared" si="52"/>
        <v>2.3161787053536873E-3</v>
      </c>
      <c r="AL145" s="312">
        <f>+AC145/'MWh by month-WgtbyCDH&amp;DayLtHrs'!AC145-1</f>
        <v>3.5079859196010643E-2</v>
      </c>
      <c r="AM145" s="89">
        <f t="shared" si="73"/>
        <v>326193.36555027659</v>
      </c>
      <c r="AN145" s="93"/>
      <c r="AO145" s="96">
        <f t="shared" si="61"/>
        <v>67.014575204165553</v>
      </c>
      <c r="AP145" s="92">
        <f t="shared" si="60"/>
        <v>5.7359122856632423E-3</v>
      </c>
      <c r="AR145" s="94">
        <f t="shared" si="74"/>
        <v>2.169217720026546E-2</v>
      </c>
      <c r="AS145" s="95">
        <v>1206323.4397606517</v>
      </c>
      <c r="AU145" s="141">
        <v>253.43693695643483</v>
      </c>
    </row>
    <row r="146" spans="1:47">
      <c r="A146" s="78">
        <v>2016</v>
      </c>
      <c r="B146" s="78">
        <v>10</v>
      </c>
      <c r="C146" s="317">
        <f t="shared" si="81"/>
        <v>198.89039579254836</v>
      </c>
      <c r="D146" s="324">
        <f t="shared" si="80"/>
        <v>0.10115446643644242</v>
      </c>
      <c r="E146" s="321">
        <f>$D146*'MWh Impact Summary'!B$22</f>
        <v>209230.1800521595</v>
      </c>
      <c r="F146" s="319">
        <f>$D146*'MWh Impact Summary'!N$22</f>
        <v>18560.86262187441</v>
      </c>
      <c r="G146" s="319">
        <f>$D146*'MWh Impact Summary'!C$22</f>
        <v>168325.25894670692</v>
      </c>
      <c r="H146" s="319">
        <f>$D146*'MWh Impact Summary'!D$22</f>
        <v>581.09171424312979</v>
      </c>
      <c r="I146" s="319">
        <f>$D146*'MWh Impact Summary'!E$22</f>
        <v>66179.294496051487</v>
      </c>
      <c r="J146" s="104">
        <f t="shared" si="75"/>
        <v>462876.68783103541</v>
      </c>
      <c r="K146" s="298">
        <f t="shared" ref="K146:K209" si="82">+K134</f>
        <v>12.466666666666667</v>
      </c>
      <c r="L146" s="300">
        <f t="shared" si="63"/>
        <v>8.7762524932535488E-2</v>
      </c>
      <c r="M146" s="297">
        <f>(31/366)</f>
        <v>8.4699453551912565E-2</v>
      </c>
      <c r="N146" s="304">
        <f>$L146*'MWh Impact Summary'!F$22</f>
        <v>95006.384365709484</v>
      </c>
      <c r="O146" s="304">
        <f>$L146*'MWh Impact Summary'!G$22</f>
        <v>1872.0044126630512</v>
      </c>
      <c r="P146" s="304">
        <f>$M146*'MWh Impact Summary'!H$22</f>
        <v>4959.6200007486323</v>
      </c>
      <c r="Q146" s="304">
        <f>$M146*'MWh Impact Summary'!I$22</f>
        <v>1133.3379182173751</v>
      </c>
      <c r="R146" s="304">
        <f>$M146*'MWh Impact Summary'!J$22</f>
        <v>26391.841511107759</v>
      </c>
      <c r="S146" s="304">
        <f>$M146*'MWh Impact Summary'!K$22</f>
        <v>6675.463536611971</v>
      </c>
      <c r="T146" s="304">
        <f>$M146*'MWh Impact Summary'!L$22</f>
        <v>2424.6605303305378</v>
      </c>
      <c r="U146" s="304">
        <f>$M146*'MWh Impact Summary'!M$22</f>
        <v>7359.7778208164382</v>
      </c>
      <c r="V146" s="304">
        <f>$L146*'LED Impact Forecast'!$H$23+$D146*'LED Impact Forecast'!$J$23</f>
        <v>11161.726916065072</v>
      </c>
      <c r="W146" s="304">
        <f>$L146*'CFL Impact Forecast'!$H$23+$D146*'CFL Impact Forecast'!$J$23</f>
        <v>322171.21003195876</v>
      </c>
      <c r="X146" s="304">
        <f>$L146*'EISA Incand Impact Forecast'!$G$23+$D146*'EISA Incand Impact Forecast'!$I$23</f>
        <v>109703.01807657113</v>
      </c>
      <c r="Y146" s="85">
        <f t="shared" si="67"/>
        <v>588859.04512080026</v>
      </c>
      <c r="Z146" s="81">
        <f t="shared" si="68"/>
        <v>1051735.7329518357</v>
      </c>
      <c r="AA146" s="81"/>
      <c r="AB146" s="262">
        <f>+'MWh by mo-WgtbyActulCDH&amp;Days'!AB146</f>
        <v>4872985.9866431234</v>
      </c>
      <c r="AC146" s="308">
        <f t="shared" si="76"/>
        <v>215.82982915088368</v>
      </c>
      <c r="AD146" s="309">
        <f t="shared" si="69"/>
        <v>94.988306779412568</v>
      </c>
      <c r="AE146" s="107">
        <f t="shared" si="70"/>
        <v>7.619382896744323E-3</v>
      </c>
      <c r="AF146" s="309">
        <f t="shared" si="77"/>
        <v>120.84152237147111</v>
      </c>
      <c r="AG146" s="107">
        <f t="shared" si="71"/>
        <v>9.6931702437008903E-3</v>
      </c>
      <c r="AH146" s="119">
        <f t="shared" si="78"/>
        <v>1.7312553140445212E-2</v>
      </c>
      <c r="AI146" s="122">
        <f t="shared" si="72"/>
        <v>1.7312553140445212E-2</v>
      </c>
      <c r="AJ146" s="87" t="b">
        <f t="shared" si="79"/>
        <v>1</v>
      </c>
      <c r="AK146" s="88">
        <f t="shared" si="52"/>
        <v>1.8606350726215366E-3</v>
      </c>
      <c r="AL146" s="312">
        <f>+AC146/'MWh by month-WgtbyCDH&amp;DayLtHrs'!AC146-1</f>
        <v>1.0031280655927066E-2</v>
      </c>
      <c r="AM146" s="89">
        <f t="shared" si="73"/>
        <v>322171.21003195876</v>
      </c>
      <c r="AN146" s="93"/>
      <c r="AO146" s="96">
        <f t="shared" si="61"/>
        <v>66.113715679673916</v>
      </c>
      <c r="AP146" s="92">
        <f t="shared" si="60"/>
        <v>5.3032392256422926E-3</v>
      </c>
      <c r="AR146" s="94">
        <f t="shared" si="74"/>
        <v>1.7312553140445212E-2</v>
      </c>
      <c r="AS146" s="95">
        <v>973350.79860718851</v>
      </c>
      <c r="AU146" s="141">
        <v>215.82982915088368</v>
      </c>
    </row>
    <row r="147" spans="1:47">
      <c r="A147" s="78">
        <v>2016</v>
      </c>
      <c r="B147" s="78">
        <v>11</v>
      </c>
      <c r="C147" s="317">
        <f t="shared" si="81"/>
        <v>78.117279066674627</v>
      </c>
      <c r="D147" s="324">
        <f t="shared" si="80"/>
        <v>3.9729981188725644E-2</v>
      </c>
      <c r="E147" s="321">
        <f>$D147*'MWh Impact Summary'!B$22</f>
        <v>82178.389253914313</v>
      </c>
      <c r="F147" s="319">
        <f>$D147*'MWh Impact Summary'!N$22</f>
        <v>7290.0658645353069</v>
      </c>
      <c r="G147" s="319">
        <f>$D147*'MWh Impact Summary'!C$22</f>
        <v>66112.34883772512</v>
      </c>
      <c r="H147" s="319">
        <f>$D147*'MWh Impact Summary'!D$22</f>
        <v>228.23275816802223</v>
      </c>
      <c r="I147" s="319">
        <f>$D147*'MWh Impact Summary'!E$22</f>
        <v>25992.941469008769</v>
      </c>
      <c r="J147" s="104">
        <f t="shared" si="75"/>
        <v>181801.97818335154</v>
      </c>
      <c r="K147" s="298">
        <f t="shared" si="82"/>
        <v>13.15</v>
      </c>
      <c r="L147" s="300">
        <f t="shared" si="63"/>
        <v>9.2573037662794788E-2</v>
      </c>
      <c r="M147" s="297">
        <f>(30/366)</f>
        <v>8.1967213114754092E-2</v>
      </c>
      <c r="N147" s="304">
        <f>$L147*'MWh Impact Summary'!F$22</f>
        <v>100213.95356222565</v>
      </c>
      <c r="O147" s="304">
        <f>$L147*'MWh Impact Summary'!G$22</f>
        <v>1974.6142802020688</v>
      </c>
      <c r="P147" s="304">
        <f>$M147*'MWh Impact Summary'!H$22</f>
        <v>4799.6322587889981</v>
      </c>
      <c r="Q147" s="304">
        <f>$M147*'MWh Impact Summary'!I$22</f>
        <v>1096.7786305329437</v>
      </c>
      <c r="R147" s="304">
        <f>$M147*'MWh Impact Summary'!J$22</f>
        <v>25540.491784942991</v>
      </c>
      <c r="S147" s="304">
        <f>$M147*'MWh Impact Summary'!K$22</f>
        <v>6460.1260031728743</v>
      </c>
      <c r="T147" s="304">
        <f>$M147*'MWh Impact Summary'!L$22</f>
        <v>2346.4456745134235</v>
      </c>
      <c r="U147" s="304">
        <f>$M147*'MWh Impact Summary'!M$22</f>
        <v>7122.3656330481654</v>
      </c>
      <c r="V147" s="304">
        <f>$L147*'LED Impact Forecast'!$H$23+$D147*'LED Impact Forecast'!$J$23</f>
        <v>11100.988615226628</v>
      </c>
      <c r="W147" s="304">
        <f>$L147*'CFL Impact Forecast'!$H$23+$D147*'CFL Impact Forecast'!$J$23</f>
        <v>304904.14731433248</v>
      </c>
      <c r="X147" s="304">
        <f>$L147*'EISA Incand Impact Forecast'!$G$23+$D147*'EISA Incand Impact Forecast'!$I$23</f>
        <v>103027.91968577432</v>
      </c>
      <c r="Y147" s="85">
        <f t="shared" si="67"/>
        <v>568587.46344276064</v>
      </c>
      <c r="Z147" s="81">
        <f t="shared" si="68"/>
        <v>750389.44162611221</v>
      </c>
      <c r="AA147" s="81"/>
      <c r="AB147" s="262">
        <f>+'MWh by mo-WgtbyActulCDH&amp;Days'!AB147</f>
        <v>4878687.6758089541</v>
      </c>
      <c r="AC147" s="308">
        <f t="shared" si="76"/>
        <v>153.80969053356901</v>
      </c>
      <c r="AD147" s="309">
        <f t="shared" si="69"/>
        <v>37.26452486081849</v>
      </c>
      <c r="AE147" s="107">
        <f t="shared" si="70"/>
        <v>2.8338041719253603E-3</v>
      </c>
      <c r="AF147" s="309">
        <f t="shared" si="77"/>
        <v>116.54516567275049</v>
      </c>
      <c r="AG147" s="107">
        <f t="shared" si="71"/>
        <v>8.8627502412738004E-3</v>
      </c>
      <c r="AH147" s="119">
        <f t="shared" si="78"/>
        <v>1.169655441319916E-2</v>
      </c>
      <c r="AI147" s="122">
        <f t="shared" si="72"/>
        <v>1.1696554413199164E-2</v>
      </c>
      <c r="AJ147" s="87" t="b">
        <f t="shared" si="79"/>
        <v>1</v>
      </c>
      <c r="AK147" s="88">
        <f t="shared" si="52"/>
        <v>1.2725183928735256E-3</v>
      </c>
      <c r="AL147" s="312">
        <f>+AC147/'MWh by month-WgtbyCDH&amp;DayLtHrs'!AC147-1</f>
        <v>-4.9274075183369681E-2</v>
      </c>
      <c r="AM147" s="89">
        <f t="shared" si="73"/>
        <v>304904.14731433248</v>
      </c>
      <c r="AN147" s="93"/>
      <c r="AO147" s="96">
        <f t="shared" si="61"/>
        <v>62.497164724482012</v>
      </c>
      <c r="AP147" s="92">
        <f t="shared" si="60"/>
        <v>4.7526361007210654E-3</v>
      </c>
      <c r="AR147" s="94">
        <f t="shared" si="74"/>
        <v>1.1696554413199164E-2</v>
      </c>
      <c r="AS147" s="95">
        <v>753485.54449138115</v>
      </c>
      <c r="AU147" s="141">
        <v>153.80969053356901</v>
      </c>
    </row>
    <row r="148" spans="1:47">
      <c r="A148" s="78">
        <v>2016</v>
      </c>
      <c r="B148" s="78">
        <v>12</v>
      </c>
      <c r="C148" s="317">
        <f t="shared" si="81"/>
        <v>42.633806123140985</v>
      </c>
      <c r="D148" s="324">
        <f t="shared" si="80"/>
        <v>2.1683298951445065E-2</v>
      </c>
      <c r="E148" s="321">
        <f>$D148*'MWh Impact Summary'!B$22</f>
        <v>44850.224647136303</v>
      </c>
      <c r="F148" s="319">
        <f>$D148*'MWh Impact Summary'!N$22</f>
        <v>3978.6748643440305</v>
      </c>
      <c r="G148" s="319">
        <f>$D148*'MWh Impact Summary'!C$22</f>
        <v>36081.915504088276</v>
      </c>
      <c r="H148" s="319">
        <f>$D148*'MWh Impact Summary'!D$22</f>
        <v>124.56182907215788</v>
      </c>
      <c r="I148" s="319">
        <f>$D148*'MWh Impact Summary'!E$22</f>
        <v>14186.080728874589</v>
      </c>
      <c r="J148" s="104">
        <f t="shared" si="75"/>
        <v>99221.457573515348</v>
      </c>
      <c r="K148" s="298">
        <f t="shared" si="82"/>
        <v>13.483333333333333</v>
      </c>
      <c r="L148" s="300">
        <f t="shared" si="63"/>
        <v>9.491962923853102E-2</v>
      </c>
      <c r="M148" s="297">
        <f>(31/366)</f>
        <v>8.4699453551912565E-2</v>
      </c>
      <c r="N148" s="304">
        <f>$L148*'MWh Impact Summary'!F$22</f>
        <v>102754.23121906279</v>
      </c>
      <c r="O148" s="304">
        <f>$L148*'MWh Impact Summary'!G$22</f>
        <v>2024.6678741235405</v>
      </c>
      <c r="P148" s="304">
        <f>$M148*'MWh Impact Summary'!H$22</f>
        <v>4959.6200007486323</v>
      </c>
      <c r="Q148" s="304">
        <f>$M148*'MWh Impact Summary'!I$22</f>
        <v>1133.3379182173751</v>
      </c>
      <c r="R148" s="304">
        <f>$M148*'MWh Impact Summary'!J$22</f>
        <v>26391.841511107759</v>
      </c>
      <c r="S148" s="304">
        <f>$M148*'MWh Impact Summary'!K$22</f>
        <v>6675.463536611971</v>
      </c>
      <c r="T148" s="304">
        <f>$M148*'MWh Impact Summary'!L$22</f>
        <v>2424.6605303305378</v>
      </c>
      <c r="U148" s="304">
        <f>$M148*'MWh Impact Summary'!M$22</f>
        <v>7359.7778208164382</v>
      </c>
      <c r="V148" s="304">
        <f>$L148*'LED Impact Forecast'!$H$23+$D148*'LED Impact Forecast'!$J$23</f>
        <v>11191.032777504302</v>
      </c>
      <c r="W148" s="304">
        <f>$L148*'CFL Impact Forecast'!$H$23+$D148*'CFL Impact Forecast'!$J$23</f>
        <v>302695.95894981711</v>
      </c>
      <c r="X148" s="304">
        <f>$L148*'EISA Incand Impact Forecast'!$G$23+$D148*'EISA Incand Impact Forecast'!$I$23</f>
        <v>102029.51976146591</v>
      </c>
      <c r="Y148" s="85">
        <f t="shared" si="67"/>
        <v>569640.11189980642</v>
      </c>
      <c r="Z148" s="81">
        <f t="shared" si="68"/>
        <v>668861.56947332178</v>
      </c>
      <c r="AA148" s="81">
        <f>SUM(Z137:Z148)</f>
        <v>11195769.673743743</v>
      </c>
      <c r="AB148" s="262">
        <f>+'MWh by mo-WgtbyActulCDH&amp;Days'!AB148</f>
        <v>4884563.5171767101</v>
      </c>
      <c r="AC148" s="308">
        <f t="shared" si="76"/>
        <v>136.93374384860604</v>
      </c>
      <c r="AD148" s="309">
        <f t="shared" si="69"/>
        <v>20.313270003471182</v>
      </c>
      <c r="AE148" s="107">
        <f t="shared" si="70"/>
        <v>1.5065466009990989E-3</v>
      </c>
      <c r="AF148" s="309">
        <f t="shared" si="77"/>
        <v>116.62047384513484</v>
      </c>
      <c r="AG148" s="107">
        <f t="shared" si="71"/>
        <v>8.649231681963028E-3</v>
      </c>
      <c r="AH148" s="119">
        <f t="shared" si="78"/>
        <v>1.0155778282962127E-2</v>
      </c>
      <c r="AI148" s="122">
        <f t="shared" si="72"/>
        <v>1.015577828296213E-2</v>
      </c>
      <c r="AJ148" s="87" t="b">
        <f t="shared" si="79"/>
        <v>1</v>
      </c>
      <c r="AK148" s="88">
        <f t="shared" si="52"/>
        <v>1.1145894367014172E-3</v>
      </c>
      <c r="AL148" s="312">
        <f>+AC148/'MWh by month-WgtbyCDH&amp;DayLtHrs'!AC148-1</f>
        <v>-7.2157073469062749E-2</v>
      </c>
      <c r="AM148" s="89">
        <f t="shared" si="73"/>
        <v>302695.95894981711</v>
      </c>
      <c r="AN148" s="90">
        <f>SUM(AM137:AM148)</f>
        <v>3591361.4449216984</v>
      </c>
      <c r="AO148" s="96">
        <f t="shared" si="61"/>
        <v>61.969909467934635</v>
      </c>
      <c r="AP148" s="92">
        <f t="shared" si="60"/>
        <v>4.5960377850136937E-3</v>
      </c>
      <c r="AR148" s="94">
        <f t="shared" si="74"/>
        <v>1.015577828296213E-2</v>
      </c>
      <c r="AS148" s="95">
        <v>622720.01777752733</v>
      </c>
      <c r="AU148" s="141">
        <v>136.93374384860604</v>
      </c>
    </row>
    <row r="149" spans="1:47">
      <c r="A149" s="78">
        <v>2017</v>
      </c>
      <c r="B149" s="78">
        <v>1</v>
      </c>
      <c r="C149" s="317">
        <f t="shared" si="81"/>
        <v>26.112829868525239</v>
      </c>
      <c r="D149" s="324">
        <f t="shared" si="80"/>
        <v>1.3280829182176284E-2</v>
      </c>
      <c r="E149" s="321">
        <f>$D149*'MWh Impact Summary'!B$23</f>
        <v>30957.787989516721</v>
      </c>
      <c r="F149" s="319">
        <f>$D149*'MWh Impact Summary'!N$23</f>
        <v>3018.7763612055201</v>
      </c>
      <c r="G149" s="319">
        <f>$D149*'MWh Impact Summary'!C$23</f>
        <v>24294.878037527571</v>
      </c>
      <c r="H149" s="319">
        <f>$D149*'MWh Impact Summary'!D$23</f>
        <v>87.700181019450525</v>
      </c>
      <c r="I149" s="319">
        <f>$D149*'MWh Impact Summary'!E$23</f>
        <v>9469.8056842779806</v>
      </c>
      <c r="J149" s="104">
        <f t="shared" si="75"/>
        <v>67828.948253547234</v>
      </c>
      <c r="K149" s="298">
        <f t="shared" si="82"/>
        <v>13.3</v>
      </c>
      <c r="L149" s="300">
        <f t="shared" si="63"/>
        <v>9.3629003871876101E-2</v>
      </c>
      <c r="M149" s="297">
        <f>(31/365)</f>
        <v>8.4931506849315067E-2</v>
      </c>
      <c r="N149" s="304">
        <f>$L149*'MWh Impact Summary'!F$23</f>
        <v>113631.63322328901</v>
      </c>
      <c r="O149" s="304">
        <f>$L149*'MWh Impact Summary'!G$23</f>
        <v>3767.9077146657428</v>
      </c>
      <c r="P149" s="304">
        <f>$M149*'MWh Impact Summary'!H$23</f>
        <v>6150.5175305832354</v>
      </c>
      <c r="Q149" s="304">
        <f>$M149*'MWh Impact Summary'!I$23</f>
        <v>1229.0408678070755</v>
      </c>
      <c r="R149" s="304">
        <f>$M149*'MWh Impact Summary'!J$23</f>
        <v>30397.083715572728</v>
      </c>
      <c r="S149" s="304">
        <f>$M149*'MWh Impact Summary'!K$23</f>
        <v>10000.576722944348</v>
      </c>
      <c r="T149" s="304">
        <f>$M149*'MWh Impact Summary'!L$23</f>
        <v>3576.4208897997401</v>
      </c>
      <c r="U149" s="304">
        <f>$M149*'MWh Impact Summary'!M$23</f>
        <v>11025.754594752025</v>
      </c>
      <c r="V149" s="304">
        <f>$L149*'LED Impact Forecast'!$H$24+$D149*'LED Impact Forecast'!$J$24</f>
        <v>24556.670720529855</v>
      </c>
      <c r="W149" s="304">
        <f>$L149*'CFL Impact Forecast'!$H$24+$D149*'CFL Impact Forecast'!$J$24</f>
        <v>308572.46992625081</v>
      </c>
      <c r="X149" s="304">
        <f>$L149*'EISA Incand Impact Forecast'!$G$24+$D149*'EISA Incand Impact Forecast'!$I$24</f>
        <v>116202.02836681739</v>
      </c>
      <c r="Y149" s="85">
        <f t="shared" si="67"/>
        <v>629110.10427301191</v>
      </c>
      <c r="Z149" s="81">
        <f t="shared" si="68"/>
        <v>696939.0525265591</v>
      </c>
      <c r="AA149" s="81"/>
      <c r="AB149" s="262">
        <f>+'MWh by mo-WgtbyActulCDH&amp;Days'!AB149</f>
        <v>4891015.7222528467</v>
      </c>
      <c r="AC149" s="308">
        <f t="shared" si="76"/>
        <v>142.49372566022802</v>
      </c>
      <c r="AD149" s="309">
        <f t="shared" si="69"/>
        <v>13.868069968563626</v>
      </c>
      <c r="AE149" s="107">
        <f t="shared" si="70"/>
        <v>1.0427120277115506E-3</v>
      </c>
      <c r="AF149" s="309">
        <f t="shared" si="77"/>
        <v>128.62565569166441</v>
      </c>
      <c r="AG149" s="107">
        <f t="shared" si="71"/>
        <v>9.6711019317040903E-3</v>
      </c>
      <c r="AH149" s="119">
        <f t="shared" si="78"/>
        <v>1.0713813959415642E-2</v>
      </c>
      <c r="AI149" s="122">
        <f t="shared" si="72"/>
        <v>1.071381395941564E-2</v>
      </c>
      <c r="AJ149" s="87" t="b">
        <f t="shared" si="79"/>
        <v>1</v>
      </c>
      <c r="AK149" s="88">
        <f t="shared" si="52"/>
        <v>1.0826903908011856E-3</v>
      </c>
      <c r="AL149" s="312">
        <f>+AC149/'MWh by month-WgtbyCDH&amp;DayLtHrs'!AC149-1</f>
        <v>-8.327136230898724E-2</v>
      </c>
      <c r="AM149" s="89">
        <f t="shared" si="73"/>
        <v>308572.46992625081</v>
      </c>
      <c r="AN149" s="93"/>
      <c r="AO149" s="96">
        <f t="shared" si="61"/>
        <v>63.089649972361876</v>
      </c>
      <c r="AP149" s="92">
        <f t="shared" si="60"/>
        <v>4.7435827046888625E-3</v>
      </c>
      <c r="AR149" s="94">
        <f t="shared" si="74"/>
        <v>1.071381395941564E-2</v>
      </c>
      <c r="AS149" s="95">
        <v>677896.61789944256</v>
      </c>
      <c r="AU149" s="141">
        <v>142.49372566022802</v>
      </c>
    </row>
    <row r="150" spans="1:47">
      <c r="A150" s="78">
        <v>2017</v>
      </c>
      <c r="B150" s="78">
        <v>2</v>
      </c>
      <c r="C150" s="317">
        <f t="shared" si="81"/>
        <v>35.042184420393127</v>
      </c>
      <c r="D150" s="324">
        <f t="shared" si="80"/>
        <v>1.7822245532205266E-2</v>
      </c>
      <c r="E150" s="321">
        <f>$D150*'MWh Impact Summary'!B$23</f>
        <v>41543.889399886924</v>
      </c>
      <c r="F150" s="319">
        <f>$D150*'MWh Impact Summary'!N$23</f>
        <v>4051.0553052234727</v>
      </c>
      <c r="G150" s="319">
        <f>$D150*'MWh Impact Summary'!C$23</f>
        <v>32602.578921871587</v>
      </c>
      <c r="H150" s="319">
        <f>$D150*'MWh Impact Summary'!D$23</f>
        <v>117.68950100232894</v>
      </c>
      <c r="I150" s="319">
        <f>$D150*'MWh Impact Summary'!E$23</f>
        <v>12708.031985983196</v>
      </c>
      <c r="J150" s="104">
        <f t="shared" si="75"/>
        <v>91023.24511396751</v>
      </c>
      <c r="K150" s="298">
        <f t="shared" si="82"/>
        <v>12.733333333333333</v>
      </c>
      <c r="L150" s="300">
        <f t="shared" si="63"/>
        <v>8.9639798193124468E-2</v>
      </c>
      <c r="M150" s="297">
        <f>(28/365)</f>
        <v>7.6712328767123292E-2</v>
      </c>
      <c r="N150" s="304">
        <f>$L150*'MWh Impact Summary'!F$23</f>
        <v>108790.18519121903</v>
      </c>
      <c r="O150" s="304">
        <f>$L150*'MWh Impact Summary'!G$23</f>
        <v>3607.3702932388805</v>
      </c>
      <c r="P150" s="304">
        <f>$M150*'MWh Impact Summary'!H$23</f>
        <v>5555.3061566558263</v>
      </c>
      <c r="Q150" s="304">
        <f>$M150*'MWh Impact Summary'!I$23</f>
        <v>1110.1014289870359</v>
      </c>
      <c r="R150" s="304">
        <f>$M150*'MWh Impact Summary'!J$23</f>
        <v>27455.43045277537</v>
      </c>
      <c r="S150" s="304">
        <f>$M150*'MWh Impact Summary'!K$23</f>
        <v>9032.7789755626382</v>
      </c>
      <c r="T150" s="304">
        <f>$M150*'MWh Impact Summary'!L$23</f>
        <v>3230.3156423997652</v>
      </c>
      <c r="U150" s="304">
        <f>$M150*'MWh Impact Summary'!M$23</f>
        <v>9958.7460855824738</v>
      </c>
      <c r="V150" s="304">
        <f>$L150*'LED Impact Forecast'!$H$24+$D150*'LED Impact Forecast'!$J$24</f>
        <v>23669.803418102554</v>
      </c>
      <c r="W150" s="304">
        <f>$L150*'CFL Impact Forecast'!$H$24+$D150*'CFL Impact Forecast'!$J$24</f>
        <v>298224.08319114416</v>
      </c>
      <c r="X150" s="304">
        <f>$L150*'EISA Incand Impact Forecast'!$G$24+$D150*'EISA Incand Impact Forecast'!$I$24</f>
        <v>112391.49737693687</v>
      </c>
      <c r="Y150" s="85">
        <f t="shared" si="67"/>
        <v>603025.61821260455</v>
      </c>
      <c r="Z150" s="81">
        <f t="shared" si="68"/>
        <v>694048.86332657211</v>
      </c>
      <c r="AA150" s="81"/>
      <c r="AB150" s="262">
        <f>+'MWh by mo-WgtbyActulCDH&amp;Days'!AB150</f>
        <v>4896910.5000386564</v>
      </c>
      <c r="AC150" s="308">
        <f t="shared" si="76"/>
        <v>141.7319886326477</v>
      </c>
      <c r="AD150" s="309">
        <f t="shared" si="69"/>
        <v>18.587892327876723</v>
      </c>
      <c r="AE150" s="107">
        <f t="shared" si="70"/>
        <v>1.4597821199903186E-3</v>
      </c>
      <c r="AF150" s="309">
        <f t="shared" si="77"/>
        <v>123.14409630477098</v>
      </c>
      <c r="AG150" s="107">
        <f t="shared" si="71"/>
        <v>9.6710023275998151E-3</v>
      </c>
      <c r="AH150" s="119">
        <f t="shared" si="78"/>
        <v>1.1130784447590133E-2</v>
      </c>
      <c r="AI150" s="122">
        <f t="shared" si="72"/>
        <v>1.1130784447590135E-2</v>
      </c>
      <c r="AJ150" s="87" t="b">
        <f t="shared" si="79"/>
        <v>1</v>
      </c>
      <c r="AK150" s="88">
        <f t="shared" ref="AK150:AK213" si="83">AI150-AI138</f>
        <v>1.0887284480796122E-3</v>
      </c>
      <c r="AL150" s="312">
        <f>+AC150/'MWh by month-WgtbyCDH&amp;DayLtHrs'!AC150-1</f>
        <v>-8.2608918266046327E-2</v>
      </c>
      <c r="AM150" s="89">
        <f t="shared" si="73"/>
        <v>298224.08319114416</v>
      </c>
      <c r="AN150" s="93"/>
      <c r="AO150" s="96">
        <f t="shared" si="61"/>
        <v>60.900456152668092</v>
      </c>
      <c r="AP150" s="92">
        <f t="shared" si="60"/>
        <v>4.7827583365969715E-3</v>
      </c>
      <c r="AR150" s="94">
        <f t="shared" si="74"/>
        <v>1.1130784447590135E-2</v>
      </c>
      <c r="AS150" s="95">
        <v>629113.27704088669</v>
      </c>
      <c r="AU150" s="141">
        <v>141.7319886326477</v>
      </c>
    </row>
    <row r="151" spans="1:47">
      <c r="A151" s="78">
        <v>2017</v>
      </c>
      <c r="B151" s="78">
        <v>3</v>
      </c>
      <c r="C151" s="317">
        <f t="shared" si="81"/>
        <v>64.582270600115152</v>
      </c>
      <c r="D151" s="324">
        <f t="shared" si="80"/>
        <v>3.2846156787895278E-2</v>
      </c>
      <c r="E151" s="321">
        <f>$D151*'MWh Impact Summary'!B$23</f>
        <v>76564.824692930866</v>
      </c>
      <c r="F151" s="319">
        <f>$D151*'MWh Impact Summary'!N$23</f>
        <v>7466.0399819629538</v>
      </c>
      <c r="G151" s="319">
        <f>$D151*'MWh Impact Summary'!C$23</f>
        <v>60086.110755372254</v>
      </c>
      <c r="H151" s="319">
        <f>$D151*'MWh Impact Summary'!D$23</f>
        <v>216.90015409261014</v>
      </c>
      <c r="I151" s="319">
        <f>$D151*'MWh Impact Summary'!E$23</f>
        <v>23420.730587676026</v>
      </c>
      <c r="J151" s="104">
        <f t="shared" si="75"/>
        <v>167754.60617203469</v>
      </c>
      <c r="K151" s="298">
        <f t="shared" si="82"/>
        <v>12</v>
      </c>
      <c r="L151" s="300">
        <f t="shared" si="63"/>
        <v>8.4477296726504739E-2</v>
      </c>
      <c r="M151" s="297">
        <f t="shared" ref="M151:M160" si="84">(31/365)</f>
        <v>8.4931506849315067E-2</v>
      </c>
      <c r="N151" s="304">
        <f>$L151*'MWh Impact Summary'!F$23</f>
        <v>102524.7818555991</v>
      </c>
      <c r="O151" s="304">
        <f>$L151*'MWh Impact Summary'!G$23</f>
        <v>3399.6159831570603</v>
      </c>
      <c r="P151" s="304">
        <f>$M151*'MWh Impact Summary'!H$23</f>
        <v>6150.5175305832354</v>
      </c>
      <c r="Q151" s="304">
        <f>$M151*'MWh Impact Summary'!I$23</f>
        <v>1229.0408678070755</v>
      </c>
      <c r="R151" s="304">
        <f>$M151*'MWh Impact Summary'!J$23</f>
        <v>30397.083715572728</v>
      </c>
      <c r="S151" s="304">
        <f>$M151*'MWh Impact Summary'!K$23</f>
        <v>10000.576722944348</v>
      </c>
      <c r="T151" s="304">
        <f>$M151*'MWh Impact Summary'!L$23</f>
        <v>3576.4208897997401</v>
      </c>
      <c r="U151" s="304">
        <f>$M151*'MWh Impact Summary'!M$23</f>
        <v>11025.754594752025</v>
      </c>
      <c r="V151" s="304">
        <f>$L151*'LED Impact Forecast'!$H$24+$D151*'LED Impact Forecast'!$J$24</f>
        <v>22807.58024237572</v>
      </c>
      <c r="W151" s="304">
        <f>$L151*'CFL Impact Forecast'!$H$24+$D151*'CFL Impact Forecast'!$J$24</f>
        <v>289844.54360478546</v>
      </c>
      <c r="X151" s="304">
        <f>$L151*'EISA Incand Impact Forecast'!$G$24+$D151*'EISA Incand Impact Forecast'!$I$24</f>
        <v>109502.66321604744</v>
      </c>
      <c r="Y151" s="85">
        <f t="shared" si="67"/>
        <v>590458.57922342396</v>
      </c>
      <c r="Z151" s="81">
        <f t="shared" si="68"/>
        <v>758213.18539545871</v>
      </c>
      <c r="AA151" s="81"/>
      <c r="AB151" s="262">
        <f>+'MWh by mo-WgtbyActulCDH&amp;Days'!AB151</f>
        <v>4903267.7157294145</v>
      </c>
      <c r="AC151" s="308">
        <f t="shared" si="76"/>
        <v>154.63426216014113</v>
      </c>
      <c r="AD151" s="309">
        <f t="shared" si="69"/>
        <v>34.212818042524397</v>
      </c>
      <c r="AE151" s="107">
        <f t="shared" si="70"/>
        <v>2.8510681702103662E-3</v>
      </c>
      <c r="AF151" s="309">
        <f t="shared" si="77"/>
        <v>120.42144411761674</v>
      </c>
      <c r="AG151" s="107">
        <f t="shared" si="71"/>
        <v>1.0035120343134729E-2</v>
      </c>
      <c r="AH151" s="119">
        <f t="shared" si="78"/>
        <v>1.2886188513345095E-2</v>
      </c>
      <c r="AI151" s="122">
        <f t="shared" si="72"/>
        <v>1.2886188513345095E-2</v>
      </c>
      <c r="AJ151" s="87" t="b">
        <f t="shared" si="79"/>
        <v>1</v>
      </c>
      <c r="AK151" s="88">
        <f t="shared" si="83"/>
        <v>1.2920281278924941E-3</v>
      </c>
      <c r="AL151" s="312">
        <f>+AC151/'MWh by month-WgtbyCDH&amp;DayLtHrs'!AC151-1</f>
        <v>-5.0422285505333786E-2</v>
      </c>
      <c r="AM151" s="89">
        <f t="shared" si="73"/>
        <v>289844.54360478546</v>
      </c>
      <c r="AN151" s="93"/>
      <c r="AO151" s="96">
        <f t="shared" si="61"/>
        <v>59.112526667671034</v>
      </c>
      <c r="AP151" s="92">
        <f t="shared" si="60"/>
        <v>4.9260438889725863E-3</v>
      </c>
      <c r="AR151" s="94">
        <f t="shared" si="74"/>
        <v>1.2886188513345095E-2</v>
      </c>
      <c r="AS151" s="95">
        <v>759520.3270257822</v>
      </c>
      <c r="AU151" s="141">
        <v>154.63426216014113</v>
      </c>
    </row>
    <row r="152" spans="1:47">
      <c r="A152" s="78">
        <v>2017</v>
      </c>
      <c r="B152" s="78">
        <v>4</v>
      </c>
      <c r="C152" s="317">
        <f t="shared" si="81"/>
        <v>114.03392869270741</v>
      </c>
      <c r="D152" s="324">
        <f t="shared" si="80"/>
        <v>5.7996974497419709E-2</v>
      </c>
      <c r="E152" s="321">
        <f>$D152*'MWh Impact Summary'!B$23</f>
        <v>135191.71249745056</v>
      </c>
      <c r="F152" s="319">
        <f>$D152*'MWh Impact Summary'!N$23</f>
        <v>13182.903961238982</v>
      </c>
      <c r="G152" s="319">
        <f>$D152*'MWh Impact Summary'!C$23</f>
        <v>106094.98869629433</v>
      </c>
      <c r="H152" s="319">
        <f>$D152*'MWh Impact Summary'!D$23</f>
        <v>382.98400591059192</v>
      </c>
      <c r="I152" s="319">
        <f>$D152*'MWh Impact Summary'!E$23</f>
        <v>41354.351541820783</v>
      </c>
      <c r="J152" s="104">
        <f t="shared" si="75"/>
        <v>296206.94070271525</v>
      </c>
      <c r="K152" s="298">
        <f t="shared" si="82"/>
        <v>11.2</v>
      </c>
      <c r="L152" s="300">
        <f t="shared" si="63"/>
        <v>7.8845476944737758E-2</v>
      </c>
      <c r="M152" s="297">
        <f>(30/365)</f>
        <v>8.2191780821917804E-2</v>
      </c>
      <c r="N152" s="304">
        <f>$L152*'MWh Impact Summary'!F$23</f>
        <v>95689.796398559163</v>
      </c>
      <c r="O152" s="304">
        <f>$L152*'MWh Impact Summary'!G$23</f>
        <v>3172.9749176132564</v>
      </c>
      <c r="P152" s="304">
        <f>$M152*'MWh Impact Summary'!H$23</f>
        <v>5952.1137392740984</v>
      </c>
      <c r="Q152" s="304">
        <f>$M152*'MWh Impact Summary'!I$23</f>
        <v>1189.3943882003955</v>
      </c>
      <c r="R152" s="304">
        <f>$M152*'MWh Impact Summary'!J$23</f>
        <v>29416.532627973607</v>
      </c>
      <c r="S152" s="304">
        <f>$M152*'MWh Impact Summary'!K$23</f>
        <v>9677.9774738171109</v>
      </c>
      <c r="T152" s="304">
        <f>$M152*'MWh Impact Summary'!L$23</f>
        <v>3461.0524739997481</v>
      </c>
      <c r="U152" s="304">
        <f>$M152*'MWh Impact Summary'!M$23</f>
        <v>10670.085091695506</v>
      </c>
      <c r="V152" s="304">
        <f>$L152*'LED Impact Forecast'!$H$24+$D152*'LED Impact Forecast'!$J$24</f>
        <v>22140.422585982058</v>
      </c>
      <c r="W152" s="304">
        <f>$L152*'CFL Impact Forecast'!$H$24+$D152*'CFL Impact Forecast'!$J$24</f>
        <v>285504.35882701073</v>
      </c>
      <c r="X152" s="304">
        <f>$L152*'EISA Incand Impact Forecast'!$G$24+$D152*'EISA Incand Impact Forecast'!$I$24</f>
        <v>108307.52640752948</v>
      </c>
      <c r="Y152" s="85">
        <f t="shared" si="67"/>
        <v>575182.23493165511</v>
      </c>
      <c r="Z152" s="81">
        <f t="shared" si="68"/>
        <v>871389.17563437042</v>
      </c>
      <c r="AA152" s="81"/>
      <c r="AB152" s="262">
        <f>+'MWh by mo-WgtbyActulCDH&amp;Days'!AB152</f>
        <v>4909023.0862381933</v>
      </c>
      <c r="AC152" s="308">
        <f t="shared" si="76"/>
        <v>177.50765484831319</v>
      </c>
      <c r="AD152" s="309">
        <f t="shared" si="69"/>
        <v>60.339284517339678</v>
      </c>
      <c r="AE152" s="107">
        <f t="shared" si="70"/>
        <v>5.3874361176196144E-3</v>
      </c>
      <c r="AF152" s="309">
        <f t="shared" si="77"/>
        <v>117.16837033097352</v>
      </c>
      <c r="AG152" s="107">
        <f t="shared" si="71"/>
        <v>1.0461461636694064E-2</v>
      </c>
      <c r="AH152" s="119">
        <f t="shared" si="78"/>
        <v>1.5848897754313678E-2</v>
      </c>
      <c r="AI152" s="122">
        <f t="shared" si="72"/>
        <v>1.5848897754313678E-2</v>
      </c>
      <c r="AJ152" s="87" t="b">
        <f t="shared" si="79"/>
        <v>1</v>
      </c>
      <c r="AK152" s="88">
        <f t="shared" si="83"/>
        <v>1.5650959103596807E-3</v>
      </c>
      <c r="AL152" s="312">
        <f>+AC152/'MWh by month-WgtbyCDH&amp;DayLtHrs'!AC152-1</f>
        <v>-1.9764290279559615E-2</v>
      </c>
      <c r="AM152" s="89">
        <f t="shared" si="73"/>
        <v>285504.35882701073</v>
      </c>
      <c r="AN152" s="93"/>
      <c r="AO152" s="96">
        <f t="shared" si="61"/>
        <v>58.159098829130592</v>
      </c>
      <c r="AP152" s="92">
        <f t="shared" si="60"/>
        <v>5.1927766811723751E-3</v>
      </c>
      <c r="AR152" s="94">
        <f t="shared" si="74"/>
        <v>1.5848897754313678E-2</v>
      </c>
      <c r="AS152" s="95">
        <v>888047.99240206345</v>
      </c>
      <c r="AU152" s="141">
        <v>177.50765484831319</v>
      </c>
    </row>
    <row r="153" spans="1:47">
      <c r="A153" s="78">
        <v>2017</v>
      </c>
      <c r="B153" s="78">
        <v>5</v>
      </c>
      <c r="C153" s="317">
        <f t="shared" si="81"/>
        <v>208.47875842628665</v>
      </c>
      <c r="D153" s="324">
        <f t="shared" si="80"/>
        <v>0.10603105035770212</v>
      </c>
      <c r="E153" s="321">
        <f>$D153*'MWh Impact Summary'!B$23</f>
        <v>247159.77686730729</v>
      </c>
      <c r="F153" s="319">
        <f>$D153*'MWh Impact Summary'!N$23</f>
        <v>24101.208138660222</v>
      </c>
      <c r="G153" s="319">
        <f>$D153*'MWh Impact Summary'!C$23</f>
        <v>193964.65396064939</v>
      </c>
      <c r="H153" s="319">
        <f>$D153*'MWh Impact Summary'!D$23</f>
        <v>700.17784149597537</v>
      </c>
      <c r="I153" s="319">
        <f>$D153*'MWh Impact Summary'!E$23</f>
        <v>75604.72539883951</v>
      </c>
      <c r="J153" s="104">
        <f t="shared" si="75"/>
        <v>541530.54220695235</v>
      </c>
      <c r="K153" s="298">
        <f t="shared" si="82"/>
        <v>10.533333333333333</v>
      </c>
      <c r="L153" s="300">
        <f t="shared" si="63"/>
        <v>7.4152293793265281E-2</v>
      </c>
      <c r="M153" s="297">
        <f t="shared" si="84"/>
        <v>8.4931506849315067E-2</v>
      </c>
      <c r="N153" s="304">
        <f>$L153*'MWh Impact Summary'!F$23</f>
        <v>89993.975184359224</v>
      </c>
      <c r="O153" s="304">
        <f>$L153*'MWh Impact Summary'!G$23</f>
        <v>2984.1073629934199</v>
      </c>
      <c r="P153" s="304">
        <f>$M153*'MWh Impact Summary'!H$23</f>
        <v>6150.5175305832354</v>
      </c>
      <c r="Q153" s="304">
        <f>$M153*'MWh Impact Summary'!I$23</f>
        <v>1229.0408678070755</v>
      </c>
      <c r="R153" s="304">
        <f>$M153*'MWh Impact Summary'!J$23</f>
        <v>30397.083715572728</v>
      </c>
      <c r="S153" s="304">
        <f>$M153*'MWh Impact Summary'!K$23</f>
        <v>10000.576722944348</v>
      </c>
      <c r="T153" s="304">
        <f>$M153*'MWh Impact Summary'!L$23</f>
        <v>3576.4208897997401</v>
      </c>
      <c r="U153" s="304">
        <f>$M153*'MWh Impact Summary'!M$23</f>
        <v>11025.754594752025</v>
      </c>
      <c r="V153" s="304">
        <f>$L153*'LED Impact Forecast'!$H$24+$D153*'LED Impact Forecast'!$J$24</f>
        <v>22429.518824564686</v>
      </c>
      <c r="W153" s="304">
        <f>$L153*'CFL Impact Forecast'!$H$24+$D153*'CFL Impact Forecast'!$J$24</f>
        <v>296724.82723381626</v>
      </c>
      <c r="X153" s="304">
        <f>$L153*'EISA Incand Impact Forecast'!$G$24+$D153*'EISA Incand Impact Forecast'!$I$24</f>
        <v>113357.33460414331</v>
      </c>
      <c r="Y153" s="85">
        <f t="shared" si="67"/>
        <v>587869.15753133607</v>
      </c>
      <c r="Z153" s="81">
        <f t="shared" si="68"/>
        <v>1129399.6997382883</v>
      </c>
      <c r="AA153" s="81"/>
      <c r="AB153" s="262">
        <f>+'MWh by mo-WgtbyActulCDH&amp;Days'!AB153</f>
        <v>4914208.6423511496</v>
      </c>
      <c r="AC153" s="308">
        <f t="shared" si="76"/>
        <v>229.82331071680738</v>
      </c>
      <c r="AD153" s="309">
        <f t="shared" si="69"/>
        <v>110.19689671699876</v>
      </c>
      <c r="AE153" s="107">
        <f t="shared" si="70"/>
        <v>1.0461730700980896E-2</v>
      </c>
      <c r="AF153" s="309">
        <f t="shared" si="77"/>
        <v>119.62641399980862</v>
      </c>
      <c r="AG153" s="107">
        <f t="shared" si="71"/>
        <v>1.1356938037956513E-2</v>
      </c>
      <c r="AH153" s="119">
        <f t="shared" si="78"/>
        <v>2.1818668738937411E-2</v>
      </c>
      <c r="AI153" s="122">
        <f t="shared" si="72"/>
        <v>2.1818668738937411E-2</v>
      </c>
      <c r="AJ153" s="87" t="b">
        <f t="shared" si="79"/>
        <v>1</v>
      </c>
      <c r="AK153" s="88">
        <f t="shared" si="83"/>
        <v>2.118282337857838E-3</v>
      </c>
      <c r="AL153" s="312">
        <f>+AC153/'MWh by month-WgtbyCDH&amp;DayLtHrs'!AC153-1</f>
        <v>2.4266193427155525E-2</v>
      </c>
      <c r="AM153" s="89">
        <f t="shared" si="73"/>
        <v>296724.82723381626</v>
      </c>
      <c r="AN153" s="93"/>
      <c r="AO153" s="96">
        <f t="shared" si="61"/>
        <v>60.380999023242836</v>
      </c>
      <c r="AP153" s="92">
        <f t="shared" si="60"/>
        <v>5.7323733249914086E-3</v>
      </c>
      <c r="AR153" s="94">
        <f t="shared" si="74"/>
        <v>2.1818668738937411E-2</v>
      </c>
      <c r="AS153" s="95">
        <v>1062138.4092348372</v>
      </c>
      <c r="AU153" s="141">
        <v>229.82331071680738</v>
      </c>
    </row>
    <row r="154" spans="1:47">
      <c r="A154" s="78">
        <v>2017</v>
      </c>
      <c r="B154" s="78">
        <v>6</v>
      </c>
      <c r="C154" s="317">
        <f t="shared" si="81"/>
        <v>271.66325293295364</v>
      </c>
      <c r="D154" s="324">
        <f t="shared" si="80"/>
        <v>0.13816630657965029</v>
      </c>
      <c r="E154" s="321">
        <f>$D154*'MWh Impact Summary'!B$23</f>
        <v>322067.48296467983</v>
      </c>
      <c r="F154" s="319">
        <f>$D154*'MWh Impact Summary'!N$23</f>
        <v>31405.658072727005</v>
      </c>
      <c r="G154" s="319">
        <f>$D154*'MWh Impact Summary'!C$23</f>
        <v>252750.30054246887</v>
      </c>
      <c r="H154" s="319">
        <f>$D154*'MWh Impact Summary'!D$23</f>
        <v>912.38355162991581</v>
      </c>
      <c r="I154" s="319">
        <f>$D154*'MWh Impact Summary'!E$23</f>
        <v>98518.553132181914</v>
      </c>
      <c r="J154" s="104">
        <f t="shared" si="75"/>
        <v>705654.3782636876</v>
      </c>
      <c r="K154" s="298">
        <f t="shared" si="82"/>
        <v>10.199999999999999</v>
      </c>
      <c r="L154" s="300">
        <f t="shared" si="63"/>
        <v>7.1805702217529022E-2</v>
      </c>
      <c r="M154" s="297">
        <f>(30/365)</f>
        <v>8.2191780821917804E-2</v>
      </c>
      <c r="N154" s="304">
        <f>$L154*'MWh Impact Summary'!F$23</f>
        <v>87146.064577259225</v>
      </c>
      <c r="O154" s="304">
        <f>$L154*'MWh Impact Summary'!G$23</f>
        <v>2889.6735856835012</v>
      </c>
      <c r="P154" s="304">
        <f>$M154*'MWh Impact Summary'!H$23</f>
        <v>5952.1137392740984</v>
      </c>
      <c r="Q154" s="304">
        <f>$M154*'MWh Impact Summary'!I$23</f>
        <v>1189.3943882003955</v>
      </c>
      <c r="R154" s="304">
        <f>$M154*'MWh Impact Summary'!J$23</f>
        <v>29416.532627973607</v>
      </c>
      <c r="S154" s="304">
        <f>$M154*'MWh Impact Summary'!K$23</f>
        <v>9677.9774738171109</v>
      </c>
      <c r="T154" s="304">
        <f>$M154*'MWh Impact Summary'!L$23</f>
        <v>3461.0524739997481</v>
      </c>
      <c r="U154" s="304">
        <f>$M154*'MWh Impact Summary'!M$23</f>
        <v>10670.085091695506</v>
      </c>
      <c r="V154" s="304">
        <f>$L154*'LED Impact Forecast'!$H$24+$D154*'LED Impact Forecast'!$J$24</f>
        <v>22827.451017645028</v>
      </c>
      <c r="W154" s="304">
        <f>$L154*'CFL Impact Forecast'!$H$24+$D154*'CFL Impact Forecast'!$J$24</f>
        <v>306783.89170768124</v>
      </c>
      <c r="X154" s="304">
        <f>$L154*'EISA Incand Impact Forecast'!$G$24+$D154*'EISA Incand Impact Forecast'!$I$24</f>
        <v>117695.00518165066</v>
      </c>
      <c r="Y154" s="85">
        <f t="shared" si="67"/>
        <v>597709.24186488008</v>
      </c>
      <c r="Z154" s="81">
        <f t="shared" si="68"/>
        <v>1303363.6201285678</v>
      </c>
      <c r="AA154" s="81"/>
      <c r="AB154" s="262">
        <f>+'MWh by mo-WgtbyActulCDH&amp;Days'!AB154</f>
        <v>4919416.2556081917</v>
      </c>
      <c r="AC154" s="308">
        <f t="shared" si="76"/>
        <v>264.94273962743404</v>
      </c>
      <c r="AD154" s="309">
        <f t="shared" si="69"/>
        <v>143.44270571924736</v>
      </c>
      <c r="AE154" s="107">
        <f t="shared" si="70"/>
        <v>1.4063010364632096E-2</v>
      </c>
      <c r="AF154" s="309">
        <f t="shared" si="77"/>
        <v>121.50003390818669</v>
      </c>
      <c r="AG154" s="107">
        <f t="shared" si="71"/>
        <v>1.1911768030214383E-2</v>
      </c>
      <c r="AH154" s="119">
        <f t="shared" si="78"/>
        <v>2.5974778394846479E-2</v>
      </c>
      <c r="AI154" s="122">
        <f t="shared" si="72"/>
        <v>2.5974778394846475E-2</v>
      </c>
      <c r="AJ154" s="87" t="b">
        <f t="shared" si="79"/>
        <v>1</v>
      </c>
      <c r="AK154" s="88">
        <f t="shared" si="83"/>
        <v>2.4945515158146074E-3</v>
      </c>
      <c r="AL154" s="312">
        <f>+AC154/'MWh by month-WgtbyCDH&amp;DayLtHrs'!AC154-1</f>
        <v>4.1901748541121941E-2</v>
      </c>
      <c r="AM154" s="89">
        <f t="shared" si="73"/>
        <v>306783.89170768124</v>
      </c>
      <c r="AN154" s="93"/>
      <c r="AO154" s="96">
        <f t="shared" si="61"/>
        <v>62.361848594931168</v>
      </c>
      <c r="AP154" s="92">
        <f t="shared" si="60"/>
        <v>6.1139067249932517E-3</v>
      </c>
      <c r="AR154" s="94">
        <f t="shared" si="74"/>
        <v>2.5974778394846475E-2</v>
      </c>
      <c r="AS154" s="95">
        <v>1292227.9054156456</v>
      </c>
      <c r="AU154" s="141">
        <v>264.94273962743404</v>
      </c>
    </row>
    <row r="155" spans="1:47">
      <c r="A155" s="78">
        <v>2017</v>
      </c>
      <c r="B155" s="78">
        <v>7</v>
      </c>
      <c r="C155" s="317">
        <f t="shared" si="81"/>
        <v>322.31916585708109</v>
      </c>
      <c r="D155" s="324">
        <f t="shared" si="80"/>
        <v>0.16392960109808263</v>
      </c>
      <c r="E155" s="321">
        <f>$D155*'MWh Impact Summary'!B$23</f>
        <v>382122.06228895142</v>
      </c>
      <c r="F155" s="319">
        <f>$D155*'MWh Impact Summary'!N$23</f>
        <v>37261.740054671056</v>
      </c>
      <c r="G155" s="319">
        <f>$D155*'MWh Impact Summary'!C$23</f>
        <v>299879.59417198377</v>
      </c>
      <c r="H155" s="319">
        <f>$D155*'MWh Impact Summary'!D$23</f>
        <v>1082.5119044556757</v>
      </c>
      <c r="I155" s="319">
        <f>$D155*'MWh Impact Summary'!E$23</f>
        <v>116888.89654445968</v>
      </c>
      <c r="J155" s="104">
        <f t="shared" si="75"/>
        <v>837234.80496452167</v>
      </c>
      <c r="K155" s="298">
        <f t="shared" si="82"/>
        <v>10.366666666666667</v>
      </c>
      <c r="L155" s="300">
        <f t="shared" si="63"/>
        <v>7.2978998005397158E-2</v>
      </c>
      <c r="M155" s="297">
        <f t="shared" si="84"/>
        <v>8.4931506849315067E-2</v>
      </c>
      <c r="N155" s="304">
        <f>$L155*'MWh Impact Summary'!F$23</f>
        <v>88570.019880809225</v>
      </c>
      <c r="O155" s="304">
        <f>$L155*'MWh Impact Summary'!G$23</f>
        <v>2936.890474338461</v>
      </c>
      <c r="P155" s="304">
        <f>$M155*'MWh Impact Summary'!H$23</f>
        <v>6150.5175305832354</v>
      </c>
      <c r="Q155" s="304">
        <f>$M155*'MWh Impact Summary'!I$23</f>
        <v>1229.0408678070755</v>
      </c>
      <c r="R155" s="304">
        <f>$M155*'MWh Impact Summary'!J$23</f>
        <v>30397.083715572728</v>
      </c>
      <c r="S155" s="304">
        <f>$M155*'MWh Impact Summary'!K$23</f>
        <v>10000.576722944348</v>
      </c>
      <c r="T155" s="304">
        <f>$M155*'MWh Impact Summary'!L$23</f>
        <v>3576.4208897997401</v>
      </c>
      <c r="U155" s="304">
        <f>$M155*'MWh Impact Summary'!M$23</f>
        <v>11025.754594752025</v>
      </c>
      <c r="V155" s="304">
        <f>$L155*'LED Impact Forecast'!$H$24+$D155*'LED Impact Forecast'!$J$24</f>
        <v>23934.102632430709</v>
      </c>
      <c r="W155" s="304">
        <f>$L155*'CFL Impact Forecast'!$H$24+$D155*'CFL Impact Forecast'!$J$24</f>
        <v>324677.94542838237</v>
      </c>
      <c r="X155" s="304">
        <f>$L155*'EISA Incand Impact Forecast'!$G$24+$D155*'EISA Incand Impact Forecast'!$I$24</f>
        <v>124866.85175324359</v>
      </c>
      <c r="Y155" s="85">
        <f t="shared" si="67"/>
        <v>627365.20449066348</v>
      </c>
      <c r="Z155" s="81">
        <f t="shared" si="68"/>
        <v>1464600.0094551852</v>
      </c>
      <c r="AA155" s="81"/>
      <c r="AB155" s="262">
        <f>+'MWh by mo-WgtbyActulCDH&amp;Days'!AB155</f>
        <v>4925689.6397420345</v>
      </c>
      <c r="AC155" s="308">
        <f t="shared" si="76"/>
        <v>297.33907667229482</v>
      </c>
      <c r="AD155" s="309">
        <f t="shared" si="69"/>
        <v>169.97311365487673</v>
      </c>
      <c r="AE155" s="107">
        <f t="shared" si="70"/>
        <v>1.6396120288251773E-2</v>
      </c>
      <c r="AF155" s="309">
        <f t="shared" si="77"/>
        <v>127.36596301741811</v>
      </c>
      <c r="AG155" s="107">
        <f t="shared" si="71"/>
        <v>1.2286105757307214E-2</v>
      </c>
      <c r="AH155" s="119">
        <f t="shared" si="78"/>
        <v>2.8682226045558985E-2</v>
      </c>
      <c r="AI155" s="122">
        <f t="shared" si="72"/>
        <v>2.8682226045558985E-2</v>
      </c>
      <c r="AJ155" s="87" t="b">
        <f t="shared" si="79"/>
        <v>1</v>
      </c>
      <c r="AK155" s="88">
        <f t="shared" si="83"/>
        <v>2.7444920302214411E-3</v>
      </c>
      <c r="AL155" s="312">
        <f>+AC155/'MWh by month-WgtbyCDH&amp;DayLtHrs'!AC155-1</f>
        <v>5.333783462442776E-2</v>
      </c>
      <c r="AM155" s="89">
        <f t="shared" si="73"/>
        <v>324677.94542838237</v>
      </c>
      <c r="AN155" s="93"/>
      <c r="AO155" s="96">
        <f t="shared" si="61"/>
        <v>65.915225922635727</v>
      </c>
      <c r="AP155" s="92">
        <f t="shared" si="60"/>
        <v>6.3583819217976579E-3</v>
      </c>
      <c r="AR155" s="94">
        <f t="shared" si="74"/>
        <v>2.8682226045558985E-2</v>
      </c>
      <c r="AS155" s="95">
        <v>1357227.0173592614</v>
      </c>
      <c r="AU155" s="141">
        <v>297.33907667229482</v>
      </c>
    </row>
    <row r="156" spans="1:47">
      <c r="A156" s="78">
        <v>2017</v>
      </c>
      <c r="B156" s="78">
        <v>8</v>
      </c>
      <c r="C156" s="317">
        <f t="shared" si="81"/>
        <v>326.45437890907908</v>
      </c>
      <c r="D156" s="324">
        <f t="shared" si="80"/>
        <v>0.16603274573816959</v>
      </c>
      <c r="E156" s="321">
        <f>$D156*'MWh Impact Summary'!B$23</f>
        <v>387024.52018416178</v>
      </c>
      <c r="F156" s="319">
        <f>$D156*'MWh Impact Summary'!N$23</f>
        <v>37739.791781457156</v>
      </c>
      <c r="G156" s="319">
        <f>$D156*'MWh Impact Summary'!C$23</f>
        <v>303726.91739444988</v>
      </c>
      <c r="H156" s="319">
        <f>$D156*'MWh Impact Summary'!D$23</f>
        <v>1096.4000557989104</v>
      </c>
      <c r="I156" s="319">
        <f>$D156*'MWh Impact Summary'!E$23</f>
        <v>118388.52964675748</v>
      </c>
      <c r="J156" s="104">
        <f t="shared" si="75"/>
        <v>847976.15906262526</v>
      </c>
      <c r="K156" s="298">
        <f t="shared" si="82"/>
        <v>10.933333333333334</v>
      </c>
      <c r="L156" s="300">
        <f>L144</f>
        <v>7.6968203684148764E-2</v>
      </c>
      <c r="M156" s="297">
        <f t="shared" si="84"/>
        <v>8.4931506849315067E-2</v>
      </c>
      <c r="N156" s="304">
        <f>$L156*'MWh Impact Summary'!F$23</f>
        <v>93411.467912879176</v>
      </c>
      <c r="O156" s="304">
        <f>$L156*'MWh Impact Summary'!G$23</f>
        <v>3097.4278957653219</v>
      </c>
      <c r="P156" s="304">
        <f>$M156*'MWh Impact Summary'!H$23</f>
        <v>6150.5175305832354</v>
      </c>
      <c r="Q156" s="304">
        <f>$M156*'MWh Impact Summary'!I$23</f>
        <v>1229.0408678070755</v>
      </c>
      <c r="R156" s="304">
        <f>$M156*'MWh Impact Summary'!J$23</f>
        <v>30397.083715572728</v>
      </c>
      <c r="S156" s="304">
        <f>$M156*'MWh Impact Summary'!K$23</f>
        <v>10000.576722944348</v>
      </c>
      <c r="T156" s="304">
        <f>$M156*'MWh Impact Summary'!L$23</f>
        <v>3576.4208897997401</v>
      </c>
      <c r="U156" s="304">
        <f>$M156*'MWh Impact Summary'!M$23</f>
        <v>11025.754594752025</v>
      </c>
      <c r="V156" s="304">
        <f>$L156*'LED Impact Forecast'!$H$24+$D156*'LED Impact Forecast'!$J$24</f>
        <v>25028.358535619624</v>
      </c>
      <c r="W156" s="304">
        <f>$L156*'CFL Impact Forecast'!$H$24+$D156*'CFL Impact Forecast'!$J$24</f>
        <v>338667.58976512228</v>
      </c>
      <c r="X156" s="304">
        <f>$L156*'EISA Incand Impact Forecast'!$G$24+$D156*'EISA Incand Impact Forecast'!$I$24</f>
        <v>130161.08729490255</v>
      </c>
      <c r="Y156" s="85">
        <f t="shared" si="67"/>
        <v>652745.32572574809</v>
      </c>
      <c r="Z156" s="81">
        <f t="shared" si="68"/>
        <v>1500721.4847883733</v>
      </c>
      <c r="AA156" s="81"/>
      <c r="AB156" s="262">
        <f>+'MWh by mo-WgtbyActulCDH&amp;Days'!AB156</f>
        <v>4932512.8426490845</v>
      </c>
      <c r="AC156" s="308">
        <f t="shared" si="76"/>
        <v>304.2509026661524</v>
      </c>
      <c r="AD156" s="309">
        <f t="shared" si="69"/>
        <v>171.91565153780851</v>
      </c>
      <c r="AE156" s="107">
        <f t="shared" si="70"/>
        <v>1.5723992518701997E-2</v>
      </c>
      <c r="AF156" s="309">
        <f t="shared" si="77"/>
        <v>132.33525112834391</v>
      </c>
      <c r="AG156" s="107">
        <f t="shared" si="71"/>
        <v>1.2103833944665601E-2</v>
      </c>
      <c r="AH156" s="119">
        <f t="shared" si="78"/>
        <v>2.7827826463367598E-2</v>
      </c>
      <c r="AI156" s="122">
        <f t="shared" si="72"/>
        <v>2.7827826463367598E-2</v>
      </c>
      <c r="AJ156" s="87" t="b">
        <f t="shared" si="79"/>
        <v>1</v>
      </c>
      <c r="AK156" s="88">
        <f t="shared" si="83"/>
        <v>2.6632902547545564E-3</v>
      </c>
      <c r="AL156" s="312">
        <f>+AC156/'MWh by month-WgtbyCDH&amp;DayLtHrs'!AC156-1</f>
        <v>5.0872299172630031E-2</v>
      </c>
      <c r="AM156" s="89">
        <f t="shared" si="73"/>
        <v>338667.58976512228</v>
      </c>
      <c r="AN156" s="93"/>
      <c r="AO156" s="96">
        <f t="shared" si="61"/>
        <v>68.66025504015424</v>
      </c>
      <c r="AP156" s="92">
        <f t="shared" si="60"/>
        <v>6.2799013756238637E-3</v>
      </c>
      <c r="AR156" s="94">
        <f t="shared" si="74"/>
        <v>2.7827826463367598E-2</v>
      </c>
      <c r="AS156" s="95">
        <v>1410892.9277387722</v>
      </c>
      <c r="AU156" s="141">
        <v>304.2509026661524</v>
      </c>
    </row>
    <row r="157" spans="1:47">
      <c r="A157" s="78">
        <v>2017</v>
      </c>
      <c r="B157" s="78">
        <v>9</v>
      </c>
      <c r="C157" s="317">
        <f t="shared" si="81"/>
        <v>277.87653293728147</v>
      </c>
      <c r="D157" s="324">
        <f t="shared" si="80"/>
        <v>0.14132634365008559</v>
      </c>
      <c r="E157" s="321">
        <f>$D157*'MWh Impact Summary'!B$23</f>
        <v>329433.57105478499</v>
      </c>
      <c r="F157" s="319">
        <f>$D157*'MWh Impact Summary'!N$23</f>
        <v>32123.944941559395</v>
      </c>
      <c r="G157" s="319">
        <f>$D157*'MWh Impact Summary'!C$23</f>
        <v>258531.01755698523</v>
      </c>
      <c r="H157" s="319">
        <f>$D157*'MWh Impact Summary'!D$23</f>
        <v>933.25091008350421</v>
      </c>
      <c r="I157" s="319">
        <f>$D157*'MWh Impact Summary'!E$23</f>
        <v>100771.79625440342</v>
      </c>
      <c r="J157" s="104">
        <f t="shared" si="75"/>
        <v>721793.5807178166</v>
      </c>
      <c r="K157" s="298">
        <f t="shared" si="82"/>
        <v>11.683333333333334</v>
      </c>
      <c r="L157" s="300">
        <f t="shared" si="63"/>
        <v>8.2248034729555317E-2</v>
      </c>
      <c r="M157" s="297">
        <f>(30/365)</f>
        <v>8.2191780821917804E-2</v>
      </c>
      <c r="N157" s="304">
        <f>$L157*'MWh Impact Summary'!F$23</f>
        <v>99819.266778854129</v>
      </c>
      <c r="O157" s="304">
        <f>$L157*'MWh Impact Summary'!G$23</f>
        <v>3309.9038947126382</v>
      </c>
      <c r="P157" s="304">
        <f>$M157*'MWh Impact Summary'!H$23</f>
        <v>5952.1137392740984</v>
      </c>
      <c r="Q157" s="304">
        <f>$M157*'MWh Impact Summary'!I$23</f>
        <v>1189.3943882003955</v>
      </c>
      <c r="R157" s="304">
        <f>$M157*'MWh Impact Summary'!J$23</f>
        <v>29416.532627973607</v>
      </c>
      <c r="S157" s="304">
        <f>$M157*'MWh Impact Summary'!K$23</f>
        <v>9677.9774738171109</v>
      </c>
      <c r="T157" s="304">
        <f>$M157*'MWh Impact Summary'!L$23</f>
        <v>3461.0524739997481</v>
      </c>
      <c r="U157" s="304">
        <f>$M157*'MWh Impact Summary'!M$23</f>
        <v>10670.085091695506</v>
      </c>
      <c r="V157" s="304">
        <f>$L157*'LED Impact Forecast'!$H$24+$D157*'LED Impact Forecast'!$J$24</f>
        <v>25618.627225038224</v>
      </c>
      <c r="W157" s="304">
        <f>$L157*'CFL Impact Forecast'!$H$24+$D157*'CFL Impact Forecast'!$J$24</f>
        <v>342118.63076971041</v>
      </c>
      <c r="X157" s="304">
        <f>$L157*'EISA Incand Impact Forecast'!$G$24+$D157*'EISA Incand Impact Forecast'!$I$24</f>
        <v>131029.75935938655</v>
      </c>
      <c r="Y157" s="85">
        <f t="shared" si="67"/>
        <v>662263.34382266237</v>
      </c>
      <c r="Z157" s="81">
        <f t="shared" si="68"/>
        <v>1384056.924540479</v>
      </c>
      <c r="AA157" s="81"/>
      <c r="AB157" s="262">
        <f>+'MWh by mo-WgtbyActulCDH&amp;Days'!AB157</f>
        <v>4937360.4766257806</v>
      </c>
      <c r="AC157" s="308">
        <f t="shared" si="76"/>
        <v>280.32324783511677</v>
      </c>
      <c r="AD157" s="309">
        <f t="shared" si="69"/>
        <v>146.19017269144067</v>
      </c>
      <c r="AE157" s="107">
        <f t="shared" si="70"/>
        <v>1.2512710929367246E-2</v>
      </c>
      <c r="AF157" s="309">
        <f t="shared" si="77"/>
        <v>134.13307514367611</v>
      </c>
      <c r="AG157" s="107">
        <f t="shared" si="71"/>
        <v>1.1480719698460153E-2</v>
      </c>
      <c r="AH157" s="119">
        <f t="shared" si="78"/>
        <v>2.3993430627827397E-2</v>
      </c>
      <c r="AI157" s="122">
        <f t="shared" si="72"/>
        <v>2.3993430627827397E-2</v>
      </c>
      <c r="AJ157" s="87" t="b">
        <f t="shared" si="79"/>
        <v>1</v>
      </c>
      <c r="AK157" s="88">
        <f t="shared" si="83"/>
        <v>2.3012534275619369E-3</v>
      </c>
      <c r="AL157" s="312">
        <f>+AC157/'MWh by month-WgtbyCDH&amp;DayLtHrs'!AC157-1</f>
        <v>3.4821132882425054E-2</v>
      </c>
      <c r="AM157" s="89">
        <f t="shared" si="73"/>
        <v>342118.63076971041</v>
      </c>
      <c r="AN157" s="93"/>
      <c r="AO157" s="96">
        <f t="shared" si="61"/>
        <v>69.29180731067791</v>
      </c>
      <c r="AP157" s="92">
        <f t="shared" si="60"/>
        <v>5.9308251621122314E-3</v>
      </c>
      <c r="AR157" s="94">
        <f t="shared" si="74"/>
        <v>2.3993430627827397E-2</v>
      </c>
      <c r="AS157" s="95">
        <v>1334004.0496220316</v>
      </c>
      <c r="AU157" s="141">
        <v>280.32324783511677</v>
      </c>
    </row>
    <row r="158" spans="1:47">
      <c r="A158" s="78">
        <v>2017</v>
      </c>
      <c r="B158" s="78">
        <v>10</v>
      </c>
      <c r="C158" s="317">
        <f t="shared" si="81"/>
        <v>198.89039579254836</v>
      </c>
      <c r="D158" s="324">
        <f t="shared" si="80"/>
        <v>0.10115446643644242</v>
      </c>
      <c r="E158" s="321">
        <f>$D158*'MWh Impact Summary'!B$23</f>
        <v>235792.39542774681</v>
      </c>
      <c r="F158" s="319">
        <f>$D158*'MWh Impact Summary'!N$23</f>
        <v>22992.74449809999</v>
      </c>
      <c r="G158" s="319">
        <f>$D158*'MWh Impact Summary'!C$23</f>
        <v>185043.82454694269</v>
      </c>
      <c r="H158" s="319">
        <f>$D158*'MWh Impact Summary'!D$23</f>
        <v>667.9752367651663</v>
      </c>
      <c r="I158" s="319">
        <f>$D158*'MWh Impact Summary'!E$23</f>
        <v>72127.510120791922</v>
      </c>
      <c r="J158" s="104">
        <f t="shared" si="75"/>
        <v>516624.44983034657</v>
      </c>
      <c r="K158" s="298">
        <f t="shared" si="82"/>
        <v>12.466666666666667</v>
      </c>
      <c r="L158" s="300">
        <f t="shared" si="63"/>
        <v>8.7762524932535488E-2</v>
      </c>
      <c r="M158" s="297">
        <f t="shared" si="84"/>
        <v>8.4931506849315067E-2</v>
      </c>
      <c r="N158" s="304">
        <f>$L158*'MWh Impact Summary'!F$23</f>
        <v>106511.85670553907</v>
      </c>
      <c r="O158" s="304">
        <f>$L158*'MWh Impact Summary'!G$23</f>
        <v>3531.8232713909465</v>
      </c>
      <c r="P158" s="304">
        <f>$M158*'MWh Impact Summary'!H$23</f>
        <v>6150.5175305832354</v>
      </c>
      <c r="Q158" s="304">
        <f>$M158*'MWh Impact Summary'!I$23</f>
        <v>1229.0408678070755</v>
      </c>
      <c r="R158" s="304">
        <f>$M158*'MWh Impact Summary'!J$23</f>
        <v>30397.083715572728</v>
      </c>
      <c r="S158" s="304">
        <f>$M158*'MWh Impact Summary'!K$23</f>
        <v>10000.576722944348</v>
      </c>
      <c r="T158" s="304">
        <f>$M158*'MWh Impact Summary'!L$23</f>
        <v>3576.4208897997401</v>
      </c>
      <c r="U158" s="304">
        <f>$M158*'MWh Impact Summary'!M$23</f>
        <v>11025.754594752025</v>
      </c>
      <c r="V158" s="304">
        <f>$L158*'LED Impact Forecast'!$H$24+$D158*'LED Impact Forecast'!$J$24</f>
        <v>25786.697496688801</v>
      </c>
      <c r="W158" s="304">
        <f>$L158*'CFL Impact Forecast'!$H$24+$D158*'CFL Impact Forecast'!$J$24</f>
        <v>337849.62660046853</v>
      </c>
      <c r="X158" s="304">
        <f>$L158*'EISA Incand Impact Forecast'!$G$24+$D158*'EISA Incand Impact Forecast'!$I$24</f>
        <v>128728.85183112428</v>
      </c>
      <c r="Y158" s="85">
        <f t="shared" si="67"/>
        <v>664788.25022667076</v>
      </c>
      <c r="Z158" s="81">
        <f t="shared" si="68"/>
        <v>1181412.7000570174</v>
      </c>
      <c r="AA158" s="81"/>
      <c r="AB158" s="262">
        <f>+'MWh by mo-WgtbyActulCDH&amp;Days'!AB158</f>
        <v>4942855.5525092389</v>
      </c>
      <c r="AC158" s="308">
        <f t="shared" si="76"/>
        <v>239.01420697136771</v>
      </c>
      <c r="AD158" s="309">
        <f t="shared" si="69"/>
        <v>104.51943099330151</v>
      </c>
      <c r="AE158" s="107">
        <f t="shared" si="70"/>
        <v>8.3839115770027953E-3</v>
      </c>
      <c r="AF158" s="309">
        <f t="shared" si="77"/>
        <v>134.4947759780662</v>
      </c>
      <c r="AG158" s="107">
        <f t="shared" si="71"/>
        <v>1.0788351014283385E-2</v>
      </c>
      <c r="AH158" s="119">
        <f t="shared" si="78"/>
        <v>1.9172262591286182E-2</v>
      </c>
      <c r="AI158" s="122">
        <f t="shared" si="72"/>
        <v>1.9172262591286182E-2</v>
      </c>
      <c r="AJ158" s="87" t="b">
        <f t="shared" si="79"/>
        <v>1</v>
      </c>
      <c r="AK158" s="88">
        <f t="shared" si="83"/>
        <v>1.8597094508409698E-3</v>
      </c>
      <c r="AL158" s="312">
        <f>+AC158/'MWh by month-WgtbyCDH&amp;DayLtHrs'!AC158-1</f>
        <v>1.019333579020687E-2</v>
      </c>
      <c r="AM158" s="89">
        <f t="shared" si="73"/>
        <v>337849.62660046853</v>
      </c>
      <c r="AN158" s="93"/>
      <c r="AO158" s="96">
        <f t="shared" si="61"/>
        <v>68.351102517847053</v>
      </c>
      <c r="AP158" s="92">
        <f t="shared" si="60"/>
        <v>5.4827087581160736E-3</v>
      </c>
      <c r="AR158" s="94">
        <f t="shared" si="74"/>
        <v>1.9172262591286182E-2</v>
      </c>
      <c r="AS158" s="95">
        <v>1078209.4451565538</v>
      </c>
      <c r="AU158" s="141">
        <v>239.01420697136771</v>
      </c>
    </row>
    <row r="159" spans="1:47">
      <c r="A159" s="78">
        <v>2017</v>
      </c>
      <c r="B159" s="78">
        <v>11</v>
      </c>
      <c r="C159" s="317">
        <f t="shared" si="81"/>
        <v>78.117279066674627</v>
      </c>
      <c r="D159" s="324">
        <f t="shared" si="80"/>
        <v>3.9729981188725644E-2</v>
      </c>
      <c r="E159" s="321">
        <f>$D159*'MWh Impact Summary'!B$23</f>
        <v>92611.110164622121</v>
      </c>
      <c r="F159" s="319">
        <f>$D159*'MWh Impact Summary'!N$23</f>
        <v>9030.7560166971034</v>
      </c>
      <c r="G159" s="319">
        <f>$D159*'MWh Impact Summary'!C$23</f>
        <v>72678.824053302407</v>
      </c>
      <c r="H159" s="319">
        <f>$D159*'MWh Impact Summary'!D$23</f>
        <v>262.35760541418529</v>
      </c>
      <c r="I159" s="319">
        <f>$D159*'MWh Impact Summary'!E$23</f>
        <v>28329.195153129658</v>
      </c>
      <c r="J159" s="104">
        <f t="shared" si="75"/>
        <v>202912.24299316548</v>
      </c>
      <c r="K159" s="298">
        <f t="shared" si="82"/>
        <v>13.15</v>
      </c>
      <c r="L159" s="300">
        <f t="shared" si="63"/>
        <v>9.2573037662794788E-2</v>
      </c>
      <c r="M159" s="297">
        <f>(30/365)</f>
        <v>8.2191780821917804E-2</v>
      </c>
      <c r="N159" s="304">
        <f>$L159*'MWh Impact Summary'!F$23</f>
        <v>112350.07345009402</v>
      </c>
      <c r="O159" s="304">
        <f>$L159*'MWh Impact Summary'!G$23</f>
        <v>3725.4125148762791</v>
      </c>
      <c r="P159" s="304">
        <f>$M159*'MWh Impact Summary'!H$23</f>
        <v>5952.1137392740984</v>
      </c>
      <c r="Q159" s="304">
        <f>$M159*'MWh Impact Summary'!I$23</f>
        <v>1189.3943882003955</v>
      </c>
      <c r="R159" s="304">
        <f>$M159*'MWh Impact Summary'!J$23</f>
        <v>29416.532627973607</v>
      </c>
      <c r="S159" s="304">
        <f>$M159*'MWh Impact Summary'!K$23</f>
        <v>9677.9774738171109</v>
      </c>
      <c r="T159" s="304">
        <f>$M159*'MWh Impact Summary'!L$23</f>
        <v>3461.0524739997481</v>
      </c>
      <c r="U159" s="304">
        <f>$M159*'MWh Impact Summary'!M$23</f>
        <v>10670.085091695506</v>
      </c>
      <c r="V159" s="304">
        <f>$L159*'LED Impact Forecast'!$H$24+$D159*'LED Impact Forecast'!$J$24</f>
        <v>25109.916019681761</v>
      </c>
      <c r="W159" s="304">
        <f>$L159*'CFL Impact Forecast'!$H$24+$D159*'CFL Impact Forecast'!$J$24</f>
        <v>319668.69893836387</v>
      </c>
      <c r="X159" s="304">
        <f>$L159*'EISA Incand Impact Forecast'!$G$24+$D159*'EISA Incand Impact Forecast'!$I$24</f>
        <v>120830.91778761482</v>
      </c>
      <c r="Y159" s="85">
        <f t="shared" si="67"/>
        <v>642052.17450559116</v>
      </c>
      <c r="Z159" s="81">
        <f t="shared" si="68"/>
        <v>844964.41749875667</v>
      </c>
      <c r="AA159" s="81"/>
      <c r="AB159" s="262">
        <f>+'MWh by mo-WgtbyActulCDH&amp;Days'!AB159</f>
        <v>4948496.4210517863</v>
      </c>
      <c r="AC159" s="308">
        <f t="shared" si="76"/>
        <v>170.75174873404521</v>
      </c>
      <c r="AD159" s="309">
        <f t="shared" si="69"/>
        <v>41.00482767451151</v>
      </c>
      <c r="AE159" s="107">
        <f t="shared" si="70"/>
        <v>3.1182378459704571E-3</v>
      </c>
      <c r="AF159" s="309">
        <f t="shared" si="77"/>
        <v>129.74692105953369</v>
      </c>
      <c r="AG159" s="107">
        <f t="shared" si="71"/>
        <v>9.8666860121318402E-3</v>
      </c>
      <c r="AH159" s="119">
        <f t="shared" si="78"/>
        <v>1.2984923858102296E-2</v>
      </c>
      <c r="AI159" s="122">
        <f t="shared" si="72"/>
        <v>1.2984923858102296E-2</v>
      </c>
      <c r="AJ159" s="87" t="b">
        <f t="shared" si="79"/>
        <v>1</v>
      </c>
      <c r="AK159" s="88">
        <f t="shared" si="83"/>
        <v>1.2883694449031327E-3</v>
      </c>
      <c r="AL159" s="312">
        <f>+AC159/'MWh by month-WgtbyCDH&amp;DayLtHrs'!AC159-1</f>
        <v>-4.8688598129158933E-2</v>
      </c>
      <c r="AM159" s="89">
        <f t="shared" si="73"/>
        <v>319668.69893836387</v>
      </c>
      <c r="AN159" s="93"/>
      <c r="AO159" s="96">
        <f t="shared" si="61"/>
        <v>64.599157347762485</v>
      </c>
      <c r="AP159" s="92">
        <f t="shared" si="60"/>
        <v>4.9124834484990483E-3</v>
      </c>
      <c r="AR159" s="94">
        <f t="shared" si="74"/>
        <v>1.2984923858102296E-2</v>
      </c>
      <c r="AS159" s="95">
        <v>837522.03634758166</v>
      </c>
      <c r="AU159" s="141">
        <v>170.75174873404521</v>
      </c>
    </row>
    <row r="160" spans="1:47">
      <c r="A160" s="78">
        <v>2017</v>
      </c>
      <c r="B160" s="78">
        <v>12</v>
      </c>
      <c r="C160" s="317">
        <f t="shared" si="81"/>
        <v>42.633806123140985</v>
      </c>
      <c r="D160" s="324">
        <f t="shared" si="80"/>
        <v>2.1683298951445065E-2</v>
      </c>
      <c r="E160" s="321">
        <f>$D160*'MWh Impact Summary'!B$23</f>
        <v>50544.055845024304</v>
      </c>
      <c r="F160" s="319">
        <f>$D160*'MWh Impact Summary'!N$23</f>
        <v>4928.6855067319357</v>
      </c>
      <c r="G160" s="319">
        <f>$D160*'MWh Impact Summary'!C$23</f>
        <v>39665.678720090546</v>
      </c>
      <c r="H160" s="319">
        <f>$D160*'MWh Impact Summary'!D$23</f>
        <v>143.18603281884697</v>
      </c>
      <c r="I160" s="319">
        <f>$D160*'MWh Impact Summary'!E$23</f>
        <v>15461.13008816257</v>
      </c>
      <c r="J160" s="104">
        <f t="shared" si="75"/>
        <v>110742.73619282819</v>
      </c>
      <c r="K160" s="298">
        <f t="shared" si="82"/>
        <v>13.483333333333333</v>
      </c>
      <c r="L160" s="300">
        <f t="shared" si="63"/>
        <v>9.491962923853102E-2</v>
      </c>
      <c r="M160" s="297">
        <f t="shared" si="84"/>
        <v>8.4931506849315067E-2</v>
      </c>
      <c r="N160" s="304">
        <f>$L160*'MWh Impact Summary'!F$23</f>
        <v>115197.98405719399</v>
      </c>
      <c r="O160" s="304">
        <f>$L160*'MWh Impact Summary'!G$23</f>
        <v>3819.8462921861969</v>
      </c>
      <c r="P160" s="304">
        <f>$M160*'MWh Impact Summary'!H$23</f>
        <v>6150.5175305832354</v>
      </c>
      <c r="Q160" s="304">
        <f>$M160*'MWh Impact Summary'!I$23</f>
        <v>1229.0408678070755</v>
      </c>
      <c r="R160" s="304">
        <f>$M160*'MWh Impact Summary'!J$23</f>
        <v>30397.083715572728</v>
      </c>
      <c r="S160" s="304">
        <f>$M160*'MWh Impact Summary'!K$23</f>
        <v>10000.576722944348</v>
      </c>
      <c r="T160" s="304">
        <f>$M160*'MWh Impact Summary'!L$23</f>
        <v>3576.4208897997401</v>
      </c>
      <c r="U160" s="304">
        <f>$M160*'MWh Impact Summary'!M$23</f>
        <v>11025.754594752025</v>
      </c>
      <c r="V160" s="304">
        <f>$L160*'LED Impact Forecast'!$H$24+$D160*'LED Impact Forecast'!$J$24</f>
        <v>25151.713351208549</v>
      </c>
      <c r="W160" s="304">
        <f>$L160*'CFL Impact Forecast'!$H$24+$D160*'CFL Impact Forecast'!$J$24</f>
        <v>317330.25395977549</v>
      </c>
      <c r="X160" s="304">
        <f>$L160*'EISA Incand Impact Forecast'!$G$24+$D160*'EISA Incand Impact Forecast'!$I$24</f>
        <v>119639.17082796773</v>
      </c>
      <c r="Y160" s="85">
        <f t="shared" si="67"/>
        <v>643518.36280979111</v>
      </c>
      <c r="Z160" s="81">
        <f t="shared" si="68"/>
        <v>754261.09900261927</v>
      </c>
      <c r="AA160" s="81">
        <f>SUM(Z149:Z160)</f>
        <v>12583370.232092246</v>
      </c>
      <c r="AB160" s="262">
        <f>+'MWh by mo-WgtbyActulCDH&amp;Days'!AB160</f>
        <v>4954254.5070241485</v>
      </c>
      <c r="AC160" s="308">
        <f t="shared" si="76"/>
        <v>152.24512546402832</v>
      </c>
      <c r="AD160" s="309">
        <f t="shared" si="69"/>
        <v>22.353057566141789</v>
      </c>
      <c r="AE160" s="107">
        <f t="shared" si="70"/>
        <v>1.6578287440896259E-3</v>
      </c>
      <c r="AF160" s="309">
        <f t="shared" si="77"/>
        <v>129.89206789788653</v>
      </c>
      <c r="AG160" s="107">
        <f t="shared" si="71"/>
        <v>9.6335279034279273E-3</v>
      </c>
      <c r="AH160" s="119">
        <f t="shared" si="78"/>
        <v>1.1291356647517552E-2</v>
      </c>
      <c r="AI160" s="122">
        <f t="shared" si="72"/>
        <v>1.1291356647517552E-2</v>
      </c>
      <c r="AJ160" s="87" t="b">
        <f t="shared" si="79"/>
        <v>1</v>
      </c>
      <c r="AK160" s="88">
        <f t="shared" si="83"/>
        <v>1.1355783645554222E-3</v>
      </c>
      <c r="AL160" s="312">
        <f>+AC160/'MWh by month-WgtbyCDH&amp;DayLtHrs'!AC160-1</f>
        <v>-7.0947350189874636E-2</v>
      </c>
      <c r="AM160" s="89">
        <f t="shared" si="73"/>
        <v>317330.25395977549</v>
      </c>
      <c r="AN160" s="90">
        <f>SUM(AM149:AM160)</f>
        <v>3765966.9199525113</v>
      </c>
      <c r="AO160" s="96">
        <f t="shared" si="61"/>
        <v>64.052069490952519</v>
      </c>
      <c r="AP160" s="92">
        <f t="shared" si="60"/>
        <v>4.7504625085996932E-3</v>
      </c>
      <c r="AR160" s="94">
        <f t="shared" si="74"/>
        <v>1.1291356647517552E-2</v>
      </c>
      <c r="AS160" s="95">
        <v>693785.17810445942</v>
      </c>
      <c r="AU160" s="141">
        <v>152.24512546402832</v>
      </c>
    </row>
    <row r="161" spans="1:47">
      <c r="A161" s="78">
        <v>2018</v>
      </c>
      <c r="B161" s="78">
        <v>1</v>
      </c>
      <c r="C161" s="317">
        <f t="shared" si="81"/>
        <v>26.112829868525239</v>
      </c>
      <c r="D161" s="324">
        <f t="shared" si="80"/>
        <v>1.3280829182176284E-2</v>
      </c>
      <c r="E161" s="321">
        <f>$D161*'MWh Impact Summary'!B$24</f>
        <v>34436.708096721777</v>
      </c>
      <c r="F161" s="319">
        <f>$D161*'MWh Impact Summary'!N$24</f>
        <v>3746.203134958469</v>
      </c>
      <c r="G161" s="319">
        <f>$D161*'MWh Impact Summary'!C$24</f>
        <v>26459.338190352402</v>
      </c>
      <c r="H161" s="319">
        <f>$D161*'MWh Impact Summary'!D$24</f>
        <v>98.953301802887808</v>
      </c>
      <c r="I161" s="319">
        <f>$D161*'MWh Impact Summary'!E$24</f>
        <v>10239.888238488184</v>
      </c>
      <c r="J161" s="104">
        <f t="shared" si="75"/>
        <v>74981.090962323724</v>
      </c>
      <c r="K161" s="298">
        <f t="shared" si="82"/>
        <v>13.3</v>
      </c>
      <c r="L161" s="300">
        <f t="shared" si="63"/>
        <v>9.3629003871876101E-2</v>
      </c>
      <c r="M161" s="297">
        <f>(31/365)</f>
        <v>8.4931506849315067E-2</v>
      </c>
      <c r="N161" s="304">
        <f>$L161*'MWh Impact Summary'!F$24</f>
        <v>125656.42259291024</v>
      </c>
      <c r="O161" s="304">
        <f>$L161*'MWh Impact Summary'!G$24</f>
        <v>6199.9413981308535</v>
      </c>
      <c r="P161" s="304">
        <f>$M161*'MWh Impact Summary'!H$24</f>
        <v>7316.5057456947579</v>
      </c>
      <c r="Q161" s="304">
        <f>$M161*'MWh Impact Summary'!I$24</f>
        <v>1321.6387820043992</v>
      </c>
      <c r="R161" s="304">
        <f>$M161*'MWh Impact Summary'!J$24</f>
        <v>34717.908095217281</v>
      </c>
      <c r="S161" s="304">
        <f>$M161*'MWh Impact Summary'!K$24</f>
        <v>13300.229568617904</v>
      </c>
      <c r="T161" s="304">
        <f>$M161*'MWh Impact Summary'!L$24</f>
        <v>4853.8089668765797</v>
      </c>
      <c r="U161" s="304">
        <f>$M161*'MWh Impact Summary'!M$24</f>
        <v>15461.815569925069</v>
      </c>
      <c r="V161" s="304">
        <f>$L161*'LED Impact Forecast'!$H$25+$D161*'LED Impact Forecast'!$J$25</f>
        <v>40452.3880954286</v>
      </c>
      <c r="W161" s="304">
        <f>$L161*'CFL Impact Forecast'!$H$25+$D161*'CFL Impact Forecast'!$J$25</f>
        <v>317702.22721476649</v>
      </c>
      <c r="X161" s="304">
        <f>$L161*'EISA Incand Impact Forecast'!$G$25+$D161*'EISA Incand Impact Forecast'!$I$25</f>
        <v>117340.44448475663</v>
      </c>
      <c r="Y161" s="85">
        <f t="shared" si="67"/>
        <v>684323.3305143289</v>
      </c>
      <c r="Z161" s="81">
        <f t="shared" si="68"/>
        <v>759304.42147665261</v>
      </c>
      <c r="AA161" s="81"/>
      <c r="AB161" s="262">
        <f>+'MWh by mo-WgtbyActulCDH&amp;Days'!AB161</f>
        <v>4960404.0012794416</v>
      </c>
      <c r="AC161" s="308">
        <f t="shared" si="76"/>
        <v>153.07310075566517</v>
      </c>
      <c r="AD161" s="309">
        <f t="shared" si="69"/>
        <v>15.115924215645295</v>
      </c>
      <c r="AE161" s="107">
        <f t="shared" si="70"/>
        <v>1.1365356553116764E-3</v>
      </c>
      <c r="AF161" s="309">
        <f t="shared" si="77"/>
        <v>137.95717654001987</v>
      </c>
      <c r="AG161" s="107">
        <f t="shared" si="71"/>
        <v>1.0372720040602997E-2</v>
      </c>
      <c r="AH161" s="119">
        <f t="shared" si="78"/>
        <v>1.1509255695914673E-2</v>
      </c>
      <c r="AI161" s="122">
        <f t="shared" si="72"/>
        <v>1.1509255695914673E-2</v>
      </c>
      <c r="AJ161" s="87" t="b">
        <f t="shared" si="79"/>
        <v>1</v>
      </c>
      <c r="AK161" s="88">
        <f t="shared" si="83"/>
        <v>7.954417364990328E-4</v>
      </c>
      <c r="AL161" s="312">
        <f>+AC161/'MWh by month-WgtbyCDH&amp;DayLtHrs'!AC161-1</f>
        <v>-8.0777029000346445E-2</v>
      </c>
      <c r="AM161" s="89">
        <f t="shared" si="73"/>
        <v>317702.22721476649</v>
      </c>
      <c r="AN161" s="93"/>
      <c r="AO161" s="96">
        <f t="shared" si="61"/>
        <v>64.047651589028092</v>
      </c>
      <c r="AP161" s="92">
        <f t="shared" si="60"/>
        <v>4.8156129014306839E-3</v>
      </c>
      <c r="AR161" s="94">
        <f t="shared" si="74"/>
        <v>1.1509255695914673E-2</v>
      </c>
      <c r="AS161" s="95">
        <v>720512.05106462038</v>
      </c>
      <c r="AU161" s="141">
        <v>153.07310075566517</v>
      </c>
    </row>
    <row r="162" spans="1:47">
      <c r="A162" s="78">
        <v>2018</v>
      </c>
      <c r="B162" s="78">
        <v>2</v>
      </c>
      <c r="C162" s="317">
        <f t="shared" si="81"/>
        <v>35.042184420393127</v>
      </c>
      <c r="D162" s="324">
        <f t="shared" si="80"/>
        <v>1.7822245532205266E-2</v>
      </c>
      <c r="E162" s="321">
        <f>$D162*'MWh Impact Summary'!B$24</f>
        <v>46212.435880459474</v>
      </c>
      <c r="F162" s="319">
        <f>$D162*'MWh Impact Summary'!N$24</f>
        <v>5027.2276805088959</v>
      </c>
      <c r="G162" s="319">
        <f>$D162*'MWh Impact Summary'!C$24</f>
        <v>35507.182223304713</v>
      </c>
      <c r="H162" s="319">
        <f>$D162*'MWh Impact Summary'!D$24</f>
        <v>132.7906576285387</v>
      </c>
      <c r="I162" s="319">
        <f>$D162*'MWh Impact Summary'!E$24</f>
        <v>13741.446404084538</v>
      </c>
      <c r="J162" s="104">
        <f t="shared" si="75"/>
        <v>100621.08284598617</v>
      </c>
      <c r="K162" s="298">
        <f t="shared" si="82"/>
        <v>12.733333333333333</v>
      </c>
      <c r="L162" s="300">
        <f t="shared" si="63"/>
        <v>8.9639798193124468E-2</v>
      </c>
      <c r="M162" s="297">
        <f>(28/365)</f>
        <v>7.6712328767123292E-2</v>
      </c>
      <c r="N162" s="304">
        <f>$L162*'MWh Impact Summary'!F$24</f>
        <v>120302.64017667093</v>
      </c>
      <c r="O162" s="304">
        <f>$L162*'MWh Impact Summary'!G$24</f>
        <v>5935.7834939498389</v>
      </c>
      <c r="P162" s="304">
        <f>$M162*'MWh Impact Summary'!H$24</f>
        <v>6608.4568025630078</v>
      </c>
      <c r="Q162" s="304">
        <f>$M162*'MWh Impact Summary'!I$24</f>
        <v>1193.738254713651</v>
      </c>
      <c r="R162" s="304">
        <f>$M162*'MWh Impact Summary'!J$24</f>
        <v>31358.110537615612</v>
      </c>
      <c r="S162" s="304">
        <f>$M162*'MWh Impact Summary'!K$24</f>
        <v>12013.110578106494</v>
      </c>
      <c r="T162" s="304">
        <f>$M162*'MWh Impact Summary'!L$24</f>
        <v>4384.0855184691691</v>
      </c>
      <c r="U162" s="304">
        <f>$M162*'MWh Impact Summary'!M$24</f>
        <v>13965.510837351676</v>
      </c>
      <c r="V162" s="304">
        <f>$L162*'LED Impact Forecast'!$H$25+$D162*'LED Impact Forecast'!$J$25</f>
        <v>39023.596254735465</v>
      </c>
      <c r="W162" s="304">
        <f>$L162*'CFL Impact Forecast'!$H$25+$D162*'CFL Impact Forecast'!$J$25</f>
        <v>307051.78036074137</v>
      </c>
      <c r="X162" s="304">
        <f>$L162*'EISA Incand Impact Forecast'!$G$25+$D162*'EISA Incand Impact Forecast'!$I$25</f>
        <v>113493.82636326515</v>
      </c>
      <c r="Y162" s="85">
        <f t="shared" si="67"/>
        <v>655330.63917818235</v>
      </c>
      <c r="Z162" s="81">
        <f t="shared" si="68"/>
        <v>755951.72202416847</v>
      </c>
      <c r="AA162" s="81"/>
      <c r="AB162" s="262">
        <f>+'MWh by mo-WgtbyActulCDH&amp;Days'!AB162</f>
        <v>4966174.0780797284</v>
      </c>
      <c r="AC162" s="308">
        <f t="shared" si="76"/>
        <v>152.22014173060813</v>
      </c>
      <c r="AD162" s="309">
        <f t="shared" si="69"/>
        <v>20.261287917819697</v>
      </c>
      <c r="AE162" s="107">
        <f t="shared" si="70"/>
        <v>1.5912006218183009E-3</v>
      </c>
      <c r="AF162" s="309">
        <f t="shared" si="77"/>
        <v>131.95885381278845</v>
      </c>
      <c r="AG162" s="107">
        <f t="shared" si="71"/>
        <v>1.0363260770637837E-2</v>
      </c>
      <c r="AH162" s="119">
        <f t="shared" si="78"/>
        <v>1.1954461392456138E-2</v>
      </c>
      <c r="AI162" s="122">
        <f t="shared" si="72"/>
        <v>1.1954461392456137E-2</v>
      </c>
      <c r="AJ162" s="87" t="b">
        <f t="shared" si="79"/>
        <v>1</v>
      </c>
      <c r="AK162" s="88">
        <f t="shared" si="83"/>
        <v>8.2367694486600203E-4</v>
      </c>
      <c r="AL162" s="312">
        <f>+AC162/'MWh by month-WgtbyCDH&amp;DayLtHrs'!AC162-1</f>
        <v>-8.1341807400229893E-2</v>
      </c>
      <c r="AM162" s="89">
        <f t="shared" si="73"/>
        <v>307051.78036074137</v>
      </c>
      <c r="AN162" s="93"/>
      <c r="AO162" s="96">
        <f t="shared" si="61"/>
        <v>61.828638209852919</v>
      </c>
      <c r="AP162" s="92">
        <f t="shared" si="60"/>
        <v>4.855652215433476E-3</v>
      </c>
      <c r="AR162" s="94">
        <f t="shared" si="74"/>
        <v>1.1954461392456137E-2</v>
      </c>
      <c r="AS162" s="95">
        <v>669054.7350160582</v>
      </c>
      <c r="AU162" s="141">
        <v>152.22014173060813</v>
      </c>
    </row>
    <row r="163" spans="1:47">
      <c r="A163" s="78">
        <v>2018</v>
      </c>
      <c r="B163" s="78">
        <v>3</v>
      </c>
      <c r="C163" s="317">
        <f t="shared" si="81"/>
        <v>64.582270600115152</v>
      </c>
      <c r="D163" s="324">
        <f t="shared" si="80"/>
        <v>3.2846156787895278E-2</v>
      </c>
      <c r="E163" s="321">
        <f>$D163*'MWh Impact Summary'!B$24</f>
        <v>85168.892535861567</v>
      </c>
      <c r="F163" s="319">
        <f>$D163*'MWh Impact Summary'!N$24</f>
        <v>9265.1124295228055</v>
      </c>
      <c r="G163" s="319">
        <f>$D163*'MWh Impact Summary'!C$24</f>
        <v>65439.255243989661</v>
      </c>
      <c r="H163" s="319">
        <f>$D163*'MWh Impact Summary'!D$24</f>
        <v>244.73138093362394</v>
      </c>
      <c r="I163" s="319">
        <f>$D163*'MWh Impact Summary'!E$24</f>
        <v>25325.299343756233</v>
      </c>
      <c r="J163" s="104">
        <f t="shared" si="75"/>
        <v>185443.2909340639</v>
      </c>
      <c r="K163" s="298">
        <f t="shared" si="82"/>
        <v>12</v>
      </c>
      <c r="L163" s="300">
        <f t="shared" si="63"/>
        <v>8.4477296726504739E-2</v>
      </c>
      <c r="M163" s="297">
        <f t="shared" ref="M163:M172" si="85">(31/365)</f>
        <v>8.4931506849315067E-2</v>
      </c>
      <c r="N163" s="304">
        <f>$L163*'MWh Impact Summary'!F$24</f>
        <v>113374.21587330246</v>
      </c>
      <c r="O163" s="304">
        <f>$L163*'MWh Impact Summary'!G$24</f>
        <v>5593.9320885391153</v>
      </c>
      <c r="P163" s="304">
        <f>$M163*'MWh Impact Summary'!H$24</f>
        <v>7316.5057456947579</v>
      </c>
      <c r="Q163" s="304">
        <f>$M163*'MWh Impact Summary'!I$24</f>
        <v>1321.6387820043992</v>
      </c>
      <c r="R163" s="304">
        <f>$M163*'MWh Impact Summary'!J$24</f>
        <v>34717.908095217281</v>
      </c>
      <c r="S163" s="304">
        <f>$M163*'MWh Impact Summary'!K$24</f>
        <v>13300.229568617904</v>
      </c>
      <c r="T163" s="304">
        <f>$M163*'MWh Impact Summary'!L$24</f>
        <v>4853.8089668765797</v>
      </c>
      <c r="U163" s="304">
        <f>$M163*'MWh Impact Summary'!M$24</f>
        <v>15461.815569925069</v>
      </c>
      <c r="V163" s="304">
        <f>$L163*'LED Impact Forecast'!$H$25+$D163*'LED Impact Forecast'!$J$25</f>
        <v>37702.438093282079</v>
      </c>
      <c r="W163" s="304">
        <f>$L163*'CFL Impact Forecast'!$H$25+$D163*'CFL Impact Forecast'!$J$25</f>
        <v>298437.02015193971</v>
      </c>
      <c r="X163" s="304">
        <f>$L163*'EISA Incand Impact Forecast'!$G$25+$D163*'EISA Incand Impact Forecast'!$I$25</f>
        <v>110580.52891981333</v>
      </c>
      <c r="Y163" s="85">
        <f t="shared" si="67"/>
        <v>642660.04185521265</v>
      </c>
      <c r="Z163" s="81">
        <f t="shared" si="68"/>
        <v>828103.33278927649</v>
      </c>
      <c r="AA163" s="81"/>
      <c r="AB163" s="262">
        <f>+'MWh by mo-WgtbyActulCDH&amp;Days'!AB163</f>
        <v>4972258.3870254578</v>
      </c>
      <c r="AC163" s="308">
        <f t="shared" si="76"/>
        <v>166.54471033728211</v>
      </c>
      <c r="AD163" s="309">
        <f t="shared" si="69"/>
        <v>37.295586130028376</v>
      </c>
      <c r="AE163" s="107">
        <f t="shared" si="70"/>
        <v>3.1079655108356978E-3</v>
      </c>
      <c r="AF163" s="309">
        <f t="shared" si="77"/>
        <v>129.24912420725377</v>
      </c>
      <c r="AG163" s="107">
        <f t="shared" si="71"/>
        <v>1.0770760350604482E-2</v>
      </c>
      <c r="AH163" s="119">
        <f t="shared" si="78"/>
        <v>1.3878725861440179E-2</v>
      </c>
      <c r="AI163" s="122">
        <f t="shared" si="72"/>
        <v>1.3878725861440176E-2</v>
      </c>
      <c r="AJ163" s="87" t="b">
        <f t="shared" si="79"/>
        <v>1</v>
      </c>
      <c r="AK163" s="88">
        <f t="shared" si="83"/>
        <v>9.9253734809508047E-4</v>
      </c>
      <c r="AL163" s="312">
        <f>+AC163/'MWh by month-WgtbyCDH&amp;DayLtHrs'!AC163-1</f>
        <v>-4.86623877942165E-2</v>
      </c>
      <c r="AM163" s="89">
        <f t="shared" si="73"/>
        <v>298437.02015193971</v>
      </c>
      <c r="AN163" s="93"/>
      <c r="AO163" s="96">
        <f t="shared" si="61"/>
        <v>60.020416664322418</v>
      </c>
      <c r="AP163" s="92">
        <f t="shared" si="60"/>
        <v>5.0017013886935347E-3</v>
      </c>
      <c r="AR163" s="94">
        <f t="shared" si="74"/>
        <v>1.3878725861440176E-2</v>
      </c>
      <c r="AS163" s="95">
        <v>809172.95227528678</v>
      </c>
      <c r="AU163" s="141">
        <v>166.54471033728211</v>
      </c>
    </row>
    <row r="164" spans="1:47">
      <c r="A164" s="78">
        <v>2018</v>
      </c>
      <c r="B164" s="78">
        <v>4</v>
      </c>
      <c r="C164" s="317">
        <f t="shared" si="81"/>
        <v>114.03392869270741</v>
      </c>
      <c r="D164" s="324">
        <f t="shared" si="80"/>
        <v>5.7996974497419709E-2</v>
      </c>
      <c r="E164" s="321">
        <f>$D164*'MWh Impact Summary'!B$24</f>
        <v>150384.05011195102</v>
      </c>
      <c r="F164" s="319">
        <f>$D164*'MWh Impact Summary'!N$24</f>
        <v>16359.554414865011</v>
      </c>
      <c r="G164" s="319">
        <f>$D164*'MWh Impact Summary'!C$24</f>
        <v>115547.1199271165</v>
      </c>
      <c r="H164" s="319">
        <f>$D164*'MWh Impact Summary'!D$24</f>
        <v>432.12603990115707</v>
      </c>
      <c r="I164" s="319">
        <f>$D164*'MWh Impact Summary'!E$24</f>
        <v>44717.278482962138</v>
      </c>
      <c r="J164" s="104">
        <f t="shared" si="75"/>
        <v>327440.12897679582</v>
      </c>
      <c r="K164" s="298">
        <f t="shared" si="82"/>
        <v>11.2</v>
      </c>
      <c r="L164" s="300">
        <f t="shared" si="63"/>
        <v>7.8845476944737758E-2</v>
      </c>
      <c r="M164" s="297">
        <f>(30/365)</f>
        <v>8.2191780821917804E-2</v>
      </c>
      <c r="N164" s="304">
        <f>$L164*'MWh Impact Summary'!F$24</f>
        <v>105815.93481508229</v>
      </c>
      <c r="O164" s="304">
        <f>$L164*'MWh Impact Summary'!G$24</f>
        <v>5221.0032826365077</v>
      </c>
      <c r="P164" s="304">
        <f>$M164*'MWh Impact Summary'!H$24</f>
        <v>7080.4894313175073</v>
      </c>
      <c r="Q164" s="304">
        <f>$M164*'MWh Impact Summary'!I$24</f>
        <v>1279.005272907483</v>
      </c>
      <c r="R164" s="304">
        <f>$M164*'MWh Impact Summary'!J$24</f>
        <v>33597.975576016725</v>
      </c>
      <c r="S164" s="304">
        <f>$M164*'MWh Impact Summary'!K$24</f>
        <v>12871.189905114099</v>
      </c>
      <c r="T164" s="304">
        <f>$M164*'MWh Impact Summary'!L$24</f>
        <v>4697.2344840741098</v>
      </c>
      <c r="U164" s="304">
        <f>$M164*'MWh Impact Summary'!M$24</f>
        <v>14963.047325733936</v>
      </c>
      <c r="V164" s="304">
        <f>$L164*'LED Impact Forecast'!$H$25+$D164*'LED Impact Forecast'!$J$25</f>
        <v>36766.782932214002</v>
      </c>
      <c r="W164" s="304">
        <f>$L164*'CFL Impact Forecast'!$H$25+$D164*'CFL Impact Forecast'!$J$25</f>
        <v>293989.34725615458</v>
      </c>
      <c r="X164" s="304">
        <f>$L164*'EISA Incand Impact Forecast'!$G$25+$D164*'EISA Incand Impact Forecast'!$I$25</f>
        <v>109380.00491879301</v>
      </c>
      <c r="Y164" s="85">
        <f t="shared" si="67"/>
        <v>625662.01520004426</v>
      </c>
      <c r="Z164" s="81">
        <f t="shared" si="68"/>
        <v>953102.14417684008</v>
      </c>
      <c r="AA164" s="81"/>
      <c r="AB164" s="262">
        <f>+'MWh by mo-WgtbyActulCDH&amp;Days'!AB164</f>
        <v>4977933.1022701599</v>
      </c>
      <c r="AC164" s="308">
        <f t="shared" si="76"/>
        <v>191.46543848533901</v>
      </c>
      <c r="AD164" s="309">
        <f t="shared" si="69"/>
        <v>65.778330533905418</v>
      </c>
      <c r="AE164" s="107">
        <f t="shared" si="70"/>
        <v>5.8730652262415561E-3</v>
      </c>
      <c r="AF164" s="309">
        <f t="shared" si="77"/>
        <v>125.68710795143359</v>
      </c>
      <c r="AG164" s="107">
        <f t="shared" si="71"/>
        <v>1.1222063209949429E-2</v>
      </c>
      <c r="AH164" s="119">
        <f t="shared" si="78"/>
        <v>1.7095128436190984E-2</v>
      </c>
      <c r="AI164" s="122">
        <f t="shared" si="72"/>
        <v>1.7095128436190984E-2</v>
      </c>
      <c r="AJ164" s="87" t="b">
        <f t="shared" si="79"/>
        <v>1</v>
      </c>
      <c r="AK164" s="88">
        <f t="shared" si="83"/>
        <v>1.2462306818773056E-3</v>
      </c>
      <c r="AL164" s="312">
        <f>+AC164/'MWh by month-WgtbyCDH&amp;DayLtHrs'!AC164-1</f>
        <v>-1.926658961410932E-2</v>
      </c>
      <c r="AM164" s="89">
        <f t="shared" si="73"/>
        <v>293989.34725615458</v>
      </c>
      <c r="AN164" s="93"/>
      <c r="AO164" s="96">
        <f t="shared" si="61"/>
        <v>59.058517102626858</v>
      </c>
      <c r="AP164" s="92">
        <f t="shared" si="60"/>
        <v>5.2730818841631132E-3</v>
      </c>
      <c r="AR164" s="94">
        <f t="shared" si="74"/>
        <v>1.7095128436190984E-2</v>
      </c>
      <c r="AS164" s="95">
        <v>948781.63662367896</v>
      </c>
      <c r="AU164" s="141">
        <v>191.46543848533901</v>
      </c>
    </row>
    <row r="165" spans="1:47">
      <c r="A165" s="78">
        <v>2018</v>
      </c>
      <c r="B165" s="78">
        <v>5</v>
      </c>
      <c r="C165" s="317">
        <f t="shared" si="81"/>
        <v>208.47875842628665</v>
      </c>
      <c r="D165" s="324">
        <f t="shared" si="80"/>
        <v>0.10603105035770212</v>
      </c>
      <c r="E165" s="321">
        <f>$D165*'MWh Impact Summary'!B$24</f>
        <v>274934.66561992624</v>
      </c>
      <c r="F165" s="319">
        <f>$D165*'MWh Impact Summary'!N$24</f>
        <v>29908.814261842115</v>
      </c>
      <c r="G165" s="319">
        <f>$D165*'MWh Impact Summary'!C$24</f>
        <v>211245.2002513443</v>
      </c>
      <c r="H165" s="319">
        <f>$D165*'MWh Impact Summary'!D$24</f>
        <v>790.02013975181512</v>
      </c>
      <c r="I165" s="319">
        <f>$D165*'MWh Impact Summary'!E$24</f>
        <v>81752.885349171003</v>
      </c>
      <c r="J165" s="104">
        <f t="shared" si="75"/>
        <v>598631.58562203543</v>
      </c>
      <c r="K165" s="298">
        <f t="shared" si="82"/>
        <v>10.533333333333333</v>
      </c>
      <c r="L165" s="300">
        <f t="shared" si="63"/>
        <v>7.4152293793265281E-2</v>
      </c>
      <c r="M165" s="297">
        <f t="shared" si="85"/>
        <v>8.4931506849315067E-2</v>
      </c>
      <c r="N165" s="304">
        <f>$L165*'MWh Impact Summary'!F$24</f>
        <v>99517.367266565503</v>
      </c>
      <c r="O165" s="304">
        <f>$L165*'MWh Impact Summary'!G$24</f>
        <v>4910.229277717669</v>
      </c>
      <c r="P165" s="304">
        <f>$M165*'MWh Impact Summary'!H$24</f>
        <v>7316.5057456947579</v>
      </c>
      <c r="Q165" s="304">
        <f>$M165*'MWh Impact Summary'!I$24</f>
        <v>1321.6387820043992</v>
      </c>
      <c r="R165" s="304">
        <f>$M165*'MWh Impact Summary'!J$24</f>
        <v>34717.908095217281</v>
      </c>
      <c r="S165" s="304">
        <f>$M165*'MWh Impact Summary'!K$24</f>
        <v>13300.229568617904</v>
      </c>
      <c r="T165" s="304">
        <f>$M165*'MWh Impact Summary'!L$24</f>
        <v>4853.8089668765797</v>
      </c>
      <c r="U165" s="304">
        <f>$M165*'MWh Impact Summary'!M$24</f>
        <v>15461.815569925069</v>
      </c>
      <c r="V165" s="304">
        <f>$L165*'LED Impact Forecast'!$H$25+$D165*'LED Impact Forecast'!$J$25</f>
        <v>37549.588817935277</v>
      </c>
      <c r="W165" s="304">
        <f>$L165*'CFL Impact Forecast'!$H$25+$D165*'CFL Impact Forecast'!$J$25</f>
        <v>305581.06699555286</v>
      </c>
      <c r="X165" s="304">
        <f>$L165*'EISA Incand Impact Forecast'!$G$25+$D165*'EISA Incand Impact Forecast'!$I$25</f>
        <v>114491.14882341107</v>
      </c>
      <c r="Y165" s="85">
        <f t="shared" si="67"/>
        <v>639021.30790951836</v>
      </c>
      <c r="Z165" s="81">
        <f t="shared" si="68"/>
        <v>1237652.8935315539</v>
      </c>
      <c r="AA165" s="81"/>
      <c r="AB165" s="262">
        <f>+'MWh by mo-WgtbyActulCDH&amp;Days'!AB165</f>
        <v>4983179.119985274</v>
      </c>
      <c r="AC165" s="308">
        <f t="shared" si="76"/>
        <v>248.36612606757177</v>
      </c>
      <c r="AD165" s="309">
        <f t="shared" si="69"/>
        <v>120.13045712549149</v>
      </c>
      <c r="AE165" s="107">
        <f t="shared" si="70"/>
        <v>1.1404790233432736E-2</v>
      </c>
      <c r="AF165" s="309">
        <f t="shared" si="77"/>
        <v>128.23566894208025</v>
      </c>
      <c r="AG165" s="107">
        <f t="shared" si="71"/>
        <v>1.2174272367919011E-2</v>
      </c>
      <c r="AH165" s="119">
        <f t="shared" si="78"/>
        <v>2.3579062601351748E-2</v>
      </c>
      <c r="AI165" s="122">
        <f t="shared" si="72"/>
        <v>2.3579062601351751E-2</v>
      </c>
      <c r="AJ165" s="87" t="b">
        <f t="shared" si="79"/>
        <v>0</v>
      </c>
      <c r="AK165" s="88">
        <f t="shared" si="83"/>
        <v>1.7603938624143403E-3</v>
      </c>
      <c r="AL165" s="312">
        <f>+AC165/'MWh by month-WgtbyCDH&amp;DayLtHrs'!AC165-1</f>
        <v>2.3567148539107574E-2</v>
      </c>
      <c r="AM165" s="89">
        <f t="shared" si="73"/>
        <v>305581.06699555286</v>
      </c>
      <c r="AN165" s="93"/>
      <c r="AO165" s="96">
        <f t="shared" si="61"/>
        <v>61.322513126210055</v>
      </c>
      <c r="AP165" s="92">
        <f t="shared" si="60"/>
        <v>5.8217575752731064E-3</v>
      </c>
      <c r="AR165" s="94">
        <f t="shared" si="74"/>
        <v>2.3579062601351751E-2</v>
      </c>
      <c r="AS165" s="95">
        <v>1138391.8949239727</v>
      </c>
      <c r="AU165" s="141">
        <v>248.36612606757177</v>
      </c>
    </row>
    <row r="166" spans="1:47">
      <c r="A166" s="78">
        <v>2018</v>
      </c>
      <c r="B166" s="78">
        <v>6</v>
      </c>
      <c r="C166" s="317">
        <f t="shared" si="81"/>
        <v>271.66325293295364</v>
      </c>
      <c r="D166" s="324">
        <f t="shared" si="80"/>
        <v>0.13816630657965029</v>
      </c>
      <c r="E166" s="321">
        <f>$D166*'MWh Impact Summary'!B$24</f>
        <v>358260.21878747712</v>
      </c>
      <c r="F166" s="319">
        <f>$D166*'MWh Impact Summary'!N$24</f>
        <v>38973.398705328553</v>
      </c>
      <c r="G166" s="319">
        <f>$D166*'MWh Impact Summary'!C$24</f>
        <v>275268.13139116194</v>
      </c>
      <c r="H166" s="319">
        <f>$D166*'MWh Impact Summary'!D$24</f>
        <v>1029.4547159988449</v>
      </c>
      <c r="I166" s="319">
        <f>$D166*'MWh Impact Summary'!E$24</f>
        <v>106530.060607893</v>
      </c>
      <c r="J166" s="104">
        <f t="shared" si="75"/>
        <v>780061.26420785952</v>
      </c>
      <c r="K166" s="298">
        <f t="shared" si="82"/>
        <v>10.199999999999999</v>
      </c>
      <c r="L166" s="300">
        <f t="shared" si="63"/>
        <v>7.1805702217529022E-2</v>
      </c>
      <c r="M166" s="297">
        <f>(30/365)</f>
        <v>8.2191780821917804E-2</v>
      </c>
      <c r="N166" s="304">
        <f>$L166*'MWh Impact Summary'!F$24</f>
        <v>96368.08349230708</v>
      </c>
      <c r="O166" s="304">
        <f>$L166*'MWh Impact Summary'!G$24</f>
        <v>4754.8422752582474</v>
      </c>
      <c r="P166" s="304">
        <f>$M166*'MWh Impact Summary'!H$24</f>
        <v>7080.4894313175073</v>
      </c>
      <c r="Q166" s="304">
        <f>$M166*'MWh Impact Summary'!I$24</f>
        <v>1279.005272907483</v>
      </c>
      <c r="R166" s="304">
        <f>$M166*'MWh Impact Summary'!J$24</f>
        <v>33597.975576016725</v>
      </c>
      <c r="S166" s="304">
        <f>$M166*'MWh Impact Summary'!K$24</f>
        <v>12871.189905114099</v>
      </c>
      <c r="T166" s="304">
        <f>$M166*'MWh Impact Summary'!L$24</f>
        <v>4697.2344840741098</v>
      </c>
      <c r="U166" s="304">
        <f>$M166*'MWh Impact Summary'!M$24</f>
        <v>14963.047325733936</v>
      </c>
      <c r="V166" s="304">
        <f>$L166*'LED Impact Forecast'!$H$25+$D166*'LED Impact Forecast'!$J$25</f>
        <v>38409.499158875355</v>
      </c>
      <c r="W166" s="304">
        <f>$L166*'CFL Impact Forecast'!$H$25+$D166*'CFL Impact Forecast'!$J$25</f>
        <v>315963.93137718539</v>
      </c>
      <c r="X166" s="304">
        <f>$L166*'EISA Incand Impact Forecast'!$G$25+$D166*'EISA Incand Impact Forecast'!$I$25</f>
        <v>118879.22431116953</v>
      </c>
      <c r="Y166" s="85">
        <f t="shared" si="67"/>
        <v>648864.52260995936</v>
      </c>
      <c r="Z166" s="81">
        <f t="shared" si="68"/>
        <v>1428925.7868178189</v>
      </c>
      <c r="AA166" s="81"/>
      <c r="AB166" s="262">
        <f>+'MWh by mo-WgtbyActulCDH&amp;Days'!AB166</f>
        <v>4988439.4249103442</v>
      </c>
      <c r="AC166" s="308">
        <f t="shared" si="76"/>
        <v>286.44745683034944</v>
      </c>
      <c r="AD166" s="309">
        <f t="shared" si="69"/>
        <v>156.37380706930793</v>
      </c>
      <c r="AE166" s="107">
        <f t="shared" si="70"/>
        <v>1.5330765398951758E-2</v>
      </c>
      <c r="AF166" s="309">
        <f t="shared" si="77"/>
        <v>130.07364976104151</v>
      </c>
      <c r="AG166" s="107">
        <f t="shared" si="71"/>
        <v>1.2752318604023679E-2</v>
      </c>
      <c r="AH166" s="119">
        <f t="shared" si="78"/>
        <v>2.8083084002975437E-2</v>
      </c>
      <c r="AI166" s="122">
        <f t="shared" si="72"/>
        <v>2.8083084002975437E-2</v>
      </c>
      <c r="AJ166" s="87" t="b">
        <f t="shared" si="79"/>
        <v>1</v>
      </c>
      <c r="AK166" s="88">
        <f t="shared" si="83"/>
        <v>2.1083056081289617E-3</v>
      </c>
      <c r="AL166" s="312">
        <f>+AC166/'MWh by month-WgtbyCDH&amp;DayLtHrs'!AC166-1</f>
        <v>4.0235706722435038E-2</v>
      </c>
      <c r="AM166" s="89">
        <f t="shared" si="73"/>
        <v>315963.93137718539</v>
      </c>
      <c r="AN166" s="93"/>
      <c r="AO166" s="96">
        <f t="shared" si="61"/>
        <v>63.339233869290524</v>
      </c>
      <c r="AP166" s="92">
        <f t="shared" si="60"/>
        <v>6.2097288107147578E-3</v>
      </c>
      <c r="AR166" s="94">
        <f t="shared" si="74"/>
        <v>2.8083084002975437E-2</v>
      </c>
      <c r="AS166" s="95">
        <v>1387807.9406546159</v>
      </c>
      <c r="AU166" s="141">
        <v>286.44745683034944</v>
      </c>
    </row>
    <row r="167" spans="1:47">
      <c r="A167" s="78">
        <v>2018</v>
      </c>
      <c r="B167" s="78">
        <v>7</v>
      </c>
      <c r="C167" s="317">
        <f t="shared" si="81"/>
        <v>322.31916585708109</v>
      </c>
      <c r="D167" s="324">
        <f t="shared" si="80"/>
        <v>0.16392960109808263</v>
      </c>
      <c r="E167" s="321">
        <f>$D167*'MWh Impact Summary'!B$24</f>
        <v>425063.50650175702</v>
      </c>
      <c r="F167" s="319">
        <f>$D167*'MWh Impact Summary'!N$24</f>
        <v>46240.605697293955</v>
      </c>
      <c r="G167" s="319">
        <f>$D167*'MWh Impact Summary'!C$24</f>
        <v>326596.23095558607</v>
      </c>
      <c r="H167" s="319">
        <f>$D167*'MWh Impact Summary'!D$24</f>
        <v>1221.4128402205258</v>
      </c>
      <c r="I167" s="319">
        <f>$D167*'MWh Impact Summary'!E$24</f>
        <v>126394.27638126176</v>
      </c>
      <c r="J167" s="104">
        <f t="shared" si="75"/>
        <v>925516.03237611928</v>
      </c>
      <c r="K167" s="298">
        <f t="shared" si="82"/>
        <v>10.366666666666667</v>
      </c>
      <c r="L167" s="300">
        <f t="shared" si="63"/>
        <v>7.2978998005397158E-2</v>
      </c>
      <c r="M167" s="297">
        <f t="shared" si="85"/>
        <v>8.4931506849315067E-2</v>
      </c>
      <c r="N167" s="304">
        <f>$L167*'MWh Impact Summary'!F$24</f>
        <v>97942.725379436291</v>
      </c>
      <c r="O167" s="304">
        <f>$L167*'MWh Impact Summary'!G$24</f>
        <v>4832.5357764879582</v>
      </c>
      <c r="P167" s="304">
        <f>$M167*'MWh Impact Summary'!H$24</f>
        <v>7316.5057456947579</v>
      </c>
      <c r="Q167" s="304">
        <f>$M167*'MWh Impact Summary'!I$24</f>
        <v>1321.6387820043992</v>
      </c>
      <c r="R167" s="304">
        <f>$M167*'MWh Impact Summary'!J$24</f>
        <v>34717.908095217281</v>
      </c>
      <c r="S167" s="304">
        <f>$M167*'MWh Impact Summary'!K$24</f>
        <v>13300.229568617904</v>
      </c>
      <c r="T167" s="304">
        <f>$M167*'MWh Impact Summary'!L$24</f>
        <v>4853.8089668765797</v>
      </c>
      <c r="U167" s="304">
        <f>$M167*'MWh Impact Summary'!M$24</f>
        <v>15461.815569925069</v>
      </c>
      <c r="V167" s="304">
        <f>$L167*'LED Impact Forecast'!$H$25+$D167*'LED Impact Forecast'!$J$25</f>
        <v>40393.632402379691</v>
      </c>
      <c r="W167" s="304">
        <f>$L167*'CFL Impact Forecast'!$H$25+$D167*'CFL Impact Forecast'!$J$25</f>
        <v>334408.05860869592</v>
      </c>
      <c r="X167" s="304">
        <f>$L167*'EISA Incand Impact Forecast'!$G$25+$D167*'EISA Incand Impact Forecast'!$I$25</f>
        <v>126127.56799313371</v>
      </c>
      <c r="Y167" s="85">
        <f t="shared" si="67"/>
        <v>680676.42688846949</v>
      </c>
      <c r="Z167" s="81">
        <f t="shared" si="68"/>
        <v>1606192.4592645888</v>
      </c>
      <c r="AA167" s="81"/>
      <c r="AB167" s="262">
        <f>+'MWh by mo-WgtbyActulCDH&amp;Days'!AB167</f>
        <v>4994424.4728166815</v>
      </c>
      <c r="AC167" s="308">
        <f t="shared" si="76"/>
        <v>321.59710653483006</v>
      </c>
      <c r="AD167" s="309">
        <f t="shared" si="69"/>
        <v>185.30984649251496</v>
      </c>
      <c r="AE167" s="107">
        <f t="shared" si="70"/>
        <v>1.7875547893168645E-2</v>
      </c>
      <c r="AF167" s="309">
        <f t="shared" si="77"/>
        <v>136.28726004231507</v>
      </c>
      <c r="AG167" s="107">
        <f t="shared" si="71"/>
        <v>1.3146681033020746E-2</v>
      </c>
      <c r="AH167" s="119">
        <f t="shared" si="78"/>
        <v>3.1022228926189391E-2</v>
      </c>
      <c r="AI167" s="122">
        <f t="shared" si="72"/>
        <v>3.1022228926189391E-2</v>
      </c>
      <c r="AJ167" s="87" t="b">
        <f t="shared" si="79"/>
        <v>1</v>
      </c>
      <c r="AK167" s="88">
        <f t="shared" si="83"/>
        <v>2.3400028806304062E-3</v>
      </c>
      <c r="AL167" s="312">
        <f>+AC167/'MWh by month-WgtbyCDH&amp;DayLtHrs'!AC167-1</f>
        <v>5.1465010782872911E-2</v>
      </c>
      <c r="AM167" s="89">
        <f t="shared" si="73"/>
        <v>334408.05860869592</v>
      </c>
      <c r="AN167" s="93"/>
      <c r="AO167" s="96">
        <f t="shared" si="61"/>
        <v>66.956275028041702</v>
      </c>
      <c r="AP167" s="92">
        <f t="shared" si="60"/>
        <v>6.4588046650844088E-3</v>
      </c>
      <c r="AR167" s="94">
        <f t="shared" si="74"/>
        <v>3.1022228926189391E-2</v>
      </c>
      <c r="AS167" s="95">
        <v>1458921.5818659998</v>
      </c>
      <c r="AU167" s="141">
        <v>321.59710653483006</v>
      </c>
    </row>
    <row r="168" spans="1:47">
      <c r="A168" s="78">
        <v>2018</v>
      </c>
      <c r="B168" s="78">
        <v>8</v>
      </c>
      <c r="C168" s="317">
        <f t="shared" si="81"/>
        <v>326.45437890907908</v>
      </c>
      <c r="D168" s="324">
        <f t="shared" si="80"/>
        <v>0.16603274573816959</v>
      </c>
      <c r="E168" s="321">
        <f>$D168*'MWh Impact Summary'!B$24</f>
        <v>430516.8842285829</v>
      </c>
      <c r="F168" s="319">
        <f>$D168*'MWh Impact Summary'!N$24</f>
        <v>46833.852318863239</v>
      </c>
      <c r="G168" s="319">
        <f>$D168*'MWh Impact Summary'!C$24</f>
        <v>330786.31687055068</v>
      </c>
      <c r="H168" s="319">
        <f>$D168*'MWh Impact Summary'!D$24</f>
        <v>1237.0830294422162</v>
      </c>
      <c r="I168" s="319">
        <f>$D168*'MWh Impact Summary'!E$24</f>
        <v>128015.85932374616</v>
      </c>
      <c r="J168" s="104">
        <f t="shared" si="75"/>
        <v>937389.99577118515</v>
      </c>
      <c r="K168" s="298">
        <f t="shared" si="82"/>
        <v>10.933333333333334</v>
      </c>
      <c r="L168" s="300">
        <f t="shared" si="63"/>
        <v>7.6968203684148764E-2</v>
      </c>
      <c r="M168" s="297">
        <f t="shared" si="85"/>
        <v>8.4931506849315067E-2</v>
      </c>
      <c r="N168" s="304">
        <f>$L168*'MWh Impact Summary'!F$24</f>
        <v>103296.50779567557</v>
      </c>
      <c r="O168" s="304">
        <f>$L168*'MWh Impact Summary'!G$24</f>
        <v>5096.6936806689719</v>
      </c>
      <c r="P168" s="304">
        <f>$M168*'MWh Impact Summary'!H$24</f>
        <v>7316.5057456947579</v>
      </c>
      <c r="Q168" s="304">
        <f>$M168*'MWh Impact Summary'!I$24</f>
        <v>1321.6387820043992</v>
      </c>
      <c r="R168" s="304">
        <f>$M168*'MWh Impact Summary'!J$24</f>
        <v>34717.908095217281</v>
      </c>
      <c r="S168" s="304">
        <f>$M168*'MWh Impact Summary'!K$24</f>
        <v>13300.229568617904</v>
      </c>
      <c r="T168" s="304">
        <f>$M168*'MWh Impact Summary'!L$24</f>
        <v>4853.8089668765797</v>
      </c>
      <c r="U168" s="304">
        <f>$M168*'MWh Impact Summary'!M$24</f>
        <v>15461.815569925069</v>
      </c>
      <c r="V168" s="304">
        <f>$L168*'LED Impact Forecast'!$H$25+$D168*'LED Impact Forecast'!$J$25</f>
        <v>42205.885966934213</v>
      </c>
      <c r="W168" s="304">
        <f>$L168*'CFL Impact Forecast'!$H$25+$D168*'CFL Impact Forecast'!$J$25</f>
        <v>348812.85526534182</v>
      </c>
      <c r="X168" s="304">
        <f>$L168*'EISA Incand Impact Forecast'!$G$25+$D168*'EISA Incand Impact Forecast'!$I$25</f>
        <v>131474.04495904493</v>
      </c>
      <c r="Y168" s="85">
        <f t="shared" si="67"/>
        <v>707857.89439600147</v>
      </c>
      <c r="Z168" s="81">
        <f t="shared" si="68"/>
        <v>1645247.8901671865</v>
      </c>
      <c r="AA168" s="81"/>
      <c r="AB168" s="262">
        <f>+'MWh by mo-WgtbyActulCDH&amp;Days'!AB168</f>
        <v>5000782.228093843</v>
      </c>
      <c r="AC168" s="308">
        <f t="shared" si="76"/>
        <v>328.9981077209012</v>
      </c>
      <c r="AD168" s="309">
        <f t="shared" si="69"/>
        <v>187.44867363050355</v>
      </c>
      <c r="AE168" s="107">
        <f t="shared" si="70"/>
        <v>1.714469575888752E-2</v>
      </c>
      <c r="AF168" s="309">
        <f t="shared" si="77"/>
        <v>141.54943409039768</v>
      </c>
      <c r="AG168" s="107">
        <f t="shared" si="71"/>
        <v>1.2946594581438813E-2</v>
      </c>
      <c r="AH168" s="119">
        <f t="shared" si="78"/>
        <v>3.0091290340326333E-2</v>
      </c>
      <c r="AI168" s="122">
        <f t="shared" si="72"/>
        <v>3.0091290340326329E-2</v>
      </c>
      <c r="AJ168" s="87" t="b">
        <f t="shared" si="79"/>
        <v>1</v>
      </c>
      <c r="AK168" s="88">
        <f t="shared" si="83"/>
        <v>2.2634638769587316E-3</v>
      </c>
      <c r="AL168" s="312">
        <f>+AC168/'MWh by month-WgtbyCDH&amp;DayLtHrs'!AC168-1</f>
        <v>4.9110383796798551E-2</v>
      </c>
      <c r="AM168" s="89">
        <f t="shared" si="73"/>
        <v>348812.85526534182</v>
      </c>
      <c r="AN168" s="93"/>
      <c r="AO168" s="96">
        <f t="shared" si="61"/>
        <v>69.751658711661079</v>
      </c>
      <c r="AP168" s="92">
        <f t="shared" si="60"/>
        <v>6.3797248821641228E-3</v>
      </c>
      <c r="AR168" s="94">
        <f t="shared" si="74"/>
        <v>3.0091290340326329E-2</v>
      </c>
      <c r="AS168" s="95">
        <v>1516703.6736954609</v>
      </c>
      <c r="AU168" s="141">
        <v>328.9981077209012</v>
      </c>
    </row>
    <row r="169" spans="1:47">
      <c r="A169" s="78">
        <v>2018</v>
      </c>
      <c r="B169" s="78">
        <v>9</v>
      </c>
      <c r="C169" s="317">
        <f t="shared" si="81"/>
        <v>277.87653293728147</v>
      </c>
      <c r="D169" s="324">
        <f t="shared" si="80"/>
        <v>0.14132634365008559</v>
      </c>
      <c r="E169" s="321">
        <f>$D169*'MWh Impact Summary'!B$24</f>
        <v>366454.0802306651</v>
      </c>
      <c r="F169" s="319">
        <f>$D169*'MWh Impact Summary'!N$24</f>
        <v>39864.769313101846</v>
      </c>
      <c r="G169" s="319">
        <f>$D169*'MWh Impact Summary'!C$24</f>
        <v>281563.85949621967</v>
      </c>
      <c r="H169" s="319">
        <f>$D169*'MWh Impact Summary'!D$24</f>
        <v>1052.9996391094257</v>
      </c>
      <c r="I169" s="319">
        <f>$D169*'MWh Impact Summary'!E$24</f>
        <v>108966.53697445632</v>
      </c>
      <c r="J169" s="104">
        <f t="shared" si="75"/>
        <v>797902.24565355235</v>
      </c>
      <c r="K169" s="298">
        <f t="shared" si="82"/>
        <v>11.683333333333334</v>
      </c>
      <c r="L169" s="300">
        <f t="shared" si="63"/>
        <v>8.2248034729555317E-2</v>
      </c>
      <c r="M169" s="297">
        <f>(30/365)</f>
        <v>8.2191780821917804E-2</v>
      </c>
      <c r="N169" s="304">
        <f>$L169*'MWh Impact Summary'!F$24</f>
        <v>110382.39628775699</v>
      </c>
      <c r="O169" s="304">
        <f>$L169*'MWh Impact Summary'!G$24</f>
        <v>5446.3144362026669</v>
      </c>
      <c r="P169" s="304">
        <f>$M169*'MWh Impact Summary'!H$24</f>
        <v>7080.4894313175073</v>
      </c>
      <c r="Q169" s="304">
        <f>$M169*'MWh Impact Summary'!I$24</f>
        <v>1279.005272907483</v>
      </c>
      <c r="R169" s="304">
        <f>$M169*'MWh Impact Summary'!J$24</f>
        <v>33597.975576016725</v>
      </c>
      <c r="S169" s="304">
        <f>$M169*'MWh Impact Summary'!K$24</f>
        <v>12871.189905114099</v>
      </c>
      <c r="T169" s="304">
        <f>$M169*'MWh Impact Summary'!L$24</f>
        <v>4697.2344840741098</v>
      </c>
      <c r="U169" s="304">
        <f>$M169*'MWh Impact Summary'!M$24</f>
        <v>14963.047325733936</v>
      </c>
      <c r="V169" s="304">
        <f>$L169*'LED Impact Forecast'!$H$25+$D169*'LED Impact Forecast'!$J$25</f>
        <v>43017.993353049089</v>
      </c>
      <c r="W169" s="304">
        <f>$L169*'CFL Impact Forecast'!$H$25+$D169*'CFL Impact Forecast'!$J$25</f>
        <v>352345.47585125506</v>
      </c>
      <c r="X169" s="304">
        <f>$L169*'EISA Incand Impact Forecast'!$G$25+$D169*'EISA Incand Impact Forecast'!$I$25</f>
        <v>132345.02630690538</v>
      </c>
      <c r="Y169" s="85">
        <f t="shared" si="67"/>
        <v>718026.14823033311</v>
      </c>
      <c r="Z169" s="81">
        <f t="shared" si="68"/>
        <v>1515928.3938838854</v>
      </c>
      <c r="AA169" s="81"/>
      <c r="AB169" s="262">
        <f>+'MWh by mo-WgtbyActulCDH&amp;Days'!AB169</f>
        <v>5005798.6680340152</v>
      </c>
      <c r="AC169" s="308">
        <f t="shared" si="76"/>
        <v>302.83447146292309</v>
      </c>
      <c r="AD169" s="309">
        <f t="shared" si="69"/>
        <v>159.39559270507411</v>
      </c>
      <c r="AE169" s="107">
        <f t="shared" si="70"/>
        <v>1.3642989389877954E-2</v>
      </c>
      <c r="AF169" s="309">
        <f t="shared" si="77"/>
        <v>143.43887875784898</v>
      </c>
      <c r="AG169" s="107">
        <f t="shared" si="71"/>
        <v>1.2277222147604763E-2</v>
      </c>
      <c r="AH169" s="119">
        <f t="shared" si="78"/>
        <v>2.5920211537482717E-2</v>
      </c>
      <c r="AI169" s="122">
        <f t="shared" si="72"/>
        <v>2.5920211537482717E-2</v>
      </c>
      <c r="AJ169" s="87" t="b">
        <f t="shared" si="79"/>
        <v>1</v>
      </c>
      <c r="AK169" s="88">
        <f t="shared" si="83"/>
        <v>1.9267809096553193E-3</v>
      </c>
      <c r="AL169" s="312">
        <f>+AC169/'MWh by month-WgtbyCDH&amp;DayLtHrs'!AC169-1</f>
        <v>3.3467413849652239E-2</v>
      </c>
      <c r="AM169" s="89">
        <f t="shared" si="73"/>
        <v>352345.47585125506</v>
      </c>
      <c r="AN169" s="93"/>
      <c r="AO169" s="96">
        <f t="shared" si="61"/>
        <v>70.387464462216528</v>
      </c>
      <c r="AP169" s="92">
        <f t="shared" ref="AP169:AP232" si="86">+AO169/K169/1000</f>
        <v>6.0246046615306586E-3</v>
      </c>
      <c r="AR169" s="94">
        <f t="shared" si="74"/>
        <v>2.5920211537482717E-2</v>
      </c>
      <c r="AS169" s="95">
        <v>1433185.8171820336</v>
      </c>
      <c r="AU169" s="141">
        <v>302.83447146292309</v>
      </c>
    </row>
    <row r="170" spans="1:47">
      <c r="A170" s="78">
        <v>2018</v>
      </c>
      <c r="B170" s="78">
        <v>10</v>
      </c>
      <c r="C170" s="317">
        <f t="shared" si="81"/>
        <v>198.89039579254836</v>
      </c>
      <c r="D170" s="324">
        <f t="shared" si="80"/>
        <v>0.10115446643644242</v>
      </c>
      <c r="E170" s="321">
        <f>$D170*'MWh Impact Summary'!B$24</f>
        <v>262289.86048750539</v>
      </c>
      <c r="F170" s="319">
        <f>$D170*'MWh Impact Summary'!N$24</f>
        <v>28533.24698941391</v>
      </c>
      <c r="G170" s="319">
        <f>$D170*'MWh Impact Summary'!C$24</f>
        <v>201529.60332465442</v>
      </c>
      <c r="H170" s="319">
        <f>$D170*'MWh Impact Summary'!D$24</f>
        <v>753.68550477472058</v>
      </c>
      <c r="I170" s="319">
        <f>$D170*'MWh Impact Summary'!E$24</f>
        <v>77992.903675261317</v>
      </c>
      <c r="J170" s="104">
        <f t="shared" si="75"/>
        <v>571099.2999816098</v>
      </c>
      <c r="K170" s="298">
        <f t="shared" si="82"/>
        <v>12.466666666666667</v>
      </c>
      <c r="L170" s="300">
        <f t="shared" si="63"/>
        <v>8.7762524932535488E-2</v>
      </c>
      <c r="M170" s="297">
        <f t="shared" si="85"/>
        <v>8.4931506849315067E-2</v>
      </c>
      <c r="N170" s="304">
        <f>$L170*'MWh Impact Summary'!F$24</f>
        <v>117783.21315726422</v>
      </c>
      <c r="O170" s="304">
        <f>$L170*'MWh Impact Summary'!G$24</f>
        <v>5811.4738919823039</v>
      </c>
      <c r="P170" s="304">
        <f>$M170*'MWh Impact Summary'!H$24</f>
        <v>7316.5057456947579</v>
      </c>
      <c r="Q170" s="304">
        <f>$M170*'MWh Impact Summary'!I$24</f>
        <v>1321.6387820043992</v>
      </c>
      <c r="R170" s="304">
        <f>$M170*'MWh Impact Summary'!J$24</f>
        <v>34717.908095217281</v>
      </c>
      <c r="S170" s="304">
        <f>$M170*'MWh Impact Summary'!K$24</f>
        <v>13300.229568617904</v>
      </c>
      <c r="T170" s="304">
        <f>$M170*'MWh Impact Summary'!L$24</f>
        <v>4853.8089668765797</v>
      </c>
      <c r="U170" s="304">
        <f>$M170*'MWh Impact Summary'!M$24</f>
        <v>15461.815569925069</v>
      </c>
      <c r="V170" s="304">
        <f>$L170*'LED Impact Forecast'!$H$25+$D170*'LED Impact Forecast'!$J$25</f>
        <v>43037.042122394188</v>
      </c>
      <c r="W170" s="304">
        <f>$L170*'CFL Impact Forecast'!$H$25+$D170*'CFL Impact Forecast'!$J$25</f>
        <v>347917.13982288638</v>
      </c>
      <c r="X170" s="304">
        <f>$L170*'EISA Incand Impact Forecast'!$G$25+$D170*'EISA Incand Impact Forecast'!$I$25</f>
        <v>130011.60056505105</v>
      </c>
      <c r="Y170" s="85">
        <f t="shared" si="67"/>
        <v>721532.37628791423</v>
      </c>
      <c r="Z170" s="81">
        <f t="shared" si="68"/>
        <v>1292631.676269524</v>
      </c>
      <c r="AA170" s="81"/>
      <c r="AB170" s="262">
        <f>+'MWh by mo-WgtbyActulCDH&amp;Days'!AB170</f>
        <v>5011255.4649064513</v>
      </c>
      <c r="AC170" s="308">
        <f t="shared" si="76"/>
        <v>257.94567555411078</v>
      </c>
      <c r="AD170" s="309">
        <f t="shared" si="69"/>
        <v>113.96331797111264</v>
      </c>
      <c r="AE170" s="107">
        <f t="shared" si="70"/>
        <v>9.1414426180036895E-3</v>
      </c>
      <c r="AF170" s="309">
        <f t="shared" si="77"/>
        <v>143.98235758299813</v>
      </c>
      <c r="AG170" s="107">
        <f t="shared" si="71"/>
        <v>1.1549386971898246E-2</v>
      </c>
      <c r="AH170" s="119">
        <f t="shared" si="78"/>
        <v>2.0690829589901934E-2</v>
      </c>
      <c r="AI170" s="122">
        <f t="shared" si="72"/>
        <v>2.0690829589901934E-2</v>
      </c>
      <c r="AJ170" s="87" t="b">
        <f t="shared" si="79"/>
        <v>1</v>
      </c>
      <c r="AK170" s="88">
        <f t="shared" si="83"/>
        <v>1.5185669986157516E-3</v>
      </c>
      <c r="AL170" s="312">
        <f>+AC170/'MWh by month-WgtbyCDH&amp;DayLtHrs'!AC170-1</f>
        <v>1.000997677733273E-2</v>
      </c>
      <c r="AM170" s="89">
        <f t="shared" si="73"/>
        <v>347917.13982288638</v>
      </c>
      <c r="AN170" s="93"/>
      <c r="AO170" s="96">
        <f t="shared" si="61"/>
        <v>69.427141014727979</v>
      </c>
      <c r="AP170" s="92">
        <f t="shared" si="86"/>
        <v>5.5690220065289821E-3</v>
      </c>
      <c r="AR170" s="94">
        <f t="shared" si="74"/>
        <v>2.0690829589901934E-2</v>
      </c>
      <c r="AS170" s="95">
        <v>1155848.495995641</v>
      </c>
      <c r="AU170" s="141">
        <v>257.94567555411078</v>
      </c>
    </row>
    <row r="171" spans="1:47">
      <c r="A171" s="78">
        <v>2018</v>
      </c>
      <c r="B171" s="78">
        <v>11</v>
      </c>
      <c r="C171" s="317">
        <f t="shared" si="81"/>
        <v>78.117279066674627</v>
      </c>
      <c r="D171" s="324">
        <f t="shared" si="80"/>
        <v>3.9729981188725644E-2</v>
      </c>
      <c r="E171" s="321">
        <f>$D171*'MWh Impact Summary'!B$24</f>
        <v>103018.39938733366</v>
      </c>
      <c r="F171" s="319">
        <f>$D171*'MWh Impact Summary'!N$24</f>
        <v>11206.874061808818</v>
      </c>
      <c r="G171" s="319">
        <f>$D171*'MWh Impact Summary'!C$24</f>
        <v>79153.868643958398</v>
      </c>
      <c r="H171" s="319">
        <f>$D171*'MWh Impact Summary'!D$24</f>
        <v>296.02163880454316</v>
      </c>
      <c r="I171" s="319">
        <f>$D171*'MWh Impact Summary'!E$24</f>
        <v>30632.919188192027</v>
      </c>
      <c r="J171" s="104">
        <f t="shared" si="75"/>
        <v>224308.08292009745</v>
      </c>
      <c r="K171" s="298">
        <f t="shared" si="82"/>
        <v>13.15</v>
      </c>
      <c r="L171" s="300">
        <f t="shared" si="63"/>
        <v>9.2573037662794788E-2</v>
      </c>
      <c r="M171" s="297">
        <f>(30/365)</f>
        <v>8.2191780821917804E-2</v>
      </c>
      <c r="N171" s="304">
        <f>$L171*'MWh Impact Summary'!F$24</f>
        <v>124239.24489449395</v>
      </c>
      <c r="O171" s="304">
        <f>$L171*'MWh Impact Summary'!G$24</f>
        <v>6130.017247024115</v>
      </c>
      <c r="P171" s="304">
        <f>$M171*'MWh Impact Summary'!H$24</f>
        <v>7080.4894313175073</v>
      </c>
      <c r="Q171" s="304">
        <f>$M171*'MWh Impact Summary'!I$24</f>
        <v>1279.005272907483</v>
      </c>
      <c r="R171" s="304">
        <f>$M171*'MWh Impact Summary'!J$24</f>
        <v>33597.975576016725</v>
      </c>
      <c r="S171" s="304">
        <f>$M171*'MWh Impact Summary'!K$24</f>
        <v>12871.189905114099</v>
      </c>
      <c r="T171" s="304">
        <f>$M171*'MWh Impact Summary'!L$24</f>
        <v>4697.2344840741098</v>
      </c>
      <c r="U171" s="304">
        <f>$M171*'MWh Impact Summary'!M$24</f>
        <v>14963.047325733936</v>
      </c>
      <c r="V171" s="304">
        <f>$L171*'LED Impact Forecast'!$H$25+$D171*'LED Impact Forecast'!$J$25</f>
        <v>41531.199188476276</v>
      </c>
      <c r="W171" s="304">
        <f>$L171*'CFL Impact Forecast'!$H$25+$D171*'CFL Impact Forecast'!$J$25</f>
        <v>329148.2100238984</v>
      </c>
      <c r="X171" s="304">
        <f>$L171*'EISA Incand Impact Forecast'!$G$25+$D171*'EISA Incand Impact Forecast'!$I$25</f>
        <v>122021.16210269216</v>
      </c>
      <c r="Y171" s="85">
        <f t="shared" si="67"/>
        <v>697558.77545174875</v>
      </c>
      <c r="Z171" s="81">
        <f t="shared" si="68"/>
        <v>921866.85837184615</v>
      </c>
      <c r="AA171" s="81"/>
      <c r="AB171" s="262">
        <f>+'MWh by mo-WgtbyActulCDH&amp;Days'!AB171</f>
        <v>5016812.6063650586</v>
      </c>
      <c r="AC171" s="308">
        <f t="shared" si="76"/>
        <v>183.75548993044544</v>
      </c>
      <c r="AD171" s="309">
        <f t="shared" si="69"/>
        <v>44.711273974137995</v>
      </c>
      <c r="AE171" s="107">
        <f t="shared" si="70"/>
        <v>3.4000968801625852E-3</v>
      </c>
      <c r="AF171" s="309">
        <f t="shared" si="77"/>
        <v>139.04421595630743</v>
      </c>
      <c r="AG171" s="107">
        <f t="shared" si="71"/>
        <v>1.057370463546064E-2</v>
      </c>
      <c r="AH171" s="119">
        <f t="shared" si="78"/>
        <v>1.3973801515623226E-2</v>
      </c>
      <c r="AI171" s="122">
        <f t="shared" si="72"/>
        <v>1.3973801515623226E-2</v>
      </c>
      <c r="AJ171" s="87" t="b">
        <f t="shared" si="79"/>
        <v>1</v>
      </c>
      <c r="AK171" s="88">
        <f t="shared" si="83"/>
        <v>9.8887765752092918E-4</v>
      </c>
      <c r="AL171" s="312">
        <f>+AC171/'MWh by month-WgtbyCDH&amp;DayLtHrs'!AC171-1</f>
        <v>-4.7399245057413109E-2</v>
      </c>
      <c r="AM171" s="89">
        <f t="shared" si="73"/>
        <v>329148.2100238984</v>
      </c>
      <c r="AN171" s="93"/>
      <c r="AO171" s="96">
        <f t="shared" ref="AO171:AO234" si="87">+AM171*1000/AB171</f>
        <v>65.609030244879605</v>
      </c>
      <c r="AP171" s="92">
        <f t="shared" si="86"/>
        <v>4.9892798665307691E-3</v>
      </c>
      <c r="AR171" s="94">
        <f t="shared" si="74"/>
        <v>1.3973801515623226E-2</v>
      </c>
      <c r="AS171" s="95">
        <v>893899.58279067918</v>
      </c>
      <c r="AU171" s="141">
        <v>183.75548993044544</v>
      </c>
    </row>
    <row r="172" spans="1:47">
      <c r="A172" s="78">
        <v>2018</v>
      </c>
      <c r="B172" s="78">
        <v>12</v>
      </c>
      <c r="C172" s="317">
        <f t="shared" si="81"/>
        <v>42.633806123140985</v>
      </c>
      <c r="D172" s="324">
        <f t="shared" si="80"/>
        <v>2.1683298951445065E-2</v>
      </c>
      <c r="E172" s="321">
        <f>$D172*'MWh Impact Summary'!B$24</f>
        <v>56224.007275614073</v>
      </c>
      <c r="F172" s="319">
        <f>$D172*'MWh Impact Summary'!N$24</f>
        <v>6116.3381739116912</v>
      </c>
      <c r="G172" s="319">
        <f>$D172*'MWh Impact Summary'!C$24</f>
        <v>43199.542149730754</v>
      </c>
      <c r="H172" s="319">
        <f>$D172*'MWh Impact Summary'!D$24</f>
        <v>161.55873972870319</v>
      </c>
      <c r="I172" s="319">
        <f>$D172*'MWh Impact Summary'!E$24</f>
        <v>16718.42584968339</v>
      </c>
      <c r="J172" s="104">
        <f t="shared" si="75"/>
        <v>122419.87218866861</v>
      </c>
      <c r="K172" s="298">
        <f t="shared" si="82"/>
        <v>13.483333333333333</v>
      </c>
      <c r="L172" s="300">
        <f t="shared" si="63"/>
        <v>9.491962923853102E-2</v>
      </c>
      <c r="M172" s="297">
        <f t="shared" si="85"/>
        <v>8.4931506849315067E-2</v>
      </c>
      <c r="N172" s="304">
        <f>$L172*'MWh Impact Summary'!F$24</f>
        <v>127388.52866875233</v>
      </c>
      <c r="O172" s="304">
        <f>$L172*'MWh Impact Summary'!G$24</f>
        <v>6285.4042494835339</v>
      </c>
      <c r="P172" s="304">
        <f>$M172*'MWh Impact Summary'!H$24</f>
        <v>7316.5057456947579</v>
      </c>
      <c r="Q172" s="304">
        <f>$M172*'MWh Impact Summary'!I$24</f>
        <v>1321.6387820043992</v>
      </c>
      <c r="R172" s="304">
        <f>$M172*'MWh Impact Summary'!J$24</f>
        <v>34717.908095217281</v>
      </c>
      <c r="S172" s="304">
        <f>$M172*'MWh Impact Summary'!K$24</f>
        <v>13300.229568617904</v>
      </c>
      <c r="T172" s="304">
        <f>$M172*'MWh Impact Summary'!L$24</f>
        <v>4853.8089668765797</v>
      </c>
      <c r="U172" s="304">
        <f>$M172*'MWh Impact Summary'!M$24</f>
        <v>15461.815569925069</v>
      </c>
      <c r="V172" s="304">
        <f>$L172*'LED Impact Forecast'!$H$25+$D172*'LED Impact Forecast'!$J$25</f>
        <v>41484.349164831154</v>
      </c>
      <c r="W172" s="304">
        <f>$L172*'CFL Impact Forecast'!$H$25+$D172*'CFL Impact Forecast'!$J$25</f>
        <v>326725.75642594701</v>
      </c>
      <c r="X172" s="304">
        <f>$L172*'EISA Incand Impact Forecast'!$G$25+$D172*'EISA Incand Impact Forecast'!$I$25</f>
        <v>120813.26245011661</v>
      </c>
      <c r="Y172" s="85">
        <f t="shared" si="67"/>
        <v>699669.20768746664</v>
      </c>
      <c r="Z172" s="81">
        <f t="shared" si="68"/>
        <v>822089.07987613522</v>
      </c>
      <c r="AA172" s="81">
        <f>SUM(Z161:Z172)</f>
        <v>13766996.658649478</v>
      </c>
      <c r="AB172" s="262">
        <f>+'MWh by mo-WgtbyActulCDH&amp;Days'!AB172</f>
        <v>5022446.1507833218</v>
      </c>
      <c r="AC172" s="308">
        <f t="shared" si="76"/>
        <v>163.68300529173791</v>
      </c>
      <c r="AD172" s="309">
        <f t="shared" si="69"/>
        <v>24.374551466236326</v>
      </c>
      <c r="AE172" s="107">
        <f t="shared" si="70"/>
        <v>1.8077541260496659E-3</v>
      </c>
      <c r="AF172" s="309">
        <f t="shared" si="77"/>
        <v>139.3084538255016</v>
      </c>
      <c r="AG172" s="107">
        <f t="shared" si="71"/>
        <v>1.0331900160111368E-2</v>
      </c>
      <c r="AH172" s="119">
        <f t="shared" si="78"/>
        <v>1.2139654286161034E-2</v>
      </c>
      <c r="AI172" s="122">
        <f t="shared" si="72"/>
        <v>1.2139654286161032E-2</v>
      </c>
      <c r="AJ172" s="87" t="b">
        <f t="shared" si="79"/>
        <v>1</v>
      </c>
      <c r="AK172" s="88">
        <f t="shared" si="83"/>
        <v>8.4829763864347971E-4</v>
      </c>
      <c r="AL172" s="312">
        <f>+AC172/'MWh by month-WgtbyCDH&amp;DayLtHrs'!AC172-1</f>
        <v>-6.8748785629589304E-2</v>
      </c>
      <c r="AM172" s="89">
        <f t="shared" si="73"/>
        <v>326725.75642594701</v>
      </c>
      <c r="AN172" s="90">
        <f>SUM(AM161:AM172)</f>
        <v>3878082.8693543645</v>
      </c>
      <c r="AO172" s="96">
        <f t="shared" si="87"/>
        <v>65.053112889023112</v>
      </c>
      <c r="AP172" s="92">
        <f t="shared" si="86"/>
        <v>4.8247055294701937E-3</v>
      </c>
      <c r="AR172" s="94">
        <f t="shared" si="74"/>
        <v>1.2139654286161032E-2</v>
      </c>
      <c r="AS172" s="95">
        <v>738281.07191137853</v>
      </c>
      <c r="AU172" s="141">
        <v>163.68300529173791</v>
      </c>
    </row>
    <row r="173" spans="1:47">
      <c r="A173" s="78">
        <v>2019</v>
      </c>
      <c r="B173" s="78">
        <v>1</v>
      </c>
      <c r="C173" s="317">
        <f t="shared" si="81"/>
        <v>26.112829868525239</v>
      </c>
      <c r="D173" s="324">
        <f t="shared" si="80"/>
        <v>1.3280829182176284E-2</v>
      </c>
      <c r="E173" s="321">
        <f>$D173*'MWh Impact Summary'!B$25</f>
        <v>37901.875731165361</v>
      </c>
      <c r="F173" s="319">
        <f>$D173*'MWh Impact Summary'!N$25</f>
        <v>4428.7198558267801</v>
      </c>
      <c r="G173" s="319">
        <f>$D173*'MWh Impact Summary'!C$25</f>
        <v>28612.968655251218</v>
      </c>
      <c r="H173" s="319">
        <f>$D173*'MWh Impact Summary'!D$25</f>
        <v>110.15232217588711</v>
      </c>
      <c r="I173" s="319">
        <f>$D173*'MWh Impact Summary'!E$25</f>
        <v>11006.117751685633</v>
      </c>
      <c r="J173" s="104">
        <f t="shared" si="75"/>
        <v>82059.834316104883</v>
      </c>
      <c r="K173" s="298">
        <f t="shared" si="82"/>
        <v>13.3</v>
      </c>
      <c r="L173" s="300">
        <f t="shared" si="63"/>
        <v>9.3629003871876101E-2</v>
      </c>
      <c r="M173" s="297">
        <f>(31/365)</f>
        <v>8.4931506849315067E-2</v>
      </c>
      <c r="N173" s="304">
        <f>$L173*'MWh Impact Summary'!F$25</f>
        <v>137592.71067200246</v>
      </c>
      <c r="O173" s="304">
        <f>$L173*'MWh Impact Summary'!G$25</f>
        <v>9306.2398848588891</v>
      </c>
      <c r="P173" s="304">
        <f>$M173*'MWh Impact Summary'!H$25</f>
        <v>8478.4823916279402</v>
      </c>
      <c r="Q173" s="304">
        <f>$M173*'MWh Impact Summary'!I$25</f>
        <v>1414.2366962017231</v>
      </c>
      <c r="R173" s="304">
        <f>$M173*'MWh Impact Summary'!J$25</f>
        <v>39021.332976499914</v>
      </c>
      <c r="S173" s="304">
        <f>$M173*'MWh Impact Summary'!K$25</f>
        <v>17312.223108981307</v>
      </c>
      <c r="T173" s="304">
        <f>$M173*'MWh Impact Summary'!L$25</f>
        <v>6126.1590904431287</v>
      </c>
      <c r="U173" s="304">
        <f>$M173*'MWh Impact Summary'!M$25</f>
        <v>19857.320630166058</v>
      </c>
      <c r="V173" s="304">
        <f>$L173*'LED Impact Forecast'!$H$26+$D173*'LED Impact Forecast'!$J$26</f>
        <v>61278.005288318607</v>
      </c>
      <c r="W173" s="304">
        <f>$L173*'CFL Impact Forecast'!$H$26+$D173*'CFL Impact Forecast'!$J$26</f>
        <v>325818.99209721602</v>
      </c>
      <c r="X173" s="304">
        <f>$L173*'EISA Incand Impact Forecast'!$G$26+$D173*'EISA Incand Impact Forecast'!$I$26</f>
        <v>118219.71122491109</v>
      </c>
      <c r="Y173" s="85">
        <f t="shared" si="67"/>
        <v>744425.41406122711</v>
      </c>
      <c r="Z173" s="81">
        <f t="shared" si="68"/>
        <v>826485.248377332</v>
      </c>
      <c r="AA173" s="81"/>
      <c r="AB173" s="262">
        <f>+'MWh by mo-WgtbyActulCDH&amp;Days'!AB173</f>
        <v>5028344.8487463314</v>
      </c>
      <c r="AC173" s="308">
        <f t="shared" si="76"/>
        <v>164.36526794366372</v>
      </c>
      <c r="AD173" s="309">
        <f t="shared" si="69"/>
        <v>16.319452381346533</v>
      </c>
      <c r="AE173" s="107">
        <f t="shared" si="70"/>
        <v>1.2270264948380852E-3</v>
      </c>
      <c r="AF173" s="309">
        <f t="shared" si="77"/>
        <v>148.04581556231719</v>
      </c>
      <c r="AG173" s="107">
        <f t="shared" si="71"/>
        <v>1.1131264327993773E-2</v>
      </c>
      <c r="AH173" s="119">
        <f t="shared" si="78"/>
        <v>1.2358290822831857E-2</v>
      </c>
      <c r="AI173" s="122">
        <f t="shared" si="72"/>
        <v>1.2358290822831857E-2</v>
      </c>
      <c r="AJ173" s="87" t="b">
        <f t="shared" si="79"/>
        <v>1</v>
      </c>
      <c r="AK173" s="88">
        <f t="shared" si="83"/>
        <v>8.4903512691718482E-4</v>
      </c>
      <c r="AL173" s="312">
        <f>+AC173/'MWh by month-WgtbyCDH&amp;DayLtHrs'!AC173-1</f>
        <v>-7.880762448718015E-2</v>
      </c>
      <c r="AM173" s="89">
        <f t="shared" si="73"/>
        <v>325818.99209721602</v>
      </c>
      <c r="AN173" s="93"/>
      <c r="AO173" s="96">
        <f t="shared" si="87"/>
        <v>64.796469195713442</v>
      </c>
      <c r="AP173" s="92">
        <f t="shared" si="86"/>
        <v>4.8719149771213116E-3</v>
      </c>
      <c r="AR173" s="94">
        <f t="shared" si="74"/>
        <v>1.2358290822831857E-2</v>
      </c>
      <c r="AS173" s="95">
        <v>761448.87440197717</v>
      </c>
      <c r="AU173" s="141">
        <v>164.36526794366372</v>
      </c>
    </row>
    <row r="174" spans="1:47">
      <c r="A174" s="78">
        <v>2019</v>
      </c>
      <c r="B174" s="78">
        <v>2</v>
      </c>
      <c r="C174" s="317">
        <f t="shared" si="81"/>
        <v>35.042184420393127</v>
      </c>
      <c r="D174" s="324">
        <f t="shared" si="80"/>
        <v>1.7822245532205266E-2</v>
      </c>
      <c r="E174" s="321">
        <f>$D174*'MWh Impact Summary'!B$25</f>
        <v>50862.527192091315</v>
      </c>
      <c r="F174" s="319">
        <f>$D174*'MWh Impact Summary'!N$25</f>
        <v>5943.1328858461866</v>
      </c>
      <c r="G174" s="319">
        <f>$D174*'MWh Impact Summary'!C$25</f>
        <v>38397.252595008307</v>
      </c>
      <c r="H174" s="319">
        <f>$D174*'MWh Impact Summary'!D$25</f>
        <v>147.8192140590082</v>
      </c>
      <c r="I174" s="319">
        <f>$D174*'MWh Impact Summary'!E$25</f>
        <v>14769.690223119136</v>
      </c>
      <c r="J174" s="104">
        <f t="shared" si="75"/>
        <v>110120.42211012395</v>
      </c>
      <c r="K174" s="298">
        <f t="shared" si="82"/>
        <v>12.733333333333333</v>
      </c>
      <c r="L174" s="300">
        <f t="shared" si="63"/>
        <v>8.9639798193124468E-2</v>
      </c>
      <c r="M174" s="297">
        <f>(28/365)</f>
        <v>7.6712328767123292E-2</v>
      </c>
      <c r="N174" s="304">
        <f>$L174*'MWh Impact Summary'!F$25</f>
        <v>131730.36460327049</v>
      </c>
      <c r="O174" s="304">
        <f>$L174*'MWh Impact Summary'!G$25</f>
        <v>8909.7334235992348</v>
      </c>
      <c r="P174" s="304">
        <f>$M174*'MWh Impact Summary'!H$25</f>
        <v>7657.9840956639473</v>
      </c>
      <c r="Q174" s="304">
        <f>$M174*'MWh Impact Summary'!I$25</f>
        <v>1277.3750804402662</v>
      </c>
      <c r="R174" s="304">
        <f>$M174*'MWh Impact Summary'!J$25</f>
        <v>35245.074946516055</v>
      </c>
      <c r="S174" s="304">
        <f>$M174*'MWh Impact Summary'!K$25</f>
        <v>15636.84667907989</v>
      </c>
      <c r="T174" s="304">
        <f>$M174*'MWh Impact Summary'!L$25</f>
        <v>5533.3049849163754</v>
      </c>
      <c r="U174" s="304">
        <f>$M174*'MWh Impact Summary'!M$25</f>
        <v>17935.64444014999</v>
      </c>
      <c r="V174" s="304">
        <f>$L174*'LED Impact Forecast'!$H$26+$D174*'LED Impact Forecast'!$J$26</f>
        <v>59145.739941965432</v>
      </c>
      <c r="W174" s="304">
        <f>$L174*'CFL Impact Forecast'!$H$26+$D174*'CFL Impact Forecast'!$J$26</f>
        <v>314900.35515891801</v>
      </c>
      <c r="X174" s="304">
        <f>$L174*'EISA Incand Impact Forecast'!$G$26+$D174*'EISA Incand Impact Forecast'!$I$26</f>
        <v>114345.45654287364</v>
      </c>
      <c r="Y174" s="85">
        <f t="shared" si="67"/>
        <v>712317.8798973934</v>
      </c>
      <c r="Z174" s="81">
        <f t="shared" si="68"/>
        <v>822438.30200751731</v>
      </c>
      <c r="AA174" s="81"/>
      <c r="AB174" s="262">
        <f>+'MWh by mo-WgtbyActulCDH&amp;Days'!AB174</f>
        <v>5033985.8735689241</v>
      </c>
      <c r="AC174" s="308">
        <f t="shared" si="76"/>
        <v>163.37715731896495</v>
      </c>
      <c r="AD174" s="309">
        <f t="shared" si="69"/>
        <v>21.875393550131744</v>
      </c>
      <c r="AE174" s="107">
        <f t="shared" si="70"/>
        <v>1.7179628442511841E-3</v>
      </c>
      <c r="AF174" s="309">
        <f t="shared" si="77"/>
        <v>141.5017637688332</v>
      </c>
      <c r="AG174" s="107">
        <f t="shared" si="71"/>
        <v>1.1112703960903131E-2</v>
      </c>
      <c r="AH174" s="119">
        <f t="shared" si="78"/>
        <v>1.2830666805154316E-2</v>
      </c>
      <c r="AI174" s="122">
        <f t="shared" si="72"/>
        <v>1.2830666805154316E-2</v>
      </c>
      <c r="AJ174" s="87" t="b">
        <f t="shared" si="79"/>
        <v>1</v>
      </c>
      <c r="AK174" s="88">
        <f t="shared" si="83"/>
        <v>8.7620541269817914E-4</v>
      </c>
      <c r="AL174" s="312">
        <f>+AC174/'MWh by month-WgtbyCDH&amp;DayLtHrs'!AC174-1</f>
        <v>-8.0433627944494934E-2</v>
      </c>
      <c r="AM174" s="89">
        <f t="shared" si="73"/>
        <v>314900.35515891801</v>
      </c>
      <c r="AN174" s="93"/>
      <c r="AO174" s="96">
        <f t="shared" si="87"/>
        <v>62.554874619793964</v>
      </c>
      <c r="AP174" s="92">
        <f t="shared" si="86"/>
        <v>4.9126864884654949E-3</v>
      </c>
      <c r="AR174" s="94">
        <f t="shared" si="74"/>
        <v>1.2830666805154316E-2</v>
      </c>
      <c r="AS174" s="95">
        <v>707451.56583231059</v>
      </c>
      <c r="AU174" s="141">
        <v>163.37715731896495</v>
      </c>
    </row>
    <row r="175" spans="1:47">
      <c r="A175" s="78">
        <v>2019</v>
      </c>
      <c r="B175" s="78">
        <v>3</v>
      </c>
      <c r="C175" s="317">
        <f t="shared" si="81"/>
        <v>64.582270600115152</v>
      </c>
      <c r="D175" s="324">
        <f t="shared" si="80"/>
        <v>3.2846156787895278E-2</v>
      </c>
      <c r="E175" s="321">
        <f>$D175*'MWh Impact Summary'!B$25</f>
        <v>93738.947752747001</v>
      </c>
      <c r="F175" s="319">
        <f>$D175*'MWh Impact Summary'!N$25</f>
        <v>10953.113300288253</v>
      </c>
      <c r="G175" s="319">
        <f>$D175*'MWh Impact Summary'!C$25</f>
        <v>70765.615740229608</v>
      </c>
      <c r="H175" s="319">
        <f>$D175*'MWh Impact Summary'!D$25</f>
        <v>272.42880659858463</v>
      </c>
      <c r="I175" s="319">
        <f>$D175*'MWh Impact Summary'!E$25</f>
        <v>27220.338755886674</v>
      </c>
      <c r="J175" s="104">
        <f t="shared" si="75"/>
        <v>202950.44435575014</v>
      </c>
      <c r="K175" s="298">
        <f t="shared" si="82"/>
        <v>12</v>
      </c>
      <c r="L175" s="300">
        <f t="shared" si="63"/>
        <v>8.4477296726504739E-2</v>
      </c>
      <c r="M175" s="297">
        <f t="shared" ref="M175:M184" si="88">(31/365)</f>
        <v>8.4931506849315067E-2</v>
      </c>
      <c r="N175" s="304">
        <f>$L175*'MWh Impact Summary'!F$25</f>
        <v>124143.79910255858</v>
      </c>
      <c r="O175" s="304">
        <f>$L175*'MWh Impact Summary'!G$25</f>
        <v>8396.6074149102751</v>
      </c>
      <c r="P175" s="304">
        <f>$M175*'MWh Impact Summary'!H$25</f>
        <v>8478.4823916279402</v>
      </c>
      <c r="Q175" s="304">
        <f>$M175*'MWh Impact Summary'!I$25</f>
        <v>1414.2366962017231</v>
      </c>
      <c r="R175" s="304">
        <f>$M175*'MWh Impact Summary'!J$25</f>
        <v>39021.332976499914</v>
      </c>
      <c r="S175" s="304">
        <f>$M175*'MWh Impact Summary'!K$25</f>
        <v>17312.223108981307</v>
      </c>
      <c r="T175" s="304">
        <f>$M175*'MWh Impact Summary'!L$25</f>
        <v>6126.1590904431287</v>
      </c>
      <c r="U175" s="304">
        <f>$M175*'MWh Impact Summary'!M$25</f>
        <v>19857.320630166058</v>
      </c>
      <c r="V175" s="304">
        <f>$L175*'LED Impact Forecast'!$H$26+$D175*'LED Impact Forecast'!$J$26</f>
        <v>57243.438224785983</v>
      </c>
      <c r="W175" s="304">
        <f>$L175*'CFL Impact Forecast'!$H$26+$D175*'CFL Impact Forecast'!$J$26</f>
        <v>306077.5682700444</v>
      </c>
      <c r="X175" s="304">
        <f>$L175*'EISA Incand Impact Forecast'!$G$26+$D175*'EISA Incand Impact Forecast'!$I$26</f>
        <v>111413.99174910598</v>
      </c>
      <c r="Y175" s="85">
        <f t="shared" si="67"/>
        <v>699485.15965532535</v>
      </c>
      <c r="Z175" s="81">
        <f t="shared" si="68"/>
        <v>902435.60401107545</v>
      </c>
      <c r="AA175" s="81"/>
      <c r="AB175" s="262">
        <f>+'MWh by mo-WgtbyActulCDH&amp;Days'!AB175</f>
        <v>5039839.6897841692</v>
      </c>
      <c r="AC175" s="308">
        <f t="shared" si="76"/>
        <v>179.06037881330354</v>
      </c>
      <c r="AD175" s="309">
        <f t="shared" si="69"/>
        <v>40.269226175414616</v>
      </c>
      <c r="AE175" s="107">
        <f t="shared" si="70"/>
        <v>3.3557688479512178E-3</v>
      </c>
      <c r="AF175" s="309">
        <f t="shared" si="77"/>
        <v>138.7911526378889</v>
      </c>
      <c r="AG175" s="107">
        <f t="shared" si="71"/>
        <v>1.1565929386490743E-2</v>
      </c>
      <c r="AH175" s="119">
        <f t="shared" si="78"/>
        <v>1.4921698234441961E-2</v>
      </c>
      <c r="AI175" s="122">
        <f t="shared" si="72"/>
        <v>1.4921698234441961E-2</v>
      </c>
      <c r="AJ175" s="87" t="b">
        <f t="shared" si="79"/>
        <v>1</v>
      </c>
      <c r="AK175" s="88">
        <f t="shared" si="83"/>
        <v>1.0429723730017854E-3</v>
      </c>
      <c r="AL175" s="312">
        <f>+AC175/'MWh by month-WgtbyCDH&amp;DayLtHrs'!AC175-1</f>
        <v>-4.7310264679068403E-2</v>
      </c>
      <c r="AM175" s="89">
        <f t="shared" si="73"/>
        <v>306077.5682700444</v>
      </c>
      <c r="AN175" s="93"/>
      <c r="AO175" s="96">
        <f t="shared" si="87"/>
        <v>60.731607969687651</v>
      </c>
      <c r="AP175" s="92">
        <f t="shared" si="86"/>
        <v>5.0609673308073038E-3</v>
      </c>
      <c r="AR175" s="94">
        <f t="shared" si="74"/>
        <v>1.4921698234441961E-2</v>
      </c>
      <c r="AS175" s="95">
        <v>857008.83732047398</v>
      </c>
      <c r="AU175" s="141">
        <v>179.06037881330354</v>
      </c>
    </row>
    <row r="176" spans="1:47">
      <c r="A176" s="78">
        <v>2019</v>
      </c>
      <c r="B176" s="78">
        <v>4</v>
      </c>
      <c r="C176" s="317">
        <f t="shared" si="81"/>
        <v>114.03392869270741</v>
      </c>
      <c r="D176" s="324">
        <f t="shared" si="80"/>
        <v>5.7996974497419709E-2</v>
      </c>
      <c r="E176" s="321">
        <f>$D176*'MWh Impact Summary'!B$25</f>
        <v>165516.33109888082</v>
      </c>
      <c r="F176" s="319">
        <f>$D176*'MWh Impact Summary'!N$25</f>
        <v>19340.084042291142</v>
      </c>
      <c r="G176" s="319">
        <f>$D176*'MWh Impact Summary'!C$25</f>
        <v>124951.95824227472</v>
      </c>
      <c r="H176" s="319">
        <f>$D176*'MWh Impact Summary'!D$25</f>
        <v>481.03181905541396</v>
      </c>
      <c r="I176" s="319">
        <f>$D176*'MWh Impact Summary'!E$25</f>
        <v>48063.379311946737</v>
      </c>
      <c r="J176" s="104">
        <f t="shared" si="75"/>
        <v>358352.78451444884</v>
      </c>
      <c r="K176" s="298">
        <f t="shared" si="82"/>
        <v>11.2</v>
      </c>
      <c r="L176" s="300">
        <f t="shared" si="63"/>
        <v>7.8845476944737758E-2</v>
      </c>
      <c r="M176" s="297">
        <f>(30/365)</f>
        <v>8.2191780821917804E-2</v>
      </c>
      <c r="N176" s="304">
        <f>$L176*'MWh Impact Summary'!F$25</f>
        <v>115867.54582905468</v>
      </c>
      <c r="O176" s="304">
        <f>$L176*'MWh Impact Summary'!G$25</f>
        <v>7836.83358724959</v>
      </c>
      <c r="P176" s="304">
        <f>$M176*'MWh Impact Summary'!H$25</f>
        <v>8204.9829596399431</v>
      </c>
      <c r="Q176" s="304">
        <f>$M176*'MWh Impact Summary'!I$25</f>
        <v>1368.6161576145707</v>
      </c>
      <c r="R176" s="304">
        <f>$M176*'MWh Impact Summary'!J$25</f>
        <v>37762.580299838621</v>
      </c>
      <c r="S176" s="304">
        <f>$M176*'MWh Impact Summary'!K$25</f>
        <v>16753.764299014165</v>
      </c>
      <c r="T176" s="304">
        <f>$M176*'MWh Impact Summary'!L$25</f>
        <v>5928.5410552675439</v>
      </c>
      <c r="U176" s="304">
        <f>$M176*'MWh Impact Summary'!M$25</f>
        <v>19216.761900160702</v>
      </c>
      <c r="V176" s="304">
        <f>$L176*'LED Impact Forecast'!$H$26+$D176*'LED Impact Forecast'!$J$26</f>
        <v>55989.159555724349</v>
      </c>
      <c r="W176" s="304">
        <f>$L176*'CFL Impact Forecast'!$H$26+$D176*'CFL Impact Forecast'!$J$26</f>
        <v>301536.13706865138</v>
      </c>
      <c r="X176" s="304">
        <f>$L176*'EISA Incand Impact Forecast'!$G$26+$D176*'EISA Incand Impact Forecast'!$I$26</f>
        <v>110210.50440122398</v>
      </c>
      <c r="Y176" s="85">
        <f t="shared" si="67"/>
        <v>680675.42711343942</v>
      </c>
      <c r="Z176" s="81">
        <f t="shared" si="68"/>
        <v>1039028.2116278883</v>
      </c>
      <c r="AA176" s="81"/>
      <c r="AB176" s="262">
        <f>+'MWh by mo-WgtbyActulCDH&amp;Days'!AB176</f>
        <v>5045414.9673927901</v>
      </c>
      <c r="AC176" s="308">
        <f t="shared" si="76"/>
        <v>205.93513483883058</v>
      </c>
      <c r="AD176" s="309">
        <f t="shared" si="69"/>
        <v>71.025433354915307</v>
      </c>
      <c r="AE176" s="107">
        <f t="shared" si="70"/>
        <v>6.3415565495460102E-3</v>
      </c>
      <c r="AF176" s="309">
        <f t="shared" si="77"/>
        <v>134.90970148391528</v>
      </c>
      <c r="AG176" s="107">
        <f t="shared" si="71"/>
        <v>1.2045509061063865E-2</v>
      </c>
      <c r="AH176" s="119">
        <f t="shared" si="78"/>
        <v>1.8387065610609876E-2</v>
      </c>
      <c r="AI176" s="122">
        <f t="shared" si="72"/>
        <v>1.8387065610609873E-2</v>
      </c>
      <c r="AJ176" s="87" t="b">
        <f t="shared" si="79"/>
        <v>1</v>
      </c>
      <c r="AK176" s="88">
        <f t="shared" si="83"/>
        <v>1.291937174418889E-3</v>
      </c>
      <c r="AL176" s="312">
        <f>+AC176/'MWh by month-WgtbyCDH&amp;DayLtHrs'!AC176-1</f>
        <v>-1.8918631961571064E-2</v>
      </c>
      <c r="AM176" s="89">
        <f t="shared" si="73"/>
        <v>301536.13706865138</v>
      </c>
      <c r="AN176" s="93"/>
      <c r="AO176" s="96">
        <f t="shared" si="87"/>
        <v>59.764387868470941</v>
      </c>
      <c r="AP176" s="92">
        <f t="shared" si="86"/>
        <v>5.3361060596849056E-3</v>
      </c>
      <c r="AR176" s="94">
        <f t="shared" si="74"/>
        <v>1.8387065610609873E-2</v>
      </c>
      <c r="AS176" s="95">
        <v>1007481.0355190123</v>
      </c>
      <c r="AU176" s="141">
        <v>205.93513483883058</v>
      </c>
    </row>
    <row r="177" spans="1:47">
      <c r="A177" s="78">
        <v>2019</v>
      </c>
      <c r="B177" s="78">
        <v>5</v>
      </c>
      <c r="C177" s="317">
        <f t="shared" si="81"/>
        <v>208.47875842628665</v>
      </c>
      <c r="D177" s="324">
        <f t="shared" si="80"/>
        <v>0.10603105035770212</v>
      </c>
      <c r="E177" s="321">
        <f>$D177*'MWh Impact Summary'!B$25</f>
        <v>302599.75782957999</v>
      </c>
      <c r="F177" s="319">
        <f>$D177*'MWh Impact Summary'!N$25</f>
        <v>35357.868971278782</v>
      </c>
      <c r="G177" s="319">
        <f>$D177*'MWh Impact Summary'!C$25</f>
        <v>228439.28483320388</v>
      </c>
      <c r="H177" s="319">
        <f>$D177*'MWh Impact Summary'!D$25</f>
        <v>879.43051291737368</v>
      </c>
      <c r="I177" s="319">
        <f>$D177*'MWh Impact Summary'!E$25</f>
        <v>87870.283516480558</v>
      </c>
      <c r="J177" s="104">
        <f t="shared" si="75"/>
        <v>655146.62566346058</v>
      </c>
      <c r="K177" s="298">
        <f t="shared" si="82"/>
        <v>10.533333333333333</v>
      </c>
      <c r="L177" s="300">
        <f t="shared" si="63"/>
        <v>7.4152293793265281E-2</v>
      </c>
      <c r="M177" s="297">
        <f t="shared" si="88"/>
        <v>8.4931506849315067E-2</v>
      </c>
      <c r="N177" s="304">
        <f>$L177*'MWh Impact Summary'!F$25</f>
        <v>108970.66810113477</v>
      </c>
      <c r="O177" s="304">
        <f>$L177*'MWh Impact Summary'!G$25</f>
        <v>7370.3553975323539</v>
      </c>
      <c r="P177" s="304">
        <f>$M177*'MWh Impact Summary'!H$25</f>
        <v>8478.4823916279402</v>
      </c>
      <c r="Q177" s="304">
        <f>$M177*'MWh Impact Summary'!I$25</f>
        <v>1414.2366962017231</v>
      </c>
      <c r="R177" s="304">
        <f>$M177*'MWh Impact Summary'!J$25</f>
        <v>39021.332976499914</v>
      </c>
      <c r="S177" s="304">
        <f>$M177*'MWh Impact Summary'!K$25</f>
        <v>17312.223108981307</v>
      </c>
      <c r="T177" s="304">
        <f>$M177*'MWh Impact Summary'!L$25</f>
        <v>6126.1590904431287</v>
      </c>
      <c r="U177" s="304">
        <f>$M177*'MWh Impact Summary'!M$25</f>
        <v>19857.320630166058</v>
      </c>
      <c r="V177" s="304">
        <f>$L177*'LED Impact Forecast'!$H$26+$D177*'LED Impact Forecast'!$J$26</f>
        <v>57480.999131724951</v>
      </c>
      <c r="W177" s="304">
        <f>$L177*'CFL Impact Forecast'!$H$26+$D177*'CFL Impact Forecast'!$J$26</f>
        <v>313461.30050945573</v>
      </c>
      <c r="X177" s="304">
        <f>$L177*'EISA Incand Impact Forecast'!$G$26+$D177*'EISA Incand Impact Forecast'!$I$26</f>
        <v>115371.26889241765</v>
      </c>
      <c r="Y177" s="85">
        <f t="shared" si="67"/>
        <v>694864.34692618554</v>
      </c>
      <c r="Z177" s="81">
        <f t="shared" si="68"/>
        <v>1350010.972589646</v>
      </c>
      <c r="AA177" s="81"/>
      <c r="AB177" s="262">
        <f>+'MWh by mo-WgtbyActulCDH&amp;Days'!AB177</f>
        <v>5050667.5493750526</v>
      </c>
      <c r="AC177" s="308">
        <f t="shared" si="76"/>
        <v>267.29357246186009</v>
      </c>
      <c r="AD177" s="309">
        <f t="shared" si="69"/>
        <v>129.71485833482063</v>
      </c>
      <c r="AE177" s="107">
        <f t="shared" si="70"/>
        <v>1.2314701740647528E-2</v>
      </c>
      <c r="AF177" s="309">
        <f t="shared" si="77"/>
        <v>137.57871412703949</v>
      </c>
      <c r="AG177" s="107">
        <f t="shared" si="71"/>
        <v>1.3061270328516407E-2</v>
      </c>
      <c r="AH177" s="119">
        <f t="shared" si="78"/>
        <v>2.5375972069163935E-2</v>
      </c>
      <c r="AI177" s="122">
        <f t="shared" si="72"/>
        <v>2.5375972069163932E-2</v>
      </c>
      <c r="AJ177" s="87" t="b">
        <f t="shared" si="79"/>
        <v>1</v>
      </c>
      <c r="AK177" s="88">
        <f t="shared" si="83"/>
        <v>1.7969094678121807E-3</v>
      </c>
      <c r="AL177" s="312">
        <f>+AC177/'MWh by month-WgtbyCDH&amp;DayLtHrs'!AC177-1</f>
        <v>2.3096399038083026E-2</v>
      </c>
      <c r="AM177" s="89">
        <f t="shared" si="73"/>
        <v>313461.30050945573</v>
      </c>
      <c r="AN177" s="93"/>
      <c r="AO177" s="96">
        <f t="shared" si="87"/>
        <v>62.063340626773595</v>
      </c>
      <c r="AP177" s="92">
        <f t="shared" si="86"/>
        <v>5.8920893000101509E-3</v>
      </c>
      <c r="AR177" s="94">
        <f t="shared" si="74"/>
        <v>2.5375972069163932E-2</v>
      </c>
      <c r="AS177" s="95">
        <v>1212333.667608062</v>
      </c>
      <c r="AU177" s="141">
        <v>267.29357246186009</v>
      </c>
    </row>
    <row r="178" spans="1:47">
      <c r="A178" s="78">
        <v>2019</v>
      </c>
      <c r="B178" s="78">
        <v>6</v>
      </c>
      <c r="C178" s="317">
        <f t="shared" si="81"/>
        <v>271.66325293295364</v>
      </c>
      <c r="D178" s="324">
        <f t="shared" si="80"/>
        <v>0.13816630657965029</v>
      </c>
      <c r="E178" s="321">
        <f>$D178*'MWh Impact Summary'!B$25</f>
        <v>394309.88158812159</v>
      </c>
      <c r="F178" s="319">
        <f>$D178*'MWh Impact Summary'!N$25</f>
        <v>46073.920307382316</v>
      </c>
      <c r="G178" s="319">
        <f>$D178*'MWh Impact Summary'!C$25</f>
        <v>297673.2962337177</v>
      </c>
      <c r="H178" s="319">
        <f>$D178*'MWh Impact Summary'!D$25</f>
        <v>1145.963050005895</v>
      </c>
      <c r="I178" s="319">
        <f>$D178*'MWh Impact Summary'!E$25</f>
        <v>114501.48320347126</v>
      </c>
      <c r="J178" s="104">
        <f t="shared" si="75"/>
        <v>853704.54438269872</v>
      </c>
      <c r="K178" s="298">
        <f t="shared" si="82"/>
        <v>10.199999999999999</v>
      </c>
      <c r="L178" s="300">
        <f t="shared" ref="L178:L216" si="89">L166</f>
        <v>7.1805702217529022E-2</v>
      </c>
      <c r="M178" s="297">
        <f>(30/365)</f>
        <v>8.2191780821917804E-2</v>
      </c>
      <c r="N178" s="304">
        <f>$L178*'MWh Impact Summary'!F$25</f>
        <v>105522.22923717479</v>
      </c>
      <c r="O178" s="304">
        <f>$L178*'MWh Impact Summary'!G$25</f>
        <v>7137.1163026737331</v>
      </c>
      <c r="P178" s="304">
        <f>$M178*'MWh Impact Summary'!H$25</f>
        <v>8204.9829596399431</v>
      </c>
      <c r="Q178" s="304">
        <f>$M178*'MWh Impact Summary'!I$25</f>
        <v>1368.6161576145707</v>
      </c>
      <c r="R178" s="304">
        <f>$M178*'MWh Impact Summary'!J$25</f>
        <v>37762.580299838621</v>
      </c>
      <c r="S178" s="304">
        <f>$M178*'MWh Impact Summary'!K$25</f>
        <v>16753.764299014165</v>
      </c>
      <c r="T178" s="304">
        <f>$M178*'MWh Impact Summary'!L$25</f>
        <v>5928.5410552675439</v>
      </c>
      <c r="U178" s="304">
        <f>$M178*'MWh Impact Summary'!M$25</f>
        <v>19216.761900160702</v>
      </c>
      <c r="V178" s="304">
        <f>$L178*'LED Impact Forecast'!$H$26+$D178*'LED Impact Forecast'!$J$26</f>
        <v>58987.637524137856</v>
      </c>
      <c r="W178" s="304">
        <f>$L178*'CFL Impact Forecast'!$H$26+$D178*'CFL Impact Forecast'!$J$26</f>
        <v>324134.29406251368</v>
      </c>
      <c r="X178" s="304">
        <f>$L178*'EISA Incand Impact Forecast'!$G$26+$D178*'EISA Incand Impact Forecast'!$I$26</f>
        <v>119799.77341325443</v>
      </c>
      <c r="Y178" s="85">
        <f t="shared" si="67"/>
        <v>704816.29721128999</v>
      </c>
      <c r="Z178" s="81">
        <f t="shared" si="68"/>
        <v>1558520.8415939887</v>
      </c>
      <c r="AA178" s="81"/>
      <c r="AB178" s="262">
        <f>+'MWh by mo-WgtbyActulCDH&amp;Days'!AB178</f>
        <v>5055929.9660004415</v>
      </c>
      <c r="AC178" s="308">
        <f t="shared" si="76"/>
        <v>308.25601859095303</v>
      </c>
      <c r="AD178" s="309">
        <f t="shared" si="69"/>
        <v>168.85213009744928</v>
      </c>
      <c r="AE178" s="107">
        <f t="shared" si="70"/>
        <v>1.6554130401710714E-2</v>
      </c>
      <c r="AF178" s="309">
        <f t="shared" si="77"/>
        <v>139.40388849350381</v>
      </c>
      <c r="AG178" s="107">
        <f t="shared" si="71"/>
        <v>1.3667047891519983E-2</v>
      </c>
      <c r="AH178" s="119">
        <f t="shared" si="78"/>
        <v>3.0221178293230698E-2</v>
      </c>
      <c r="AI178" s="122">
        <f t="shared" si="72"/>
        <v>3.0221178293230695E-2</v>
      </c>
      <c r="AJ178" s="87" t="b">
        <f t="shared" si="79"/>
        <v>1</v>
      </c>
      <c r="AK178" s="88">
        <f t="shared" si="83"/>
        <v>2.1380942902552574E-3</v>
      </c>
      <c r="AL178" s="312">
        <f>+AC178/'MWh by month-WgtbyCDH&amp;DayLtHrs'!AC178-1</f>
        <v>3.9061978384325569E-2</v>
      </c>
      <c r="AM178" s="89">
        <f t="shared" si="73"/>
        <v>324134.29406251368</v>
      </c>
      <c r="AN178" s="93"/>
      <c r="AO178" s="96">
        <f t="shared" si="87"/>
        <v>64.109727832904369</v>
      </c>
      <c r="AP178" s="92">
        <f t="shared" si="86"/>
        <v>6.2852674345984672E-3</v>
      </c>
      <c r="AR178" s="94">
        <f t="shared" si="74"/>
        <v>3.0221178293230695E-2</v>
      </c>
      <c r="AS178" s="95">
        <v>1480669.7439639654</v>
      </c>
      <c r="AU178" s="141">
        <v>308.25601859095303</v>
      </c>
    </row>
    <row r="179" spans="1:47">
      <c r="A179" s="78">
        <v>2019</v>
      </c>
      <c r="B179" s="78">
        <v>7</v>
      </c>
      <c r="C179" s="317">
        <f t="shared" si="81"/>
        <v>322.31916585708109</v>
      </c>
      <c r="D179" s="324">
        <f t="shared" si="80"/>
        <v>0.16392960109808263</v>
      </c>
      <c r="E179" s="321">
        <f>$D179*'MWh Impact Summary'!B$25</f>
        <v>467835.19946311775</v>
      </c>
      <c r="F179" s="319">
        <f>$D179*'MWh Impact Summary'!N$25</f>
        <v>54665.131926790986</v>
      </c>
      <c r="G179" s="319">
        <f>$D179*'MWh Impact Summary'!C$25</f>
        <v>353179.19337312464</v>
      </c>
      <c r="H179" s="319">
        <f>$D179*'MWh Impact Summary'!D$25</f>
        <v>1359.645996995022</v>
      </c>
      <c r="I179" s="319">
        <f>$D179*'MWh Impact Summary'!E$25</f>
        <v>135852.09687763633</v>
      </c>
      <c r="J179" s="104">
        <f t="shared" si="75"/>
        <v>1012891.2676376647</v>
      </c>
      <c r="K179" s="298">
        <f t="shared" si="82"/>
        <v>10.366666666666667</v>
      </c>
      <c r="L179" s="300">
        <f t="shared" si="89"/>
        <v>7.2978998005397158E-2</v>
      </c>
      <c r="M179" s="297">
        <f t="shared" si="88"/>
        <v>8.4931506849315067E-2</v>
      </c>
      <c r="N179" s="304">
        <f>$L179*'MWh Impact Summary'!F$25</f>
        <v>107246.44866915479</v>
      </c>
      <c r="O179" s="304">
        <f>$L179*'MWh Impact Summary'!G$25</f>
        <v>7253.735850103044</v>
      </c>
      <c r="P179" s="304">
        <f>$M179*'MWh Impact Summary'!H$25</f>
        <v>8478.4823916279402</v>
      </c>
      <c r="Q179" s="304">
        <f>$M179*'MWh Impact Summary'!I$25</f>
        <v>1414.2366962017231</v>
      </c>
      <c r="R179" s="304">
        <f>$M179*'MWh Impact Summary'!J$25</f>
        <v>39021.332976499914</v>
      </c>
      <c r="S179" s="304">
        <f>$M179*'MWh Impact Summary'!K$25</f>
        <v>17312.223108981307</v>
      </c>
      <c r="T179" s="304">
        <f>$M179*'MWh Impact Summary'!L$25</f>
        <v>6126.1590904431287</v>
      </c>
      <c r="U179" s="304">
        <f>$M179*'MWh Impact Summary'!M$25</f>
        <v>19857.320630166058</v>
      </c>
      <c r="V179" s="304">
        <f>$L179*'LED Impact Forecast'!$H$26+$D179*'LED Impact Forecast'!$J$26</f>
        <v>62154.089876332488</v>
      </c>
      <c r="W179" s="304">
        <f>$L179*'CFL Impact Forecast'!$H$26+$D179*'CFL Impact Forecast'!$J$26</f>
        <v>343069.24033443356</v>
      </c>
      <c r="X179" s="304">
        <f>$L179*'EISA Incand Impact Forecast'!$G$26+$D179*'EISA Incand Impact Forecast'!$I$26</f>
        <v>127108.38160403469</v>
      </c>
      <c r="Y179" s="85">
        <f t="shared" si="67"/>
        <v>739041.65122797864</v>
      </c>
      <c r="Z179" s="81">
        <f t="shared" si="68"/>
        <v>1751932.9188656434</v>
      </c>
      <c r="AA179" s="81"/>
      <c r="AB179" s="262">
        <f>+'MWh by mo-WgtbyActulCDH&amp;Days'!AB179</f>
        <v>5061685.0368930642</v>
      </c>
      <c r="AC179" s="308">
        <f t="shared" si="76"/>
        <v>346.11654144743176</v>
      </c>
      <c r="AD179" s="309">
        <f t="shared" si="69"/>
        <v>200.10950113549382</v>
      </c>
      <c r="AE179" s="107">
        <f t="shared" si="70"/>
        <v>1.9303167312105511E-2</v>
      </c>
      <c r="AF179" s="309">
        <f t="shared" si="77"/>
        <v>146.00704031193791</v>
      </c>
      <c r="AG179" s="107">
        <f t="shared" si="71"/>
        <v>1.4084280415942564E-2</v>
      </c>
      <c r="AH179" s="119">
        <f t="shared" si="78"/>
        <v>3.3387447728048074E-2</v>
      </c>
      <c r="AI179" s="122">
        <f t="shared" si="72"/>
        <v>3.3387447728048081E-2</v>
      </c>
      <c r="AJ179" s="87" t="b">
        <f t="shared" si="79"/>
        <v>1</v>
      </c>
      <c r="AK179" s="88">
        <f t="shared" si="83"/>
        <v>2.3652188018586894E-3</v>
      </c>
      <c r="AL179" s="312">
        <f>+AC179/'MWh by month-WgtbyCDH&amp;DayLtHrs'!AC179-1</f>
        <v>5.0194697440816061E-2</v>
      </c>
      <c r="AM179" s="89">
        <f t="shared" si="73"/>
        <v>343069.24033443356</v>
      </c>
      <c r="AN179" s="93"/>
      <c r="AO179" s="96">
        <f t="shared" si="87"/>
        <v>67.777674397736618</v>
      </c>
      <c r="AP179" s="92">
        <f t="shared" si="86"/>
        <v>6.5380393309713777E-3</v>
      </c>
      <c r="AR179" s="94">
        <f t="shared" si="74"/>
        <v>3.3387447728048081E-2</v>
      </c>
      <c r="AS179" s="95">
        <v>1557805.0600731373</v>
      </c>
      <c r="AU179" s="141">
        <v>346.11654144743176</v>
      </c>
    </row>
    <row r="180" spans="1:47">
      <c r="A180" s="78">
        <v>2019</v>
      </c>
      <c r="B180" s="78">
        <v>8</v>
      </c>
      <c r="C180" s="317">
        <f t="shared" si="81"/>
        <v>326.45437890907908</v>
      </c>
      <c r="D180" s="324">
        <f t="shared" si="80"/>
        <v>0.16603274573816959</v>
      </c>
      <c r="E180" s="321">
        <f>$D180*'MWh Impact Summary'!B$25</f>
        <v>473837.31918770709</v>
      </c>
      <c r="F180" s="319">
        <f>$D180*'MWh Impact Summary'!N$25</f>
        <v>55366.461512426271</v>
      </c>
      <c r="G180" s="319">
        <f>$D180*'MWh Impact Summary'!C$25</f>
        <v>357710.32699729846</v>
      </c>
      <c r="H180" s="319">
        <f>$D180*'MWh Impact Summary'!D$25</f>
        <v>1377.0896567845973</v>
      </c>
      <c r="I180" s="319">
        <f>$D180*'MWh Impact Summary'!E$25</f>
        <v>137595.01949489946</v>
      </c>
      <c r="J180" s="104">
        <f t="shared" si="75"/>
        <v>1025886.2168491159</v>
      </c>
      <c r="K180" s="298">
        <f t="shared" si="82"/>
        <v>10.933333333333334</v>
      </c>
      <c r="L180" s="300">
        <f t="shared" si="89"/>
        <v>7.6968203684148764E-2</v>
      </c>
      <c r="M180" s="297">
        <f t="shared" si="88"/>
        <v>8.4931506849315067E-2</v>
      </c>
      <c r="N180" s="304">
        <f>$L180*'MWh Impact Summary'!F$25</f>
        <v>113108.79473788671</v>
      </c>
      <c r="O180" s="304">
        <f>$L180*'MWh Impact Summary'!G$25</f>
        <v>7650.2423113626955</v>
      </c>
      <c r="P180" s="304">
        <f>$M180*'MWh Impact Summary'!H$25</f>
        <v>8478.4823916279402</v>
      </c>
      <c r="Q180" s="304">
        <f>$M180*'MWh Impact Summary'!I$25</f>
        <v>1414.2366962017231</v>
      </c>
      <c r="R180" s="304">
        <f>$M180*'MWh Impact Summary'!J$25</f>
        <v>39021.332976499914</v>
      </c>
      <c r="S180" s="304">
        <f>$M180*'MWh Impact Summary'!K$25</f>
        <v>17312.223108981307</v>
      </c>
      <c r="T180" s="304">
        <f>$M180*'MWh Impact Summary'!L$25</f>
        <v>6126.1590904431287</v>
      </c>
      <c r="U180" s="304">
        <f>$M180*'MWh Impact Summary'!M$25</f>
        <v>19857.320630166058</v>
      </c>
      <c r="V180" s="304">
        <f>$L180*'LED Impact Forecast'!$H$26+$D180*'LED Impact Forecast'!$J$26</f>
        <v>64908.984595492322</v>
      </c>
      <c r="W180" s="304">
        <f>$L180*'CFL Impact Forecast'!$H$26+$D180*'CFL Impact Forecast'!$J$26</f>
        <v>357843.23291674425</v>
      </c>
      <c r="X180" s="304">
        <f>$L180*'EISA Incand Impact Forecast'!$G$26+$D180*'EISA Incand Impact Forecast'!$I$26</f>
        <v>132495.27868291634</v>
      </c>
      <c r="Y180" s="85">
        <f t="shared" si="67"/>
        <v>768216.28813832242</v>
      </c>
      <c r="Z180" s="81">
        <f t="shared" si="68"/>
        <v>1794102.5049874382</v>
      </c>
      <c r="AA180" s="81"/>
      <c r="AB180" s="262">
        <f>+'MWh by mo-WgtbyActulCDH&amp;Days'!AB180</f>
        <v>5067694.0549152512</v>
      </c>
      <c r="AC180" s="308">
        <f t="shared" si="76"/>
        <v>354.02739106700898</v>
      </c>
      <c r="AD180" s="309">
        <f t="shared" si="69"/>
        <v>202.43649394226745</v>
      </c>
      <c r="AE180" s="107">
        <f t="shared" si="70"/>
        <v>1.8515532982524462E-2</v>
      </c>
      <c r="AF180" s="309">
        <f t="shared" si="77"/>
        <v>151.59089712474162</v>
      </c>
      <c r="AG180" s="107">
        <f t="shared" si="71"/>
        <v>1.3865021078482465E-2</v>
      </c>
      <c r="AH180" s="119">
        <f t="shared" si="78"/>
        <v>3.2380554061006928E-2</v>
      </c>
      <c r="AI180" s="122">
        <f t="shared" si="72"/>
        <v>3.2380554061006921E-2</v>
      </c>
      <c r="AJ180" s="87" t="b">
        <f t="shared" si="79"/>
        <v>1</v>
      </c>
      <c r="AK180" s="88">
        <f t="shared" si="83"/>
        <v>2.2892637206805913E-3</v>
      </c>
      <c r="AL180" s="312">
        <f>+AC180/'MWh by month-WgtbyCDH&amp;DayLtHrs'!AC180-1</f>
        <v>4.7915299671075662E-2</v>
      </c>
      <c r="AM180" s="89">
        <f t="shared" si="73"/>
        <v>357843.23291674425</v>
      </c>
      <c r="AN180" s="93"/>
      <c r="AO180" s="96">
        <f t="shared" si="87"/>
        <v>70.61263545885636</v>
      </c>
      <c r="AP180" s="92">
        <f t="shared" si="86"/>
        <v>6.4584727553832037E-3</v>
      </c>
      <c r="AR180" s="94">
        <f t="shared" si="74"/>
        <v>3.2380554061006921E-2</v>
      </c>
      <c r="AS180" s="95">
        <v>1619595.3729790451</v>
      </c>
      <c r="AU180" s="141">
        <v>354.02739106700898</v>
      </c>
    </row>
    <row r="181" spans="1:47">
      <c r="A181" s="78">
        <v>2019</v>
      </c>
      <c r="B181" s="78">
        <v>9</v>
      </c>
      <c r="C181" s="317">
        <f t="shared" si="81"/>
        <v>277.87653293728147</v>
      </c>
      <c r="D181" s="324">
        <f t="shared" si="80"/>
        <v>0.14132634365008559</v>
      </c>
      <c r="E181" s="321">
        <f>$D181*'MWh Impact Summary'!B$25</f>
        <v>403328.2441245704</v>
      </c>
      <c r="F181" s="319">
        <f>$D181*'MWh Impact Summary'!N$25</f>
        <v>47127.688767695588</v>
      </c>
      <c r="G181" s="319">
        <f>$D181*'MWh Impact Summary'!C$25</f>
        <v>304481.45861616475</v>
      </c>
      <c r="H181" s="319">
        <f>$D181*'MWh Impact Summary'!D$25</f>
        <v>1172.172665135761</v>
      </c>
      <c r="I181" s="319">
        <f>$D181*'MWh Impact Summary'!E$25</f>
        <v>117120.27602279154</v>
      </c>
      <c r="J181" s="104">
        <f t="shared" si="75"/>
        <v>873229.84019635804</v>
      </c>
      <c r="K181" s="298">
        <f t="shared" si="82"/>
        <v>11.683333333333334</v>
      </c>
      <c r="L181" s="300">
        <f t="shared" si="89"/>
        <v>8.2248034729555317E-2</v>
      </c>
      <c r="M181" s="297">
        <f>(30/365)</f>
        <v>8.2191780821917804E-2</v>
      </c>
      <c r="N181" s="304">
        <f>$L181*'MWh Impact Summary'!F$25</f>
        <v>120867.78218179663</v>
      </c>
      <c r="O181" s="304">
        <f>$L181*'MWh Impact Summary'!G$25</f>
        <v>8175.030274794588</v>
      </c>
      <c r="P181" s="304">
        <f>$M181*'MWh Impact Summary'!H$25</f>
        <v>8204.9829596399431</v>
      </c>
      <c r="Q181" s="304">
        <f>$M181*'MWh Impact Summary'!I$25</f>
        <v>1368.6161576145707</v>
      </c>
      <c r="R181" s="304">
        <f>$M181*'MWh Impact Summary'!J$25</f>
        <v>37762.580299838621</v>
      </c>
      <c r="S181" s="304">
        <f>$M181*'MWh Impact Summary'!K$25</f>
        <v>16753.764299014165</v>
      </c>
      <c r="T181" s="304">
        <f>$M181*'MWh Impact Summary'!L$25</f>
        <v>5928.5410552675439</v>
      </c>
      <c r="U181" s="304">
        <f>$M181*'MWh Impact Summary'!M$25</f>
        <v>19216.761900160702</v>
      </c>
      <c r="V181" s="304">
        <f>$L181*'LED Impact Forecast'!$H$26+$D181*'LED Impact Forecast'!$J$26</f>
        <v>65979.217344458026</v>
      </c>
      <c r="W181" s="304">
        <f>$L181*'CFL Impact Forecast'!$H$26+$D181*'CFL Impact Forecast'!$J$26</f>
        <v>361446.61230999447</v>
      </c>
      <c r="X181" s="304">
        <f>$L181*'EISA Incand Impact Forecast'!$G$26+$D181*'EISA Incand Impact Forecast'!$I$26</f>
        <v>133366.86893720104</v>
      </c>
      <c r="Y181" s="85">
        <f t="shared" si="67"/>
        <v>779070.75771978032</v>
      </c>
      <c r="Z181" s="81">
        <f t="shared" si="68"/>
        <v>1652300.5979161384</v>
      </c>
      <c r="AA181" s="81"/>
      <c r="AB181" s="262">
        <f>+'MWh by mo-WgtbyActulCDH&amp;Days'!AB181</f>
        <v>5072789.4203578094</v>
      </c>
      <c r="AC181" s="308">
        <f t="shared" si="76"/>
        <v>325.7183496096302</v>
      </c>
      <c r="AD181" s="309">
        <f t="shared" si="69"/>
        <v>172.13997425005763</v>
      </c>
      <c r="AE181" s="107">
        <f t="shared" si="70"/>
        <v>1.4733806640518484E-2</v>
      </c>
      <c r="AF181" s="309">
        <f t="shared" si="77"/>
        <v>153.57837535957259</v>
      </c>
      <c r="AG181" s="107">
        <f t="shared" si="71"/>
        <v>1.3145082056454144E-2</v>
      </c>
      <c r="AH181" s="119">
        <f t="shared" si="78"/>
        <v>2.787888869697263E-2</v>
      </c>
      <c r="AI181" s="122">
        <f t="shared" si="72"/>
        <v>2.7878888696972626E-2</v>
      </c>
      <c r="AJ181" s="87" t="b">
        <f t="shared" si="79"/>
        <v>1</v>
      </c>
      <c r="AK181" s="88">
        <f t="shared" si="83"/>
        <v>1.9586771594899098E-3</v>
      </c>
      <c r="AL181" s="312">
        <f>+AC181/'MWh by month-WgtbyCDH&amp;DayLtHrs'!AC181-1</f>
        <v>3.2509804370286499E-2</v>
      </c>
      <c r="AM181" s="89">
        <f t="shared" si="73"/>
        <v>361446.61230999447</v>
      </c>
      <c r="AN181" s="93"/>
      <c r="AO181" s="96">
        <f t="shared" si="87"/>
        <v>71.25204347325338</v>
      </c>
      <c r="AP181" s="92">
        <f t="shared" si="86"/>
        <v>6.0986057181101321E-3</v>
      </c>
      <c r="AR181" s="94">
        <f t="shared" si="74"/>
        <v>2.7878888696972626E-2</v>
      </c>
      <c r="AS181" s="95">
        <v>1529578.6557736564</v>
      </c>
      <c r="AU181" s="141">
        <v>325.7183496096302</v>
      </c>
    </row>
    <row r="182" spans="1:47">
      <c r="A182" s="78">
        <v>2019</v>
      </c>
      <c r="B182" s="78">
        <v>10</v>
      </c>
      <c r="C182" s="317">
        <f t="shared" si="81"/>
        <v>198.89039579254836</v>
      </c>
      <c r="D182" s="324">
        <f t="shared" si="80"/>
        <v>0.10115446643644242</v>
      </c>
      <c r="E182" s="321">
        <f>$D182*'MWh Impact Summary'!B$25</f>
        <v>288682.57877089287</v>
      </c>
      <c r="F182" s="319">
        <f>$D182*'MWh Impact Summary'!N$25</f>
        <v>33731.688576633467</v>
      </c>
      <c r="G182" s="319">
        <f>$D182*'MWh Impact Summary'!C$25</f>
        <v>217932.89694358563</v>
      </c>
      <c r="H182" s="319">
        <f>$D182*'MWh Impact Summary'!D$25</f>
        <v>838.98371280844208</v>
      </c>
      <c r="I182" s="319">
        <f>$D182*'MWh Impact Summary'!E$25</f>
        <v>83828.950243751417</v>
      </c>
      <c r="J182" s="104">
        <f t="shared" si="75"/>
        <v>625015.09824767185</v>
      </c>
      <c r="K182" s="298">
        <f t="shared" si="82"/>
        <v>12.466666666666667</v>
      </c>
      <c r="L182" s="300">
        <f t="shared" si="89"/>
        <v>8.7762524932535488E-2</v>
      </c>
      <c r="M182" s="297">
        <f t="shared" si="88"/>
        <v>8.4931506849315067E-2</v>
      </c>
      <c r="N182" s="304">
        <f>$L182*'MWh Impact Summary'!F$25</f>
        <v>128971.61351210254</v>
      </c>
      <c r="O182" s="304">
        <f>$L182*'MWh Impact Summary'!G$25</f>
        <v>8723.1421477123422</v>
      </c>
      <c r="P182" s="304">
        <f>$M182*'MWh Impact Summary'!H$25</f>
        <v>8478.4823916279402</v>
      </c>
      <c r="Q182" s="304">
        <f>$M182*'MWh Impact Summary'!I$25</f>
        <v>1414.2366962017231</v>
      </c>
      <c r="R182" s="304">
        <f>$M182*'MWh Impact Summary'!J$25</f>
        <v>39021.332976499914</v>
      </c>
      <c r="S182" s="304">
        <f>$M182*'MWh Impact Summary'!K$25</f>
        <v>17312.223108981307</v>
      </c>
      <c r="T182" s="304">
        <f>$M182*'MWh Impact Summary'!L$25</f>
        <v>6126.1590904431287</v>
      </c>
      <c r="U182" s="304">
        <f>$M182*'MWh Impact Summary'!M$25</f>
        <v>19857.320630166058</v>
      </c>
      <c r="V182" s="304">
        <f>$L182*'LED Impact Forecast'!$H$26+$D182*'LED Impact Forecast'!$J$26</f>
        <v>65750.715878082876</v>
      </c>
      <c r="W182" s="304">
        <f>$L182*'CFL Impact Forecast'!$H$26+$D182*'CFL Impact Forecast'!$J$26</f>
        <v>356873.77683971787</v>
      </c>
      <c r="X182" s="304">
        <f>$L182*'EISA Incand Impact Forecast'!$G$26+$D182*'EISA Incand Impact Forecast'!$I$26</f>
        <v>131006.43752246955</v>
      </c>
      <c r="Y182" s="85">
        <f t="shared" si="67"/>
        <v>783535.44079400529</v>
      </c>
      <c r="Z182" s="81">
        <f t="shared" si="68"/>
        <v>1408550.539041677</v>
      </c>
      <c r="AA182" s="81"/>
      <c r="AB182" s="262">
        <f>+'MWh by mo-WgtbyActulCDH&amp;Days'!AB182</f>
        <v>5078184.2010707669</v>
      </c>
      <c r="AC182" s="308">
        <f t="shared" si="76"/>
        <v>277.37287252098406</v>
      </c>
      <c r="AD182" s="309">
        <f t="shared" si="69"/>
        <v>123.07846141459058</v>
      </c>
      <c r="AE182" s="107">
        <f t="shared" si="70"/>
        <v>9.8726038567853412E-3</v>
      </c>
      <c r="AF182" s="309">
        <f t="shared" si="77"/>
        <v>154.29441110639348</v>
      </c>
      <c r="AG182" s="107">
        <f t="shared" si="71"/>
        <v>1.2376557040619797E-2</v>
      </c>
      <c r="AH182" s="119">
        <f t="shared" si="78"/>
        <v>2.224916089740514E-2</v>
      </c>
      <c r="AI182" s="122">
        <f t="shared" si="72"/>
        <v>2.2249160897405137E-2</v>
      </c>
      <c r="AJ182" s="87" t="b">
        <f t="shared" si="79"/>
        <v>1</v>
      </c>
      <c r="AK182" s="88">
        <f t="shared" si="83"/>
        <v>1.5583313075032031E-3</v>
      </c>
      <c r="AL182" s="312">
        <f>+AC182/'MWh by month-WgtbyCDH&amp;DayLtHrs'!AC182-1</f>
        <v>9.9008206741582061E-3</v>
      </c>
      <c r="AM182" s="89">
        <f t="shared" si="73"/>
        <v>356873.77683971787</v>
      </c>
      <c r="AN182" s="93"/>
      <c r="AO182" s="96">
        <f t="shared" si="87"/>
        <v>70.275862928420125</v>
      </c>
      <c r="AP182" s="92">
        <f t="shared" si="86"/>
        <v>5.6371013044187257E-3</v>
      </c>
      <c r="AR182" s="94">
        <f t="shared" si="74"/>
        <v>2.2249160897405137E-2</v>
      </c>
      <c r="AS182" s="95">
        <v>1231148.637096449</v>
      </c>
      <c r="AU182" s="141">
        <v>277.37287252098406</v>
      </c>
    </row>
    <row r="183" spans="1:47">
      <c r="A183" s="78">
        <v>2019</v>
      </c>
      <c r="B183" s="78">
        <v>11</v>
      </c>
      <c r="C183" s="317">
        <f t="shared" si="81"/>
        <v>78.117279066674627</v>
      </c>
      <c r="D183" s="324">
        <f t="shared" si="80"/>
        <v>3.9729981188725644E-2</v>
      </c>
      <c r="E183" s="321">
        <f>$D183*'MWh Impact Summary'!B$25</f>
        <v>113384.54769356952</v>
      </c>
      <c r="F183" s="319">
        <f>$D183*'MWh Impact Summary'!N$25</f>
        <v>13248.642396385443</v>
      </c>
      <c r="G183" s="319">
        <f>$D183*'MWh Impact Summary'!C$25</f>
        <v>85596.515912754563</v>
      </c>
      <c r="H183" s="319">
        <f>$D183*'MWh Impact Summary'!D$25</f>
        <v>329.52382926630668</v>
      </c>
      <c r="I183" s="319">
        <f>$D183*'MWh Impact Summary'!E$25</f>
        <v>32925.116740618694</v>
      </c>
      <c r="J183" s="104">
        <f t="shared" si="75"/>
        <v>245484.34657259451</v>
      </c>
      <c r="K183" s="298">
        <f t="shared" si="82"/>
        <v>13.15</v>
      </c>
      <c r="L183" s="300">
        <f t="shared" si="89"/>
        <v>9.2573037662794788E-2</v>
      </c>
      <c r="M183" s="297">
        <f>(30/365)</f>
        <v>8.2191780821917804E-2</v>
      </c>
      <c r="N183" s="304">
        <f>$L183*'MWh Impact Summary'!F$25</f>
        <v>136040.91318322046</v>
      </c>
      <c r="O183" s="304">
        <f>$L183*'MWh Impact Summary'!G$25</f>
        <v>9201.282292172511</v>
      </c>
      <c r="P183" s="304">
        <f>$M183*'MWh Impact Summary'!H$25</f>
        <v>8204.9829596399431</v>
      </c>
      <c r="Q183" s="304">
        <f>$M183*'MWh Impact Summary'!I$25</f>
        <v>1368.6161576145707</v>
      </c>
      <c r="R183" s="304">
        <f>$M183*'MWh Impact Summary'!J$25</f>
        <v>37762.580299838621</v>
      </c>
      <c r="S183" s="304">
        <f>$M183*'MWh Impact Summary'!K$25</f>
        <v>16753.764299014165</v>
      </c>
      <c r="T183" s="304">
        <f>$M183*'MWh Impact Summary'!L$25</f>
        <v>5928.5410552675439</v>
      </c>
      <c r="U183" s="304">
        <f>$M183*'MWh Impact Summary'!M$25</f>
        <v>19216.761900160702</v>
      </c>
      <c r="V183" s="304">
        <f>$L183*'LED Impact Forecast'!$H$26+$D183*'LED Impact Forecast'!$J$26</f>
        <v>63079.356387481363</v>
      </c>
      <c r="W183" s="304">
        <f>$L183*'CFL Impact Forecast'!$H$26+$D183*'CFL Impact Forecast'!$J$26</f>
        <v>337577.77035322448</v>
      </c>
      <c r="X183" s="304">
        <f>$L183*'EISA Incand Impact Forecast'!$G$26+$D183*'EISA Incand Impact Forecast'!$I$26</f>
        <v>122941.68631963545</v>
      </c>
      <c r="Y183" s="85">
        <f t="shared" si="67"/>
        <v>758076.25520726992</v>
      </c>
      <c r="Z183" s="81">
        <f t="shared" si="68"/>
        <v>1003560.6017798644</v>
      </c>
      <c r="AA183" s="81"/>
      <c r="AB183" s="262">
        <f>+'MWh by mo-WgtbyActulCDH&amp;Days'!AB183</f>
        <v>5083645.8651113315</v>
      </c>
      <c r="AC183" s="308">
        <f t="shared" si="76"/>
        <v>197.40962065576267</v>
      </c>
      <c r="AD183" s="309">
        <f t="shared" si="69"/>
        <v>48.289033714432122</v>
      </c>
      <c r="AE183" s="107">
        <f t="shared" si="70"/>
        <v>3.6721698642153706E-3</v>
      </c>
      <c r="AF183" s="309">
        <f t="shared" si="77"/>
        <v>149.12058694133057</v>
      </c>
      <c r="AG183" s="107">
        <f t="shared" si="71"/>
        <v>1.133996858869434E-2</v>
      </c>
      <c r="AH183" s="119">
        <f t="shared" si="78"/>
        <v>1.5012138452909711E-2</v>
      </c>
      <c r="AI183" s="122">
        <f t="shared" si="72"/>
        <v>1.5012138452909708E-2</v>
      </c>
      <c r="AJ183" s="87" t="b">
        <f t="shared" si="79"/>
        <v>1</v>
      </c>
      <c r="AK183" s="88">
        <f t="shared" si="83"/>
        <v>1.0383369372864819E-3</v>
      </c>
      <c r="AL183" s="312">
        <f>+AC183/'MWh by month-WgtbyCDH&amp;DayLtHrs'!AC183-1</f>
        <v>-4.6446069052291761E-2</v>
      </c>
      <c r="AM183" s="89">
        <f t="shared" si="73"/>
        <v>337577.77035322448</v>
      </c>
      <c r="AN183" s="93"/>
      <c r="AO183" s="96">
        <f t="shared" si="87"/>
        <v>66.404659040078812</v>
      </c>
      <c r="AP183" s="92">
        <f t="shared" si="86"/>
        <v>5.0497839574204419E-3</v>
      </c>
      <c r="AR183" s="94">
        <f t="shared" si="74"/>
        <v>1.5012138452909708E-2</v>
      </c>
      <c r="AS183" s="95">
        <v>948328.38809993269</v>
      </c>
      <c r="AU183" s="141">
        <v>197.40962065576267</v>
      </c>
    </row>
    <row r="184" spans="1:47">
      <c r="A184" s="78">
        <v>2019</v>
      </c>
      <c r="B184" s="78">
        <v>12</v>
      </c>
      <c r="C184" s="317">
        <f t="shared" si="81"/>
        <v>42.633806123140985</v>
      </c>
      <c r="D184" s="324">
        <f t="shared" si="80"/>
        <v>2.1683298951445065E-2</v>
      </c>
      <c r="E184" s="321">
        <f>$D184*'MWh Impact Summary'!B$25</f>
        <v>61881.505365819889</v>
      </c>
      <c r="F184" s="319">
        <f>$D184*'MWh Impact Summary'!N$25</f>
        <v>7230.6672489222383</v>
      </c>
      <c r="G184" s="319">
        <f>$D184*'MWh Impact Summary'!C$25</f>
        <v>46715.724201376455</v>
      </c>
      <c r="H184" s="319">
        <f>$D184*'MWh Impact Summary'!D$25</f>
        <v>179.84311816472459</v>
      </c>
      <c r="I184" s="319">
        <f>$D184*'MWh Impact Summary'!E$25</f>
        <v>17969.430841327892</v>
      </c>
      <c r="J184" s="104">
        <f t="shared" si="75"/>
        <v>133977.17077561119</v>
      </c>
      <c r="K184" s="298">
        <f t="shared" si="82"/>
        <v>13.483333333333333</v>
      </c>
      <c r="L184" s="300">
        <f t="shared" si="89"/>
        <v>9.491962923853102E-2</v>
      </c>
      <c r="M184" s="297">
        <f t="shared" si="88"/>
        <v>8.4931506849315067E-2</v>
      </c>
      <c r="N184" s="304">
        <f>$L184*'MWh Impact Summary'!F$25</f>
        <v>139489.35204718041</v>
      </c>
      <c r="O184" s="304">
        <f>$L184*'MWh Impact Summary'!G$25</f>
        <v>9434.5213870311291</v>
      </c>
      <c r="P184" s="304">
        <f>$M184*'MWh Impact Summary'!H$25</f>
        <v>8478.4823916279402</v>
      </c>
      <c r="Q184" s="304">
        <f>$M184*'MWh Impact Summary'!I$25</f>
        <v>1414.2366962017231</v>
      </c>
      <c r="R184" s="304">
        <f>$M184*'MWh Impact Summary'!J$25</f>
        <v>39021.332976499914</v>
      </c>
      <c r="S184" s="304">
        <f>$M184*'MWh Impact Summary'!K$25</f>
        <v>17312.223108981307</v>
      </c>
      <c r="T184" s="304">
        <f>$M184*'MWh Impact Summary'!L$25</f>
        <v>6126.1590904431287</v>
      </c>
      <c r="U184" s="304">
        <f>$M184*'MWh Impact Summary'!M$25</f>
        <v>19857.320630166058</v>
      </c>
      <c r="V184" s="304">
        <f>$L184*'LED Impact Forecast'!$H$26+$D184*'LED Impact Forecast'!$J$26</f>
        <v>62892.889485233514</v>
      </c>
      <c r="W184" s="304">
        <f>$L184*'CFL Impact Forecast'!$H$26+$D184*'CFL Impact Forecast'!$J$26</f>
        <v>335079.35196151689</v>
      </c>
      <c r="X184" s="304">
        <f>$L184*'EISA Incand Impact Forecast'!$G$26+$D184*'EISA Incand Impact Forecast'!$I$26</f>
        <v>121720.46281435199</v>
      </c>
      <c r="Y184" s="85">
        <f t="shared" si="67"/>
        <v>760826.33258923399</v>
      </c>
      <c r="Z184" s="81">
        <f t="shared" si="68"/>
        <v>894803.50336484518</v>
      </c>
      <c r="AA184" s="81">
        <f>SUM(Z173:Z184)</f>
        <v>15004169.846163057</v>
      </c>
      <c r="AB184" s="262">
        <f>+'MWh by mo-WgtbyActulCDH&amp;Days'!AB184</f>
        <v>5089162.3387235999</v>
      </c>
      <c r="AC184" s="308">
        <f t="shared" si="76"/>
        <v>175.82530165254437</v>
      </c>
      <c r="AD184" s="309">
        <f t="shared" si="69"/>
        <v>26.325977019081233</v>
      </c>
      <c r="AE184" s="107">
        <f t="shared" si="70"/>
        <v>1.9524828444312413E-3</v>
      </c>
      <c r="AF184" s="309">
        <f t="shared" si="77"/>
        <v>149.49932463346315</v>
      </c>
      <c r="AG184" s="107">
        <f t="shared" si="71"/>
        <v>1.1087712580973781E-2</v>
      </c>
      <c r="AH184" s="119">
        <f t="shared" si="78"/>
        <v>1.3040195425405021E-2</v>
      </c>
      <c r="AI184" s="122">
        <f t="shared" si="72"/>
        <v>1.3040195425405023E-2</v>
      </c>
      <c r="AJ184" s="87" t="b">
        <f t="shared" si="79"/>
        <v>1</v>
      </c>
      <c r="AK184" s="88">
        <f t="shared" si="83"/>
        <v>9.0054113924399083E-4</v>
      </c>
      <c r="AL184" s="312">
        <f>+AC184/'MWh by month-WgtbyCDH&amp;DayLtHrs'!AC184-1</f>
        <v>-6.7035496220079205E-2</v>
      </c>
      <c r="AM184" s="89">
        <f t="shared" si="73"/>
        <v>335079.35196151689</v>
      </c>
      <c r="AN184" s="90">
        <f>SUM(AM173:AM184)</f>
        <v>3977818.631882431</v>
      </c>
      <c r="AO184" s="96">
        <f t="shared" si="87"/>
        <v>65.841749517771788</v>
      </c>
      <c r="AP184" s="92">
        <f t="shared" si="86"/>
        <v>4.8831952670782544E-3</v>
      </c>
      <c r="AR184" s="94">
        <f t="shared" si="74"/>
        <v>1.3040195425405023E-2</v>
      </c>
      <c r="AS184" s="95">
        <v>781088.61044894578</v>
      </c>
      <c r="AU184" s="141">
        <v>175.82530165254437</v>
      </c>
    </row>
    <row r="185" spans="1:47">
      <c r="A185" s="78">
        <v>2020</v>
      </c>
      <c r="B185" s="78">
        <v>1</v>
      </c>
      <c r="C185" s="317">
        <f t="shared" si="81"/>
        <v>26.112829868525239</v>
      </c>
      <c r="D185" s="324">
        <f t="shared" si="80"/>
        <v>1.3280829182176284E-2</v>
      </c>
      <c r="E185" s="321">
        <f>$D185*'MWh Impact Summary'!B$26</f>
        <v>41343.430840338558</v>
      </c>
      <c r="F185" s="319">
        <f>$D185*'MWh Impact Summary'!N$26</f>
        <v>5030.4660222114398</v>
      </c>
      <c r="G185" s="319">
        <f>$D185*'MWh Impact Summary'!C$26</f>
        <v>30041.525371417025</v>
      </c>
      <c r="H185" s="319">
        <f>$D185*'MWh Impact Summary'!D$26</f>
        <v>121.30390475057224</v>
      </c>
      <c r="I185" s="319">
        <f>$D185*'MWh Impact Summary'!E$26</f>
        <v>11152.592178293675</v>
      </c>
      <c r="J185" s="104">
        <f t="shared" si="75"/>
        <v>87689.318317011275</v>
      </c>
      <c r="K185" s="298">
        <f t="shared" si="82"/>
        <v>13.3</v>
      </c>
      <c r="L185" s="300">
        <f t="shared" si="89"/>
        <v>9.3629003871876101E-2</v>
      </c>
      <c r="M185" s="297">
        <f>(31/366)</f>
        <v>8.4699453551912565E-2</v>
      </c>
      <c r="N185" s="304">
        <f>$L185*'MWh Impact Summary'!F$26</f>
        <v>149452.20438316235</v>
      </c>
      <c r="O185" s="304">
        <f>$L185*'MWh Impact Summary'!G$26</f>
        <v>13080.264578986604</v>
      </c>
      <c r="P185" s="304">
        <f>$M185*'MWh Impact Summary'!H$26</f>
        <v>8983.346128978561</v>
      </c>
      <c r="Q185" s="304">
        <f>$M185*'MWh Impact Summary'!I$26</f>
        <v>1502.7175759444042</v>
      </c>
      <c r="R185" s="304">
        <f>$M185*'MWh Impact Summary'!J$26</f>
        <v>43191.327555275435</v>
      </c>
      <c r="S185" s="304">
        <f>$M185*'MWh Impact Summary'!K$26</f>
        <v>21220.974320283272</v>
      </c>
      <c r="T185" s="304">
        <f>$M185*'MWh Impact Summary'!L$26</f>
        <v>7373.9351174237272</v>
      </c>
      <c r="U185" s="304">
        <f>$M185*'MWh Impact Summary'!M$26</f>
        <v>23506.805879038871</v>
      </c>
      <c r="V185" s="304">
        <f>$L185*'LED Impact Forecast'!$H$27+$D185*'LED Impact Forecast'!$J$27</f>
        <v>85855.42780006626</v>
      </c>
      <c r="W185" s="304">
        <f>$L185*'CFL Impact Forecast'!$H$27+$D185*'CFL Impact Forecast'!$J$27</f>
        <v>332943.25954771019</v>
      </c>
      <c r="X185" s="304">
        <f>$L185*'EISA Incand Impact Forecast'!$G$27+$D185*'EISA Incand Impact Forecast'!$I$27</f>
        <v>118878.37690652076</v>
      </c>
      <c r="Y185" s="85">
        <f t="shared" si="67"/>
        <v>805988.63979339052</v>
      </c>
      <c r="Z185" s="81">
        <f t="shared" si="68"/>
        <v>893677.95811040176</v>
      </c>
      <c r="AA185" s="81"/>
      <c r="AB185" s="262">
        <f>+'MWh by mo-WgtbyActulCDH&amp;Days'!AB185</f>
        <v>5094859.9289051732</v>
      </c>
      <c r="AC185" s="308">
        <f t="shared" si="76"/>
        <v>175.40775812897428</v>
      </c>
      <c r="AD185" s="309">
        <f t="shared" si="69"/>
        <v>17.211330545029274</v>
      </c>
      <c r="AE185" s="107">
        <f t="shared" si="70"/>
        <v>1.2940850033856597E-3</v>
      </c>
      <c r="AF185" s="309">
        <f t="shared" si="77"/>
        <v>158.19642758394502</v>
      </c>
      <c r="AG185" s="107">
        <f t="shared" si="71"/>
        <v>1.1894468239394362E-2</v>
      </c>
      <c r="AH185" s="119">
        <f t="shared" si="78"/>
        <v>1.3188553242780022E-2</v>
      </c>
      <c r="AI185" s="122">
        <f t="shared" si="72"/>
        <v>1.318855324278002E-2</v>
      </c>
      <c r="AJ185" s="87" t="b">
        <f t="shared" si="79"/>
        <v>1</v>
      </c>
      <c r="AK185" s="88">
        <f t="shared" si="83"/>
        <v>8.3026241994816306E-4</v>
      </c>
      <c r="AL185" s="312">
        <f>+AC185/'MWh by month-WgtbyCDH&amp;DayLtHrs'!AC185-1</f>
        <v>-7.782975458654684E-2</v>
      </c>
      <c r="AM185" s="89">
        <f t="shared" si="73"/>
        <v>332943.25954771019</v>
      </c>
      <c r="AN185" s="93"/>
      <c r="AO185" s="96">
        <f t="shared" si="87"/>
        <v>65.348854373559959</v>
      </c>
      <c r="AP185" s="92">
        <f t="shared" si="86"/>
        <v>4.9134476972601468E-3</v>
      </c>
      <c r="AR185" s="94">
        <f t="shared" si="74"/>
        <v>1.318855324278002E-2</v>
      </c>
      <c r="AS185" s="95">
        <v>791250.87450248061</v>
      </c>
      <c r="AU185" s="141">
        <v>175.40775812897428</v>
      </c>
    </row>
    <row r="186" spans="1:47">
      <c r="A186" s="78">
        <v>2020</v>
      </c>
      <c r="B186" s="78">
        <v>2</v>
      </c>
      <c r="C186" s="317">
        <f t="shared" si="81"/>
        <v>35.042184420393127</v>
      </c>
      <c r="D186" s="324">
        <f t="shared" si="80"/>
        <v>1.7822245532205266E-2</v>
      </c>
      <c r="E186" s="321">
        <f>$D186*'MWh Impact Summary'!B$26</f>
        <v>55480.93160998846</v>
      </c>
      <c r="F186" s="319">
        <f>$D186*'MWh Impact Summary'!N$26</f>
        <v>6750.6478217180793</v>
      </c>
      <c r="G186" s="319">
        <f>$D186*'MWh Impact Summary'!C$26</f>
        <v>40314.308239873986</v>
      </c>
      <c r="H186" s="319">
        <f>$D186*'MWh Impact Summary'!D$26</f>
        <v>162.78411120454416</v>
      </c>
      <c r="I186" s="319">
        <f>$D186*'MWh Impact Summary'!E$26</f>
        <v>14966.25198589679</v>
      </c>
      <c r="J186" s="104">
        <f t="shared" si="75"/>
        <v>117674.92376868185</v>
      </c>
      <c r="K186" s="298">
        <f t="shared" si="82"/>
        <v>12.733333333333333</v>
      </c>
      <c r="L186" s="300">
        <f t="shared" si="89"/>
        <v>8.9639798193124468E-2</v>
      </c>
      <c r="M186" s="297">
        <f>(29/366)</f>
        <v>7.9234972677595633E-2</v>
      </c>
      <c r="N186" s="304">
        <f>$L186*'MWh Impact Summary'!F$26</f>
        <v>143084.56660242609</v>
      </c>
      <c r="O186" s="304">
        <f>$L186*'MWh Impact Summary'!G$26</f>
        <v>12522.960073114991</v>
      </c>
      <c r="P186" s="304">
        <f>$M186*'MWh Impact Summary'!H$26</f>
        <v>8403.7754109799462</v>
      </c>
      <c r="Q186" s="304">
        <f>$M186*'MWh Impact Summary'!I$26</f>
        <v>1405.768054915733</v>
      </c>
      <c r="R186" s="304">
        <f>$M186*'MWh Impact Summary'!J$26</f>
        <v>40404.790293644764</v>
      </c>
      <c r="S186" s="304">
        <f>$M186*'MWh Impact Summary'!K$26</f>
        <v>19851.879202845645</v>
      </c>
      <c r="T186" s="304">
        <f>$M186*'MWh Impact Summary'!L$26</f>
        <v>6898.1973679125194</v>
      </c>
      <c r="U186" s="304">
        <f>$M186*'MWh Impact Summary'!M$26</f>
        <v>21990.237757810559</v>
      </c>
      <c r="V186" s="304">
        <f>$L186*'LED Impact Forecast'!$H$27+$D186*'LED Impact Forecast'!$J$27</f>
        <v>82898.464663739884</v>
      </c>
      <c r="W186" s="304">
        <f>$L186*'CFL Impact Forecast'!$H$27+$D186*'CFL Impact Forecast'!$J$27</f>
        <v>321789.41307920491</v>
      </c>
      <c r="X186" s="304">
        <f>$L186*'EISA Incand Impact Forecast'!$G$27+$D186*'EISA Incand Impact Forecast'!$I$27</f>
        <v>114983.41945800981</v>
      </c>
      <c r="Y186" s="85">
        <f t="shared" si="67"/>
        <v>774233.4719646048</v>
      </c>
      <c r="Z186" s="81">
        <f t="shared" si="68"/>
        <v>891908.39573328663</v>
      </c>
      <c r="AA186" s="81"/>
      <c r="AB186" s="262">
        <f>+'MWh by mo-WgtbyActulCDH&amp;Days'!AB186</f>
        <v>5100381.4721688107</v>
      </c>
      <c r="AC186" s="308">
        <f t="shared" si="76"/>
        <v>174.8709190871609</v>
      </c>
      <c r="AD186" s="309">
        <f t="shared" si="69"/>
        <v>23.071788730077774</v>
      </c>
      <c r="AE186" s="107">
        <f t="shared" si="70"/>
        <v>1.8119205808961605E-3</v>
      </c>
      <c r="AF186" s="309">
        <f t="shared" si="77"/>
        <v>151.79913035708313</v>
      </c>
      <c r="AG186" s="107">
        <f t="shared" si="71"/>
        <v>1.1921397672022237E-2</v>
      </c>
      <c r="AH186" s="119">
        <f t="shared" si="78"/>
        <v>1.3733318252918398E-2</v>
      </c>
      <c r="AI186" s="122">
        <f t="shared" si="72"/>
        <v>1.3733318252918396E-2</v>
      </c>
      <c r="AJ186" s="87" t="b">
        <f t="shared" si="79"/>
        <v>1</v>
      </c>
      <c r="AK186" s="88">
        <f t="shared" si="83"/>
        <v>9.0265144776408013E-4</v>
      </c>
      <c r="AL186" s="312">
        <f>+AC186/'MWh by month-WgtbyCDH&amp;DayLtHrs'!AC186-1</f>
        <v>-7.6669593677183956E-2</v>
      </c>
      <c r="AM186" s="89">
        <f t="shared" si="73"/>
        <v>321789.41307920491</v>
      </c>
      <c r="AN186" s="93"/>
      <c r="AO186" s="96">
        <f t="shared" si="87"/>
        <v>63.091244220674334</v>
      </c>
      <c r="AP186" s="92">
        <f t="shared" si="86"/>
        <v>4.9548097555503403E-3</v>
      </c>
      <c r="AR186" s="94">
        <f t="shared" si="74"/>
        <v>1.3733318252918396E-2</v>
      </c>
      <c r="AS186" s="95">
        <v>757160.94458751928</v>
      </c>
      <c r="AU186" s="141">
        <v>174.8709190871609</v>
      </c>
    </row>
    <row r="187" spans="1:47">
      <c r="A187" s="78">
        <v>2020</v>
      </c>
      <c r="B187" s="78">
        <v>3</v>
      </c>
      <c r="C187" s="317">
        <f t="shared" si="81"/>
        <v>64.582270600115152</v>
      </c>
      <c r="D187" s="324">
        <f t="shared" si="80"/>
        <v>3.2846156787895278E-2</v>
      </c>
      <c r="E187" s="321">
        <f>$D187*'MWh Impact Summary'!B$26</f>
        <v>102250.60445425735</v>
      </c>
      <c r="F187" s="319">
        <f>$D187*'MWh Impact Summary'!N$26</f>
        <v>12441.352374555647</v>
      </c>
      <c r="G187" s="319">
        <f>$D187*'MWh Impact Summary'!C$26</f>
        <v>74298.723292170413</v>
      </c>
      <c r="H187" s="319">
        <f>$D187*'MWh Impact Summary'!D$26</f>
        <v>300.00890906484096</v>
      </c>
      <c r="I187" s="319">
        <f>$D187*'MWh Impact Summary'!E$26</f>
        <v>27582.59941866529</v>
      </c>
      <c r="J187" s="104">
        <f t="shared" si="75"/>
        <v>216873.28844871352</v>
      </c>
      <c r="K187" s="298">
        <f t="shared" si="82"/>
        <v>12</v>
      </c>
      <c r="L187" s="300">
        <f t="shared" si="89"/>
        <v>8.4477296726504739E-2</v>
      </c>
      <c r="M187" s="297">
        <f>(31/366)</f>
        <v>8.4699453551912565E-2</v>
      </c>
      <c r="N187" s="304">
        <f>$L187*'MWh Impact Summary'!F$26</f>
        <v>134844.09418029682</v>
      </c>
      <c r="O187" s="304">
        <f>$L187*'MWh Impact Summary'!G$26</f>
        <v>11801.742477281145</v>
      </c>
      <c r="P187" s="304">
        <f>$M187*'MWh Impact Summary'!H$26</f>
        <v>8983.346128978561</v>
      </c>
      <c r="Q187" s="304">
        <f>$M187*'MWh Impact Summary'!I$26</f>
        <v>1502.7175759444042</v>
      </c>
      <c r="R187" s="304">
        <f>$M187*'MWh Impact Summary'!J$26</f>
        <v>43191.327555275435</v>
      </c>
      <c r="S187" s="304">
        <f>$M187*'MWh Impact Summary'!K$26</f>
        <v>21220.974320283272</v>
      </c>
      <c r="T187" s="304">
        <f>$M187*'MWh Impact Summary'!L$26</f>
        <v>7373.9351174237272</v>
      </c>
      <c r="U187" s="304">
        <f>$M187*'MWh Impact Summary'!M$26</f>
        <v>23506.805879038871</v>
      </c>
      <c r="V187" s="304">
        <f>$L187*'LED Impact Forecast'!$H$27+$D187*'LED Impact Forecast'!$J$27</f>
        <v>80327.319495205869</v>
      </c>
      <c r="W187" s="304">
        <f>$L187*'CFL Impact Forecast'!$H$27+$D187*'CFL Impact Forecast'!$J$27</f>
        <v>312784.61323747732</v>
      </c>
      <c r="X187" s="304">
        <f>$L187*'EISA Incand Impact Forecast'!$G$27+$D187*'EISA Incand Impact Forecast'!$I$27</f>
        <v>112038.34535817795</v>
      </c>
      <c r="Y187" s="85">
        <f t="shared" si="67"/>
        <v>757575.22132538341</v>
      </c>
      <c r="Z187" s="81">
        <f t="shared" si="68"/>
        <v>974448.50977409689</v>
      </c>
      <c r="AA187" s="81"/>
      <c r="AB187" s="262">
        <f>+'MWh by mo-WgtbyActulCDH&amp;Days'!AB187</f>
        <v>5106049.1589007676</v>
      </c>
      <c r="AC187" s="308">
        <f t="shared" si="76"/>
        <v>190.84197575251636</v>
      </c>
      <c r="AD187" s="309">
        <f t="shared" si="69"/>
        <v>42.473795629378955</v>
      </c>
      <c r="AE187" s="107">
        <f t="shared" si="70"/>
        <v>3.5394829691149129E-3</v>
      </c>
      <c r="AF187" s="309">
        <f t="shared" si="77"/>
        <v>148.36818012313742</v>
      </c>
      <c r="AG187" s="107">
        <f t="shared" si="71"/>
        <v>1.2364015010261452E-2</v>
      </c>
      <c r="AH187" s="119">
        <f t="shared" si="78"/>
        <v>1.5903497979376364E-2</v>
      </c>
      <c r="AI187" s="122">
        <f t="shared" si="72"/>
        <v>1.5903497979376364E-2</v>
      </c>
      <c r="AJ187" s="87" t="b">
        <f t="shared" si="79"/>
        <v>1</v>
      </c>
      <c r="AK187" s="88">
        <f t="shared" si="83"/>
        <v>9.8179974493440257E-4</v>
      </c>
      <c r="AL187" s="312">
        <f>+AC187/'MWh by month-WgtbyCDH&amp;DayLtHrs'!AC187-1</f>
        <v>-4.6813560371632756E-2</v>
      </c>
      <c r="AM187" s="89">
        <f t="shared" si="73"/>
        <v>312784.61323747732</v>
      </c>
      <c r="AN187" s="93"/>
      <c r="AO187" s="96">
        <f t="shared" si="87"/>
        <v>61.257658025527846</v>
      </c>
      <c r="AP187" s="92">
        <f t="shared" si="86"/>
        <v>5.1048048354606539E-3</v>
      </c>
      <c r="AR187" s="94">
        <f t="shared" si="74"/>
        <v>1.5903497979376364E-2</v>
      </c>
      <c r="AS187" s="95">
        <v>884832.37801699457</v>
      </c>
      <c r="AU187" s="141">
        <v>190.84197575251636</v>
      </c>
    </row>
    <row r="188" spans="1:47">
      <c r="A188" s="78">
        <v>2020</v>
      </c>
      <c r="B188" s="78">
        <v>4</v>
      </c>
      <c r="C188" s="317">
        <f t="shared" si="81"/>
        <v>114.03392869270741</v>
      </c>
      <c r="D188" s="324">
        <f t="shared" si="80"/>
        <v>5.7996974497419709E-2</v>
      </c>
      <c r="E188" s="321">
        <f>$D188*'MWh Impact Summary'!B$26</f>
        <v>180545.49691076085</v>
      </c>
      <c r="F188" s="319">
        <f>$D188*'MWh Impact Summary'!N$26</f>
        <v>21967.891130764841</v>
      </c>
      <c r="G188" s="319">
        <f>$D188*'MWh Impact Summary'!C$26</f>
        <v>131190.42169204023</v>
      </c>
      <c r="H188" s="319">
        <f>$D188*'MWh Impact Summary'!D$26</f>
        <v>529.73043879655745</v>
      </c>
      <c r="I188" s="319">
        <f>$D188*'MWh Impact Summary'!E$26</f>
        <v>48703.028649196822</v>
      </c>
      <c r="J188" s="104">
        <f t="shared" si="75"/>
        <v>382936.56882155931</v>
      </c>
      <c r="K188" s="298">
        <f t="shared" si="82"/>
        <v>11.2</v>
      </c>
      <c r="L188" s="300">
        <f t="shared" si="89"/>
        <v>7.8845476944737758E-2</v>
      </c>
      <c r="M188" s="297">
        <f>(30/366)</f>
        <v>8.1967213114754092E-2</v>
      </c>
      <c r="N188" s="304">
        <f>$L188*'MWh Impact Summary'!F$26</f>
        <v>125854.48790161038</v>
      </c>
      <c r="O188" s="304">
        <f>$L188*'MWh Impact Summary'!G$26</f>
        <v>11014.959645462402</v>
      </c>
      <c r="P188" s="304">
        <f>$M188*'MWh Impact Summary'!H$26</f>
        <v>8693.5607699792527</v>
      </c>
      <c r="Q188" s="304">
        <f>$M188*'MWh Impact Summary'!I$26</f>
        <v>1454.2428154300685</v>
      </c>
      <c r="R188" s="304">
        <f>$M188*'MWh Impact Summary'!J$26</f>
        <v>41798.058924460092</v>
      </c>
      <c r="S188" s="304">
        <f>$M188*'MWh Impact Summary'!K$26</f>
        <v>20536.426761564457</v>
      </c>
      <c r="T188" s="304">
        <f>$M188*'MWh Impact Summary'!L$26</f>
        <v>7136.0662426681229</v>
      </c>
      <c r="U188" s="304">
        <f>$M188*'MWh Impact Summary'!M$26</f>
        <v>22748.521818424713</v>
      </c>
      <c r="V188" s="304">
        <f>$L188*'LED Impact Forecast'!$H$27+$D188*'LED Impact Forecast'!$J$27</f>
        <v>78725.006275691267</v>
      </c>
      <c r="W188" s="304">
        <f>$L188*'CFL Impact Forecast'!$H$27+$D188*'CFL Impact Forecast'!$J$27</f>
        <v>308161.83814080153</v>
      </c>
      <c r="X188" s="304">
        <f>$L188*'EISA Incand Impact Forecast'!$G$27+$D188*'EISA Incand Impact Forecast'!$I$27</f>
        <v>110832.63814368282</v>
      </c>
      <c r="Y188" s="85">
        <f t="shared" si="67"/>
        <v>736955.80743977509</v>
      </c>
      <c r="Z188" s="81">
        <f t="shared" si="68"/>
        <v>1119892.3762613344</v>
      </c>
      <c r="AA188" s="81"/>
      <c r="AB188" s="262">
        <f>+'MWh by mo-WgtbyActulCDH&amp;Days'!AB188</f>
        <v>5111527.3694814648</v>
      </c>
      <c r="AC188" s="308">
        <f t="shared" si="76"/>
        <v>219.09153474315468</v>
      </c>
      <c r="AD188" s="309">
        <f t="shared" si="69"/>
        <v>74.916270840667735</v>
      </c>
      <c r="AE188" s="107">
        <f t="shared" si="70"/>
        <v>6.6889527536310479E-3</v>
      </c>
      <c r="AF188" s="309">
        <f t="shared" si="77"/>
        <v>144.17526390248696</v>
      </c>
      <c r="AG188" s="107">
        <f t="shared" si="71"/>
        <v>1.2872791419864908E-2</v>
      </c>
      <c r="AH188" s="119">
        <f t="shared" si="78"/>
        <v>1.9561744173495956E-2</v>
      </c>
      <c r="AI188" s="122">
        <f t="shared" si="72"/>
        <v>1.9561744173495956E-2</v>
      </c>
      <c r="AJ188" s="87" t="b">
        <f t="shared" si="79"/>
        <v>1</v>
      </c>
      <c r="AK188" s="88">
        <f t="shared" si="83"/>
        <v>1.1746785628860834E-3</v>
      </c>
      <c r="AL188" s="312">
        <f>+AC188/'MWh by month-WgtbyCDH&amp;DayLtHrs'!AC188-1</f>
        <v>-1.9025616382202237E-2</v>
      </c>
      <c r="AM188" s="89">
        <f t="shared" si="73"/>
        <v>308161.83814080153</v>
      </c>
      <c r="AN188" s="93"/>
      <c r="AO188" s="96">
        <f t="shared" si="87"/>
        <v>60.287623613382472</v>
      </c>
      <c r="AP188" s="92">
        <f t="shared" si="86"/>
        <v>5.3828235369091492E-3</v>
      </c>
      <c r="AR188" s="94">
        <f t="shared" si="74"/>
        <v>1.9561744173495956E-2</v>
      </c>
      <c r="AS188" s="95">
        <v>1032189.2219764603</v>
      </c>
      <c r="AU188" s="141">
        <v>219.09153474315468</v>
      </c>
    </row>
    <row r="189" spans="1:47">
      <c r="A189" s="78">
        <v>2020</v>
      </c>
      <c r="B189" s="78">
        <v>5</v>
      </c>
      <c r="C189" s="317">
        <f t="shared" si="81"/>
        <v>208.47875842628665</v>
      </c>
      <c r="D189" s="324">
        <f t="shared" si="80"/>
        <v>0.10603105035770212</v>
      </c>
      <c r="E189" s="321">
        <f>$D189*'MWh Impact Summary'!B$26</f>
        <v>330076.33313101414</v>
      </c>
      <c r="F189" s="319">
        <f>$D189*'MWh Impact Summary'!N$26</f>
        <v>40162.070365278698</v>
      </c>
      <c r="G189" s="319">
        <f>$D189*'MWh Impact Summary'!C$26</f>
        <v>239844.549296201</v>
      </c>
      <c r="H189" s="319">
        <f>$D189*'MWh Impact Summary'!D$26</f>
        <v>968.46215373776681</v>
      </c>
      <c r="I189" s="319">
        <f>$D189*'MWh Impact Summary'!E$26</f>
        <v>89039.701260715694</v>
      </c>
      <c r="J189" s="104">
        <f t="shared" si="75"/>
        <v>700091.11620694736</v>
      </c>
      <c r="K189" s="298">
        <f t="shared" si="82"/>
        <v>10.533333333333333</v>
      </c>
      <c r="L189" s="300">
        <f t="shared" si="89"/>
        <v>7.4152293793265281E-2</v>
      </c>
      <c r="M189" s="297">
        <f>(31/366)</f>
        <v>8.4699453551912565E-2</v>
      </c>
      <c r="N189" s="304">
        <f>$L189*'MWh Impact Summary'!F$26</f>
        <v>118363.14933603835</v>
      </c>
      <c r="O189" s="304">
        <f>$L189*'MWh Impact Summary'!G$26</f>
        <v>10359.307285613451</v>
      </c>
      <c r="P189" s="304">
        <f>$M189*'MWh Impact Summary'!H$26</f>
        <v>8983.346128978561</v>
      </c>
      <c r="Q189" s="304">
        <f>$M189*'MWh Impact Summary'!I$26</f>
        <v>1502.7175759444042</v>
      </c>
      <c r="R189" s="304">
        <f>$M189*'MWh Impact Summary'!J$26</f>
        <v>43191.327555275435</v>
      </c>
      <c r="S189" s="304">
        <f>$M189*'MWh Impact Summary'!K$26</f>
        <v>21220.974320283272</v>
      </c>
      <c r="T189" s="304">
        <f>$M189*'MWh Impact Summary'!L$26</f>
        <v>7373.9351174237272</v>
      </c>
      <c r="U189" s="304">
        <f>$M189*'MWh Impact Summary'!M$26</f>
        <v>23506.805879038871</v>
      </c>
      <c r="V189" s="304">
        <f>$L189*'LED Impact Forecast'!$H$27+$D189*'LED Impact Forecast'!$J$27</f>
        <v>81106.143351511302</v>
      </c>
      <c r="W189" s="304">
        <f>$L189*'CFL Impact Forecast'!$H$27+$D189*'CFL Impact Forecast'!$J$27</f>
        <v>320381.45527857397</v>
      </c>
      <c r="X189" s="304">
        <f>$L189*'EISA Incand Impact Forecast'!$G$27+$D189*'EISA Incand Impact Forecast'!$I$27</f>
        <v>116030.57380943152</v>
      </c>
      <c r="Y189" s="85">
        <f t="shared" si="67"/>
        <v>752019.73563811288</v>
      </c>
      <c r="Z189" s="81">
        <f t="shared" si="68"/>
        <v>1452110.8518450602</v>
      </c>
      <c r="AA189" s="81"/>
      <c r="AB189" s="262">
        <f>+'MWh by mo-WgtbyActulCDH&amp;Days'!AB189</f>
        <v>5116441.1678385669</v>
      </c>
      <c r="AC189" s="308">
        <f t="shared" si="76"/>
        <v>283.81267451541959</v>
      </c>
      <c r="AD189" s="309">
        <f t="shared" si="69"/>
        <v>136.83165568435527</v>
      </c>
      <c r="AE189" s="107">
        <f t="shared" si="70"/>
        <v>1.2990347058641322E-2</v>
      </c>
      <c r="AF189" s="309">
        <f t="shared" si="77"/>
        <v>146.98101883106429</v>
      </c>
      <c r="AG189" s="107">
        <f t="shared" si="71"/>
        <v>1.395389419282256E-2</v>
      </c>
      <c r="AH189" s="119">
        <f t="shared" si="78"/>
        <v>2.6944241251463882E-2</v>
      </c>
      <c r="AI189" s="122">
        <f t="shared" si="72"/>
        <v>2.6944241251463885E-2</v>
      </c>
      <c r="AJ189" s="87" t="b">
        <f t="shared" si="79"/>
        <v>1</v>
      </c>
      <c r="AK189" s="88">
        <f t="shared" si="83"/>
        <v>1.5682691822999535E-3</v>
      </c>
      <c r="AL189" s="312">
        <f>+AC189/'MWh by month-WgtbyCDH&amp;DayLtHrs'!AC189-1</f>
        <v>2.2755630233688207E-2</v>
      </c>
      <c r="AM189" s="89">
        <f t="shared" si="73"/>
        <v>320381.45527857397</v>
      </c>
      <c r="AN189" s="93"/>
      <c r="AO189" s="96">
        <f t="shared" si="87"/>
        <v>62.618027798787075</v>
      </c>
      <c r="AP189" s="92">
        <f t="shared" si="86"/>
        <v>5.9447494745683933E-3</v>
      </c>
      <c r="AR189" s="94">
        <f t="shared" si="74"/>
        <v>2.6944241251463885E-2</v>
      </c>
      <c r="AS189" s="95">
        <v>1231330.71450657</v>
      </c>
      <c r="AU189" s="141">
        <v>283.81267451541959</v>
      </c>
    </row>
    <row r="190" spans="1:47">
      <c r="A190" s="78">
        <v>2020</v>
      </c>
      <c r="B190" s="78">
        <v>6</v>
      </c>
      <c r="C190" s="317">
        <f t="shared" si="81"/>
        <v>271.66325293295364</v>
      </c>
      <c r="D190" s="324">
        <f t="shared" si="80"/>
        <v>0.13816630657965029</v>
      </c>
      <c r="E190" s="321">
        <f>$D190*'MWh Impact Summary'!B$26</f>
        <v>430113.89290414291</v>
      </c>
      <c r="F190" s="319">
        <f>$D190*'MWh Impact Summary'!N$26</f>
        <v>52334.150310145451</v>
      </c>
      <c r="G190" s="319">
        <f>$D190*'MWh Impact Summary'!C$26</f>
        <v>312535.1999977596</v>
      </c>
      <c r="H190" s="319">
        <f>$D190*'MWh Impact Summary'!D$26</f>
        <v>1261.9778677350505</v>
      </c>
      <c r="I190" s="319">
        <f>$D190*'MWh Impact Summary'!E$26</f>
        <v>116025.32107949526</v>
      </c>
      <c r="J190" s="104">
        <f t="shared" si="75"/>
        <v>912270.5421592783</v>
      </c>
      <c r="K190" s="298">
        <f t="shared" si="82"/>
        <v>10.199999999999999</v>
      </c>
      <c r="L190" s="300">
        <f t="shared" si="89"/>
        <v>7.1805702217529022E-2</v>
      </c>
      <c r="M190" s="297">
        <f>(30/366)</f>
        <v>8.1967213114754092E-2</v>
      </c>
      <c r="N190" s="304">
        <f>$L190*'MWh Impact Summary'!F$26</f>
        <v>114617.48005325229</v>
      </c>
      <c r="O190" s="304">
        <f>$L190*'MWh Impact Summary'!G$26</f>
        <v>10031.481105688972</v>
      </c>
      <c r="P190" s="304">
        <f>$M190*'MWh Impact Summary'!H$26</f>
        <v>8693.5607699792527</v>
      </c>
      <c r="Q190" s="304">
        <f>$M190*'MWh Impact Summary'!I$26</f>
        <v>1454.2428154300685</v>
      </c>
      <c r="R190" s="304">
        <f>$M190*'MWh Impact Summary'!J$26</f>
        <v>41798.058924460092</v>
      </c>
      <c r="S190" s="304">
        <f>$M190*'MWh Impact Summary'!K$26</f>
        <v>20536.426761564457</v>
      </c>
      <c r="T190" s="304">
        <f>$M190*'MWh Impact Summary'!L$26</f>
        <v>7136.0662426681229</v>
      </c>
      <c r="U190" s="304">
        <f>$M190*'MWh Impact Summary'!M$26</f>
        <v>22748.521818424713</v>
      </c>
      <c r="V190" s="304">
        <f>$L190*'LED Impact Forecast'!$H$27+$D190*'LED Impact Forecast'!$J$27</f>
        <v>83411.041081762974</v>
      </c>
      <c r="W190" s="304">
        <f>$L190*'CFL Impact Forecast'!$H$27+$D190*'CFL Impact Forecast'!$J$27</f>
        <v>331310.29023232486</v>
      </c>
      <c r="X190" s="304">
        <f>$L190*'EISA Incand Impact Forecast'!$G$27+$D190*'EISA Incand Impact Forecast'!$I$27</f>
        <v>120489.36403927245</v>
      </c>
      <c r="Y190" s="85">
        <f t="shared" si="67"/>
        <v>762226.53384482826</v>
      </c>
      <c r="Z190" s="81">
        <f t="shared" si="68"/>
        <v>1674497.0760041066</v>
      </c>
      <c r="AA190" s="81"/>
      <c r="AB190" s="262">
        <f>+'MWh by mo-WgtbyActulCDH&amp;Days'!AB190</f>
        <v>5121360.7767743841</v>
      </c>
      <c r="AC190" s="308">
        <f t="shared" si="76"/>
        <v>326.96331092275921</v>
      </c>
      <c r="AD190" s="309">
        <f t="shared" si="69"/>
        <v>178.13049732728629</v>
      </c>
      <c r="AE190" s="107">
        <f t="shared" si="70"/>
        <v>1.7463774247773168E-2</v>
      </c>
      <c r="AF190" s="309">
        <f t="shared" si="77"/>
        <v>148.83281359547291</v>
      </c>
      <c r="AG190" s="107">
        <f t="shared" si="71"/>
        <v>1.4591452313281659E-2</v>
      </c>
      <c r="AH190" s="119">
        <f t="shared" si="78"/>
        <v>3.2055226561054827E-2</v>
      </c>
      <c r="AI190" s="122">
        <f t="shared" si="72"/>
        <v>3.205522656105482E-2</v>
      </c>
      <c r="AJ190" s="87" t="b">
        <f t="shared" si="79"/>
        <v>1</v>
      </c>
      <c r="AK190" s="88">
        <f t="shared" si="83"/>
        <v>1.8340482678241253E-3</v>
      </c>
      <c r="AL190" s="312">
        <f>+AC190/'MWh by month-WgtbyCDH&amp;DayLtHrs'!AC190-1</f>
        <v>3.8448084086773804E-2</v>
      </c>
      <c r="AM190" s="89">
        <f t="shared" si="73"/>
        <v>331310.29023232486</v>
      </c>
      <c r="AN190" s="93"/>
      <c r="AO190" s="96">
        <f t="shared" si="87"/>
        <v>64.691847474372992</v>
      </c>
      <c r="AP190" s="92">
        <f t="shared" si="86"/>
        <v>6.3423379876836267E-3</v>
      </c>
      <c r="AR190" s="94">
        <f t="shared" si="74"/>
        <v>3.205522656105482E-2</v>
      </c>
      <c r="AS190" s="95">
        <v>1495581.1010643367</v>
      </c>
      <c r="AU190" s="141">
        <v>326.96331092275921</v>
      </c>
    </row>
    <row r="191" spans="1:47">
      <c r="A191" s="78">
        <v>2020</v>
      </c>
      <c r="B191" s="78">
        <v>7</v>
      </c>
      <c r="C191" s="317">
        <f t="shared" si="81"/>
        <v>322.31916585708109</v>
      </c>
      <c r="D191" s="324">
        <f t="shared" si="80"/>
        <v>0.16392960109808263</v>
      </c>
      <c r="E191" s="321">
        <f>$D191*'MWh Impact Summary'!B$26</f>
        <v>510315.43533280172</v>
      </c>
      <c r="F191" s="319">
        <f>$D191*'MWh Impact Summary'!N$26</f>
        <v>62092.680889631665</v>
      </c>
      <c r="G191" s="319">
        <f>$D191*'MWh Impact Summary'!C$26</f>
        <v>370812.33430240751</v>
      </c>
      <c r="H191" s="319">
        <f>$D191*'MWh Impact Summary'!D$26</f>
        <v>1497.2936135710906</v>
      </c>
      <c r="I191" s="319">
        <f>$D191*'MWh Impact Summary'!E$26</f>
        <v>137660.07844230786</v>
      </c>
      <c r="J191" s="104">
        <f t="shared" si="75"/>
        <v>1082377.8225807198</v>
      </c>
      <c r="K191" s="298">
        <f t="shared" si="82"/>
        <v>10.366666666666667</v>
      </c>
      <c r="L191" s="300">
        <f t="shared" si="89"/>
        <v>7.2978998005397158E-2</v>
      </c>
      <c r="M191" s="297">
        <f>(31/366)</f>
        <v>8.4699453551912565E-2</v>
      </c>
      <c r="N191" s="304">
        <f>$L191*'MWh Impact Summary'!F$26</f>
        <v>116490.31469464533</v>
      </c>
      <c r="O191" s="304">
        <f>$L191*'MWh Impact Summary'!G$26</f>
        <v>10195.394195651212</v>
      </c>
      <c r="P191" s="304">
        <f>$M191*'MWh Impact Summary'!H$26</f>
        <v>8983.346128978561</v>
      </c>
      <c r="Q191" s="304">
        <f>$M191*'MWh Impact Summary'!I$26</f>
        <v>1502.7175759444042</v>
      </c>
      <c r="R191" s="304">
        <f>$M191*'MWh Impact Summary'!J$26</f>
        <v>43191.327555275435</v>
      </c>
      <c r="S191" s="304">
        <f>$M191*'MWh Impact Summary'!K$26</f>
        <v>21220.974320283272</v>
      </c>
      <c r="T191" s="304">
        <f>$M191*'MWh Impact Summary'!L$26</f>
        <v>7373.9351174237272</v>
      </c>
      <c r="U191" s="304">
        <f>$M191*'MWh Impact Summary'!M$26</f>
        <v>23506.805879038871</v>
      </c>
      <c r="V191" s="304">
        <f>$L191*'LED Impact Forecast'!$H$27+$D191*'LED Impact Forecast'!$J$27</f>
        <v>88000.42084861378</v>
      </c>
      <c r="W191" s="304">
        <f>$L191*'CFL Impact Forecast'!$H$27+$D191*'CFL Impact Forecast'!$J$27</f>
        <v>350676.97640509973</v>
      </c>
      <c r="X191" s="304">
        <f>$L191*'EISA Incand Impact Forecast'!$G$27+$D191*'EISA Incand Impact Forecast'!$I$27</f>
        <v>127843.11685109138</v>
      </c>
      <c r="Y191" s="85">
        <f t="shared" si="67"/>
        <v>798985.32957204571</v>
      </c>
      <c r="Z191" s="81">
        <f t="shared" si="68"/>
        <v>1881363.1521527655</v>
      </c>
      <c r="AA191" s="81"/>
      <c r="AB191" s="262">
        <f>+'MWh by mo-WgtbyActulCDH&amp;Days'!AB191</f>
        <v>5126615.2635603016</v>
      </c>
      <c r="AC191" s="308">
        <f t="shared" si="76"/>
        <v>366.97958700458582</v>
      </c>
      <c r="AD191" s="309">
        <f t="shared" si="69"/>
        <v>211.12913041752944</v>
      </c>
      <c r="AE191" s="107">
        <f t="shared" si="70"/>
        <v>2.0366154059568757E-2</v>
      </c>
      <c r="AF191" s="309">
        <f t="shared" si="77"/>
        <v>155.85045658705644</v>
      </c>
      <c r="AG191" s="107">
        <f t="shared" si="71"/>
        <v>1.5033806101645314E-2</v>
      </c>
      <c r="AH191" s="119">
        <f t="shared" si="78"/>
        <v>3.5399960161214071E-2</v>
      </c>
      <c r="AI191" s="122">
        <f t="shared" si="72"/>
        <v>3.5399960161214071E-2</v>
      </c>
      <c r="AJ191" s="87" t="b">
        <f t="shared" si="79"/>
        <v>1</v>
      </c>
      <c r="AK191" s="88">
        <f t="shared" si="83"/>
        <v>2.0125124331659902E-3</v>
      </c>
      <c r="AL191" s="312">
        <f>+AC191/'MWh by month-WgtbyCDH&amp;DayLtHrs'!AC191-1</f>
        <v>4.9664019110618796E-2</v>
      </c>
      <c r="AM191" s="89">
        <f t="shared" si="73"/>
        <v>350676.97640509973</v>
      </c>
      <c r="AN191" s="93"/>
      <c r="AO191" s="96">
        <f t="shared" si="87"/>
        <v>68.403217010976491</v>
      </c>
      <c r="AP191" s="92">
        <f t="shared" si="86"/>
        <v>6.5983810621520729E-3</v>
      </c>
      <c r="AR191" s="94">
        <f t="shared" si="74"/>
        <v>3.5399960161214071E-2</v>
      </c>
      <c r="AS191" s="95">
        <v>1569649.5181221459</v>
      </c>
      <c r="AU191" s="141">
        <v>366.97958700458582</v>
      </c>
    </row>
    <row r="192" spans="1:47">
      <c r="A192" s="78">
        <v>2020</v>
      </c>
      <c r="B192" s="78">
        <v>8</v>
      </c>
      <c r="C192" s="317">
        <f t="shared" si="81"/>
        <v>326.45437890907908</v>
      </c>
      <c r="D192" s="324">
        <f t="shared" si="80"/>
        <v>0.16603274573816959</v>
      </c>
      <c r="E192" s="321">
        <f>$D192*'MWh Impact Summary'!B$26</f>
        <v>516862.55778893252</v>
      </c>
      <c r="F192" s="319">
        <f>$D192*'MWh Impact Summary'!N$26</f>
        <v>62889.302659750676</v>
      </c>
      <c r="G192" s="319">
        <f>$D192*'MWh Impact Summary'!C$26</f>
        <v>375569.69336472615</v>
      </c>
      <c r="H192" s="319">
        <f>$D192*'MWh Impact Summary'!D$26</f>
        <v>1516.5032317054893</v>
      </c>
      <c r="I192" s="319">
        <f>$D192*'MWh Impact Summary'!E$26</f>
        <v>139426.19666739073</v>
      </c>
      <c r="J192" s="104">
        <f t="shared" si="75"/>
        <v>1096264.2537125056</v>
      </c>
      <c r="K192" s="298">
        <f t="shared" si="82"/>
        <v>10.933333333333334</v>
      </c>
      <c r="L192" s="300">
        <f t="shared" si="89"/>
        <v>7.6968203684148764E-2</v>
      </c>
      <c r="M192" s="297">
        <f>(31/366)</f>
        <v>8.4699453551912565E-2</v>
      </c>
      <c r="N192" s="304">
        <f>$L192*'MWh Impact Summary'!F$26</f>
        <v>122857.95247538156</v>
      </c>
      <c r="O192" s="304">
        <f>$L192*'MWh Impact Summary'!G$26</f>
        <v>10752.698701522821</v>
      </c>
      <c r="P192" s="304">
        <f>$M192*'MWh Impact Summary'!H$26</f>
        <v>8983.346128978561</v>
      </c>
      <c r="Q192" s="304">
        <f>$M192*'MWh Impact Summary'!I$26</f>
        <v>1502.7175759444042</v>
      </c>
      <c r="R192" s="304">
        <f>$M192*'MWh Impact Summary'!J$26</f>
        <v>43191.327555275435</v>
      </c>
      <c r="S192" s="304">
        <f>$M192*'MWh Impact Summary'!K$26</f>
        <v>21220.974320283272</v>
      </c>
      <c r="T192" s="304">
        <f>$M192*'MWh Impact Summary'!L$26</f>
        <v>7373.9351174237272</v>
      </c>
      <c r="U192" s="304">
        <f>$M192*'MWh Impact Summary'!M$26</f>
        <v>23506.805879038871</v>
      </c>
      <c r="V192" s="304">
        <f>$L192*'LED Impact Forecast'!$H$27+$D192*'LED Impact Forecast'!$J$27</f>
        <v>91869.434882740388</v>
      </c>
      <c r="W192" s="304">
        <f>$L192*'CFL Impact Forecast'!$H$27+$D192*'CFL Impact Forecast'!$J$27</f>
        <v>365775.07684365736</v>
      </c>
      <c r="X192" s="304">
        <f>$L192*'EISA Incand Impact Forecast'!$G$27+$D192*'EISA Incand Impact Forecast'!$I$27</f>
        <v>133260.29295685372</v>
      </c>
      <c r="Y192" s="85">
        <f t="shared" si="67"/>
        <v>830294.5624371001</v>
      </c>
      <c r="Z192" s="81">
        <f t="shared" si="68"/>
        <v>1926558.8161496057</v>
      </c>
      <c r="AA192" s="81"/>
      <c r="AB192" s="262">
        <f>+'MWh by mo-WgtbyActulCDH&amp;Days'!AB192</f>
        <v>5132042.3812502129</v>
      </c>
      <c r="AC192" s="308">
        <f t="shared" si="76"/>
        <v>375.39807215704991</v>
      </c>
      <c r="AD192" s="309">
        <f t="shared" si="69"/>
        <v>213.61169146180072</v>
      </c>
      <c r="AE192" s="107">
        <f t="shared" si="70"/>
        <v>1.9537654706872014E-2</v>
      </c>
      <c r="AF192" s="309">
        <f t="shared" si="77"/>
        <v>161.78638069524916</v>
      </c>
      <c r="AG192" s="107">
        <f t="shared" si="71"/>
        <v>1.4797534819687423E-2</v>
      </c>
      <c r="AH192" s="119">
        <f t="shared" si="78"/>
        <v>3.4335189526559437E-2</v>
      </c>
      <c r="AI192" s="122">
        <f t="shared" si="72"/>
        <v>3.4335189526559437E-2</v>
      </c>
      <c r="AJ192" s="87" t="b">
        <f t="shared" si="79"/>
        <v>1</v>
      </c>
      <c r="AK192" s="88">
        <f t="shared" si="83"/>
        <v>1.9546354655525164E-3</v>
      </c>
      <c r="AL192" s="312">
        <f>+AC192/'MWh by month-WgtbyCDH&amp;DayLtHrs'!AC192-1</f>
        <v>4.7410476198026519E-2</v>
      </c>
      <c r="AM192" s="89">
        <f t="shared" si="73"/>
        <v>365775.07684365736</v>
      </c>
      <c r="AN192" s="93"/>
      <c r="AO192" s="96">
        <f t="shared" si="87"/>
        <v>71.272809082794666</v>
      </c>
      <c r="AP192" s="92">
        <f t="shared" si="86"/>
        <v>6.5188544892799995E-3</v>
      </c>
      <c r="AR192" s="94">
        <f t="shared" si="74"/>
        <v>3.4335189526559437E-2</v>
      </c>
      <c r="AS192" s="95">
        <v>1631630.4343088379</v>
      </c>
      <c r="AU192" s="141">
        <v>375.39807215704991</v>
      </c>
    </row>
    <row r="193" spans="1:47">
      <c r="A193" s="78">
        <v>2020</v>
      </c>
      <c r="B193" s="78">
        <v>9</v>
      </c>
      <c r="C193" s="317">
        <f t="shared" si="81"/>
        <v>277.87653293728147</v>
      </c>
      <c r="D193" s="324">
        <f t="shared" si="80"/>
        <v>0.14132634365008559</v>
      </c>
      <c r="E193" s="321">
        <f>$D193*'MWh Impact Summary'!B$26</f>
        <v>439951.13817567943</v>
      </c>
      <c r="F193" s="319">
        <f>$D193*'MWh Impact Summary'!N$26</f>
        <v>53531.098098095878</v>
      </c>
      <c r="G193" s="319">
        <f>$D193*'MWh Impact Summary'!C$26</f>
        <v>319683.27279682143</v>
      </c>
      <c r="H193" s="319">
        <f>$D193*'MWh Impact Summary'!D$26</f>
        <v>1290.8408875467057</v>
      </c>
      <c r="I193" s="319">
        <f>$D193*'MWh Impact Summary'!E$26</f>
        <v>118678.9659861064</v>
      </c>
      <c r="J193" s="104">
        <f t="shared" si="75"/>
        <v>933135.31594424974</v>
      </c>
      <c r="K193" s="298">
        <f t="shared" si="82"/>
        <v>11.683333333333334</v>
      </c>
      <c r="L193" s="300">
        <f t="shared" si="89"/>
        <v>8.2248034729555317E-2</v>
      </c>
      <c r="M193" s="297">
        <f>(30/366)</f>
        <v>8.1967213114754092E-2</v>
      </c>
      <c r="N193" s="304">
        <f>$L193*'MWh Impact Summary'!F$26</f>
        <v>131285.70836165012</v>
      </c>
      <c r="O193" s="304">
        <f>$L193*'MWh Impact Summary'!G$26</f>
        <v>11490.307606352893</v>
      </c>
      <c r="P193" s="304">
        <f>$M193*'MWh Impact Summary'!H$26</f>
        <v>8693.5607699792527</v>
      </c>
      <c r="Q193" s="304">
        <f>$M193*'MWh Impact Summary'!I$26</f>
        <v>1454.2428154300685</v>
      </c>
      <c r="R193" s="304">
        <f>$M193*'MWh Impact Summary'!J$26</f>
        <v>41798.058924460092</v>
      </c>
      <c r="S193" s="304">
        <f>$M193*'MWh Impact Summary'!K$26</f>
        <v>20536.426761564457</v>
      </c>
      <c r="T193" s="304">
        <f>$M193*'MWh Impact Summary'!L$26</f>
        <v>7136.0662426681229</v>
      </c>
      <c r="U193" s="304">
        <f>$M193*'MWh Impact Summary'!M$26</f>
        <v>22748.521818424713</v>
      </c>
      <c r="V193" s="304">
        <f>$L193*'LED Impact Forecast'!$H$27+$D193*'LED Impact Forecast'!$J$27</f>
        <v>93216.838304973702</v>
      </c>
      <c r="W193" s="304">
        <f>$L193*'CFL Impact Forecast'!$H$27+$D193*'CFL Impact Forecast'!$J$27</f>
        <v>369439.63104960835</v>
      </c>
      <c r="X193" s="304">
        <f>$L193*'EISA Incand Impact Forecast'!$G$27+$D193*'EISA Incand Impact Forecast'!$I$27</f>
        <v>134132.33934776529</v>
      </c>
      <c r="Y193" s="85">
        <f t="shared" si="67"/>
        <v>841931.70200287714</v>
      </c>
      <c r="Z193" s="81">
        <f t="shared" si="68"/>
        <v>1775067.0179471269</v>
      </c>
      <c r="AA193" s="81"/>
      <c r="AB193" s="262">
        <f>+'MWh by mo-WgtbyActulCDH&amp;Days'!AB193</f>
        <v>5136848.4535763171</v>
      </c>
      <c r="AC193" s="308">
        <f t="shared" si="76"/>
        <v>345.55565226210058</v>
      </c>
      <c r="AD193" s="309">
        <f t="shared" si="69"/>
        <v>181.65521610718204</v>
      </c>
      <c r="AE193" s="107">
        <f t="shared" si="70"/>
        <v>1.5548235330143968E-2</v>
      </c>
      <c r="AF193" s="309">
        <f t="shared" si="77"/>
        <v>163.90043615491854</v>
      </c>
      <c r="AG193" s="107">
        <f t="shared" si="71"/>
        <v>1.402856800184752E-2</v>
      </c>
      <c r="AH193" s="119">
        <f t="shared" si="78"/>
        <v>2.9576803331991489E-2</v>
      </c>
      <c r="AI193" s="122">
        <f t="shared" si="72"/>
        <v>2.9576803331991489E-2</v>
      </c>
      <c r="AJ193" s="87" t="b">
        <f t="shared" si="79"/>
        <v>1</v>
      </c>
      <c r="AK193" s="88">
        <f t="shared" si="83"/>
        <v>1.6979146350188622E-3</v>
      </c>
      <c r="AL193" s="312">
        <f>+AC193/'MWh by month-WgtbyCDH&amp;DayLtHrs'!AC193-1</f>
        <v>3.1979574727106774E-2</v>
      </c>
      <c r="AM193" s="89">
        <f t="shared" si="73"/>
        <v>369439.63104960835</v>
      </c>
      <c r="AN193" s="93"/>
      <c r="AO193" s="96">
        <f t="shared" si="87"/>
        <v>71.919511425804544</v>
      </c>
      <c r="AP193" s="92">
        <f t="shared" si="86"/>
        <v>6.1557356427222147E-3</v>
      </c>
      <c r="AR193" s="94">
        <f t="shared" si="74"/>
        <v>2.9576803331991489E-2</v>
      </c>
      <c r="AS193" s="95">
        <v>1543477.4099642611</v>
      </c>
      <c r="AU193" s="141">
        <v>345.55565226210058</v>
      </c>
    </row>
    <row r="194" spans="1:47">
      <c r="A194" s="78">
        <v>2020</v>
      </c>
      <c r="B194" s="78">
        <v>10</v>
      </c>
      <c r="C194" s="317">
        <f t="shared" si="81"/>
        <v>198.89039579254836</v>
      </c>
      <c r="D194" s="324">
        <f t="shared" si="80"/>
        <v>0.10115446643644242</v>
      </c>
      <c r="E194" s="321">
        <f>$D194*'MWh Impact Summary'!B$26</f>
        <v>314895.45042255439</v>
      </c>
      <c r="F194" s="319">
        <f>$D194*'MWh Impact Summary'!N$26</f>
        <v>38314.934965534056</v>
      </c>
      <c r="G194" s="319">
        <f>$D194*'MWh Impact Summary'!C$26</f>
        <v>228813.61006892897</v>
      </c>
      <c r="H194" s="319">
        <f>$D194*'MWh Impact Summary'!D$26</f>
        <v>923.92060716878041</v>
      </c>
      <c r="I194" s="319">
        <f>$D194*'MWh Impact Summary'!E$26</f>
        <v>84944.584084596616</v>
      </c>
      <c r="J194" s="104">
        <f t="shared" si="75"/>
        <v>667892.50014878286</v>
      </c>
      <c r="K194" s="298">
        <f t="shared" si="82"/>
        <v>12.466666666666667</v>
      </c>
      <c r="L194" s="300">
        <f t="shared" si="89"/>
        <v>8.7762524932535488E-2</v>
      </c>
      <c r="M194" s="297">
        <f>(31/366)</f>
        <v>8.4699453551912565E-2</v>
      </c>
      <c r="N194" s="304">
        <f>$L194*'MWh Impact Summary'!F$26</f>
        <v>140088.03117619728</v>
      </c>
      <c r="O194" s="304">
        <f>$L194*'MWh Impact Summary'!G$26</f>
        <v>12260.699129175413</v>
      </c>
      <c r="P194" s="304">
        <f>$M194*'MWh Impact Summary'!H$26</f>
        <v>8983.346128978561</v>
      </c>
      <c r="Q194" s="304">
        <f>$M194*'MWh Impact Summary'!I$26</f>
        <v>1502.7175759444042</v>
      </c>
      <c r="R194" s="304">
        <f>$M194*'MWh Impact Summary'!J$26</f>
        <v>43191.327555275435</v>
      </c>
      <c r="S194" s="304">
        <f>$M194*'MWh Impact Summary'!K$26</f>
        <v>21220.974320283272</v>
      </c>
      <c r="T194" s="304">
        <f>$M194*'MWh Impact Summary'!L$26</f>
        <v>7373.9351174237272</v>
      </c>
      <c r="U194" s="304">
        <f>$M194*'MWh Impact Summary'!M$26</f>
        <v>23506.805879038871</v>
      </c>
      <c r="V194" s="304">
        <f>$L194*'LED Impact Forecast'!$H$27+$D194*'LED Impact Forecast'!$J$27</f>
        <v>92652.015333663352</v>
      </c>
      <c r="W194" s="304">
        <f>$L194*'CFL Impact Forecast'!$H$27+$D194*'CFL Impact Forecast'!$J$27</f>
        <v>364738.46604667179</v>
      </c>
      <c r="X194" s="304">
        <f>$L194*'EISA Incand Impact Forecast'!$G$27+$D194*'EISA Incand Impact Forecast'!$I$27</f>
        <v>131751.67776951162</v>
      </c>
      <c r="Y194" s="85">
        <f t="shared" si="67"/>
        <v>847269.99603216373</v>
      </c>
      <c r="Z194" s="81">
        <f t="shared" si="68"/>
        <v>1515162.4961809465</v>
      </c>
      <c r="AA194" s="81"/>
      <c r="AB194" s="262">
        <f>+'MWh by mo-WgtbyActulCDH&amp;Days'!AB194</f>
        <v>5141857.9398052078</v>
      </c>
      <c r="AC194" s="308">
        <f t="shared" si="76"/>
        <v>294.67218151856338</v>
      </c>
      <c r="AD194" s="309">
        <f t="shared" si="69"/>
        <v>129.89322302710002</v>
      </c>
      <c r="AE194" s="107">
        <f t="shared" si="70"/>
        <v>1.0419242488804815E-2</v>
      </c>
      <c r="AF194" s="309">
        <f t="shared" si="77"/>
        <v>164.77895849146338</v>
      </c>
      <c r="AG194" s="107">
        <f t="shared" si="71"/>
        <v>1.3217563515358025E-2</v>
      </c>
      <c r="AH194" s="119">
        <f t="shared" si="78"/>
        <v>2.363680600416284E-2</v>
      </c>
      <c r="AI194" s="122">
        <f t="shared" si="72"/>
        <v>2.363680600416284E-2</v>
      </c>
      <c r="AJ194" s="87" t="b">
        <f t="shared" si="79"/>
        <v>1</v>
      </c>
      <c r="AK194" s="88">
        <f t="shared" si="83"/>
        <v>1.3876451067577032E-3</v>
      </c>
      <c r="AL194" s="312">
        <f>+AC194/'MWh by month-WgtbyCDH&amp;DayLtHrs'!AC194-1</f>
        <v>9.7040239495345126E-3</v>
      </c>
      <c r="AM194" s="89">
        <f t="shared" si="73"/>
        <v>364738.46604667179</v>
      </c>
      <c r="AN194" s="93"/>
      <c r="AO194" s="96">
        <f t="shared" si="87"/>
        <v>70.935150351604122</v>
      </c>
      <c r="AP194" s="92">
        <f t="shared" si="86"/>
        <v>5.6899853223211861E-3</v>
      </c>
      <c r="AR194" s="94">
        <f t="shared" si="74"/>
        <v>2.363680600416284E-2</v>
      </c>
      <c r="AS194" s="95">
        <v>1249756.1416365989</v>
      </c>
      <c r="AU194" s="141">
        <v>294.67218151856338</v>
      </c>
    </row>
    <row r="195" spans="1:47">
      <c r="A195" s="78">
        <v>2020</v>
      </c>
      <c r="B195" s="78">
        <v>11</v>
      </c>
      <c r="C195" s="317">
        <f t="shared" si="81"/>
        <v>78.117279066674627</v>
      </c>
      <c r="D195" s="324">
        <f t="shared" si="80"/>
        <v>3.9729981188725644E-2</v>
      </c>
      <c r="E195" s="321">
        <f>$D195*'MWh Impact Summary'!B$26</f>
        <v>123680.05845361439</v>
      </c>
      <c r="F195" s="319">
        <f>$D195*'MWh Impact Summary'!N$26</f>
        <v>15048.783301965006</v>
      </c>
      <c r="G195" s="319">
        <f>$D195*'MWh Impact Summary'!C$26</f>
        <v>89870.08427823479</v>
      </c>
      <c r="H195" s="319">
        <f>$D195*'MWh Impact Summary'!D$26</f>
        <v>362.88410819462581</v>
      </c>
      <c r="I195" s="319">
        <f>$D195*'MWh Impact Summary'!E$26</f>
        <v>33363.299186453994</v>
      </c>
      <c r="J195" s="104">
        <f t="shared" si="75"/>
        <v>262325.1093284628</v>
      </c>
      <c r="K195" s="298">
        <f t="shared" si="82"/>
        <v>13.15</v>
      </c>
      <c r="L195" s="300">
        <f t="shared" si="89"/>
        <v>9.2573037662794788E-2</v>
      </c>
      <c r="M195" s="297">
        <f>(30/366)</f>
        <v>8.1967213114754092E-2</v>
      </c>
      <c r="N195" s="304">
        <f>$L195*'MWh Impact Summary'!F$26</f>
        <v>147766.65320590863</v>
      </c>
      <c r="O195" s="304">
        <f>$L195*'MWh Impact Summary'!G$26</f>
        <v>12932.742798020588</v>
      </c>
      <c r="P195" s="304">
        <f>$M195*'MWh Impact Summary'!H$26</f>
        <v>8693.5607699792527</v>
      </c>
      <c r="Q195" s="304">
        <f>$M195*'MWh Impact Summary'!I$26</f>
        <v>1454.2428154300685</v>
      </c>
      <c r="R195" s="304">
        <f>$M195*'MWh Impact Summary'!J$26</f>
        <v>41798.058924460092</v>
      </c>
      <c r="S195" s="304">
        <f>$M195*'MWh Impact Summary'!K$26</f>
        <v>20536.426761564457</v>
      </c>
      <c r="T195" s="304">
        <f>$M195*'MWh Impact Summary'!L$26</f>
        <v>7136.0662426681229</v>
      </c>
      <c r="U195" s="304">
        <f>$M195*'MWh Impact Summary'!M$26</f>
        <v>22748.521818424713</v>
      </c>
      <c r="V195" s="304">
        <f>$L195*'LED Impact Forecast'!$H$27+$D195*'LED Impact Forecast'!$J$27</f>
        <v>88538.17731135989</v>
      </c>
      <c r="W195" s="304">
        <f>$L195*'CFL Impact Forecast'!$H$27+$D195*'CFL Impact Forecast'!$J$27</f>
        <v>344977.55906522041</v>
      </c>
      <c r="X195" s="304">
        <f>$L195*'EISA Incand Impact Forecast'!$G$27+$D195*'EISA Incand Impact Forecast'!$I$27</f>
        <v>123631.25830399671</v>
      </c>
      <c r="Y195" s="85">
        <f t="shared" si="67"/>
        <v>820213.268017033</v>
      </c>
      <c r="Z195" s="81">
        <f t="shared" si="68"/>
        <v>1082538.3773454959</v>
      </c>
      <c r="AA195" s="81"/>
      <c r="AB195" s="262">
        <f>+'MWh by mo-WgtbyActulCDH&amp;Days'!AB195</f>
        <v>5146914.2029780019</v>
      </c>
      <c r="AC195" s="308">
        <f t="shared" si="76"/>
        <v>210.32765160902426</v>
      </c>
      <c r="AD195" s="309">
        <f t="shared" si="69"/>
        <v>50.967453309534797</v>
      </c>
      <c r="AE195" s="107">
        <f t="shared" si="70"/>
        <v>3.875851962702266E-3</v>
      </c>
      <c r="AF195" s="309">
        <f t="shared" si="77"/>
        <v>159.36019829948944</v>
      </c>
      <c r="AG195" s="107">
        <f t="shared" si="71"/>
        <v>1.2118646258516308E-2</v>
      </c>
      <c r="AH195" s="119">
        <f t="shared" si="78"/>
        <v>1.5994498221218574E-2</v>
      </c>
      <c r="AI195" s="122">
        <f t="shared" si="72"/>
        <v>1.5994498221218574E-2</v>
      </c>
      <c r="AJ195" s="87" t="b">
        <f t="shared" si="79"/>
        <v>1</v>
      </c>
      <c r="AK195" s="88">
        <f t="shared" si="83"/>
        <v>9.8235976830886654E-4</v>
      </c>
      <c r="AL195" s="312">
        <f>+AC195/'MWh by month-WgtbyCDH&amp;DayLtHrs'!AC195-1</f>
        <v>-4.619799430774929E-2</v>
      </c>
      <c r="AM195" s="89">
        <f t="shared" si="73"/>
        <v>344977.55906522041</v>
      </c>
      <c r="AN195" s="93"/>
      <c r="AO195" s="96">
        <f t="shared" si="87"/>
        <v>67.026094755109099</v>
      </c>
      <c r="AP195" s="92">
        <f t="shared" si="86"/>
        <v>5.0970414262440384E-3</v>
      </c>
      <c r="AR195" s="94">
        <f t="shared" si="74"/>
        <v>1.5994498221218574E-2</v>
      </c>
      <c r="AS195" s="95">
        <v>974261.26226112701</v>
      </c>
      <c r="AU195" s="141">
        <v>210.32765160902426</v>
      </c>
    </row>
    <row r="196" spans="1:47">
      <c r="A196" s="78">
        <v>2020</v>
      </c>
      <c r="B196" s="78">
        <v>12</v>
      </c>
      <c r="C196" s="317">
        <f t="shared" si="81"/>
        <v>42.633806123140985</v>
      </c>
      <c r="D196" s="324">
        <f t="shared" si="80"/>
        <v>2.1683298951445065E-2</v>
      </c>
      <c r="E196" s="321">
        <f>$D196*'MWh Impact Summary'!B$26</f>
        <v>67500.451838697205</v>
      </c>
      <c r="F196" s="319">
        <f>$D196*'MWh Impact Summary'!N$26</f>
        <v>8213.124130162425</v>
      </c>
      <c r="G196" s="319">
        <f>$D196*'MWh Impact Summary'!C$26</f>
        <v>49048.095314716978</v>
      </c>
      <c r="H196" s="319">
        <f>$D196*'MWh Impact Summary'!D$26</f>
        <v>198.05004601777901</v>
      </c>
      <c r="I196" s="319">
        <f>$D196*'MWh Impact Summary'!E$26</f>
        <v>18208.576209235052</v>
      </c>
      <c r="J196" s="104">
        <f t="shared" si="75"/>
        <v>143168.29753882944</v>
      </c>
      <c r="K196" s="298">
        <f t="shared" si="82"/>
        <v>13.483333333333333</v>
      </c>
      <c r="L196" s="300">
        <f t="shared" si="89"/>
        <v>9.491962923853102E-2</v>
      </c>
      <c r="M196" s="297">
        <f>(31/366)</f>
        <v>8.4699453551912565E-2</v>
      </c>
      <c r="N196" s="304">
        <f>$L196*'MWh Impact Summary'!F$26</f>
        <v>151512.32248869463</v>
      </c>
      <c r="O196" s="304">
        <f>$L196*'MWh Impact Summary'!G$26</f>
        <v>13260.568977945064</v>
      </c>
      <c r="P196" s="304">
        <f>$M196*'MWh Impact Summary'!H$26</f>
        <v>8983.346128978561</v>
      </c>
      <c r="Q196" s="304">
        <f>$M196*'MWh Impact Summary'!I$26</f>
        <v>1502.7175759444042</v>
      </c>
      <c r="R196" s="304">
        <f>$M196*'MWh Impact Summary'!J$26</f>
        <v>43191.327555275435</v>
      </c>
      <c r="S196" s="304">
        <f>$M196*'MWh Impact Summary'!K$26</f>
        <v>21220.974320283272</v>
      </c>
      <c r="T196" s="304">
        <f>$M196*'MWh Impact Summary'!L$26</f>
        <v>7373.9351174237272</v>
      </c>
      <c r="U196" s="304">
        <f>$M196*'MWh Impact Summary'!M$26</f>
        <v>23506.805879038871</v>
      </c>
      <c r="V196" s="304">
        <f>$L196*'LED Impact Forecast'!$H$27+$D196*'LED Impact Forecast'!$J$27</f>
        <v>88167.116379439249</v>
      </c>
      <c r="W196" s="304">
        <f>$L196*'CFL Impact Forecast'!$H$27+$D196*'CFL Impact Forecast'!$J$27</f>
        <v>342411.79188284866</v>
      </c>
      <c r="X196" s="304">
        <f>$L196*'EISA Incand Impact Forecast'!$G$27+$D196*'EISA Incand Impact Forecast'!$I$27</f>
        <v>122400.05379508293</v>
      </c>
      <c r="Y196" s="85">
        <f t="shared" si="67"/>
        <v>823530.96010095486</v>
      </c>
      <c r="Z196" s="81">
        <f t="shared" si="68"/>
        <v>966699.25763978437</v>
      </c>
      <c r="AA196" s="81">
        <f>SUM(Z185:Z196)</f>
        <v>16153924.285144009</v>
      </c>
      <c r="AB196" s="262">
        <f>+'MWh by mo-WgtbyActulCDH&amp;Days'!AB196</f>
        <v>5152004.6812553955</v>
      </c>
      <c r="AC196" s="308">
        <f t="shared" si="76"/>
        <v>187.63555498249809</v>
      </c>
      <c r="AD196" s="309">
        <f t="shared" si="69"/>
        <v>27.788852378127778</v>
      </c>
      <c r="AE196" s="107">
        <f t="shared" si="70"/>
        <v>2.060977926684384E-3</v>
      </c>
      <c r="AF196" s="309">
        <f t="shared" si="77"/>
        <v>159.84670260437031</v>
      </c>
      <c r="AG196" s="107">
        <f t="shared" si="71"/>
        <v>1.1855132455206698E-2</v>
      </c>
      <c r="AH196" s="119">
        <f t="shared" si="78"/>
        <v>1.3916110381891082E-2</v>
      </c>
      <c r="AI196" s="122">
        <f t="shared" si="72"/>
        <v>1.3916110381891084E-2</v>
      </c>
      <c r="AJ196" s="87" t="b">
        <f t="shared" si="79"/>
        <v>1</v>
      </c>
      <c r="AK196" s="88">
        <f t="shared" si="83"/>
        <v>8.759149564860607E-4</v>
      </c>
      <c r="AL196" s="312">
        <f>+AC196/'MWh by month-WgtbyCDH&amp;DayLtHrs'!AC196-1</f>
        <v>-6.6259187172836409E-2</v>
      </c>
      <c r="AM196" s="89">
        <f t="shared" si="73"/>
        <v>342411.79188284866</v>
      </c>
      <c r="AN196" s="90">
        <f>SUM(AM185:AM196)</f>
        <v>4065390.3708091993</v>
      </c>
      <c r="AO196" s="96">
        <f t="shared" si="87"/>
        <v>66.461855737175455</v>
      </c>
      <c r="AP196" s="92">
        <f t="shared" si="86"/>
        <v>4.9291858395927417E-3</v>
      </c>
      <c r="AR196" s="94">
        <f t="shared" si="74"/>
        <v>1.3916110381891084E-2</v>
      </c>
      <c r="AS196" s="95">
        <v>809014.09152322926</v>
      </c>
      <c r="AU196" s="141">
        <v>187.63555498249809</v>
      </c>
    </row>
    <row r="197" spans="1:47">
      <c r="A197" s="78">
        <v>2021</v>
      </c>
      <c r="B197" s="78">
        <v>1</v>
      </c>
      <c r="C197" s="317">
        <f t="shared" si="81"/>
        <v>26.112829868525239</v>
      </c>
      <c r="D197" s="324">
        <f t="shared" si="80"/>
        <v>1.3280829182176284E-2</v>
      </c>
      <c r="E197" s="321">
        <f>$D197*'MWh Impact Summary'!B$27</f>
        <v>44188.525024514463</v>
      </c>
      <c r="F197" s="319">
        <f>$D197*'MWh Impact Summary'!N$27</f>
        <v>5806.5634564263446</v>
      </c>
      <c r="G197" s="319">
        <f>$D197*'MWh Impact Summary'!C$27</f>
        <v>30797.346728658675</v>
      </c>
      <c r="H197" s="319">
        <f>$D197*'MWh Impact Summary'!D$27</f>
        <v>132.42883687676476</v>
      </c>
      <c r="I197" s="319">
        <f>$D197*'MWh Impact Summary'!E$27</f>
        <v>11297.177537782454</v>
      </c>
      <c r="J197" s="104">
        <f t="shared" si="75"/>
        <v>92222.041584258695</v>
      </c>
      <c r="K197" s="298">
        <f t="shared" si="82"/>
        <v>13.3</v>
      </c>
      <c r="L197" s="300">
        <f t="shared" si="89"/>
        <v>9.3629003871876101E-2</v>
      </c>
      <c r="M197" s="297">
        <f>(31/365)</f>
        <v>8.4931506849315067E-2</v>
      </c>
      <c r="N197" s="304">
        <f>$L197*'MWh Impact Summary'!F$27</f>
        <v>161268.30772360135</v>
      </c>
      <c r="O197" s="304">
        <f>$L197*'MWh Impact Summary'!G$27</f>
        <v>17274.995160691102</v>
      </c>
      <c r="P197" s="304">
        <f>$M197*'MWh Impact Summary'!H$27</f>
        <v>9566.7797527246166</v>
      </c>
      <c r="Q197" s="304">
        <f>$M197*'MWh Impact Summary'!I$27</f>
        <v>1599.4325245963701</v>
      </c>
      <c r="R197" s="304">
        <f>$M197*'MWh Impact Summary'!J$27</f>
        <v>44687.952157098225</v>
      </c>
      <c r="S197" s="304">
        <f>$M197*'MWh Impact Summary'!K$27</f>
        <v>24615.749176464124</v>
      </c>
      <c r="T197" s="304">
        <f>$M197*'MWh Impact Summary'!L$27</f>
        <v>8659.6462628792251</v>
      </c>
      <c r="U197" s="304">
        <f>$M197*'MWh Impact Summary'!M$27</f>
        <v>27059.567039112593</v>
      </c>
      <c r="V197" s="304">
        <f>$L197*'LED Impact Forecast'!$H$28+$D197*'LED Impact Forecast'!$J$28</f>
        <v>114377.07967380097</v>
      </c>
      <c r="W197" s="304">
        <f>$L197*'CFL Impact Forecast'!$H$28+$D197*'CFL Impact Forecast'!$J$28</f>
        <v>338585.33972354856</v>
      </c>
      <c r="X197" s="304">
        <f>$L197*'EISA Incand Impact Forecast'!$G$28+$D197*'EISA Incand Impact Forecast'!$I$28</f>
        <v>118878.37690652076</v>
      </c>
      <c r="Y197" s="85">
        <f t="shared" ref="Y197:Y260" si="90">SUM(N197:X197)</f>
        <v>866573.22610103793</v>
      </c>
      <c r="Z197" s="81">
        <f t="shared" ref="Z197:Z260" si="91">Y197+J197</f>
        <v>958795.2676852966</v>
      </c>
      <c r="AA197" s="81"/>
      <c r="AB197" s="262">
        <f>+'MWh by mo-WgtbyActulCDH&amp;Days'!AB197</f>
        <v>5157217.8149424428</v>
      </c>
      <c r="AC197" s="308">
        <f t="shared" si="76"/>
        <v>185.91327767993397</v>
      </c>
      <c r="AD197" s="309">
        <f t="shared" ref="AD197:AD260" si="92">+J197*1000/AB197</f>
        <v>17.882130422542165</v>
      </c>
      <c r="AE197" s="107">
        <f t="shared" ref="AE197:AE260" si="93">+AD197/K197/1000</f>
        <v>1.3445210844016664E-3</v>
      </c>
      <c r="AF197" s="309">
        <f t="shared" si="77"/>
        <v>168.03114725739181</v>
      </c>
      <c r="AG197" s="107">
        <f t="shared" ref="AG197:AG260" si="94">+AF197/K197/1000</f>
        <v>1.2633920846420435E-2</v>
      </c>
      <c r="AH197" s="119">
        <f t="shared" si="78"/>
        <v>1.3978441930822101E-2</v>
      </c>
      <c r="AI197" s="122">
        <f t="shared" ref="AI197:AI260" si="95">+AC197/K197/1000</f>
        <v>1.3978441930822103E-2</v>
      </c>
      <c r="AJ197" s="87" t="b">
        <f t="shared" si="79"/>
        <v>1</v>
      </c>
      <c r="AK197" s="88">
        <f t="shared" si="83"/>
        <v>7.8988868804208238E-4</v>
      </c>
      <c r="AL197" s="312">
        <f>+AC197/'MWh by month-WgtbyCDH&amp;DayLtHrs'!AC197-1</f>
        <v>-7.6975879776555289E-2</v>
      </c>
      <c r="AM197" s="89">
        <f t="shared" ref="AM197:AM260" si="96">+W197</f>
        <v>338585.33972354856</v>
      </c>
      <c r="AN197" s="93"/>
      <c r="AO197" s="96">
        <f t="shared" si="87"/>
        <v>65.65271273641703</v>
      </c>
      <c r="AP197" s="92">
        <f t="shared" si="86"/>
        <v>4.9362941907080465E-3</v>
      </c>
      <c r="AR197" s="94">
        <f t="shared" ref="AR197:AR260" si="97">AI197</f>
        <v>1.3978441930822103E-2</v>
      </c>
      <c r="AS197" s="95">
        <v>817529.58394237643</v>
      </c>
      <c r="AU197" s="141">
        <v>185.91327767993397</v>
      </c>
    </row>
    <row r="198" spans="1:47">
      <c r="A198" s="78">
        <v>2021</v>
      </c>
      <c r="B198" s="78">
        <v>2</v>
      </c>
      <c r="C198" s="317">
        <f t="shared" si="81"/>
        <v>35.042184420393127</v>
      </c>
      <c r="D198" s="324">
        <f t="shared" si="80"/>
        <v>1.7822245532205266E-2</v>
      </c>
      <c r="E198" s="321">
        <f>$D198*'MWh Impact Summary'!B$27</f>
        <v>59298.913636342862</v>
      </c>
      <c r="F198" s="319">
        <f>$D198*'MWh Impact Summary'!N$27</f>
        <v>7792.1339247134947</v>
      </c>
      <c r="G198" s="319">
        <f>$D198*'MWh Impact Summary'!C$27</f>
        <v>41328.584805174854</v>
      </c>
      <c r="H198" s="319">
        <f>$D198*'MWh Impact Summary'!D$27</f>
        <v>177.71324470685698</v>
      </c>
      <c r="I198" s="319">
        <f>$D198*'MWh Impact Summary'!E$27</f>
        <v>15160.278709817721</v>
      </c>
      <c r="J198" s="104">
        <f t="shared" ref="J198:J261" si="98">SUM(E198:I198)</f>
        <v>123757.62432075579</v>
      </c>
      <c r="K198" s="298">
        <f t="shared" si="82"/>
        <v>12.733333333333333</v>
      </c>
      <c r="L198" s="300">
        <f t="shared" si="89"/>
        <v>8.9639798193124468E-2</v>
      </c>
      <c r="M198" s="297">
        <f>(28/365)</f>
        <v>7.6712328767123292E-2</v>
      </c>
      <c r="N198" s="304">
        <f>$L198*'MWh Impact Summary'!F$27</f>
        <v>154397.22694339775</v>
      </c>
      <c r="O198" s="304">
        <f>$L198*'MWh Impact Summary'!G$27</f>
        <v>16538.967797954883</v>
      </c>
      <c r="P198" s="304">
        <f>$M198*'MWh Impact Summary'!H$27</f>
        <v>8640.9623572996552</v>
      </c>
      <c r="Q198" s="304">
        <f>$M198*'MWh Impact Summary'!I$27</f>
        <v>1444.6487318934956</v>
      </c>
      <c r="R198" s="304">
        <f>$M198*'MWh Impact Summary'!J$27</f>
        <v>40363.311625766146</v>
      </c>
      <c r="S198" s="304">
        <f>$M198*'MWh Impact Summary'!K$27</f>
        <v>22233.579901322435</v>
      </c>
      <c r="T198" s="304">
        <f>$M198*'MWh Impact Summary'!L$27</f>
        <v>7821.6159793747838</v>
      </c>
      <c r="U198" s="304">
        <f>$M198*'MWh Impact Summary'!M$27</f>
        <v>24440.899261133956</v>
      </c>
      <c r="V198" s="304">
        <f>$L198*'LED Impact Forecast'!$H$28+$D198*'LED Impact Forecast'!$J$28</f>
        <v>110468.77106591324</v>
      </c>
      <c r="W198" s="304">
        <f>$L198*'CFL Impact Forecast'!$H$28+$D198*'CFL Impact Forecast'!$J$28</f>
        <v>327245.96569034539</v>
      </c>
      <c r="X198" s="304">
        <f>$L198*'EISA Incand Impact Forecast'!$G$28+$D198*'EISA Incand Impact Forecast'!$I$28</f>
        <v>114983.41945800981</v>
      </c>
      <c r="Y198" s="85">
        <f t="shared" si="90"/>
        <v>828579.36881241156</v>
      </c>
      <c r="Z198" s="81">
        <f t="shared" si="91"/>
        <v>952336.99313316739</v>
      </c>
      <c r="AA198" s="81"/>
      <c r="AB198" s="262">
        <f>+'MWh by mo-WgtbyActulCDH&amp;Days'!AB198</f>
        <v>5162310.6728719575</v>
      </c>
      <c r="AC198" s="308">
        <f t="shared" ref="AC198:AC261" si="99">+Z198*1000/AB198</f>
        <v>184.47882227191724</v>
      </c>
      <c r="AD198" s="309">
        <f t="shared" si="92"/>
        <v>23.973300361619941</v>
      </c>
      <c r="AE198" s="107">
        <f t="shared" si="93"/>
        <v>1.8827199236874301E-3</v>
      </c>
      <c r="AF198" s="309">
        <f t="shared" ref="AF198:AF261" si="100">+Y198*1000/AB198</f>
        <v>160.50552191029729</v>
      </c>
      <c r="AG198" s="107">
        <f t="shared" si="94"/>
        <v>1.2605145699761568E-2</v>
      </c>
      <c r="AH198" s="119">
        <f t="shared" ref="AH198:AH261" si="101">AE198+AG198</f>
        <v>1.4487865623448998E-2</v>
      </c>
      <c r="AI198" s="122">
        <f t="shared" si="95"/>
        <v>1.4487865623448998E-2</v>
      </c>
      <c r="AJ198" s="87" t="b">
        <f t="shared" ref="AJ198:AJ261" si="102">AH198=AI198</f>
        <v>1</v>
      </c>
      <c r="AK198" s="88">
        <f t="shared" si="83"/>
        <v>7.5454737053060224E-4</v>
      </c>
      <c r="AL198" s="312">
        <f>+AC198/'MWh by month-WgtbyCDH&amp;DayLtHrs'!AC198-1</f>
        <v>-7.9706428232627968E-2</v>
      </c>
      <c r="AM198" s="89">
        <f t="shared" si="96"/>
        <v>327245.96569034539</v>
      </c>
      <c r="AN198" s="93"/>
      <c r="AO198" s="96">
        <f t="shared" si="87"/>
        <v>63.39137382994582</v>
      </c>
      <c r="AP198" s="92">
        <f t="shared" si="86"/>
        <v>4.9783801437130234E-3</v>
      </c>
      <c r="AR198" s="94">
        <f t="shared" si="97"/>
        <v>1.4487865623448998E-2</v>
      </c>
      <c r="AS198" s="95">
        <v>756573.78368226485</v>
      </c>
      <c r="AU198" s="141">
        <v>184.47882227191724</v>
      </c>
    </row>
    <row r="199" spans="1:47">
      <c r="A199" s="78">
        <v>2021</v>
      </c>
      <c r="B199" s="78">
        <v>3</v>
      </c>
      <c r="C199" s="317">
        <f t="shared" si="81"/>
        <v>64.582270600115152</v>
      </c>
      <c r="D199" s="324">
        <f t="shared" si="80"/>
        <v>3.2846156787895278E-2</v>
      </c>
      <c r="E199" s="321">
        <f>$D199*'MWh Impact Summary'!B$27</f>
        <v>109287.09354450084</v>
      </c>
      <c r="F199" s="319">
        <f>$D199*'MWh Impact Summary'!N$27</f>
        <v>14360.797136417177</v>
      </c>
      <c r="G199" s="319">
        <f>$D199*'MWh Impact Summary'!C$27</f>
        <v>76168.021245111246</v>
      </c>
      <c r="H199" s="319">
        <f>$D199*'MWh Impact Summary'!D$27</f>
        <v>327.52309962170904</v>
      </c>
      <c r="I199" s="319">
        <f>$D199*'MWh Impact Summary'!E$27</f>
        <v>27940.188039214387</v>
      </c>
      <c r="J199" s="104">
        <f t="shared" si="98"/>
        <v>228083.62306486533</v>
      </c>
      <c r="K199" s="298">
        <f t="shared" si="82"/>
        <v>12</v>
      </c>
      <c r="L199" s="300">
        <f t="shared" si="89"/>
        <v>8.4477296726504739E-2</v>
      </c>
      <c r="M199" s="297">
        <f t="shared" ref="M199:M208" si="103">(31/365)</f>
        <v>8.4931506849315067E-2</v>
      </c>
      <c r="N199" s="304">
        <f>$L199*'MWh Impact Summary'!F$27</f>
        <v>145505.24005136962</v>
      </c>
      <c r="O199" s="304">
        <f>$L199*'MWh Impact Summary'!G$27</f>
        <v>15586.461799119788</v>
      </c>
      <c r="P199" s="304">
        <f>$M199*'MWh Impact Summary'!H$27</f>
        <v>9566.7797527246166</v>
      </c>
      <c r="Q199" s="304">
        <f>$M199*'MWh Impact Summary'!I$27</f>
        <v>1599.4325245963701</v>
      </c>
      <c r="R199" s="304">
        <f>$M199*'MWh Impact Summary'!J$27</f>
        <v>44687.952157098225</v>
      </c>
      <c r="S199" s="304">
        <f>$M199*'MWh Impact Summary'!K$27</f>
        <v>24615.749176464124</v>
      </c>
      <c r="T199" s="304">
        <f>$M199*'MWh Impact Summary'!L$27</f>
        <v>8659.6462628792251</v>
      </c>
      <c r="U199" s="304">
        <f>$M199*'MWh Impact Summary'!M$27</f>
        <v>27059.567039112593</v>
      </c>
      <c r="V199" s="304">
        <f>$L199*'LED Impact Forecast'!$H$28+$D199*'LED Impact Forecast'!$J$28</f>
        <v>107139.03409864302</v>
      </c>
      <c r="W199" s="304">
        <f>$L199*'CFL Impact Forecast'!$H$28+$D199*'CFL Impact Forecast'!$J$28</f>
        <v>318099.32532570767</v>
      </c>
      <c r="X199" s="304">
        <f>$L199*'EISA Incand Impact Forecast'!$G$28+$D199*'EISA Incand Impact Forecast'!$I$28</f>
        <v>112038.34535817795</v>
      </c>
      <c r="Y199" s="85">
        <f t="shared" si="90"/>
        <v>814557.53354589315</v>
      </c>
      <c r="Z199" s="81">
        <f t="shared" si="91"/>
        <v>1042641.1566107585</v>
      </c>
      <c r="AA199" s="81"/>
      <c r="AB199" s="262">
        <f>+'MWh by mo-WgtbyActulCDH&amp;Days'!AB199</f>
        <v>5167504.396665371</v>
      </c>
      <c r="AC199" s="308">
        <f t="shared" si="99"/>
        <v>201.76879912934038</v>
      </c>
      <c r="AD199" s="309">
        <f t="shared" si="92"/>
        <v>44.13806076527954</v>
      </c>
      <c r="AE199" s="107">
        <f t="shared" si="93"/>
        <v>3.6781717304399616E-3</v>
      </c>
      <c r="AF199" s="309">
        <f t="shared" si="100"/>
        <v>157.63073836406085</v>
      </c>
      <c r="AG199" s="107">
        <f t="shared" si="94"/>
        <v>1.3135894863671737E-2</v>
      </c>
      <c r="AH199" s="119">
        <f t="shared" si="101"/>
        <v>1.68140665941117E-2</v>
      </c>
      <c r="AI199" s="122">
        <f t="shared" si="95"/>
        <v>1.6814066594111696E-2</v>
      </c>
      <c r="AJ199" s="87" t="b">
        <f t="shared" si="102"/>
        <v>1</v>
      </c>
      <c r="AK199" s="88">
        <f t="shared" si="83"/>
        <v>9.1056861473533257E-4</v>
      </c>
      <c r="AL199" s="312">
        <f>+AC199/'MWh by month-WgtbyCDH&amp;DayLtHrs'!AC199-1</f>
        <v>-4.6284090081119111E-2</v>
      </c>
      <c r="AM199" s="89">
        <f t="shared" si="96"/>
        <v>318099.32532570767</v>
      </c>
      <c r="AN199" s="93"/>
      <c r="AO199" s="96">
        <f t="shared" si="87"/>
        <v>61.557630319768961</v>
      </c>
      <c r="AP199" s="92">
        <f t="shared" si="86"/>
        <v>5.1298025266474133E-3</v>
      </c>
      <c r="AR199" s="94">
        <f t="shared" si="97"/>
        <v>1.6814066594111696E-2</v>
      </c>
      <c r="AS199" s="95">
        <v>905658.16661233245</v>
      </c>
      <c r="AU199" s="141">
        <v>201.76879912934038</v>
      </c>
    </row>
    <row r="200" spans="1:47">
      <c r="A200" s="78">
        <v>2021</v>
      </c>
      <c r="B200" s="78">
        <v>4</v>
      </c>
      <c r="C200" s="317">
        <f t="shared" si="81"/>
        <v>114.03392869270741</v>
      </c>
      <c r="D200" s="324">
        <f t="shared" si="80"/>
        <v>5.7996974497419709E-2</v>
      </c>
      <c r="E200" s="321">
        <f>$D200*'MWh Impact Summary'!B$27</f>
        <v>192969.93612151861</v>
      </c>
      <c r="F200" s="319">
        <f>$D200*'MWh Impact Summary'!N$27</f>
        <v>25357.084868764479</v>
      </c>
      <c r="G200" s="319">
        <f>$D200*'MWh Impact Summary'!C$27</f>
        <v>134491.07042257121</v>
      </c>
      <c r="H200" s="319">
        <f>$D200*'MWh Impact Summary'!D$27</f>
        <v>578.31267684493389</v>
      </c>
      <c r="I200" s="319">
        <f>$D200*'MWh Impact Summary'!E$27</f>
        <v>49334.428488163569</v>
      </c>
      <c r="J200" s="104">
        <f t="shared" si="98"/>
        <v>402730.83257786278</v>
      </c>
      <c r="K200" s="298">
        <f t="shared" si="82"/>
        <v>11.2</v>
      </c>
      <c r="L200" s="300">
        <f t="shared" si="89"/>
        <v>7.8845476944737758E-2</v>
      </c>
      <c r="M200" s="297">
        <f>(30/365)</f>
        <v>8.2191780821917804E-2</v>
      </c>
      <c r="N200" s="304">
        <f>$L200*'MWh Impact Summary'!F$27</f>
        <v>135804.89071461163</v>
      </c>
      <c r="O200" s="304">
        <f>$L200*'MWh Impact Summary'!G$27</f>
        <v>14547.364345845135</v>
      </c>
      <c r="P200" s="304">
        <f>$M200*'MWh Impact Summary'!H$27</f>
        <v>9258.1739542496289</v>
      </c>
      <c r="Q200" s="304">
        <f>$M200*'MWh Impact Summary'!I$27</f>
        <v>1547.8379270287451</v>
      </c>
      <c r="R200" s="304">
        <f>$M200*'MWh Impact Summary'!J$27</f>
        <v>43246.405313320865</v>
      </c>
      <c r="S200" s="304">
        <f>$M200*'MWh Impact Summary'!K$27</f>
        <v>23821.692751416893</v>
      </c>
      <c r="T200" s="304">
        <f>$M200*'MWh Impact Summary'!L$27</f>
        <v>8380.302835044411</v>
      </c>
      <c r="U200" s="304">
        <f>$M200*'MWh Impact Summary'!M$27</f>
        <v>26186.67777978638</v>
      </c>
      <c r="V200" s="304">
        <f>$L200*'LED Impact Forecast'!$H$28+$D200*'LED Impact Forecast'!$J$28</f>
        <v>105161.80110380976</v>
      </c>
      <c r="W200" s="304">
        <f>$L200*'CFL Impact Forecast'!$H$28+$D200*'CFL Impact Forecast'!$J$28</f>
        <v>313415.92605959554</v>
      </c>
      <c r="X200" s="304">
        <f>$L200*'EISA Incand Impact Forecast'!$G$28+$D200*'EISA Incand Impact Forecast'!$I$28</f>
        <v>110832.63814368282</v>
      </c>
      <c r="Y200" s="85">
        <f t="shared" si="90"/>
        <v>792203.71092839178</v>
      </c>
      <c r="Z200" s="81">
        <f t="shared" si="91"/>
        <v>1194934.5435062544</v>
      </c>
      <c r="AA200" s="81"/>
      <c r="AB200" s="262">
        <f>+'MWh by mo-WgtbyActulCDH&amp;Days'!AB200</f>
        <v>5172569.6347586866</v>
      </c>
      <c r="AC200" s="308">
        <f t="shared" si="99"/>
        <v>231.013718109568</v>
      </c>
      <c r="AD200" s="309">
        <f t="shared" si="92"/>
        <v>77.858948456022318</v>
      </c>
      <c r="AE200" s="107">
        <f t="shared" si="93"/>
        <v>6.951691826430564E-3</v>
      </c>
      <c r="AF200" s="309">
        <f t="shared" si="100"/>
        <v>153.15476965354574</v>
      </c>
      <c r="AG200" s="107">
        <f t="shared" si="94"/>
        <v>1.3674533004780871E-2</v>
      </c>
      <c r="AH200" s="119">
        <f t="shared" si="101"/>
        <v>2.0626224831211435E-2</v>
      </c>
      <c r="AI200" s="122">
        <f t="shared" si="95"/>
        <v>2.0626224831211432E-2</v>
      </c>
      <c r="AJ200" s="87" t="b">
        <f t="shared" si="102"/>
        <v>1</v>
      </c>
      <c r="AK200" s="88">
        <f t="shared" si="83"/>
        <v>1.0644806577154754E-3</v>
      </c>
      <c r="AL200" s="312">
        <f>+AC200/'MWh by month-WgtbyCDH&amp;DayLtHrs'!AC200-1</f>
        <v>-1.8784948213211194E-2</v>
      </c>
      <c r="AM200" s="89">
        <f t="shared" si="96"/>
        <v>313415.92605959554</v>
      </c>
      <c r="AN200" s="93"/>
      <c r="AO200" s="96">
        <f t="shared" si="87"/>
        <v>60.591920107464567</v>
      </c>
      <c r="AP200" s="92">
        <f t="shared" si="86"/>
        <v>5.4099928667379078E-3</v>
      </c>
      <c r="AR200" s="94">
        <f t="shared" si="97"/>
        <v>2.0626224831211432E-2</v>
      </c>
      <c r="AS200" s="95">
        <v>1044428.6427978469</v>
      </c>
      <c r="AU200" s="141">
        <v>231.013718109568</v>
      </c>
    </row>
    <row r="201" spans="1:47">
      <c r="A201" s="78">
        <v>2021</v>
      </c>
      <c r="B201" s="78">
        <v>5</v>
      </c>
      <c r="C201" s="317">
        <f t="shared" si="81"/>
        <v>208.47875842628665</v>
      </c>
      <c r="D201" s="324">
        <f t="shared" ref="D201:D216" si="104">D189</f>
        <v>0.10603105035770212</v>
      </c>
      <c r="E201" s="321">
        <f>$D201*'MWh Impact Summary'!B$27</f>
        <v>352790.90317605453</v>
      </c>
      <c r="F201" s="319">
        <f>$D201*'MWh Impact Summary'!N$27</f>
        <v>46358.251718184205</v>
      </c>
      <c r="G201" s="319">
        <f>$D201*'MWh Impact Summary'!C$27</f>
        <v>245878.85116785447</v>
      </c>
      <c r="H201" s="319">
        <f>$D201*'MWh Impact Summary'!D$27</f>
        <v>1057.2810235777179</v>
      </c>
      <c r="I201" s="319">
        <f>$D201*'MWh Impact Summary'!E$27</f>
        <v>90194.037132568919</v>
      </c>
      <c r="J201" s="104">
        <f t="shared" si="98"/>
        <v>736279.32421823975</v>
      </c>
      <c r="K201" s="298">
        <f t="shared" si="82"/>
        <v>10.533333333333333</v>
      </c>
      <c r="L201" s="300">
        <f t="shared" si="89"/>
        <v>7.4152293793265281E-2</v>
      </c>
      <c r="M201" s="297">
        <f t="shared" si="103"/>
        <v>8.4931506849315067E-2</v>
      </c>
      <c r="N201" s="304">
        <f>$L201*'MWh Impact Summary'!F$27</f>
        <v>127721.26626731335</v>
      </c>
      <c r="O201" s="304">
        <f>$L201*'MWh Impact Summary'!G$27</f>
        <v>13681.449801449593</v>
      </c>
      <c r="P201" s="304">
        <f>$M201*'MWh Impact Summary'!H$27</f>
        <v>9566.7797527246166</v>
      </c>
      <c r="Q201" s="304">
        <f>$M201*'MWh Impact Summary'!I$27</f>
        <v>1599.4325245963701</v>
      </c>
      <c r="R201" s="304">
        <f>$M201*'MWh Impact Summary'!J$27</f>
        <v>44687.952157098225</v>
      </c>
      <c r="S201" s="304">
        <f>$M201*'MWh Impact Summary'!K$27</f>
        <v>24615.749176464124</v>
      </c>
      <c r="T201" s="304">
        <f>$M201*'MWh Impact Summary'!L$27</f>
        <v>8659.6462628792251</v>
      </c>
      <c r="U201" s="304">
        <f>$M201*'MWh Impact Summary'!M$27</f>
        <v>27059.567039112593</v>
      </c>
      <c r="V201" s="304">
        <f>$L201*'LED Impact Forecast'!$H$28+$D201*'LED Impact Forecast'!$J$28</f>
        <v>108629.31603665069</v>
      </c>
      <c r="W201" s="304">
        <f>$L201*'CFL Impact Forecast'!$H$28+$D201*'CFL Impact Forecast'!$J$28</f>
        <v>325875.86104346899</v>
      </c>
      <c r="X201" s="304">
        <f>$L201*'EISA Incand Impact Forecast'!$G$28+$D201*'EISA Incand Impact Forecast'!$I$28</f>
        <v>116030.57380943152</v>
      </c>
      <c r="Y201" s="85">
        <f t="shared" si="90"/>
        <v>808127.59387118928</v>
      </c>
      <c r="Z201" s="81">
        <f t="shared" si="91"/>
        <v>1544406.9180894289</v>
      </c>
      <c r="AA201" s="81"/>
      <c r="AB201" s="262">
        <f>+'MWh by mo-WgtbyActulCDH&amp;Days'!AB201</f>
        <v>5177582.9748099707</v>
      </c>
      <c r="AC201" s="308">
        <f t="shared" si="99"/>
        <v>298.28723665140535</v>
      </c>
      <c r="AD201" s="309">
        <f t="shared" si="92"/>
        <v>142.20521965565661</v>
      </c>
      <c r="AE201" s="107">
        <f t="shared" si="93"/>
        <v>1.3500495536929424E-2</v>
      </c>
      <c r="AF201" s="309">
        <f t="shared" si="100"/>
        <v>156.08201699574875</v>
      </c>
      <c r="AG201" s="107">
        <f t="shared" si="94"/>
        <v>1.4817913005925514E-2</v>
      </c>
      <c r="AH201" s="119">
        <f t="shared" si="101"/>
        <v>2.8318408542854938E-2</v>
      </c>
      <c r="AI201" s="122">
        <f t="shared" si="95"/>
        <v>2.8318408542854938E-2</v>
      </c>
      <c r="AJ201" s="87" t="b">
        <f t="shared" si="102"/>
        <v>1</v>
      </c>
      <c r="AK201" s="88">
        <f t="shared" si="83"/>
        <v>1.3741672913910527E-3</v>
      </c>
      <c r="AL201" s="312">
        <f>+AC201/'MWh by month-WgtbyCDH&amp;DayLtHrs'!AC201-1</f>
        <v>2.3037562148401136E-2</v>
      </c>
      <c r="AM201" s="89">
        <f t="shared" si="96"/>
        <v>325875.86104346899</v>
      </c>
      <c r="AN201" s="93"/>
      <c r="AO201" s="96">
        <f t="shared" si="87"/>
        <v>62.939766031548615</v>
      </c>
      <c r="AP201" s="92">
        <f t="shared" si="86"/>
        <v>5.9752942435014507E-3</v>
      </c>
      <c r="AR201" s="94">
        <f t="shared" si="97"/>
        <v>2.8318408542854938E-2</v>
      </c>
      <c r="AS201" s="95">
        <v>1229631.339983386</v>
      </c>
      <c r="AU201" s="141">
        <v>298.28723665140535</v>
      </c>
    </row>
    <row r="202" spans="1:47">
      <c r="A202" s="78">
        <v>2021</v>
      </c>
      <c r="B202" s="78">
        <v>6</v>
      </c>
      <c r="C202" s="317">
        <f t="shared" ref="C202:C265" si="105">+C190</f>
        <v>271.66325293295364</v>
      </c>
      <c r="D202" s="324">
        <f t="shared" si="104"/>
        <v>0.13816630657965029</v>
      </c>
      <c r="E202" s="321">
        <f>$D202*'MWh Impact Summary'!B$27</f>
        <v>459712.65890787914</v>
      </c>
      <c r="F202" s="319">
        <f>$D202*'MWh Impact Summary'!N$27</f>
        <v>60408.233227748722</v>
      </c>
      <c r="G202" s="319">
        <f>$D202*'MWh Impact Summary'!C$27</f>
        <v>320398.3419696666</v>
      </c>
      <c r="H202" s="319">
        <f>$D202*'MWh Impact Summary'!D$27</f>
        <v>1377.7154291282948</v>
      </c>
      <c r="I202" s="319">
        <f>$D202*'MWh Impact Summary'!E$27</f>
        <v>117529.50615951011</v>
      </c>
      <c r="J202" s="104">
        <f t="shared" si="98"/>
        <v>959426.45569393283</v>
      </c>
      <c r="K202" s="298">
        <f t="shared" si="82"/>
        <v>10.199999999999999</v>
      </c>
      <c r="L202" s="300">
        <f t="shared" si="89"/>
        <v>7.1805702217529022E-2</v>
      </c>
      <c r="M202" s="297">
        <f>(30/365)</f>
        <v>8.2191780821917804E-2</v>
      </c>
      <c r="N202" s="304">
        <f>$L202*'MWh Impact Summary'!F$27</f>
        <v>123679.45404366415</v>
      </c>
      <c r="O202" s="304">
        <f>$L202*'MWh Impact Summary'!G$27</f>
        <v>13248.492529251818</v>
      </c>
      <c r="P202" s="304">
        <f>$M202*'MWh Impact Summary'!H$27</f>
        <v>9258.1739542496289</v>
      </c>
      <c r="Q202" s="304">
        <f>$M202*'MWh Impact Summary'!I$27</f>
        <v>1547.8379270287451</v>
      </c>
      <c r="R202" s="304">
        <f>$M202*'MWh Impact Summary'!J$27</f>
        <v>43246.405313320865</v>
      </c>
      <c r="S202" s="304">
        <f>$M202*'MWh Impact Summary'!K$27</f>
        <v>23821.692751416893</v>
      </c>
      <c r="T202" s="304">
        <f>$M202*'MWh Impact Summary'!L$27</f>
        <v>8380.302835044411</v>
      </c>
      <c r="U202" s="304">
        <f>$M202*'MWh Impact Summary'!M$27</f>
        <v>26186.67777978638</v>
      </c>
      <c r="V202" s="304">
        <f>$L202*'LED Impact Forecast'!$H$28+$D202*'LED Impact Forecast'!$J$28</f>
        <v>111896.82383833775</v>
      </c>
      <c r="W202" s="304">
        <f>$L202*'CFL Impact Forecast'!$H$28+$D202*'CFL Impact Forecast'!$J$28</f>
        <v>337012.06012581021</v>
      </c>
      <c r="X202" s="304">
        <f>$L202*'EISA Incand Impact Forecast'!$G$28+$D202*'EISA Incand Impact Forecast'!$I$28</f>
        <v>120489.36403927245</v>
      </c>
      <c r="Y202" s="85">
        <f t="shared" si="90"/>
        <v>818767.28513718327</v>
      </c>
      <c r="Z202" s="81">
        <f t="shared" si="91"/>
        <v>1778193.7408311162</v>
      </c>
      <c r="AA202" s="81"/>
      <c r="AB202" s="262">
        <f>+'MWh by mo-WgtbyActulCDH&amp;Days'!AB202</f>
        <v>5182599.1656009592</v>
      </c>
      <c r="AC202" s="308">
        <f t="shared" si="99"/>
        <v>343.10848360292243</v>
      </c>
      <c r="AD202" s="309">
        <f t="shared" si="92"/>
        <v>185.1245726395436</v>
      </c>
      <c r="AE202" s="107">
        <f t="shared" si="93"/>
        <v>1.8149467905837612E-2</v>
      </c>
      <c r="AF202" s="309">
        <f t="shared" si="100"/>
        <v>157.98391096337883</v>
      </c>
      <c r="AG202" s="107">
        <f t="shared" si="94"/>
        <v>1.5488618721899886E-2</v>
      </c>
      <c r="AH202" s="119">
        <f t="shared" si="101"/>
        <v>3.3638086627737498E-2</v>
      </c>
      <c r="AI202" s="122">
        <f t="shared" si="95"/>
        <v>3.3638086627737492E-2</v>
      </c>
      <c r="AJ202" s="87" t="b">
        <f t="shared" si="102"/>
        <v>1</v>
      </c>
      <c r="AK202" s="88">
        <f t="shared" si="83"/>
        <v>1.5828600666826717E-3</v>
      </c>
      <c r="AL202" s="312">
        <f>+AC202/'MWh by month-WgtbyCDH&amp;DayLtHrs'!AC202-1</f>
        <v>3.8718880809302414E-2</v>
      </c>
      <c r="AM202" s="89">
        <f t="shared" si="96"/>
        <v>337012.06012581021</v>
      </c>
      <c r="AN202" s="93"/>
      <c r="AO202" s="96">
        <f t="shared" si="87"/>
        <v>65.027614399102632</v>
      </c>
      <c r="AP202" s="92">
        <f t="shared" si="86"/>
        <v>6.3752563136375137E-3</v>
      </c>
      <c r="AR202" s="94">
        <f t="shared" si="97"/>
        <v>3.3638086627737492E-2</v>
      </c>
      <c r="AS202" s="95">
        <v>1480819.0403773016</v>
      </c>
      <c r="AU202" s="141">
        <v>343.10848360292243</v>
      </c>
    </row>
    <row r="203" spans="1:47">
      <c r="A203" s="78">
        <v>2021</v>
      </c>
      <c r="B203" s="78">
        <v>7</v>
      </c>
      <c r="C203" s="317">
        <f t="shared" si="105"/>
        <v>322.31916585708109</v>
      </c>
      <c r="D203" s="324">
        <f t="shared" si="104"/>
        <v>0.16392960109808263</v>
      </c>
      <c r="E203" s="321">
        <f>$D203*'MWh Impact Summary'!B$27</f>
        <v>545433.35969586496</v>
      </c>
      <c r="F203" s="319">
        <f>$D203*'MWh Impact Summary'!N$27</f>
        <v>71672.304349802303</v>
      </c>
      <c r="G203" s="319">
        <f>$D203*'MWh Impact Summary'!C$27</f>
        <v>380141.68353914941</v>
      </c>
      <c r="H203" s="319">
        <f>$D203*'MWh Impact Summary'!D$27</f>
        <v>1634.6122749794847</v>
      </c>
      <c r="I203" s="319">
        <f>$D203*'MWh Impact Summary'!E$27</f>
        <v>139444.74263612399</v>
      </c>
      <c r="J203" s="104">
        <f t="shared" si="98"/>
        <v>1138326.70249592</v>
      </c>
      <c r="K203" s="298">
        <f t="shared" si="82"/>
        <v>10.366666666666667</v>
      </c>
      <c r="L203" s="300">
        <f t="shared" si="89"/>
        <v>7.2978998005397158E-2</v>
      </c>
      <c r="M203" s="297">
        <f t="shared" si="103"/>
        <v>8.4931506849315067E-2</v>
      </c>
      <c r="N203" s="304">
        <f>$L203*'MWh Impact Summary'!F$27</f>
        <v>125700.36015548876</v>
      </c>
      <c r="O203" s="304">
        <f>$L203*'MWh Impact Summary'!G$27</f>
        <v>13464.971165350707</v>
      </c>
      <c r="P203" s="304">
        <f>$M203*'MWh Impact Summary'!H$27</f>
        <v>9566.7797527246166</v>
      </c>
      <c r="Q203" s="304">
        <f>$M203*'MWh Impact Summary'!I$27</f>
        <v>1599.4325245963701</v>
      </c>
      <c r="R203" s="304">
        <f>$M203*'MWh Impact Summary'!J$27</f>
        <v>44687.952157098225</v>
      </c>
      <c r="S203" s="304">
        <f>$M203*'MWh Impact Summary'!K$27</f>
        <v>24615.749176464124</v>
      </c>
      <c r="T203" s="304">
        <f>$M203*'MWh Impact Summary'!L$27</f>
        <v>8659.6462628792251</v>
      </c>
      <c r="U203" s="304">
        <f>$M203*'MWh Impact Summary'!M$27</f>
        <v>27059.567039112593</v>
      </c>
      <c r="V203" s="304">
        <f>$L203*'LED Impact Forecast'!$H$28+$D203*'LED Impact Forecast'!$J$28</f>
        <v>118166.05915276489</v>
      </c>
      <c r="W203" s="304">
        <f>$L203*'CFL Impact Forecast'!$H$28+$D203*'CFL Impact Forecast'!$J$28</f>
        <v>356724.40842222603</v>
      </c>
      <c r="X203" s="304">
        <f>$L203*'EISA Incand Impact Forecast'!$G$28+$D203*'EISA Incand Impact Forecast'!$I$28</f>
        <v>127843.11685109138</v>
      </c>
      <c r="Y203" s="85">
        <f t="shared" si="90"/>
        <v>858088.04265979701</v>
      </c>
      <c r="Z203" s="81">
        <f t="shared" si="91"/>
        <v>1996414.745155717</v>
      </c>
      <c r="AA203" s="81"/>
      <c r="AB203" s="262">
        <f>+'MWh by mo-WgtbyActulCDH&amp;Days'!AB203</f>
        <v>5187842.8780874414</v>
      </c>
      <c r="AC203" s="308">
        <f t="shared" si="99"/>
        <v>384.82559940051971</v>
      </c>
      <c r="AD203" s="309">
        <f t="shared" si="92"/>
        <v>219.42196964060278</v>
      </c>
      <c r="AE203" s="107">
        <f t="shared" si="93"/>
        <v>2.1166106396199622E-2</v>
      </c>
      <c r="AF203" s="309">
        <f t="shared" si="100"/>
        <v>165.40362975991692</v>
      </c>
      <c r="AG203" s="107">
        <f t="shared" si="94"/>
        <v>1.5955334060442146E-2</v>
      </c>
      <c r="AH203" s="119">
        <f t="shared" si="101"/>
        <v>3.7121440456641772E-2</v>
      </c>
      <c r="AI203" s="122">
        <f t="shared" si="95"/>
        <v>3.7121440456641772E-2</v>
      </c>
      <c r="AJ203" s="87" t="b">
        <f t="shared" si="102"/>
        <v>1</v>
      </c>
      <c r="AK203" s="88">
        <f t="shared" si="83"/>
        <v>1.7214802954277006E-3</v>
      </c>
      <c r="AL203" s="312">
        <f>+AC203/'MWh by month-WgtbyCDH&amp;DayLtHrs'!AC203-1</f>
        <v>5.0057406497910462E-2</v>
      </c>
      <c r="AM203" s="89">
        <f t="shared" si="96"/>
        <v>356724.40842222603</v>
      </c>
      <c r="AN203" s="93"/>
      <c r="AO203" s="96">
        <f t="shared" si="87"/>
        <v>68.761606086600793</v>
      </c>
      <c r="AP203" s="92">
        <f t="shared" si="86"/>
        <v>6.6329523556206554E-3</v>
      </c>
      <c r="AR203" s="94">
        <f t="shared" si="97"/>
        <v>3.7121440456641772E-2</v>
      </c>
      <c r="AS203" s="95">
        <v>1548236.5721445843</v>
      </c>
      <c r="AU203" s="141">
        <v>384.82559940051971</v>
      </c>
    </row>
    <row r="204" spans="1:47">
      <c r="A204" s="78">
        <v>2021</v>
      </c>
      <c r="B204" s="78">
        <v>8</v>
      </c>
      <c r="C204" s="317">
        <f t="shared" si="105"/>
        <v>326.45437890907908</v>
      </c>
      <c r="D204" s="324">
        <f t="shared" si="104"/>
        <v>0.16603274573816959</v>
      </c>
      <c r="E204" s="321">
        <f>$D204*'MWh Impact Summary'!B$27</f>
        <v>552431.02966690715</v>
      </c>
      <c r="F204" s="319">
        <f>$D204*'MWh Impact Summary'!N$27</f>
        <v>72591.828473122645</v>
      </c>
      <c r="G204" s="319">
        <f>$D204*'MWh Impact Summary'!C$27</f>
        <v>385018.73404652323</v>
      </c>
      <c r="H204" s="319">
        <f>$D204*'MWh Impact Summary'!D$27</f>
        <v>1655.5836311086716</v>
      </c>
      <c r="I204" s="319">
        <f>$D204*'MWh Impact Summary'!E$27</f>
        <v>141233.75731742001</v>
      </c>
      <c r="J204" s="104">
        <f t="shared" si="98"/>
        <v>1152930.9331350818</v>
      </c>
      <c r="K204" s="298">
        <f t="shared" si="82"/>
        <v>10.933333333333334</v>
      </c>
      <c r="L204" s="300">
        <f t="shared" si="89"/>
        <v>7.6968203684148764E-2</v>
      </c>
      <c r="M204" s="297">
        <f t="shared" si="103"/>
        <v>8.4931506849315067E-2</v>
      </c>
      <c r="N204" s="304">
        <f>$L204*'MWh Impact Summary'!F$27</f>
        <v>132571.44093569231</v>
      </c>
      <c r="O204" s="304">
        <f>$L204*'MWh Impact Summary'!G$27</f>
        <v>14200.998528086919</v>
      </c>
      <c r="P204" s="304">
        <f>$M204*'MWh Impact Summary'!H$27</f>
        <v>9566.7797527246166</v>
      </c>
      <c r="Q204" s="304">
        <f>$M204*'MWh Impact Summary'!I$27</f>
        <v>1599.4325245963701</v>
      </c>
      <c r="R204" s="304">
        <f>$M204*'MWh Impact Summary'!J$27</f>
        <v>44687.952157098225</v>
      </c>
      <c r="S204" s="304">
        <f>$M204*'MWh Impact Summary'!K$27</f>
        <v>24615.749176464124</v>
      </c>
      <c r="T204" s="304">
        <f>$M204*'MWh Impact Summary'!L$27</f>
        <v>8659.6462628792251</v>
      </c>
      <c r="U204" s="304">
        <f>$M204*'MWh Impact Summary'!M$27</f>
        <v>27059.567039112593</v>
      </c>
      <c r="V204" s="304">
        <f>$L204*'LED Impact Forecast'!$H$28+$D204*'LED Impact Forecast'!$J$28</f>
        <v>123329.70449587869</v>
      </c>
      <c r="W204" s="304">
        <f>$L204*'CFL Impact Forecast'!$H$28+$D204*'CFL Impact Forecast'!$J$28</f>
        <v>372079.41173051001</v>
      </c>
      <c r="X204" s="304">
        <f>$L204*'EISA Incand Impact Forecast'!$G$28+$D204*'EISA Incand Impact Forecast'!$I$28</f>
        <v>133260.29295685372</v>
      </c>
      <c r="Y204" s="85">
        <f t="shared" si="90"/>
        <v>891630.97555989679</v>
      </c>
      <c r="Z204" s="81">
        <f t="shared" si="91"/>
        <v>2044561.9086949786</v>
      </c>
      <c r="AA204" s="81"/>
      <c r="AB204" s="262">
        <f>+'MWh by mo-WgtbyActulCDH&amp;Days'!AB204</f>
        <v>5193203.3234929005</v>
      </c>
      <c r="AC204" s="308">
        <f t="shared" si="99"/>
        <v>393.69956871240407</v>
      </c>
      <c r="AD204" s="309">
        <f t="shared" si="92"/>
        <v>222.00766296198685</v>
      </c>
      <c r="AE204" s="107">
        <f t="shared" si="93"/>
        <v>2.0305578929450018E-2</v>
      </c>
      <c r="AF204" s="309">
        <f t="shared" si="100"/>
        <v>171.69190575041728</v>
      </c>
      <c r="AG204" s="107">
        <f t="shared" si="94"/>
        <v>1.570352796497719E-2</v>
      </c>
      <c r="AH204" s="119">
        <f t="shared" si="101"/>
        <v>3.6009106894427212E-2</v>
      </c>
      <c r="AI204" s="122">
        <f t="shared" si="95"/>
        <v>3.6009106894427198E-2</v>
      </c>
      <c r="AJ204" s="87" t="b">
        <f t="shared" si="102"/>
        <v>1</v>
      </c>
      <c r="AK204" s="88">
        <f t="shared" si="83"/>
        <v>1.673917367867761E-3</v>
      </c>
      <c r="AL204" s="312">
        <f>+AC204/'MWh by month-WgtbyCDH&amp;DayLtHrs'!AC204-1</f>
        <v>4.7784639456321054E-2</v>
      </c>
      <c r="AM204" s="89">
        <f t="shared" si="96"/>
        <v>372079.41173051001</v>
      </c>
      <c r="AN204" s="93"/>
      <c r="AO204" s="96">
        <f t="shared" si="87"/>
        <v>71.647379960515934</v>
      </c>
      <c r="AP204" s="92">
        <f t="shared" si="86"/>
        <v>6.5531140207788965E-3</v>
      </c>
      <c r="AR204" s="94">
        <f t="shared" si="97"/>
        <v>3.6009106894427198E-2</v>
      </c>
      <c r="AS204" s="95">
        <v>1608940.8856324463</v>
      </c>
      <c r="AU204" s="141">
        <v>393.69956871240407</v>
      </c>
    </row>
    <row r="205" spans="1:47">
      <c r="A205" s="78">
        <v>2021</v>
      </c>
      <c r="B205" s="78">
        <v>9</v>
      </c>
      <c r="C205" s="317">
        <f t="shared" si="105"/>
        <v>277.87653293728147</v>
      </c>
      <c r="D205" s="324">
        <f t="shared" si="104"/>
        <v>0.14132634365008559</v>
      </c>
      <c r="E205" s="321">
        <f>$D205*'MWh Impact Summary'!B$27</f>
        <v>470226.8651558389</v>
      </c>
      <c r="F205" s="319">
        <f>$D205*'MWh Impact Summary'!N$27</f>
        <v>61789.845439038028</v>
      </c>
      <c r="G205" s="319">
        <f>$D205*'MWh Impact Summary'!C$27</f>
        <v>327726.25470754155</v>
      </c>
      <c r="H205" s="319">
        <f>$D205*'MWh Impact Summary'!D$27</f>
        <v>1409.2255124208978</v>
      </c>
      <c r="I205" s="319">
        <f>$D205*'MWh Impact Summary'!E$27</f>
        <v>120217.55366926896</v>
      </c>
      <c r="J205" s="104">
        <f t="shared" si="98"/>
        <v>981369.74448410829</v>
      </c>
      <c r="K205" s="298">
        <f t="shared" si="82"/>
        <v>11.683333333333334</v>
      </c>
      <c r="L205" s="300">
        <f t="shared" si="89"/>
        <v>8.2248034729555317E-2</v>
      </c>
      <c r="M205" s="297">
        <f>(30/365)</f>
        <v>8.2191780821917804E-2</v>
      </c>
      <c r="N205" s="304">
        <f>$L205*'MWh Impact Summary'!F$27</f>
        <v>141665.51843890292</v>
      </c>
      <c r="O205" s="304">
        <f>$L205*'MWh Impact Summary'!G$27</f>
        <v>15175.152390531906</v>
      </c>
      <c r="P205" s="304">
        <f>$M205*'MWh Impact Summary'!H$27</f>
        <v>9258.1739542496289</v>
      </c>
      <c r="Q205" s="304">
        <f>$M205*'MWh Impact Summary'!I$27</f>
        <v>1547.8379270287451</v>
      </c>
      <c r="R205" s="304">
        <f>$M205*'MWh Impact Summary'!J$27</f>
        <v>43246.405313320865</v>
      </c>
      <c r="S205" s="304">
        <f>$M205*'MWh Impact Summary'!K$27</f>
        <v>23821.692751416893</v>
      </c>
      <c r="T205" s="304">
        <f>$M205*'MWh Impact Summary'!L$27</f>
        <v>8380.302835044411</v>
      </c>
      <c r="U205" s="304">
        <f>$M205*'MWh Impact Summary'!M$27</f>
        <v>26186.67777978638</v>
      </c>
      <c r="V205" s="304">
        <f>$L205*'LED Impact Forecast'!$H$28+$D205*'LED Impact Forecast'!$J$28</f>
        <v>124970.34329560662</v>
      </c>
      <c r="W205" s="304">
        <f>$L205*'CFL Impact Forecast'!$H$28+$D205*'CFL Impact Forecast'!$J$28</f>
        <v>375788.68947424809</v>
      </c>
      <c r="X205" s="304">
        <f>$L205*'EISA Incand Impact Forecast'!$G$28+$D205*'EISA Incand Impact Forecast'!$I$28</f>
        <v>134132.33934776529</v>
      </c>
      <c r="Y205" s="85">
        <f t="shared" si="90"/>
        <v>904173.1335079018</v>
      </c>
      <c r="Z205" s="81">
        <f t="shared" si="91"/>
        <v>1885542.8779920102</v>
      </c>
      <c r="AA205" s="81"/>
      <c r="AB205" s="262">
        <f>+'MWh by mo-WgtbyActulCDH&amp;Days'!AB205</f>
        <v>5198143.0314946659</v>
      </c>
      <c r="AC205" s="308">
        <f t="shared" si="99"/>
        <v>362.73393528570222</v>
      </c>
      <c r="AD205" s="309">
        <f t="shared" si="92"/>
        <v>188.79237037883638</v>
      </c>
      <c r="AE205" s="107">
        <f t="shared" si="93"/>
        <v>1.6159118720014527E-2</v>
      </c>
      <c r="AF205" s="309">
        <f t="shared" si="100"/>
        <v>173.94156490686584</v>
      </c>
      <c r="AG205" s="107">
        <f t="shared" si="94"/>
        <v>1.4888008408576247E-2</v>
      </c>
      <c r="AH205" s="119">
        <f t="shared" si="101"/>
        <v>3.1047127128590774E-2</v>
      </c>
      <c r="AI205" s="122">
        <f t="shared" si="95"/>
        <v>3.1047127128590774E-2</v>
      </c>
      <c r="AJ205" s="87" t="b">
        <f t="shared" si="102"/>
        <v>1</v>
      </c>
      <c r="AK205" s="88">
        <f t="shared" si="83"/>
        <v>1.4703237965992856E-3</v>
      </c>
      <c r="AL205" s="312">
        <f>+AC205/'MWh by month-WgtbyCDH&amp;DayLtHrs'!AC205-1</f>
        <v>3.2209952059690128E-2</v>
      </c>
      <c r="AM205" s="89">
        <f t="shared" si="96"/>
        <v>375788.68947424809</v>
      </c>
      <c r="AN205" s="93"/>
      <c r="AO205" s="96">
        <f t="shared" si="87"/>
        <v>72.29287212710544</v>
      </c>
      <c r="AP205" s="92">
        <f t="shared" si="86"/>
        <v>6.1876923361288538E-3</v>
      </c>
      <c r="AR205" s="94">
        <f t="shared" si="97"/>
        <v>3.1047127128590774E-2</v>
      </c>
      <c r="AS205" s="95">
        <v>1525924.4689069695</v>
      </c>
      <c r="AU205" s="141">
        <v>362.73393528570222</v>
      </c>
    </row>
    <row r="206" spans="1:47">
      <c r="A206" s="78">
        <v>2021</v>
      </c>
      <c r="B206" s="78">
        <v>10</v>
      </c>
      <c r="C206" s="317">
        <f t="shared" si="105"/>
        <v>198.89039579254836</v>
      </c>
      <c r="D206" s="324">
        <f t="shared" si="104"/>
        <v>0.10115446643644242</v>
      </c>
      <c r="E206" s="321">
        <f>$D206*'MWh Impact Summary'!B$27</f>
        <v>336565.3311366273</v>
      </c>
      <c r="F206" s="319">
        <f>$D206*'MWh Impact Summary'!N$27</f>
        <v>44226.141320485171</v>
      </c>
      <c r="G206" s="319">
        <f>$D206*'MWh Impact Summary'!C$27</f>
        <v>234570.38210961255</v>
      </c>
      <c r="H206" s="319">
        <f>$D206*'MWh Impact Summary'!D$27</f>
        <v>1008.6545163193412</v>
      </c>
      <c r="I206" s="319">
        <f>$D206*'MWh Impact Summary'!E$27</f>
        <v>86045.829699082562</v>
      </c>
      <c r="J206" s="104">
        <f t="shared" si="98"/>
        <v>702416.3387821269</v>
      </c>
      <c r="K206" s="298">
        <f t="shared" si="82"/>
        <v>12.466666666666667</v>
      </c>
      <c r="L206" s="300">
        <f t="shared" si="89"/>
        <v>8.7762524932535488E-2</v>
      </c>
      <c r="M206" s="297">
        <f t="shared" si="103"/>
        <v>8.4931506849315067E-2</v>
      </c>
      <c r="N206" s="304">
        <f>$L206*'MWh Impact Summary'!F$27</f>
        <v>151163.77716447844</v>
      </c>
      <c r="O206" s="304">
        <f>$L206*'MWh Impact Summary'!G$27</f>
        <v>16192.60198019667</v>
      </c>
      <c r="P206" s="304">
        <f>$M206*'MWh Impact Summary'!H$27</f>
        <v>9566.7797527246166</v>
      </c>
      <c r="Q206" s="304">
        <f>$M206*'MWh Impact Summary'!I$27</f>
        <v>1599.4325245963701</v>
      </c>
      <c r="R206" s="304">
        <f>$M206*'MWh Impact Summary'!J$27</f>
        <v>44687.952157098225</v>
      </c>
      <c r="S206" s="304">
        <f>$M206*'MWh Impact Summary'!K$27</f>
        <v>24615.749176464124</v>
      </c>
      <c r="T206" s="304">
        <f>$M206*'MWh Impact Summary'!L$27</f>
        <v>8659.6462628792251</v>
      </c>
      <c r="U206" s="304">
        <f>$M206*'MWh Impact Summary'!M$27</f>
        <v>27059.567039112593</v>
      </c>
      <c r="V206" s="304">
        <f>$L206*'LED Impact Forecast'!$H$28+$D206*'LED Impact Forecast'!$J$28</f>
        <v>123969.50769195175</v>
      </c>
      <c r="W206" s="304">
        <f>$L206*'CFL Impact Forecast'!$H$28+$D206*'CFL Impact Forecast'!$J$28</f>
        <v>370979.90220409224</v>
      </c>
      <c r="X206" s="304">
        <f>$L206*'EISA Incand Impact Forecast'!$G$28+$D206*'EISA Incand Impact Forecast'!$I$28</f>
        <v>131751.67776951162</v>
      </c>
      <c r="Y206" s="85">
        <f t="shared" si="90"/>
        <v>910246.59372310585</v>
      </c>
      <c r="Z206" s="81">
        <f t="shared" si="91"/>
        <v>1612662.9325052327</v>
      </c>
      <c r="AA206" s="81"/>
      <c r="AB206" s="262">
        <f>+'MWh by mo-WgtbyActulCDH&amp;Days'!AB206</f>
        <v>5203221.4699283605</v>
      </c>
      <c r="AC206" s="308">
        <f t="shared" si="99"/>
        <v>309.93547782378681</v>
      </c>
      <c r="AD206" s="309">
        <f t="shared" si="92"/>
        <v>134.99643304473796</v>
      </c>
      <c r="AE206" s="107">
        <f t="shared" si="93"/>
        <v>1.0828590885941548E-2</v>
      </c>
      <c r="AF206" s="309">
        <f t="shared" si="100"/>
        <v>174.93904477904886</v>
      </c>
      <c r="AG206" s="107">
        <f t="shared" si="94"/>
        <v>1.4032543698854186E-2</v>
      </c>
      <c r="AH206" s="119">
        <f t="shared" si="101"/>
        <v>2.4861134584795733E-2</v>
      </c>
      <c r="AI206" s="122">
        <f t="shared" si="95"/>
        <v>2.4861134584795733E-2</v>
      </c>
      <c r="AJ206" s="87" t="b">
        <f t="shared" si="102"/>
        <v>1</v>
      </c>
      <c r="AK206" s="88">
        <f t="shared" si="83"/>
        <v>1.2243285806328927E-3</v>
      </c>
      <c r="AL206" s="312">
        <f>+AC206/'MWh by month-WgtbyCDH&amp;DayLtHrs'!AC206-1</f>
        <v>9.9436319530135098E-3</v>
      </c>
      <c r="AM206" s="89">
        <f t="shared" si="96"/>
        <v>370979.90220409224</v>
      </c>
      <c r="AN206" s="93"/>
      <c r="AO206" s="96">
        <f t="shared" si="87"/>
        <v>71.298118742041552</v>
      </c>
      <c r="AP206" s="92">
        <f t="shared" si="86"/>
        <v>5.7191004338536001E-3</v>
      </c>
      <c r="AR206" s="94">
        <f t="shared" si="97"/>
        <v>2.4861134584795733E-2</v>
      </c>
      <c r="AS206" s="95">
        <v>1246983.1319195579</v>
      </c>
      <c r="AU206" s="141">
        <v>309.93547782378681</v>
      </c>
    </row>
    <row r="207" spans="1:47">
      <c r="A207" s="78">
        <v>2021</v>
      </c>
      <c r="B207" s="78">
        <v>11</v>
      </c>
      <c r="C207" s="317">
        <f t="shared" si="105"/>
        <v>78.117279066674627</v>
      </c>
      <c r="D207" s="324">
        <f t="shared" si="104"/>
        <v>3.9729981188725644E-2</v>
      </c>
      <c r="E207" s="321">
        <f>$D207*'MWh Impact Summary'!B$27</f>
        <v>132191.23925918955</v>
      </c>
      <c r="F207" s="319">
        <f>$D207*'MWh Impact Summary'!N$27</f>
        <v>17370.501022975834</v>
      </c>
      <c r="G207" s="319">
        <f>$D207*'MWh Impact Summary'!C$27</f>
        <v>92131.145533773582</v>
      </c>
      <c r="H207" s="319">
        <f>$D207*'MWh Impact Summary'!D$27</f>
        <v>396.16466154235371</v>
      </c>
      <c r="I207" s="319">
        <f>$D207*'MWh Impact Summary'!E$27</f>
        <v>33795.830433852585</v>
      </c>
      <c r="J207" s="104">
        <f t="shared" si="98"/>
        <v>275884.88091133389</v>
      </c>
      <c r="K207" s="298">
        <f t="shared" si="82"/>
        <v>13.15</v>
      </c>
      <c r="L207" s="300">
        <f t="shared" si="89"/>
        <v>9.2573037662794788E-2</v>
      </c>
      <c r="M207" s="297">
        <f>(30/365)</f>
        <v>8.2191780821917804E-2</v>
      </c>
      <c r="N207" s="304">
        <f>$L207*'MWh Impact Summary'!F$27</f>
        <v>159449.4922229592</v>
      </c>
      <c r="O207" s="304">
        <f>$L207*'MWh Impact Summary'!G$27</f>
        <v>17080.164388202102</v>
      </c>
      <c r="P207" s="304">
        <f>$M207*'MWh Impact Summary'!H$27</f>
        <v>9258.1739542496289</v>
      </c>
      <c r="Q207" s="304">
        <f>$M207*'MWh Impact Summary'!I$27</f>
        <v>1547.8379270287451</v>
      </c>
      <c r="R207" s="304">
        <f>$M207*'MWh Impact Summary'!J$27</f>
        <v>43246.405313320865</v>
      </c>
      <c r="S207" s="304">
        <f>$M207*'MWh Impact Summary'!K$27</f>
        <v>23821.692751416893</v>
      </c>
      <c r="T207" s="304">
        <f>$M207*'MWh Impact Summary'!L$27</f>
        <v>8380.302835044411</v>
      </c>
      <c r="U207" s="304">
        <f>$M207*'MWh Impact Summary'!M$27</f>
        <v>26186.67777978638</v>
      </c>
      <c r="V207" s="304">
        <f>$L207*'LED Impact Forecast'!$H$28+$D207*'LED Impact Forecast'!$J$28</f>
        <v>118112.36879606561</v>
      </c>
      <c r="W207" s="304">
        <f>$L207*'CFL Impact Forecast'!$H$28+$D207*'CFL Impact Forecast'!$J$28</f>
        <v>350841.73024789337</v>
      </c>
      <c r="X207" s="304">
        <f>$L207*'EISA Incand Impact Forecast'!$G$28+$D207*'EISA Incand Impact Forecast'!$I$28</f>
        <v>123631.25830399671</v>
      </c>
      <c r="Y207" s="85">
        <f t="shared" si="90"/>
        <v>881556.10451996396</v>
      </c>
      <c r="Z207" s="81">
        <f t="shared" si="91"/>
        <v>1157440.9854312979</v>
      </c>
      <c r="AA207" s="81"/>
      <c r="AB207" s="262">
        <f>+'MWh by mo-WgtbyActulCDH&amp;Days'!AB207</f>
        <v>5208331.8045660509</v>
      </c>
      <c r="AC207" s="308">
        <f t="shared" si="99"/>
        <v>222.22873443212475</v>
      </c>
      <c r="AD207" s="309">
        <f t="shared" si="92"/>
        <v>52.969912682880647</v>
      </c>
      <c r="AE207" s="107">
        <f t="shared" si="93"/>
        <v>4.0281302420441551E-3</v>
      </c>
      <c r="AF207" s="309">
        <f t="shared" si="100"/>
        <v>169.25882174924408</v>
      </c>
      <c r="AG207" s="107">
        <f t="shared" si="94"/>
        <v>1.2871393288915898E-2</v>
      </c>
      <c r="AH207" s="119">
        <f t="shared" si="101"/>
        <v>1.6899523530960053E-2</v>
      </c>
      <c r="AI207" s="122">
        <f t="shared" si="95"/>
        <v>1.6899523530960057E-2</v>
      </c>
      <c r="AJ207" s="87" t="b">
        <f t="shared" si="102"/>
        <v>1</v>
      </c>
      <c r="AK207" s="88">
        <f t="shared" si="83"/>
        <v>9.0502530974148274E-4</v>
      </c>
      <c r="AL207" s="312">
        <f>+AC207/'MWh by month-WgtbyCDH&amp;DayLtHrs'!AC207-1</f>
        <v>-4.5824771232041317E-2</v>
      </c>
      <c r="AM207" s="89">
        <f t="shared" si="96"/>
        <v>350841.73024789337</v>
      </c>
      <c r="AN207" s="93"/>
      <c r="AO207" s="96">
        <f t="shared" si="87"/>
        <v>67.361631979805267</v>
      </c>
      <c r="AP207" s="92">
        <f t="shared" si="86"/>
        <v>5.122557565004203E-3</v>
      </c>
      <c r="AR207" s="94">
        <f t="shared" si="97"/>
        <v>1.6899523530960057E-2</v>
      </c>
      <c r="AS207" s="95">
        <v>989876.09988125623</v>
      </c>
      <c r="AU207" s="141">
        <v>222.22873443212475</v>
      </c>
    </row>
    <row r="208" spans="1:47">
      <c r="A208" s="78">
        <v>2021</v>
      </c>
      <c r="B208" s="78">
        <v>12</v>
      </c>
      <c r="C208" s="317">
        <f t="shared" si="105"/>
        <v>42.633806123140985</v>
      </c>
      <c r="D208" s="324">
        <f t="shared" si="104"/>
        <v>2.1683298951445065E-2</v>
      </c>
      <c r="E208" s="321">
        <f>$D208*'MWh Impact Summary'!B$27</f>
        <v>72145.570520239853</v>
      </c>
      <c r="F208" s="319">
        <f>$D208*'MWh Impact Summary'!N$27</f>
        <v>9480.2402454811872</v>
      </c>
      <c r="G208" s="319">
        <f>$D208*'MWh Impact Summary'!C$27</f>
        <v>50282.107153748264</v>
      </c>
      <c r="H208" s="319">
        <f>$D208*'MWh Impact Summary'!D$27</f>
        <v>216.21346230736637</v>
      </c>
      <c r="I208" s="319">
        <f>$D208*'MWh Impact Summary'!E$27</f>
        <v>18444.637341472549</v>
      </c>
      <c r="J208" s="104">
        <f t="shared" si="98"/>
        <v>150568.76872324923</v>
      </c>
      <c r="K208" s="298">
        <f t="shared" si="82"/>
        <v>13.483333333333333</v>
      </c>
      <c r="L208" s="300">
        <f t="shared" si="89"/>
        <v>9.491962923853102E-2</v>
      </c>
      <c r="M208" s="297">
        <f t="shared" si="103"/>
        <v>8.4931506849315067E-2</v>
      </c>
      <c r="N208" s="304">
        <f>$L208*'MWh Impact Summary'!F$27</f>
        <v>163491.30444660835</v>
      </c>
      <c r="O208" s="304">
        <f>$L208*'MWh Impact Summary'!G$27</f>
        <v>17513.121660399873</v>
      </c>
      <c r="P208" s="304">
        <f>$M208*'MWh Impact Summary'!H$27</f>
        <v>9566.7797527246166</v>
      </c>
      <c r="Q208" s="304">
        <f>$M208*'MWh Impact Summary'!I$27</f>
        <v>1599.4325245963701</v>
      </c>
      <c r="R208" s="304">
        <f>$M208*'MWh Impact Summary'!J$27</f>
        <v>44687.952157098225</v>
      </c>
      <c r="S208" s="304">
        <f>$M208*'MWh Impact Summary'!K$27</f>
        <v>24615.749176464124</v>
      </c>
      <c r="T208" s="304">
        <f>$M208*'MWh Impact Summary'!L$27</f>
        <v>8659.6462628792251</v>
      </c>
      <c r="U208" s="304">
        <f>$M208*'MWh Impact Summary'!M$27</f>
        <v>27059.567039112593</v>
      </c>
      <c r="V208" s="304">
        <f>$L208*'LED Impact Forecast'!$H$28+$D208*'LED Impact Forecast'!$J$28</f>
        <v>117506.57250492263</v>
      </c>
      <c r="W208" s="304">
        <f>$L208*'CFL Impact Forecast'!$H$28+$D208*'CFL Impact Forecast'!$J$28</f>
        <v>348219.93719194428</v>
      </c>
      <c r="X208" s="304">
        <f>$L208*'EISA Incand Impact Forecast'!$G$28+$D208*'EISA Incand Impact Forecast'!$I$28</f>
        <v>122400.05379508293</v>
      </c>
      <c r="Y208" s="85">
        <f t="shared" si="90"/>
        <v>885320.11651183327</v>
      </c>
      <c r="Z208" s="81">
        <f t="shared" si="91"/>
        <v>1035888.8852350825</v>
      </c>
      <c r="AA208" s="81">
        <f>SUM(Z197:Z208)</f>
        <v>17203820.954870343</v>
      </c>
      <c r="AB208" s="262">
        <f>+'MWh by mo-WgtbyActulCDH&amp;Days'!AB208</f>
        <v>5213464.9586801976</v>
      </c>
      <c r="AC208" s="308">
        <f t="shared" si="99"/>
        <v>198.69489743291965</v>
      </c>
      <c r="AD208" s="309">
        <f t="shared" si="92"/>
        <v>28.880748200399548</v>
      </c>
      <c r="AE208" s="107">
        <f t="shared" si="93"/>
        <v>2.1419590754313631E-3</v>
      </c>
      <c r="AF208" s="309">
        <f t="shared" si="100"/>
        <v>169.81414923252009</v>
      </c>
      <c r="AG208" s="107">
        <f t="shared" si="94"/>
        <v>1.2594374479544135E-2</v>
      </c>
      <c r="AH208" s="119">
        <f t="shared" si="101"/>
        <v>1.4736333554975499E-2</v>
      </c>
      <c r="AI208" s="122">
        <f t="shared" si="95"/>
        <v>1.47363335549755E-2</v>
      </c>
      <c r="AJ208" s="87" t="b">
        <f t="shared" si="102"/>
        <v>1</v>
      </c>
      <c r="AK208" s="88">
        <f t="shared" si="83"/>
        <v>8.2022317308441672E-4</v>
      </c>
      <c r="AL208" s="312">
        <f>+AC208/'MWh by month-WgtbyCDH&amp;DayLtHrs'!AC208-1</f>
        <v>-6.5568838306453991E-2</v>
      </c>
      <c r="AM208" s="89">
        <f t="shared" si="96"/>
        <v>348219.93719194428</v>
      </c>
      <c r="AN208" s="90">
        <f>SUM(AM197:AM208)</f>
        <v>4134868.55723939</v>
      </c>
      <c r="AO208" s="96">
        <f t="shared" si="87"/>
        <v>66.792419235919652</v>
      </c>
      <c r="AP208" s="92">
        <f t="shared" si="86"/>
        <v>4.9537022919099866E-3</v>
      </c>
      <c r="AR208" s="94">
        <f t="shared" si="97"/>
        <v>1.47363335549755E-2</v>
      </c>
      <c r="AS208" s="95">
        <v>831922.77553708537</v>
      </c>
      <c r="AU208" s="141">
        <v>198.69489743291965</v>
      </c>
    </row>
    <row r="209" spans="1:47">
      <c r="A209" s="78">
        <v>2022</v>
      </c>
      <c r="B209" s="78">
        <v>1</v>
      </c>
      <c r="C209" s="317">
        <f t="shared" si="105"/>
        <v>26.112829868525239</v>
      </c>
      <c r="D209" s="324">
        <f t="shared" si="104"/>
        <v>1.3280829182176284E-2</v>
      </c>
      <c r="E209" s="321">
        <f>$D209*'MWh Impact Summary'!B$28</f>
        <v>46912.764999662541</v>
      </c>
      <c r="F209" s="319">
        <f>$D209*'MWh Impact Summary'!N$28</f>
        <v>6492.9541850745845</v>
      </c>
      <c r="G209" s="319">
        <f>$D209*'MWh Impact Summary'!C$28</f>
        <v>31557.004854110204</v>
      </c>
      <c r="H209" s="319">
        <f>$D209*'MWh Impact Summary'!D$28</f>
        <v>143.57322383035734</v>
      </c>
      <c r="I209" s="319">
        <f>$D209*'MWh Impact Summary'!E$28</f>
        <v>11443.127962023815</v>
      </c>
      <c r="J209" s="104">
        <f t="shared" si="98"/>
        <v>96549.42522470151</v>
      </c>
      <c r="K209" s="298">
        <f t="shared" si="82"/>
        <v>13.3</v>
      </c>
      <c r="L209" s="300">
        <f t="shared" si="89"/>
        <v>9.3629003871876101E-2</v>
      </c>
      <c r="M209" s="297">
        <f>(31/365)</f>
        <v>8.4931506849315067E-2</v>
      </c>
      <c r="N209" s="304">
        <f>$L209*'MWh Impact Summary'!F$28</f>
        <v>173115.76551675919</v>
      </c>
      <c r="O209" s="304">
        <f>$L209*'MWh Impact Summary'!G$28</f>
        <v>21916.523533018295</v>
      </c>
      <c r="P209" s="304">
        <f>$M209*'MWh Impact Summary'!H$28</f>
        <v>10124.650232578459</v>
      </c>
      <c r="Q209" s="304">
        <f>$M209*'MWh Impact Summary'!I$28</f>
        <v>1692.030438793694</v>
      </c>
      <c r="R209" s="304">
        <f>$M209*'MWh Impact Summary'!J$28</f>
        <v>46094.558607231847</v>
      </c>
      <c r="S209" s="304">
        <f>$M209*'MWh Impact Summary'!K$28</f>
        <v>27781.869342715021</v>
      </c>
      <c r="T209" s="304">
        <f>$M209*'MWh Impact Summary'!L$28</f>
        <v>9926.9397048067713</v>
      </c>
      <c r="U209" s="304">
        <f>$M209*'MWh Impact Summary'!M$28</f>
        <v>30833.507467980115</v>
      </c>
      <c r="V209" s="304">
        <f>$L209*'LED Impact Forecast'!$H$29+$D209*'LED Impact Forecast'!$J$29</f>
        <v>161949.06517695967</v>
      </c>
      <c r="W209" s="304">
        <f>$L209*'CFL Impact Forecast'!$H$29+$D209*'CFL Impact Forecast'!$J$29</f>
        <v>342806.35975356755</v>
      </c>
      <c r="X209" s="304">
        <f>$L209*'EISA Incand Impact Forecast'!$G$29+$D209*'EISA Incand Impact Forecast'!$I$29</f>
        <v>118878.37690652076</v>
      </c>
      <c r="Y209" s="85">
        <f t="shared" si="90"/>
        <v>945119.64668093144</v>
      </c>
      <c r="Z209" s="81">
        <f t="shared" si="91"/>
        <v>1041669.071905633</v>
      </c>
      <c r="AA209" s="81"/>
      <c r="AB209" s="262">
        <f>+'MWh by mo-WgtbyActulCDH&amp;Days'!AB209</f>
        <v>5218681.4177877083</v>
      </c>
      <c r="AC209" s="308">
        <f t="shared" si="99"/>
        <v>199.60388238207784</v>
      </c>
      <c r="AD209" s="309">
        <f t="shared" si="92"/>
        <v>18.500731793210424</v>
      </c>
      <c r="AE209" s="107">
        <f t="shared" si="93"/>
        <v>1.3910324656549189E-3</v>
      </c>
      <c r="AF209" s="309">
        <f t="shared" si="100"/>
        <v>181.10315058886741</v>
      </c>
      <c r="AG209" s="107">
        <f t="shared" si="94"/>
        <v>1.3616778239764466E-2</v>
      </c>
      <c r="AH209" s="119">
        <f t="shared" si="101"/>
        <v>1.5007810705419386E-2</v>
      </c>
      <c r="AI209" s="122">
        <f t="shared" si="95"/>
        <v>1.5007810705419386E-2</v>
      </c>
      <c r="AJ209" s="87" t="b">
        <f t="shared" si="102"/>
        <v>1</v>
      </c>
      <c r="AK209" s="88">
        <f t="shared" si="83"/>
        <v>1.0293687745972831E-3</v>
      </c>
      <c r="AL209" s="312">
        <f>+AC209/'MWh by month-WgtbyCDH&amp;DayLtHrs'!AC209-1</f>
        <v>-7.773062798430086E-2</v>
      </c>
      <c r="AM209" s="89">
        <f t="shared" si="96"/>
        <v>342806.35975356755</v>
      </c>
      <c r="AN209" s="93"/>
      <c r="AO209" s="96">
        <f t="shared" si="87"/>
        <v>65.688309423357993</v>
      </c>
      <c r="AP209" s="92">
        <f t="shared" si="86"/>
        <v>4.9389706333351872E-3</v>
      </c>
      <c r="AR209" s="94">
        <f t="shared" si="97"/>
        <v>1.5007810705419386E-2</v>
      </c>
      <c r="AS209" s="95">
        <v>840001.90652615612</v>
      </c>
      <c r="AU209" s="141">
        <v>199.60388238207784</v>
      </c>
    </row>
    <row r="210" spans="1:47">
      <c r="A210" s="78">
        <v>2022</v>
      </c>
      <c r="B210" s="78">
        <v>2</v>
      </c>
      <c r="C210" s="317">
        <f t="shared" si="105"/>
        <v>35.042184420393127</v>
      </c>
      <c r="D210" s="324">
        <f t="shared" si="104"/>
        <v>1.7822245532205266E-2</v>
      </c>
      <c r="E210" s="321">
        <f>$D210*'MWh Impact Summary'!B$28</f>
        <v>62954.715021914322</v>
      </c>
      <c r="F210" s="319">
        <f>$D210*'MWh Impact Summary'!N$28</f>
        <v>8713.2378655288539</v>
      </c>
      <c r="G210" s="319">
        <f>$D210*'MWh Impact Summary'!C$28</f>
        <v>42348.010132209543</v>
      </c>
      <c r="H210" s="319">
        <f>$D210*'MWh Impact Summary'!D$28</f>
        <v>192.66848566872324</v>
      </c>
      <c r="I210" s="319">
        <f>$D210*'MWh Impact Summary'!E$28</f>
        <v>15356.137286167006</v>
      </c>
      <c r="J210" s="104">
        <f t="shared" si="98"/>
        <v>129564.76879148844</v>
      </c>
      <c r="K210" s="298">
        <f t="shared" ref="K210:K268" si="106">+K198</f>
        <v>12.733333333333333</v>
      </c>
      <c r="L210" s="300">
        <f t="shared" si="89"/>
        <v>8.9639798193124468E-2</v>
      </c>
      <c r="M210" s="297">
        <f>(28/365)</f>
        <v>7.6712328767123292E-2</v>
      </c>
      <c r="N210" s="304">
        <f>$L210*'MWh Impact Summary'!F$28</f>
        <v>165739.90583308769</v>
      </c>
      <c r="O210" s="304">
        <f>$L210*'MWh Impact Summary'!G$28</f>
        <v>20982.736816072647</v>
      </c>
      <c r="P210" s="304">
        <f>$M210*'MWh Impact Summary'!H$28</f>
        <v>9144.8453713611889</v>
      </c>
      <c r="Q210" s="304">
        <f>$M210*'MWh Impact Summary'!I$28</f>
        <v>1528.2855576201107</v>
      </c>
      <c r="R210" s="304">
        <f>$M210*'MWh Impact Summary'!J$28</f>
        <v>41633.794871048121</v>
      </c>
      <c r="S210" s="304">
        <f>$M210*'MWh Impact Summary'!K$28</f>
        <v>25093.301341807117</v>
      </c>
      <c r="T210" s="304">
        <f>$M210*'MWh Impact Summary'!L$28</f>
        <v>8966.2681204706332</v>
      </c>
      <c r="U210" s="304">
        <f>$M210*'MWh Impact Summary'!M$28</f>
        <v>27849.61964849817</v>
      </c>
      <c r="V210" s="304">
        <f>$L210*'LED Impact Forecast'!$H$29+$D210*'LED Impact Forecast'!$J$29</f>
        <v>156482.69386208939</v>
      </c>
      <c r="W210" s="304">
        <f>$L210*'CFL Impact Forecast'!$H$29+$D210*'CFL Impact Forecast'!$J$29</f>
        <v>331328.62124577083</v>
      </c>
      <c r="X210" s="304">
        <f>$L210*'EISA Incand Impact Forecast'!$G$29+$D210*'EISA Incand Impact Forecast'!$I$29</f>
        <v>114983.41945800981</v>
      </c>
      <c r="Y210" s="85">
        <f t="shared" si="90"/>
        <v>903733.49212583574</v>
      </c>
      <c r="Z210" s="81">
        <f t="shared" si="91"/>
        <v>1033298.2609173242</v>
      </c>
      <c r="AA210" s="81"/>
      <c r="AB210" s="262">
        <f>+'MWh by mo-WgtbyActulCDH&amp;Days'!AB210</f>
        <v>5223815.6567590404</v>
      </c>
      <c r="AC210" s="308">
        <f t="shared" si="99"/>
        <v>197.80526894748868</v>
      </c>
      <c r="AD210" s="309">
        <f t="shared" si="92"/>
        <v>24.802706930104996</v>
      </c>
      <c r="AE210" s="107">
        <f t="shared" si="93"/>
        <v>1.9478565651914921E-3</v>
      </c>
      <c r="AF210" s="309">
        <f t="shared" si="100"/>
        <v>173.0025620173837</v>
      </c>
      <c r="AG210" s="107">
        <f t="shared" si="94"/>
        <v>1.3586588640108668E-2</v>
      </c>
      <c r="AH210" s="119">
        <f t="shared" si="101"/>
        <v>1.553444520530016E-2</v>
      </c>
      <c r="AI210" s="122">
        <f t="shared" si="95"/>
        <v>1.553444520530016E-2</v>
      </c>
      <c r="AJ210" s="87" t="b">
        <f t="shared" si="102"/>
        <v>1</v>
      </c>
      <c r="AK210" s="88">
        <f t="shared" si="83"/>
        <v>1.0465795818511616E-3</v>
      </c>
      <c r="AL210" s="312">
        <f>+AC210/'MWh by month-WgtbyCDH&amp;DayLtHrs'!AC210-1</f>
        <v>-8.0495722498879596E-2</v>
      </c>
      <c r="AM210" s="89">
        <f t="shared" si="96"/>
        <v>331328.62124577083</v>
      </c>
      <c r="AN210" s="93"/>
      <c r="AO210" s="96">
        <f t="shared" si="87"/>
        <v>63.426553120623268</v>
      </c>
      <c r="AP210" s="92">
        <f t="shared" si="86"/>
        <v>4.9811429152321939E-3</v>
      </c>
      <c r="AR210" s="94">
        <f t="shared" si="97"/>
        <v>1.553444520530016E-2</v>
      </c>
      <c r="AS210" s="95">
        <v>775729.3207495173</v>
      </c>
      <c r="AU210" s="141">
        <v>197.80526894748868</v>
      </c>
    </row>
    <row r="211" spans="1:47">
      <c r="A211" s="78">
        <v>2022</v>
      </c>
      <c r="B211" s="78">
        <v>3</v>
      </c>
      <c r="C211" s="317">
        <f t="shared" si="105"/>
        <v>64.582270600115152</v>
      </c>
      <c r="D211" s="324">
        <f t="shared" si="104"/>
        <v>3.2846156787895278E-2</v>
      </c>
      <c r="E211" s="321">
        <f>$D211*'MWh Impact Summary'!B$28</f>
        <v>116024.68591348144</v>
      </c>
      <c r="F211" s="319">
        <f>$D211*'MWh Impact Summary'!N$28</f>
        <v>16058.379206156842</v>
      </c>
      <c r="G211" s="319">
        <f>$D211*'MWh Impact Summary'!C$28</f>
        <v>78046.808296093455</v>
      </c>
      <c r="H211" s="319">
        <f>$D211*'MWh Impact Summary'!D$28</f>
        <v>355.08540587243164</v>
      </c>
      <c r="I211" s="319">
        <f>$D211*'MWh Impact Summary'!E$28</f>
        <v>28301.152738943027</v>
      </c>
      <c r="J211" s="104">
        <f t="shared" si="98"/>
        <v>238786.1115605472</v>
      </c>
      <c r="K211" s="298">
        <f t="shared" si="106"/>
        <v>12</v>
      </c>
      <c r="L211" s="300">
        <f t="shared" si="89"/>
        <v>8.4477296726504739E-2</v>
      </c>
      <c r="M211" s="297">
        <f t="shared" ref="M211:M220" si="107">(31/365)</f>
        <v>8.4931506849315067E-2</v>
      </c>
      <c r="N211" s="304">
        <f>$L211*'MWh Impact Summary'!F$28</f>
        <v>156194.67565421879</v>
      </c>
      <c r="O211" s="304">
        <f>$L211*'MWh Impact Summary'!G$28</f>
        <v>19774.306947084173</v>
      </c>
      <c r="P211" s="304">
        <f>$M211*'MWh Impact Summary'!H$28</f>
        <v>10124.650232578459</v>
      </c>
      <c r="Q211" s="304">
        <f>$M211*'MWh Impact Summary'!I$28</f>
        <v>1692.030438793694</v>
      </c>
      <c r="R211" s="304">
        <f>$M211*'MWh Impact Summary'!J$28</f>
        <v>46094.558607231847</v>
      </c>
      <c r="S211" s="304">
        <f>$M211*'MWh Impact Summary'!K$28</f>
        <v>27781.869342715021</v>
      </c>
      <c r="T211" s="304">
        <f>$M211*'MWh Impact Summary'!L$28</f>
        <v>9926.9397048067713</v>
      </c>
      <c r="U211" s="304">
        <f>$M211*'MWh Impact Summary'!M$28</f>
        <v>30833.507467980115</v>
      </c>
      <c r="V211" s="304">
        <f>$L211*'LED Impact Forecast'!$H$29+$D211*'LED Impact Forecast'!$J$29</f>
        <v>151976.25583570634</v>
      </c>
      <c r="W211" s="304">
        <f>$L211*'CFL Impact Forecast'!$H$29+$D211*'CFL Impact Forecast'!$J$29</f>
        <v>322077.20626117726</v>
      </c>
      <c r="X211" s="304">
        <f>$L211*'EISA Incand Impact Forecast'!$G$29+$D211*'EISA Incand Impact Forecast'!$I$29</f>
        <v>112038.34535817795</v>
      </c>
      <c r="Y211" s="85">
        <f t="shared" si="90"/>
        <v>888514.34585047036</v>
      </c>
      <c r="Z211" s="81">
        <f t="shared" si="91"/>
        <v>1127300.4574110175</v>
      </c>
      <c r="AA211" s="81"/>
      <c r="AB211" s="262">
        <f>+'MWh by mo-WgtbyActulCDH&amp;Days'!AB211</f>
        <v>5229019.600151482</v>
      </c>
      <c r="AC211" s="308">
        <f t="shared" si="99"/>
        <v>215.58543352531325</v>
      </c>
      <c r="AD211" s="309">
        <f t="shared" si="92"/>
        <v>45.665560625098763</v>
      </c>
      <c r="AE211" s="107">
        <f t="shared" si="93"/>
        <v>3.8054633854248971E-3</v>
      </c>
      <c r="AF211" s="309">
        <f t="shared" si="100"/>
        <v>169.9198729002145</v>
      </c>
      <c r="AG211" s="107">
        <f t="shared" si="94"/>
        <v>1.4159989408351208E-2</v>
      </c>
      <c r="AH211" s="119">
        <f t="shared" si="101"/>
        <v>1.7965452793776107E-2</v>
      </c>
      <c r="AI211" s="122">
        <f t="shared" si="95"/>
        <v>1.7965452793776104E-2</v>
      </c>
      <c r="AJ211" s="87" t="b">
        <f t="shared" si="102"/>
        <v>1</v>
      </c>
      <c r="AK211" s="88">
        <f t="shared" si="83"/>
        <v>1.1513861996644073E-3</v>
      </c>
      <c r="AL211" s="312">
        <f>+AC211/'MWh by month-WgtbyCDH&amp;DayLtHrs'!AC211-1</f>
        <v>-4.6975098450288466E-2</v>
      </c>
      <c r="AM211" s="89">
        <f t="shared" si="96"/>
        <v>322077.20626117726</v>
      </c>
      <c r="AN211" s="93"/>
      <c r="AO211" s="96">
        <f t="shared" si="87"/>
        <v>61.594186078753047</v>
      </c>
      <c r="AP211" s="92">
        <f t="shared" si="86"/>
        <v>5.1328488398960873E-3</v>
      </c>
      <c r="AR211" s="94">
        <f t="shared" si="97"/>
        <v>1.7965452793776104E-2</v>
      </c>
      <c r="AS211" s="95">
        <v>922588.25556952658</v>
      </c>
      <c r="AU211" s="141">
        <v>215.58543352531325</v>
      </c>
    </row>
    <row r="212" spans="1:47">
      <c r="A212" s="78">
        <v>2022</v>
      </c>
      <c r="B212" s="78">
        <v>4</v>
      </c>
      <c r="C212" s="317">
        <f t="shared" si="105"/>
        <v>114.03392869270741</v>
      </c>
      <c r="D212" s="324">
        <f t="shared" si="104"/>
        <v>5.7996974497419709E-2</v>
      </c>
      <c r="E212" s="321">
        <f>$D212*'MWh Impact Summary'!B$28</f>
        <v>204866.60870093538</v>
      </c>
      <c r="F212" s="319">
        <f>$D212*'MWh Impact Summary'!N$28</f>
        <v>28354.532169577815</v>
      </c>
      <c r="G212" s="319">
        <f>$D212*'MWh Impact Summary'!C$28</f>
        <v>137808.47420242697</v>
      </c>
      <c r="H212" s="319">
        <f>$D212*'MWh Impact Summary'!D$28</f>
        <v>626.97987352903215</v>
      </c>
      <c r="I212" s="319">
        <f>$D212*'MWh Impact Summary'!E$28</f>
        <v>49971.789523118678</v>
      </c>
      <c r="J212" s="104">
        <f t="shared" si="98"/>
        <v>421628.38446958788</v>
      </c>
      <c r="K212" s="298">
        <f t="shared" si="106"/>
        <v>11.2</v>
      </c>
      <c r="L212" s="300">
        <f t="shared" si="89"/>
        <v>7.8845476944737758E-2</v>
      </c>
      <c r="M212" s="297">
        <f>(30/365)</f>
        <v>8.2191780821917804E-2</v>
      </c>
      <c r="N212" s="304">
        <f>$L212*'MWh Impact Summary'!F$28</f>
        <v>145781.69727727087</v>
      </c>
      <c r="O212" s="304">
        <f>$L212*'MWh Impact Summary'!G$28</f>
        <v>18456.01981727856</v>
      </c>
      <c r="P212" s="304">
        <f>$M212*'MWh Impact Summary'!H$28</f>
        <v>9798.0486121727008</v>
      </c>
      <c r="Q212" s="304">
        <f>$M212*'MWh Impact Summary'!I$28</f>
        <v>1637.4488117358328</v>
      </c>
      <c r="R212" s="304">
        <f>$M212*'MWh Impact Summary'!J$28</f>
        <v>44607.637361837267</v>
      </c>
      <c r="S212" s="304">
        <f>$M212*'MWh Impact Summary'!K$28</f>
        <v>26885.680009079049</v>
      </c>
      <c r="T212" s="304">
        <f>$M212*'MWh Impact Summary'!L$28</f>
        <v>9606.7158433613913</v>
      </c>
      <c r="U212" s="304">
        <f>$M212*'MWh Impact Summary'!M$28</f>
        <v>29838.878194819466</v>
      </c>
      <c r="V212" s="304">
        <f>$L212*'LED Impact Forecast'!$H$29+$D212*'LED Impact Forecast'!$J$29</f>
        <v>149519.56070144504</v>
      </c>
      <c r="W212" s="304">
        <f>$L212*'CFL Impact Forecast'!$H$29+$D212*'CFL Impact Forecast'!$J$29</f>
        <v>317350.66034740396</v>
      </c>
      <c r="X212" s="304">
        <f>$L212*'EISA Incand Impact Forecast'!$G$29+$D212*'EISA Incand Impact Forecast'!$I$29</f>
        <v>110832.63814368282</v>
      </c>
      <c r="Y212" s="85">
        <f t="shared" si="90"/>
        <v>864314.98512008693</v>
      </c>
      <c r="Z212" s="81">
        <f t="shared" si="91"/>
        <v>1285943.3695896748</v>
      </c>
      <c r="AA212" s="81"/>
      <c r="AB212" s="262">
        <f>+'MWh by mo-WgtbyActulCDH&amp;Days'!AB212</f>
        <v>5234136.2560332026</v>
      </c>
      <c r="AC212" s="308">
        <f t="shared" si="99"/>
        <v>245.68396898483749</v>
      </c>
      <c r="AD212" s="309">
        <f t="shared" si="92"/>
        <v>80.553574428558647</v>
      </c>
      <c r="AE212" s="107">
        <f t="shared" si="93"/>
        <v>7.1922834311213078E-3</v>
      </c>
      <c r="AF212" s="309">
        <f t="shared" si="100"/>
        <v>165.13039455627884</v>
      </c>
      <c r="AG212" s="107">
        <f t="shared" si="94"/>
        <v>1.4743785228239183E-2</v>
      </c>
      <c r="AH212" s="119">
        <f t="shared" si="101"/>
        <v>2.1936068659360493E-2</v>
      </c>
      <c r="AI212" s="122">
        <f t="shared" si="95"/>
        <v>2.1936068659360489E-2</v>
      </c>
      <c r="AJ212" s="87" t="b">
        <f t="shared" si="102"/>
        <v>1</v>
      </c>
      <c r="AK212" s="88">
        <f t="shared" si="83"/>
        <v>1.3098438281490578E-3</v>
      </c>
      <c r="AL212" s="312">
        <f>+AC212/'MWh by month-WgtbyCDH&amp;DayLtHrs'!AC212-1</f>
        <v>-1.9143229969764475E-2</v>
      </c>
      <c r="AM212" s="89">
        <f t="shared" si="96"/>
        <v>317350.66034740396</v>
      </c>
      <c r="AN212" s="93"/>
      <c r="AO212" s="96">
        <f t="shared" si="87"/>
        <v>60.630951282860686</v>
      </c>
      <c r="AP212" s="92">
        <f t="shared" si="86"/>
        <v>5.4134777931125616E-3</v>
      </c>
      <c r="AR212" s="94">
        <f t="shared" si="97"/>
        <v>2.1936068659360489E-2</v>
      </c>
      <c r="AS212" s="95">
        <v>1052631.7288214653</v>
      </c>
      <c r="AU212" s="141">
        <v>245.68396898483749</v>
      </c>
    </row>
    <row r="213" spans="1:47">
      <c r="A213" s="78">
        <v>2022</v>
      </c>
      <c r="B213" s="78">
        <v>5</v>
      </c>
      <c r="C213" s="317">
        <f t="shared" si="105"/>
        <v>208.47875842628665</v>
      </c>
      <c r="D213" s="324">
        <f t="shared" si="104"/>
        <v>0.10603105035770212</v>
      </c>
      <c r="E213" s="321">
        <f>$D213*'MWh Impact Summary'!B$28</f>
        <v>374540.60133338434</v>
      </c>
      <c r="F213" s="319">
        <f>$D213*'MWh Impact Summary'!N$28</f>
        <v>51838.235604433947</v>
      </c>
      <c r="G213" s="319">
        <f>$D213*'MWh Impact Summary'!C$28</f>
        <v>251943.78490425763</v>
      </c>
      <c r="H213" s="319">
        <f>$D213*'MWh Impact Summary'!D$28</f>
        <v>1146.2552162333948</v>
      </c>
      <c r="I213" s="319">
        <f>$D213*'MWh Impact Summary'!E$28</f>
        <v>91359.271363819527</v>
      </c>
      <c r="J213" s="104">
        <f t="shared" si="98"/>
        <v>770828.14842212875</v>
      </c>
      <c r="K213" s="298">
        <f t="shared" si="106"/>
        <v>10.533333333333333</v>
      </c>
      <c r="L213" s="300">
        <f t="shared" si="89"/>
        <v>7.4152293793265281E-2</v>
      </c>
      <c r="M213" s="297">
        <f t="shared" si="107"/>
        <v>8.4931506849315067E-2</v>
      </c>
      <c r="N213" s="304">
        <f>$L213*'MWh Impact Summary'!F$28</f>
        <v>137104.21529648095</v>
      </c>
      <c r="O213" s="304">
        <f>$L213*'MWh Impact Summary'!G$28</f>
        <v>17357.44720910722</v>
      </c>
      <c r="P213" s="304">
        <f>$M213*'MWh Impact Summary'!H$28</f>
        <v>10124.650232578459</v>
      </c>
      <c r="Q213" s="304">
        <f>$M213*'MWh Impact Summary'!I$28</f>
        <v>1692.030438793694</v>
      </c>
      <c r="R213" s="304">
        <f>$M213*'MWh Impact Summary'!J$28</f>
        <v>46094.558607231847</v>
      </c>
      <c r="S213" s="304">
        <f>$M213*'MWh Impact Summary'!K$28</f>
        <v>27781.869342715021</v>
      </c>
      <c r="T213" s="304">
        <f>$M213*'MWh Impact Summary'!L$28</f>
        <v>9926.9397048067713</v>
      </c>
      <c r="U213" s="304">
        <f>$M213*'MWh Impact Summary'!M$28</f>
        <v>30833.507467980115</v>
      </c>
      <c r="V213" s="304">
        <f>$L213*'LED Impact Forecast'!$H$29+$D213*'LED Impact Forecast'!$J$29</f>
        <v>155072.83861607147</v>
      </c>
      <c r="W213" s="304">
        <f>$L213*'CFL Impact Forecast'!$H$29+$D213*'CFL Impact Forecast'!$J$29</f>
        <v>329994.52895409986</v>
      </c>
      <c r="X213" s="304">
        <f>$L213*'EISA Incand Impact Forecast'!$G$29+$D213*'EISA Incand Impact Forecast'!$I$29</f>
        <v>116030.57380943152</v>
      </c>
      <c r="Y213" s="85">
        <f t="shared" si="90"/>
        <v>882013.15967929689</v>
      </c>
      <c r="Z213" s="81">
        <f t="shared" si="91"/>
        <v>1652841.3081014256</v>
      </c>
      <c r="AA213" s="81"/>
      <c r="AB213" s="262">
        <f>+'MWh by mo-WgtbyActulCDH&amp;Days'!AB213</f>
        <v>5239238.1846235972</v>
      </c>
      <c r="AC213" s="308">
        <f t="shared" si="99"/>
        <v>315.47359556056733</v>
      </c>
      <c r="AD213" s="309">
        <f t="shared" si="92"/>
        <v>147.12599833395578</v>
      </c>
      <c r="AE213" s="107">
        <f t="shared" si="93"/>
        <v>1.3967658069679346E-2</v>
      </c>
      <c r="AF213" s="309">
        <f t="shared" si="100"/>
        <v>168.34759722661155</v>
      </c>
      <c r="AG213" s="107">
        <f t="shared" si="94"/>
        <v>1.5982366825311223E-2</v>
      </c>
      <c r="AH213" s="119">
        <f t="shared" si="101"/>
        <v>2.995002489499057E-2</v>
      </c>
      <c r="AI213" s="122">
        <f t="shared" si="95"/>
        <v>2.995002489499057E-2</v>
      </c>
      <c r="AJ213" s="87" t="b">
        <f t="shared" si="102"/>
        <v>1</v>
      </c>
      <c r="AK213" s="88">
        <f t="shared" si="83"/>
        <v>1.6316163521356321E-3</v>
      </c>
      <c r="AL213" s="312">
        <f>+AC213/'MWh by month-WgtbyCDH&amp;DayLtHrs'!AC213-1</f>
        <v>2.363091445389065E-2</v>
      </c>
      <c r="AM213" s="89">
        <f t="shared" si="96"/>
        <v>329994.52895409986</v>
      </c>
      <c r="AN213" s="93"/>
      <c r="AO213" s="96">
        <f t="shared" si="87"/>
        <v>62.985212224667677</v>
      </c>
      <c r="AP213" s="92">
        <f t="shared" si="86"/>
        <v>5.9796087555064256E-3</v>
      </c>
      <c r="AR213" s="94">
        <f t="shared" si="97"/>
        <v>2.995002489499057E-2</v>
      </c>
      <c r="AS213" s="95">
        <v>1223803.9997503732</v>
      </c>
      <c r="AU213" s="141">
        <v>315.47359556056733</v>
      </c>
    </row>
    <row r="214" spans="1:47">
      <c r="A214" s="78">
        <v>2022</v>
      </c>
      <c r="B214" s="78">
        <v>6</v>
      </c>
      <c r="C214" s="317">
        <f t="shared" si="105"/>
        <v>271.66325293295364</v>
      </c>
      <c r="D214" s="324">
        <f t="shared" si="104"/>
        <v>0.13816630657965029</v>
      </c>
      <c r="E214" s="321">
        <f>$D214*'MWh Impact Summary'!B$28</f>
        <v>488054.12542624981</v>
      </c>
      <c r="F214" s="319">
        <f>$D214*'MWh Impact Summary'!N$28</f>
        <v>67549.05783643492</v>
      </c>
      <c r="G214" s="319">
        <f>$D214*'MWh Impact Summary'!C$28</f>
        <v>328301.39952858165</v>
      </c>
      <c r="H214" s="319">
        <f>$D214*'MWh Impact Summary'!D$28</f>
        <v>1493.6553876467588</v>
      </c>
      <c r="I214" s="319">
        <f>$D214*'MWh Impact Summary'!E$28</f>
        <v>119047.8926084696</v>
      </c>
      <c r="J214" s="104">
        <f t="shared" si="98"/>
        <v>1004446.1307873827</v>
      </c>
      <c r="K214" s="298">
        <f t="shared" si="106"/>
        <v>10.199999999999999</v>
      </c>
      <c r="L214" s="300">
        <f t="shared" si="89"/>
        <v>7.1805702217529022E-2</v>
      </c>
      <c r="M214" s="297">
        <f>(30/365)</f>
        <v>8.2191780821917804E-2</v>
      </c>
      <c r="N214" s="304">
        <f>$L214*'MWh Impact Summary'!F$28</f>
        <v>132765.47430608596</v>
      </c>
      <c r="O214" s="304">
        <f>$L214*'MWh Impact Summary'!G$28</f>
        <v>16808.160905021545</v>
      </c>
      <c r="P214" s="304">
        <f>$M214*'MWh Impact Summary'!H$28</f>
        <v>9798.0486121727008</v>
      </c>
      <c r="Q214" s="304">
        <f>$M214*'MWh Impact Summary'!I$28</f>
        <v>1637.4488117358328</v>
      </c>
      <c r="R214" s="304">
        <f>$M214*'MWh Impact Summary'!J$28</f>
        <v>44607.637361837267</v>
      </c>
      <c r="S214" s="304">
        <f>$M214*'MWh Impact Summary'!K$28</f>
        <v>26885.680009079049</v>
      </c>
      <c r="T214" s="304">
        <f>$M214*'MWh Impact Summary'!L$28</f>
        <v>9606.7158433613913</v>
      </c>
      <c r="U214" s="304">
        <f>$M214*'MWh Impact Summary'!M$28</f>
        <v>29838.878194819466</v>
      </c>
      <c r="V214" s="304">
        <f>$L214*'LED Impact Forecast'!$H$29+$D214*'LED Impact Forecast'!$J$29</f>
        <v>160128.42762240063</v>
      </c>
      <c r="W214" s="304">
        <f>$L214*'CFL Impact Forecast'!$H$29+$D214*'CFL Impact Forecast'!$J$29</f>
        <v>341288.62667399872</v>
      </c>
      <c r="X214" s="304">
        <f>$L214*'EISA Incand Impact Forecast'!$G$29+$D214*'EISA Incand Impact Forecast'!$I$29</f>
        <v>120489.36403927245</v>
      </c>
      <c r="Y214" s="85">
        <f t="shared" si="90"/>
        <v>893854.46237978502</v>
      </c>
      <c r="Z214" s="81">
        <f t="shared" si="91"/>
        <v>1898300.5931671676</v>
      </c>
      <c r="AA214" s="81"/>
      <c r="AB214" s="262">
        <f>+'MWh by mo-WgtbyActulCDH&amp;Days'!AB214</f>
        <v>5244340.260228348</v>
      </c>
      <c r="AC214" s="308">
        <f t="shared" si="99"/>
        <v>361.97128694401539</v>
      </c>
      <c r="AD214" s="309">
        <f t="shared" si="92"/>
        <v>191.52955013327974</v>
      </c>
      <c r="AE214" s="107">
        <f t="shared" si="93"/>
        <v>1.8777406875811743E-2</v>
      </c>
      <c r="AF214" s="309">
        <f t="shared" si="100"/>
        <v>170.44173681073568</v>
      </c>
      <c r="AG214" s="107">
        <f t="shared" si="94"/>
        <v>1.6709974197130949E-2</v>
      </c>
      <c r="AH214" s="119">
        <f t="shared" si="101"/>
        <v>3.5487381072942692E-2</v>
      </c>
      <c r="AI214" s="122">
        <f t="shared" si="95"/>
        <v>3.5487381072942692E-2</v>
      </c>
      <c r="AJ214" s="87" t="b">
        <f t="shared" si="102"/>
        <v>1</v>
      </c>
      <c r="AK214" s="88">
        <f t="shared" ref="AK214:AK268" si="108">AI214-AI202</f>
        <v>1.8492944452052004E-3</v>
      </c>
      <c r="AL214" s="312">
        <f>+AC214/'MWh by month-WgtbyCDH&amp;DayLtHrs'!AC214-1</f>
        <v>3.9865637437924706E-2</v>
      </c>
      <c r="AM214" s="89">
        <f t="shared" si="96"/>
        <v>341288.62667399872</v>
      </c>
      <c r="AN214" s="93"/>
      <c r="AO214" s="96">
        <f t="shared" si="87"/>
        <v>65.077513993941039</v>
      </c>
      <c r="AP214" s="92">
        <f t="shared" si="86"/>
        <v>6.3801484307785339E-3</v>
      </c>
      <c r="AR214" s="94">
        <f t="shared" si="97"/>
        <v>3.5487381072942692E-2</v>
      </c>
      <c r="AS214" s="95">
        <v>1461578.3906399433</v>
      </c>
      <c r="AU214" s="141">
        <v>361.97128694401539</v>
      </c>
    </row>
    <row r="215" spans="1:47">
      <c r="A215" s="78">
        <v>2022</v>
      </c>
      <c r="B215" s="78">
        <v>7</v>
      </c>
      <c r="C215" s="317">
        <f t="shared" si="105"/>
        <v>322.31916585708109</v>
      </c>
      <c r="D215" s="324">
        <f t="shared" si="104"/>
        <v>0.16392960109808263</v>
      </c>
      <c r="E215" s="321">
        <f>$D215*'MWh Impact Summary'!B$28</f>
        <v>579059.54118616076</v>
      </c>
      <c r="F215" s="319">
        <f>$D215*'MWh Impact Summary'!N$28</f>
        <v>80144.648719364472</v>
      </c>
      <c r="G215" s="319">
        <f>$D215*'MWh Impact Summary'!C$28</f>
        <v>389518.39125581167</v>
      </c>
      <c r="H215" s="319">
        <f>$D215*'MWh Impact Summary'!D$28</f>
        <v>1772.1710736602865</v>
      </c>
      <c r="I215" s="319">
        <f>$D215*'MWh Impact Summary'!E$28</f>
        <v>141246.25626887911</v>
      </c>
      <c r="J215" s="104">
        <f t="shared" si="98"/>
        <v>1191741.0085038764</v>
      </c>
      <c r="K215" s="298">
        <f t="shared" si="106"/>
        <v>10.366666666666667</v>
      </c>
      <c r="L215" s="300">
        <f t="shared" si="89"/>
        <v>7.2978998005397158E-2</v>
      </c>
      <c r="M215" s="297">
        <f t="shared" si="107"/>
        <v>8.4931506849315067E-2</v>
      </c>
      <c r="N215" s="304">
        <f>$L215*'MWh Impact Summary'!F$28</f>
        <v>134934.84480128347</v>
      </c>
      <c r="O215" s="304">
        <f>$L215*'MWh Impact Summary'!G$28</f>
        <v>17082.804057064383</v>
      </c>
      <c r="P215" s="304">
        <f>$M215*'MWh Impact Summary'!H$28</f>
        <v>10124.650232578459</v>
      </c>
      <c r="Q215" s="304">
        <f>$M215*'MWh Impact Summary'!I$28</f>
        <v>1692.030438793694</v>
      </c>
      <c r="R215" s="304">
        <f>$M215*'MWh Impact Summary'!J$28</f>
        <v>46094.558607231847</v>
      </c>
      <c r="S215" s="304">
        <f>$M215*'MWh Impact Summary'!K$28</f>
        <v>27781.869342715021</v>
      </c>
      <c r="T215" s="304">
        <f>$M215*'MWh Impact Summary'!L$28</f>
        <v>9926.9397048067713</v>
      </c>
      <c r="U215" s="304">
        <f>$M215*'MWh Impact Summary'!M$28</f>
        <v>30833.507467980115</v>
      </c>
      <c r="V215" s="304">
        <f>$L215*'LED Impact Forecast'!$H$29+$D215*'LED Impact Forecast'!$J$29</f>
        <v>169343.42935235539</v>
      </c>
      <c r="W215" s="304">
        <f>$L215*'CFL Impact Forecast'!$H$29+$D215*'CFL Impact Forecast'!$J$29</f>
        <v>361261.75402788894</v>
      </c>
      <c r="X215" s="304">
        <f>$L215*'EISA Incand Impact Forecast'!$G$29+$D215*'EISA Incand Impact Forecast'!$I$29</f>
        <v>127843.11685109138</v>
      </c>
      <c r="Y215" s="85">
        <f t="shared" si="90"/>
        <v>936919.50488378946</v>
      </c>
      <c r="Z215" s="81">
        <f t="shared" si="91"/>
        <v>2128660.5133876661</v>
      </c>
      <c r="AA215" s="81"/>
      <c r="AB215" s="262">
        <f>+'MWh by mo-WgtbyActulCDH&amp;Days'!AB215</f>
        <v>5249596.8518007202</v>
      </c>
      <c r="AC215" s="308">
        <f t="shared" si="99"/>
        <v>405.49028306002037</v>
      </c>
      <c r="AD215" s="309">
        <f t="shared" si="92"/>
        <v>227.01571990144055</v>
      </c>
      <c r="AE215" s="107">
        <f t="shared" si="93"/>
        <v>2.1898622498531244E-2</v>
      </c>
      <c r="AF215" s="309">
        <f t="shared" si="100"/>
        <v>178.47456315857983</v>
      </c>
      <c r="AG215" s="107">
        <f t="shared" si="94"/>
        <v>1.7216195803078437E-2</v>
      </c>
      <c r="AH215" s="119">
        <f t="shared" si="101"/>
        <v>3.9114818301609677E-2</v>
      </c>
      <c r="AI215" s="122">
        <f t="shared" si="95"/>
        <v>3.9114818301609684E-2</v>
      </c>
      <c r="AJ215" s="87" t="b">
        <f t="shared" si="102"/>
        <v>1</v>
      </c>
      <c r="AK215" s="88">
        <f t="shared" si="108"/>
        <v>1.9933778449679126E-3</v>
      </c>
      <c r="AL215" s="312">
        <f>+AC215/'MWh by month-WgtbyCDH&amp;DayLtHrs'!AC215-1</f>
        <v>5.1601294213097892E-2</v>
      </c>
      <c r="AM215" s="89">
        <f t="shared" si="96"/>
        <v>361261.75402788894</v>
      </c>
      <c r="AN215" s="93"/>
      <c r="AO215" s="96">
        <f t="shared" si="87"/>
        <v>68.817047142195065</v>
      </c>
      <c r="AP215" s="92">
        <f t="shared" si="86"/>
        <v>6.6383003674143149E-3</v>
      </c>
      <c r="AR215" s="94">
        <f t="shared" si="97"/>
        <v>3.9114818301609684E-2</v>
      </c>
      <c r="AS215" s="95">
        <v>1522372.7740701623</v>
      </c>
      <c r="AU215" s="141">
        <v>405.49028306002037</v>
      </c>
    </row>
    <row r="216" spans="1:47">
      <c r="A216" s="78">
        <v>2022</v>
      </c>
      <c r="B216" s="78">
        <v>8</v>
      </c>
      <c r="C216" s="317">
        <f t="shared" si="105"/>
        <v>326.45437890907908</v>
      </c>
      <c r="D216" s="324">
        <f t="shared" si="104"/>
        <v>0.16603274573816959</v>
      </c>
      <c r="E216" s="321">
        <f>$D216*'MWh Impact Summary'!B$28</f>
        <v>586488.62026754173</v>
      </c>
      <c r="F216" s="319">
        <f>$D216*'MWh Impact Summary'!N$28</f>
        <v>81172.869292444084</v>
      </c>
      <c r="G216" s="319">
        <f>$D216*'MWh Impact Summary'!C$28</f>
        <v>394515.74079669663</v>
      </c>
      <c r="H216" s="319">
        <f>$D216*'MWh Impact Summary'!D$28</f>
        <v>1794.9072486397874</v>
      </c>
      <c r="I216" s="319">
        <f>$D216*'MWh Impact Summary'!E$28</f>
        <v>143058.38357727474</v>
      </c>
      <c r="J216" s="104">
        <f t="shared" si="98"/>
        <v>1207030.5211825971</v>
      </c>
      <c r="K216" s="298">
        <f t="shared" si="106"/>
        <v>10.933333333333334</v>
      </c>
      <c r="L216" s="300">
        <f t="shared" si="89"/>
        <v>7.6968203684148764E-2</v>
      </c>
      <c r="M216" s="297">
        <f t="shared" si="107"/>
        <v>8.4931506849315067E-2</v>
      </c>
      <c r="N216" s="304">
        <f>$L216*'MWh Impact Summary'!F$28</f>
        <v>142310.70448495488</v>
      </c>
      <c r="O216" s="304">
        <f>$L216*'MWh Impact Summary'!G$28</f>
        <v>18016.590774010023</v>
      </c>
      <c r="P216" s="304">
        <f>$M216*'MWh Impact Summary'!H$28</f>
        <v>10124.650232578459</v>
      </c>
      <c r="Q216" s="304">
        <f>$M216*'MWh Impact Summary'!I$28</f>
        <v>1692.030438793694</v>
      </c>
      <c r="R216" s="304">
        <f>$M216*'MWh Impact Summary'!J$28</f>
        <v>46094.558607231847</v>
      </c>
      <c r="S216" s="304">
        <f>$M216*'MWh Impact Summary'!K$28</f>
        <v>27781.869342715021</v>
      </c>
      <c r="T216" s="304">
        <f>$M216*'MWh Impact Summary'!L$28</f>
        <v>9926.9397048067713</v>
      </c>
      <c r="U216" s="304">
        <f>$M216*'MWh Impact Summary'!M$28</f>
        <v>30833.507467980115</v>
      </c>
      <c r="V216" s="304">
        <f>$L216*'LED Impact Forecast'!$H$29+$D216*'LED Impact Forecast'!$J$29</f>
        <v>176675.06494687634</v>
      </c>
      <c r="W216" s="304">
        <f>$L216*'CFL Impact Forecast'!$H$29+$D216*'CFL Impact Forecast'!$J$29</f>
        <v>376809.08538063761</v>
      </c>
      <c r="X216" s="304">
        <f>$L216*'EISA Incand Impact Forecast'!$G$29+$D216*'EISA Incand Impact Forecast'!$I$29</f>
        <v>133260.29295685372</v>
      </c>
      <c r="Y216" s="85">
        <f t="shared" si="90"/>
        <v>973525.29433743842</v>
      </c>
      <c r="Z216" s="81">
        <f t="shared" si="91"/>
        <v>2180555.8155200356</v>
      </c>
      <c r="AA216" s="81"/>
      <c r="AB216" s="262">
        <f>+'MWh by mo-WgtbyActulCDH&amp;Days'!AB216</f>
        <v>5254931.9503803095</v>
      </c>
      <c r="AC216" s="308">
        <f t="shared" si="99"/>
        <v>414.95414899944132</v>
      </c>
      <c r="AD216" s="309">
        <f t="shared" si="92"/>
        <v>229.69479578041768</v>
      </c>
      <c r="AE216" s="107">
        <f t="shared" si="93"/>
        <v>2.1008670345769909E-2</v>
      </c>
      <c r="AF216" s="309">
        <f t="shared" si="100"/>
        <v>185.25935321902361</v>
      </c>
      <c r="AG216" s="107">
        <f t="shared" si="94"/>
        <v>1.6944453038325327E-2</v>
      </c>
      <c r="AH216" s="119">
        <f t="shared" si="101"/>
        <v>3.7953123384095233E-2</v>
      </c>
      <c r="AI216" s="122">
        <f t="shared" si="95"/>
        <v>3.795312338409524E-2</v>
      </c>
      <c r="AJ216" s="87" t="b">
        <f t="shared" si="102"/>
        <v>1</v>
      </c>
      <c r="AK216" s="88">
        <f t="shared" si="108"/>
        <v>1.944016489668042E-3</v>
      </c>
      <c r="AL216" s="312">
        <f>+AC216/'MWh by month-WgtbyCDH&amp;DayLtHrs'!AC216-1</f>
        <v>4.9241687990246197E-2</v>
      </c>
      <c r="AM216" s="89">
        <f t="shared" si="96"/>
        <v>376809.08538063761</v>
      </c>
      <c r="AN216" s="93"/>
      <c r="AO216" s="96">
        <f t="shared" si="87"/>
        <v>71.705797323097059</v>
      </c>
      <c r="AP216" s="92">
        <f t="shared" si="86"/>
        <v>6.5584570722344868E-3</v>
      </c>
      <c r="AR216" s="94">
        <f t="shared" si="97"/>
        <v>3.795312338409524E-2</v>
      </c>
      <c r="AS216" s="95">
        <v>1581642.9044645752</v>
      </c>
      <c r="AU216" s="141">
        <v>414.95414899944132</v>
      </c>
    </row>
    <row r="217" spans="1:47">
      <c r="A217" s="78">
        <v>2022</v>
      </c>
      <c r="B217" s="78">
        <v>9</v>
      </c>
      <c r="C217" s="317">
        <f t="shared" si="105"/>
        <v>277.87653293728147</v>
      </c>
      <c r="D217" s="324">
        <f>D205</f>
        <v>0.14132634365008559</v>
      </c>
      <c r="E217" s="321">
        <f>$D217*'MWh Impact Summary'!B$28</f>
        <v>499216.53663130535</v>
      </c>
      <c r="F217" s="319">
        <f>$D217*'MWh Impact Summary'!N$28</f>
        <v>69093.989680676255</v>
      </c>
      <c r="G217" s="319">
        <f>$D217*'MWh Impact Summary'!C$28</f>
        <v>335810.06512490811</v>
      </c>
      <c r="H217" s="319">
        <f>$D217*'MWh Impact Summary'!D$28</f>
        <v>1527.8171634969237</v>
      </c>
      <c r="I217" s="319">
        <f>$D217*'MWh Impact Summary'!E$28</f>
        <v>121770.66752453131</v>
      </c>
      <c r="J217" s="104">
        <f t="shared" si="98"/>
        <v>1027419.0761249179</v>
      </c>
      <c r="K217" s="298">
        <f t="shared" si="106"/>
        <v>11.683333333333334</v>
      </c>
      <c r="L217" s="300">
        <f>L205</f>
        <v>8.2248034729555317E-2</v>
      </c>
      <c r="M217" s="297">
        <f>(30/365)</f>
        <v>8.2191780821917804E-2</v>
      </c>
      <c r="N217" s="304">
        <f>$L217*'MWh Impact Summary'!F$28</f>
        <v>152072.87171334357</v>
      </c>
      <c r="O217" s="304">
        <f>$L217*'MWh Impact Summary'!G$28</f>
        <v>19252.484958202785</v>
      </c>
      <c r="P217" s="304">
        <f>$M217*'MWh Impact Summary'!H$28</f>
        <v>9798.0486121727008</v>
      </c>
      <c r="Q217" s="304">
        <f>$M217*'MWh Impact Summary'!I$28</f>
        <v>1637.4488117358328</v>
      </c>
      <c r="R217" s="304">
        <f>$M217*'MWh Impact Summary'!J$28</f>
        <v>44607.637361837267</v>
      </c>
      <c r="S217" s="304">
        <f>$M217*'MWh Impact Summary'!K$28</f>
        <v>26885.680009079049</v>
      </c>
      <c r="T217" s="304">
        <f>$M217*'MWh Impact Summary'!L$28</f>
        <v>9606.7158433613913</v>
      </c>
      <c r="U217" s="304">
        <f>$M217*'MWh Impact Summary'!M$28</f>
        <v>29838.878194819466</v>
      </c>
      <c r="V217" s="304">
        <f>$L217*'LED Impact Forecast'!$H$29+$D217*'LED Impact Forecast'!$J$29</f>
        <v>178661.70136260666</v>
      </c>
      <c r="W217" s="304">
        <f>$L217*'CFL Impact Forecast'!$H$29+$D217*'CFL Impact Forecast'!$J$29</f>
        <v>380549.65606955433</v>
      </c>
      <c r="X217" s="304">
        <f>$L217*'EISA Incand Impact Forecast'!$G$29+$D217*'EISA Incand Impact Forecast'!$I$29</f>
        <v>134132.33934776529</v>
      </c>
      <c r="Y217" s="85">
        <f t="shared" si="90"/>
        <v>987043.46228447836</v>
      </c>
      <c r="Z217" s="81">
        <f t="shared" si="91"/>
        <v>2014462.5384093963</v>
      </c>
      <c r="AA217" s="81"/>
      <c r="AB217" s="262">
        <f>+'MWh by mo-WgtbyActulCDH&amp;Days'!AB217</f>
        <v>5259983.1400663005</v>
      </c>
      <c r="AC217" s="308">
        <f t="shared" si="99"/>
        <v>382.97889646543712</v>
      </c>
      <c r="AD217" s="309">
        <f t="shared" si="92"/>
        <v>195.32744664120113</v>
      </c>
      <c r="AE217" s="107">
        <f t="shared" si="93"/>
        <v>1.6718469042042893E-2</v>
      </c>
      <c r="AF217" s="309">
        <f t="shared" si="100"/>
        <v>187.65144982423593</v>
      </c>
      <c r="AG217" s="107">
        <f t="shared" si="94"/>
        <v>1.6061465034884672E-2</v>
      </c>
      <c r="AH217" s="119">
        <f t="shared" si="101"/>
        <v>3.2779934076927565E-2</v>
      </c>
      <c r="AI217" s="122">
        <f t="shared" si="95"/>
        <v>3.2779934076927565E-2</v>
      </c>
      <c r="AJ217" s="87" t="b">
        <f t="shared" si="102"/>
        <v>1</v>
      </c>
      <c r="AK217" s="88">
        <f t="shared" si="108"/>
        <v>1.732806948336791E-3</v>
      </c>
      <c r="AL217" s="312">
        <f>+AC217/'MWh by month-WgtbyCDH&amp;DayLtHrs'!AC217-1</f>
        <v>3.3132087172882851E-2</v>
      </c>
      <c r="AM217" s="89">
        <f t="shared" si="96"/>
        <v>380549.65606955433</v>
      </c>
      <c r="AN217" s="93"/>
      <c r="AO217" s="96">
        <f t="shared" si="87"/>
        <v>72.348075257282602</v>
      </c>
      <c r="AP217" s="92">
        <f t="shared" si="86"/>
        <v>6.1924172830769694E-3</v>
      </c>
      <c r="AR217" s="94">
        <f t="shared" si="97"/>
        <v>3.2779934076927565E-2</v>
      </c>
      <c r="AS217" s="95">
        <v>1503847.2272812007</v>
      </c>
      <c r="AU217" s="141">
        <v>382.97889646543712</v>
      </c>
    </row>
    <row r="218" spans="1:47">
      <c r="A218" s="78">
        <v>2022</v>
      </c>
      <c r="B218" s="78">
        <v>10</v>
      </c>
      <c r="C218" s="317">
        <f t="shared" si="105"/>
        <v>198.89039579254836</v>
      </c>
      <c r="D218" s="324">
        <f>D206</f>
        <v>0.10115446643644242</v>
      </c>
      <c r="E218" s="321">
        <f>$D218*'MWh Impact Summary'!B$28</f>
        <v>357314.71638591297</v>
      </c>
      <c r="F218" s="319">
        <f>$D218*'MWh Impact Summary'!N$28</f>
        <v>49454.089588693838</v>
      </c>
      <c r="G218" s="319">
        <f>$D218*'MWh Impact Summary'!C$28</f>
        <v>240356.37719320907</v>
      </c>
      <c r="H218" s="319">
        <f>$D218*'MWh Impact Summary'!D$28</f>
        <v>1093.5366046730428</v>
      </c>
      <c r="I218" s="319">
        <f>$D218*'MWh Impact Summary'!E$28</f>
        <v>87157.472435224438</v>
      </c>
      <c r="J218" s="104">
        <f t="shared" si="98"/>
        <v>735376.19220771338</v>
      </c>
      <c r="K218" s="298">
        <f t="shared" si="106"/>
        <v>12.466666666666667</v>
      </c>
      <c r="L218" s="300">
        <f>L206</f>
        <v>8.7762524932535488E-2</v>
      </c>
      <c r="M218" s="297">
        <f t="shared" si="107"/>
        <v>8.4931506849315067E-2</v>
      </c>
      <c r="N218" s="304">
        <f>$L218*'MWh Impact Summary'!F$28</f>
        <v>162268.91304077176</v>
      </c>
      <c r="O218" s="304">
        <f>$L218*'MWh Impact Summary'!G$28</f>
        <v>20543.307772804113</v>
      </c>
      <c r="P218" s="304">
        <f>$M218*'MWh Impact Summary'!H$28</f>
        <v>10124.650232578459</v>
      </c>
      <c r="Q218" s="304">
        <f>$M218*'MWh Impact Summary'!I$28</f>
        <v>1692.030438793694</v>
      </c>
      <c r="R218" s="304">
        <f>$M218*'MWh Impact Summary'!J$28</f>
        <v>46094.558607231847</v>
      </c>
      <c r="S218" s="304">
        <f>$M218*'MWh Impact Summary'!K$28</f>
        <v>27781.869342715021</v>
      </c>
      <c r="T218" s="304">
        <f>$M218*'MWh Impact Summary'!L$28</f>
        <v>9926.9397048067713</v>
      </c>
      <c r="U218" s="304">
        <f>$M218*'MWh Impact Summary'!M$28</f>
        <v>30833.507467980115</v>
      </c>
      <c r="V218" s="304">
        <f>$L218*'LED Impact Forecast'!$H$29+$D218*'LED Impact Forecast'!$J$29</f>
        <v>176703.40586288713</v>
      </c>
      <c r="W218" s="304">
        <f>$L218*'CFL Impact Forecast'!$H$29+$D218*'CFL Impact Forecast'!$J$29</f>
        <v>375656.86810110335</v>
      </c>
      <c r="X218" s="304">
        <f>$L218*'EISA Incand Impact Forecast'!$G$29+$D218*'EISA Incand Impact Forecast'!$I$29</f>
        <v>131751.67776951162</v>
      </c>
      <c r="Y218" s="85">
        <f t="shared" si="90"/>
        <v>993377.72834118386</v>
      </c>
      <c r="Z218" s="81">
        <f t="shared" si="91"/>
        <v>1728753.9205488972</v>
      </c>
      <c r="AA218" s="81"/>
      <c r="AB218" s="262">
        <f>+'MWh by mo-WgtbyActulCDH&amp;Days'!AB218</f>
        <v>5265129.0517696831</v>
      </c>
      <c r="AC218" s="308">
        <f t="shared" si="99"/>
        <v>328.34027495828218</v>
      </c>
      <c r="AD218" s="309">
        <f t="shared" si="92"/>
        <v>139.66916764567114</v>
      </c>
      <c r="AE218" s="107">
        <f t="shared" si="93"/>
        <v>1.1203409169438861E-2</v>
      </c>
      <c r="AF218" s="309">
        <f t="shared" si="100"/>
        <v>188.67110731261104</v>
      </c>
      <c r="AG218" s="107">
        <f t="shared" si="94"/>
        <v>1.5134046041118532E-2</v>
      </c>
      <c r="AH218" s="119">
        <f t="shared" si="101"/>
        <v>2.6337455210557394E-2</v>
      </c>
      <c r="AI218" s="122">
        <f t="shared" si="95"/>
        <v>2.6337455210557394E-2</v>
      </c>
      <c r="AJ218" s="87" t="b">
        <f t="shared" si="102"/>
        <v>1</v>
      </c>
      <c r="AK218" s="88">
        <f t="shared" si="108"/>
        <v>1.476320625761661E-3</v>
      </c>
      <c r="AL218" s="312">
        <f>+AC218/'MWh by month-WgtbyCDH&amp;DayLtHrs'!AC218-1</f>
        <v>1.0172728357439764E-2</v>
      </c>
      <c r="AM218" s="89">
        <f t="shared" si="96"/>
        <v>375656.86810110335</v>
      </c>
      <c r="AN218" s="93"/>
      <c r="AO218" s="96">
        <f t="shared" si="87"/>
        <v>71.348083666598797</v>
      </c>
      <c r="AP218" s="92">
        <f t="shared" si="86"/>
        <v>5.7231083155025765E-3</v>
      </c>
      <c r="AR218" s="94">
        <f t="shared" si="97"/>
        <v>2.6337455210557394E-2</v>
      </c>
      <c r="AS218" s="95">
        <v>1240064.5715416537</v>
      </c>
      <c r="AU218" s="141">
        <v>328.34027495828218</v>
      </c>
    </row>
    <row r="219" spans="1:47">
      <c r="A219" s="78">
        <v>2022</v>
      </c>
      <c r="B219" s="78">
        <v>11</v>
      </c>
      <c r="C219" s="317">
        <f t="shared" si="105"/>
        <v>78.117279066674627</v>
      </c>
      <c r="D219" s="324">
        <f>D207</f>
        <v>3.9729981188725644E-2</v>
      </c>
      <c r="E219" s="321">
        <f>$D219*'MWh Impact Summary'!B$28</f>
        <v>140340.88123421508</v>
      </c>
      <c r="F219" s="319">
        <f>$D219*'MWh Impact Summary'!N$28</f>
        <v>19423.858562873171</v>
      </c>
      <c r="G219" s="319">
        <f>$D219*'MWh Impact Summary'!C$28</f>
        <v>94403.684591391837</v>
      </c>
      <c r="H219" s="319">
        <f>$D219*'MWh Impact Summary'!D$28</f>
        <v>429.50341456391448</v>
      </c>
      <c r="I219" s="319">
        <f>$D219*'MWh Impact Summary'!E$28</f>
        <v>34232.445311587624</v>
      </c>
      <c r="J219" s="104">
        <f t="shared" si="98"/>
        <v>288830.37311463163</v>
      </c>
      <c r="K219" s="298">
        <f t="shared" si="106"/>
        <v>13.15</v>
      </c>
      <c r="L219" s="300">
        <f>L207</f>
        <v>9.2573037662794788E-2</v>
      </c>
      <c r="M219" s="297">
        <f>(30/365)</f>
        <v>8.2191780821917804E-2</v>
      </c>
      <c r="N219" s="304">
        <f>$L219*'MWh Impact Summary'!F$28</f>
        <v>171163.33207108144</v>
      </c>
      <c r="O219" s="304">
        <f>$L219*'MWh Impact Summary'!G$28</f>
        <v>21669.344696179742</v>
      </c>
      <c r="P219" s="304">
        <f>$M219*'MWh Impact Summary'!H$28</f>
        <v>9798.0486121727008</v>
      </c>
      <c r="Q219" s="304">
        <f>$M219*'MWh Impact Summary'!I$28</f>
        <v>1637.4488117358328</v>
      </c>
      <c r="R219" s="304">
        <f>$M219*'MWh Impact Summary'!J$28</f>
        <v>44607.637361837267</v>
      </c>
      <c r="S219" s="304">
        <f>$M219*'MWh Impact Summary'!K$28</f>
        <v>26885.680009079049</v>
      </c>
      <c r="T219" s="304">
        <f>$M219*'MWh Impact Summary'!L$28</f>
        <v>9606.7158433613913</v>
      </c>
      <c r="U219" s="304">
        <f>$M219*'MWh Impact Summary'!M$28</f>
        <v>29838.878194819466</v>
      </c>
      <c r="V219" s="304">
        <f>$L219*'LED Impact Forecast'!$H$29+$D219*'LED Impact Forecast'!$J$29</f>
        <v>167589.43770059207</v>
      </c>
      <c r="W219" s="304">
        <f>$L219*'CFL Impact Forecast'!$H$29+$D219*'CFL Impact Forecast'!$J$29</f>
        <v>355231.16711634217</v>
      </c>
      <c r="X219" s="304">
        <f>$L219*'EISA Incand Impact Forecast'!$G$29+$D219*'EISA Incand Impact Forecast'!$I$29</f>
        <v>123631.25830399671</v>
      </c>
      <c r="Y219" s="85">
        <f t="shared" si="90"/>
        <v>961658.94872119802</v>
      </c>
      <c r="Z219" s="81">
        <f t="shared" si="91"/>
        <v>1250489.3218358296</v>
      </c>
      <c r="AA219" s="81"/>
      <c r="AB219" s="262">
        <f>+'MWh by mo-WgtbyActulCDH&amp;Days'!AB219</f>
        <v>5270297.39460182</v>
      </c>
      <c r="AC219" s="308">
        <f t="shared" si="99"/>
        <v>237.27111170551058</v>
      </c>
      <c r="AD219" s="309">
        <f t="shared" si="92"/>
        <v>54.803429766690286</v>
      </c>
      <c r="AE219" s="107">
        <f t="shared" si="93"/>
        <v>4.167561198987855E-3</v>
      </c>
      <c r="AF219" s="309">
        <f t="shared" si="100"/>
        <v>182.46768193882025</v>
      </c>
      <c r="AG219" s="107">
        <f t="shared" si="94"/>
        <v>1.3875869348959714E-2</v>
      </c>
      <c r="AH219" s="119">
        <f t="shared" si="101"/>
        <v>1.8043430547947568E-2</v>
      </c>
      <c r="AI219" s="122">
        <f t="shared" si="95"/>
        <v>1.8043430547947572E-2</v>
      </c>
      <c r="AJ219" s="87" t="b">
        <f t="shared" si="102"/>
        <v>1</v>
      </c>
      <c r="AK219" s="88">
        <f t="shared" si="108"/>
        <v>1.1439070169875151E-3</v>
      </c>
      <c r="AL219" s="312">
        <f>+AC219/'MWh by month-WgtbyCDH&amp;DayLtHrs'!AC219-1</f>
        <v>-4.6515272496756799E-2</v>
      </c>
      <c r="AM219" s="89">
        <f t="shared" si="96"/>
        <v>355231.16711634217</v>
      </c>
      <c r="AN219" s="93"/>
      <c r="AO219" s="96">
        <f t="shared" si="87"/>
        <v>67.402489939219166</v>
      </c>
      <c r="AP219" s="92">
        <f t="shared" si="86"/>
        <v>5.1256646341611535E-3</v>
      </c>
      <c r="AR219" s="94">
        <f t="shared" si="97"/>
        <v>1.8043430547947572E-2</v>
      </c>
      <c r="AS219" s="95">
        <v>1001509.8882787043</v>
      </c>
      <c r="AU219" s="141">
        <v>237.27111170551058</v>
      </c>
    </row>
    <row r="220" spans="1:47">
      <c r="A220" s="78">
        <v>2022</v>
      </c>
      <c r="B220" s="78">
        <v>12</v>
      </c>
      <c r="C220" s="317">
        <f t="shared" si="105"/>
        <v>42.633806123140985</v>
      </c>
      <c r="D220" s="324">
        <f>D208</f>
        <v>2.1683298951445065E-2</v>
      </c>
      <c r="E220" s="321">
        <f>$D220*'MWh Impact Summary'!B$28</f>
        <v>76593.373363445571</v>
      </c>
      <c r="F220" s="319">
        <f>$D220*'MWh Impact Summary'!N$28</f>
        <v>10600.894322318061</v>
      </c>
      <c r="G220" s="319">
        <f>$D220*'MWh Impact Summary'!C$28</f>
        <v>51522.383194431488</v>
      </c>
      <c r="H220" s="319">
        <f>$D220*'MWh Impact Summary'!D$28</f>
        <v>234.40864203828539</v>
      </c>
      <c r="I220" s="319">
        <f>$D220*'MWh Impact Summary'!E$28</f>
        <v>18682.927182980555</v>
      </c>
      <c r="J220" s="104">
        <f t="shared" si="98"/>
        <v>157633.98670521396</v>
      </c>
      <c r="K220" s="298">
        <f t="shared" si="106"/>
        <v>13.483333333333333</v>
      </c>
      <c r="L220" s="300">
        <f>L208</f>
        <v>9.491962923853102E-2</v>
      </c>
      <c r="M220" s="297">
        <f t="shared" si="107"/>
        <v>8.4931506849315067E-2</v>
      </c>
      <c r="N220" s="304">
        <f>$L220*'MWh Impact Summary'!F$28</f>
        <v>175502.07306147637</v>
      </c>
      <c r="O220" s="304">
        <f>$L220*'MWh Impact Summary'!G$28</f>
        <v>22218.63100026541</v>
      </c>
      <c r="P220" s="304">
        <f>$M220*'MWh Impact Summary'!H$28</f>
        <v>10124.650232578459</v>
      </c>
      <c r="Q220" s="304">
        <f>$M220*'MWh Impact Summary'!I$28</f>
        <v>1692.030438793694</v>
      </c>
      <c r="R220" s="304">
        <f>$M220*'MWh Impact Summary'!J$28</f>
        <v>46094.558607231847</v>
      </c>
      <c r="S220" s="304">
        <f>$M220*'MWh Impact Summary'!K$28</f>
        <v>27781.869342715021</v>
      </c>
      <c r="T220" s="304">
        <f>$M220*'MWh Impact Summary'!L$28</f>
        <v>9926.9397048067713</v>
      </c>
      <c r="U220" s="304">
        <f>$M220*'MWh Impact Summary'!M$28</f>
        <v>30833.507467980115</v>
      </c>
      <c r="V220" s="304">
        <f>$L220*'LED Impact Forecast'!$H$29+$D220*'LED Impact Forecast'!$J$29</f>
        <v>166488.79979545789</v>
      </c>
      <c r="W220" s="304">
        <f>$L220*'CFL Impact Forecast'!$H$29+$D220*'CFL Impact Forecast'!$J$29</f>
        <v>352565.89528409304</v>
      </c>
      <c r="X220" s="304">
        <f>$L220*'EISA Incand Impact Forecast'!$G$29+$D220*'EISA Incand Impact Forecast'!$I$29</f>
        <v>122400.05379508293</v>
      </c>
      <c r="Y220" s="85">
        <f t="shared" si="90"/>
        <v>965629.00873048161</v>
      </c>
      <c r="Z220" s="81">
        <f t="shared" si="91"/>
        <v>1123262.9954356956</v>
      </c>
      <c r="AA220" s="81">
        <f>SUM(Z209:Z220)</f>
        <v>18465538.166229762</v>
      </c>
      <c r="AB220" s="262">
        <f>+'MWh by mo-WgtbyActulCDH&amp;Days'!AB220</f>
        <v>5275479.2526890254</v>
      </c>
      <c r="AC220" s="308">
        <f t="shared" si="99"/>
        <v>212.9215075318786</v>
      </c>
      <c r="AD220" s="309">
        <f t="shared" si="92"/>
        <v>29.880505477272898</v>
      </c>
      <c r="AE220" s="107">
        <f t="shared" si="93"/>
        <v>2.2161067103045411E-3</v>
      </c>
      <c r="AF220" s="309">
        <f t="shared" si="100"/>
        <v>183.04100205460568</v>
      </c>
      <c r="AG220" s="107">
        <f t="shared" si="94"/>
        <v>1.3575352439154934E-2</v>
      </c>
      <c r="AH220" s="119">
        <f t="shared" si="101"/>
        <v>1.5791459149459473E-2</v>
      </c>
      <c r="AI220" s="122">
        <f t="shared" si="95"/>
        <v>1.5791459149459477E-2</v>
      </c>
      <c r="AJ220" s="87" t="b">
        <f t="shared" si="102"/>
        <v>1</v>
      </c>
      <c r="AK220" s="88">
        <f t="shared" si="108"/>
        <v>1.0551255944839764E-3</v>
      </c>
      <c r="AL220" s="312">
        <f>+AC220/'MWh by month-WgtbyCDH&amp;DayLtHrs'!AC220-1</f>
        <v>-6.6340285986569048E-2</v>
      </c>
      <c r="AM220" s="89">
        <f t="shared" si="96"/>
        <v>352565.89528409304</v>
      </c>
      <c r="AN220" s="90">
        <f>SUM(AM209:AM220)</f>
        <v>4186920.4292156375</v>
      </c>
      <c r="AO220" s="96">
        <f t="shared" si="87"/>
        <v>66.831064704573066</v>
      </c>
      <c r="AP220" s="92">
        <f t="shared" si="86"/>
        <v>4.9565684576939233E-3</v>
      </c>
      <c r="AR220" s="94">
        <f t="shared" si="97"/>
        <v>1.5791459149459477E-2</v>
      </c>
      <c r="AS220" s="95">
        <v>851106.54648590065</v>
      </c>
      <c r="AU220" s="141">
        <v>212.9215075318786</v>
      </c>
    </row>
    <row r="221" spans="1:47">
      <c r="A221" s="78">
        <f>+A209+1</f>
        <v>2023</v>
      </c>
      <c r="B221" s="78">
        <f>+B209</f>
        <v>1</v>
      </c>
      <c r="C221" s="317">
        <f t="shared" si="105"/>
        <v>26.112829868525239</v>
      </c>
      <c r="D221" s="324">
        <f t="shared" ref="D221:D267" si="109">D209</f>
        <v>1.3280829182176284E-2</v>
      </c>
      <c r="E221" s="321">
        <f>$D221*'MWh Impact Summary'!B$29</f>
        <v>46714.042521394251</v>
      </c>
      <c r="F221" s="321">
        <f>$D221*'MWh Impact Summary'!N$29</f>
        <v>7114.624379730466</v>
      </c>
      <c r="G221" s="321">
        <f>$D221*'MWh Impact Summary'!C$29</f>
        <v>32311.371632316273</v>
      </c>
      <c r="H221" s="321">
        <f>$D221*'MWh Impact Summary'!D$29</f>
        <v>154.6906938309711</v>
      </c>
      <c r="I221" s="321">
        <f>$D221*'MWh Impact Summary'!E$29</f>
        <v>11587.195804044048</v>
      </c>
      <c r="J221" s="104">
        <f t="shared" si="98"/>
        <v>97881.925031316016</v>
      </c>
      <c r="K221" s="298">
        <f t="shared" si="106"/>
        <v>13.3</v>
      </c>
      <c r="L221" s="300">
        <f t="shared" ref="L221:L267" si="110">L209</f>
        <v>9.3629003871876101E-2</v>
      </c>
      <c r="M221" s="297">
        <f>(31/365)</f>
        <v>8.4931506849315067E-2</v>
      </c>
      <c r="N221" s="304">
        <f>$L221*'MWh Impact Summary'!F$29</f>
        <v>184919.98189215304</v>
      </c>
      <c r="O221" s="304">
        <f>$L221*'MWh Impact Summary'!G$29</f>
        <v>26975.187838299982</v>
      </c>
      <c r="P221" s="304">
        <f>$M221*'MWh Impact Summary'!H$29</f>
        <v>10691.42619664053</v>
      </c>
      <c r="Q221" s="304">
        <f>$M221*'MWh Impact Summary'!I$29</f>
        <v>1784.6283529910179</v>
      </c>
      <c r="R221" s="304">
        <f>$M221*'MWh Impact Summary'!J$29</f>
        <v>47543.000571588018</v>
      </c>
      <c r="S221" s="304">
        <f>$M221*'MWh Impact Summary'!K$29</f>
        <v>31211.432652914413</v>
      </c>
      <c r="T221" s="304">
        <f>$M221*'MWh Impact Summary'!L$29</f>
        <v>11191.771620454721</v>
      </c>
      <c r="U221" s="304">
        <f>$M221*'MWh Impact Summary'!M$29</f>
        <v>34640.438961680789</v>
      </c>
      <c r="V221" s="304">
        <f>$L221*'LED Impact Forecast'!$H$30+$D221*'LED Impact Forecast'!$J$30</f>
        <v>201862.01479396451</v>
      </c>
      <c r="W221" s="304">
        <f>$L221*'CFL Impact Forecast'!$H$30+$D221*'CFL Impact Forecast'!$J$30</f>
        <v>345843.59691501036</v>
      </c>
      <c r="X221" s="304">
        <f>$L221*'EISA Incand Impact Forecast'!$G$30+$D221*'EISA Incand Impact Forecast'!$I$30</f>
        <v>118878.37690652076</v>
      </c>
      <c r="Y221" s="85">
        <f t="shared" si="90"/>
        <v>1015541.8567022182</v>
      </c>
      <c r="Z221" s="81">
        <f t="shared" si="91"/>
        <v>1113423.7817335343</v>
      </c>
      <c r="AA221" s="81"/>
      <c r="AB221" s="262">
        <f>+'MWh by mo-WgtbyActulCDH&amp;Days'!AB221</f>
        <v>5280717.4207708379</v>
      </c>
      <c r="AC221" s="308">
        <f t="shared" si="99"/>
        <v>210.84706736135209</v>
      </c>
      <c r="AD221" s="309">
        <f t="shared" si="92"/>
        <v>18.535724832825455</v>
      </c>
      <c r="AE221" s="107">
        <f t="shared" si="93"/>
        <v>1.3936635212650718E-3</v>
      </c>
      <c r="AF221" s="309">
        <f t="shared" si="100"/>
        <v>192.31134252852661</v>
      </c>
      <c r="AG221" s="107">
        <f t="shared" si="94"/>
        <v>1.4459499438235083E-2</v>
      </c>
      <c r="AH221" s="119">
        <f t="shared" si="101"/>
        <v>1.5853162959500153E-2</v>
      </c>
      <c r="AI221" s="122">
        <f t="shared" si="95"/>
        <v>1.5853162959500157E-2</v>
      </c>
      <c r="AJ221" s="87" t="b">
        <f t="shared" si="102"/>
        <v>1</v>
      </c>
      <c r="AK221" s="88">
        <f t="shared" si="108"/>
        <v>8.4535225408077092E-4</v>
      </c>
      <c r="AL221" s="312">
        <f>+AC221/'MWh by month-WgtbyCDH&amp;DayLtHrs'!AC221-1</f>
        <v>-7.8031185920864221E-2</v>
      </c>
      <c r="AM221" s="89">
        <f t="shared" si="96"/>
        <v>345843.59691501036</v>
      </c>
      <c r="AN221" s="90"/>
      <c r="AO221" s="96">
        <f t="shared" si="87"/>
        <v>65.491782528391155</v>
      </c>
      <c r="AP221" s="92">
        <f t="shared" si="86"/>
        <v>4.9241941750670032E-3</v>
      </c>
      <c r="AR221" s="94">
        <f t="shared" si="97"/>
        <v>1.5853162959500157E-2</v>
      </c>
      <c r="AS221" s="95"/>
    </row>
    <row r="222" spans="1:47">
      <c r="A222" s="78">
        <f t="shared" ref="A222:A268" si="111">+A210+1</f>
        <v>2023</v>
      </c>
      <c r="B222" s="78">
        <f t="shared" ref="B222:C266" si="112">+B210</f>
        <v>2</v>
      </c>
      <c r="C222" s="317">
        <f t="shared" si="105"/>
        <v>35.042184420393127</v>
      </c>
      <c r="D222" s="324">
        <f t="shared" si="109"/>
        <v>1.7822245532205266E-2</v>
      </c>
      <c r="E222" s="321">
        <f>$D222*'MWh Impact Summary'!B$29</f>
        <v>62688.038841392474</v>
      </c>
      <c r="F222" s="321">
        <f>$D222*'MWh Impact Summary'!N$29</f>
        <v>9547.4899063638077</v>
      </c>
      <c r="G222" s="321">
        <f>$D222*'MWh Impact Summary'!C$29</f>
        <v>43360.334721141888</v>
      </c>
      <c r="H222" s="321">
        <f>$D222*'MWh Impact Summary'!D$29</f>
        <v>207.58760535093248</v>
      </c>
      <c r="I222" s="321">
        <f>$D222*'MWh Impact Summary'!E$29</f>
        <v>15549.469526086594</v>
      </c>
      <c r="J222" s="104">
        <f t="shared" si="98"/>
        <v>131352.9206003357</v>
      </c>
      <c r="K222" s="298">
        <f t="shared" si="106"/>
        <v>12.733333333333333</v>
      </c>
      <c r="L222" s="300">
        <f t="shared" si="110"/>
        <v>8.9639798193124468E-2</v>
      </c>
      <c r="M222" s="297">
        <f>(28/365)</f>
        <v>7.6712328767123292E-2</v>
      </c>
      <c r="N222" s="304">
        <f>$L222*'MWh Impact Summary'!F$29</f>
        <v>177041.18567118407</v>
      </c>
      <c r="O222" s="304">
        <f>$L222*'MWh Impact Summary'!G$29</f>
        <v>25825.86905822203</v>
      </c>
      <c r="P222" s="304">
        <f>$M222*'MWh Impact Summary'!H$29</f>
        <v>9656.7720485785449</v>
      </c>
      <c r="Q222" s="304">
        <f>$M222*'MWh Impact Summary'!I$29</f>
        <v>1611.9223833467258</v>
      </c>
      <c r="R222" s="304">
        <f>$M222*'MWh Impact Summary'!J$29</f>
        <v>42942.065032402083</v>
      </c>
      <c r="S222" s="304">
        <f>$M222*'MWh Impact Summary'!K$29</f>
        <v>28190.971428438825</v>
      </c>
      <c r="T222" s="304">
        <f>$M222*'MWh Impact Summary'!L$29</f>
        <v>10108.696947507491</v>
      </c>
      <c r="U222" s="304">
        <f>$M222*'MWh Impact Summary'!M$29</f>
        <v>31288.138417002003</v>
      </c>
      <c r="V222" s="304">
        <f>$L222*'LED Impact Forecast'!$H$30+$D222*'LED Impact Forecast'!$J$30</f>
        <v>195086.91019408329</v>
      </c>
      <c r="W222" s="304">
        <f>$L222*'CFL Impact Forecast'!$H$30+$D222*'CFL Impact Forecast'!$J$30</f>
        <v>334266.75229992194</v>
      </c>
      <c r="X222" s="304">
        <f>$L222*'EISA Incand Impact Forecast'!$G$30+$D222*'EISA Incand Impact Forecast'!$I$30</f>
        <v>114983.41945800981</v>
      </c>
      <c r="Y222" s="85">
        <f t="shared" si="90"/>
        <v>971002.70293869672</v>
      </c>
      <c r="Z222" s="81">
        <f t="shared" si="91"/>
        <v>1102355.6235390324</v>
      </c>
      <c r="AA222" s="81"/>
      <c r="AB222" s="262">
        <f>+'MWh by mo-WgtbyActulCDH&amp;Days'!AB222</f>
        <v>5285898.8015586017</v>
      </c>
      <c r="AC222" s="308">
        <f t="shared" si="99"/>
        <v>208.54648659069892</v>
      </c>
      <c r="AD222" s="309">
        <f t="shared" si="92"/>
        <v>24.849685083188678</v>
      </c>
      <c r="AE222" s="107">
        <f t="shared" si="93"/>
        <v>1.9515459489415194E-3</v>
      </c>
      <c r="AF222" s="309">
        <f t="shared" si="100"/>
        <v>183.69680150751026</v>
      </c>
      <c r="AG222" s="107">
        <f t="shared" si="94"/>
        <v>1.4426450380170965E-2</v>
      </c>
      <c r="AH222" s="119">
        <f t="shared" si="101"/>
        <v>1.6377996329112483E-2</v>
      </c>
      <c r="AI222" s="122">
        <f t="shared" si="95"/>
        <v>1.6377996329112479E-2</v>
      </c>
      <c r="AJ222" s="87" t="b">
        <f t="shared" si="102"/>
        <v>1</v>
      </c>
      <c r="AK222" s="88">
        <f t="shared" si="108"/>
        <v>8.4355112381231945E-4</v>
      </c>
      <c r="AL222" s="312">
        <f>+AC222/'MWh by month-WgtbyCDH&amp;DayLtHrs'!AC222-1</f>
        <v>-8.1045598395439788E-2</v>
      </c>
      <c r="AM222" s="89">
        <f t="shared" si="96"/>
        <v>334266.75229992194</v>
      </c>
      <c r="AN222" s="90"/>
      <c r="AO222" s="96">
        <f t="shared" si="87"/>
        <v>63.237448322196393</v>
      </c>
      <c r="AP222" s="92">
        <f t="shared" si="86"/>
        <v>4.9662917530520732E-3</v>
      </c>
      <c r="AR222" s="94">
        <f t="shared" si="97"/>
        <v>1.6377996329112479E-2</v>
      </c>
      <c r="AS222" s="95"/>
    </row>
    <row r="223" spans="1:47">
      <c r="A223" s="78">
        <f t="shared" si="111"/>
        <v>2023</v>
      </c>
      <c r="B223" s="78">
        <f t="shared" si="112"/>
        <v>3</v>
      </c>
      <c r="C223" s="317">
        <f t="shared" si="105"/>
        <v>64.582270600115152</v>
      </c>
      <c r="D223" s="324">
        <f t="shared" si="109"/>
        <v>3.2846156787895278E-2</v>
      </c>
      <c r="E223" s="321">
        <f>$D223*'MWh Impact Summary'!B$29</f>
        <v>115533.20532978118</v>
      </c>
      <c r="F223" s="321">
        <f>$D223*'MWh Impact Summary'!N$29</f>
        <v>17595.89440222854</v>
      </c>
      <c r="G223" s="321">
        <f>$D223*'MWh Impact Summary'!C$29</f>
        <v>79912.50878306228</v>
      </c>
      <c r="H223" s="321">
        <f>$D223*'MWh Impact Summary'!D$29</f>
        <v>382.58114109466896</v>
      </c>
      <c r="I223" s="321">
        <f>$D223*'MWh Impact Summary'!E$29</f>
        <v>28657.461434897119</v>
      </c>
      <c r="J223" s="104">
        <f t="shared" si="98"/>
        <v>242081.6510910638</v>
      </c>
      <c r="K223" s="298">
        <f t="shared" si="106"/>
        <v>12</v>
      </c>
      <c r="L223" s="300">
        <f t="shared" si="110"/>
        <v>8.4477296726504739E-2</v>
      </c>
      <c r="M223" s="297">
        <f t="shared" ref="M223:M232" si="113">(31/365)</f>
        <v>8.4931506849315067E-2</v>
      </c>
      <c r="N223" s="304">
        <f>$L223*'MWh Impact Summary'!F$29</f>
        <v>166845.09644404784</v>
      </c>
      <c r="O223" s="304">
        <f>$L223*'MWh Impact Summary'!G$29</f>
        <v>24338.515342827046</v>
      </c>
      <c r="P223" s="304">
        <f>$M223*'MWh Impact Summary'!H$29</f>
        <v>10691.42619664053</v>
      </c>
      <c r="Q223" s="304">
        <f>$M223*'MWh Impact Summary'!I$29</f>
        <v>1784.6283529910179</v>
      </c>
      <c r="R223" s="304">
        <f>$M223*'MWh Impact Summary'!J$29</f>
        <v>47543.000571588018</v>
      </c>
      <c r="S223" s="304">
        <f>$M223*'MWh Impact Summary'!K$29</f>
        <v>31211.432652914413</v>
      </c>
      <c r="T223" s="304">
        <f>$M223*'MWh Impact Summary'!L$29</f>
        <v>11191.771620454721</v>
      </c>
      <c r="U223" s="304">
        <f>$M223*'MWh Impact Summary'!M$29</f>
        <v>34640.438961680789</v>
      </c>
      <c r="V223" s="304">
        <f>$L223*'LED Impact Forecast'!$H$30+$D223*'LED Impact Forecast'!$J$30</f>
        <v>189588.53889330308</v>
      </c>
      <c r="W223" s="304">
        <f>$L223*'CFL Impact Forecast'!$H$30+$D223*'CFL Impact Forecast'!$J$30</f>
        <v>324941.34767493088</v>
      </c>
      <c r="X223" s="304">
        <f>$L223*'EISA Incand Impact Forecast'!$G$30+$D223*'EISA Incand Impact Forecast'!$I$30</f>
        <v>112038.34535817795</v>
      </c>
      <c r="Y223" s="85">
        <f t="shared" si="90"/>
        <v>954814.54206955631</v>
      </c>
      <c r="Z223" s="81">
        <f t="shared" si="91"/>
        <v>1196896.1931606201</v>
      </c>
      <c r="AA223" s="81"/>
      <c r="AB223" s="262">
        <f>+'MWh by mo-WgtbyActulCDH&amp;Days'!AB223</f>
        <v>5291129.8776962366</v>
      </c>
      <c r="AC223" s="308">
        <f t="shared" si="99"/>
        <v>226.20805401241631</v>
      </c>
      <c r="AD223" s="309">
        <f t="shared" si="92"/>
        <v>45.752354730794551</v>
      </c>
      <c r="AE223" s="107">
        <f t="shared" si="93"/>
        <v>3.8126962275662124E-3</v>
      </c>
      <c r="AF223" s="309">
        <f t="shared" si="100"/>
        <v>180.4556992816218</v>
      </c>
      <c r="AG223" s="107">
        <f t="shared" si="94"/>
        <v>1.5037974940135151E-2</v>
      </c>
      <c r="AH223" s="119">
        <f t="shared" si="101"/>
        <v>1.8850671167701363E-2</v>
      </c>
      <c r="AI223" s="122">
        <f t="shared" si="95"/>
        <v>1.8850671167701359E-2</v>
      </c>
      <c r="AJ223" s="87" t="b">
        <f t="shared" si="102"/>
        <v>1</v>
      </c>
      <c r="AK223" s="88">
        <f t="shared" si="108"/>
        <v>8.8521837392525546E-4</v>
      </c>
      <c r="AL223" s="312">
        <f>+AC223/'MWh by month-WgtbyCDH&amp;DayLtHrs'!AC223-1</f>
        <v>-4.7458462459266215E-2</v>
      </c>
      <c r="AM223" s="89">
        <f t="shared" si="96"/>
        <v>324941.34767493088</v>
      </c>
      <c r="AN223" s="90"/>
      <c r="AO223" s="96">
        <f t="shared" si="87"/>
        <v>61.412468638250601</v>
      </c>
      <c r="AP223" s="92">
        <f t="shared" si="86"/>
        <v>5.1177057198542172E-3</v>
      </c>
      <c r="AR223" s="94">
        <f t="shared" si="97"/>
        <v>1.8850671167701359E-2</v>
      </c>
      <c r="AS223" s="95"/>
    </row>
    <row r="224" spans="1:47">
      <c r="A224" s="78">
        <f t="shared" si="111"/>
        <v>2023</v>
      </c>
      <c r="B224" s="78">
        <f t="shared" si="112"/>
        <v>4</v>
      </c>
      <c r="C224" s="317">
        <f t="shared" si="105"/>
        <v>114.03392869270741</v>
      </c>
      <c r="D224" s="324">
        <f t="shared" si="109"/>
        <v>5.7996974497419709E-2</v>
      </c>
      <c r="E224" s="321">
        <f>$D224*'MWh Impact Summary'!B$29</f>
        <v>203998.79372145672</v>
      </c>
      <c r="F224" s="321">
        <f>$D224*'MWh Impact Summary'!N$29</f>
        <v>31069.346879614986</v>
      </c>
      <c r="G224" s="321">
        <f>$D224*'MWh Impact Summary'!C$29</f>
        <v>141102.77083083589</v>
      </c>
      <c r="H224" s="321">
        <f>$D224*'MWh Impact Summary'!D$29</f>
        <v>675.5295247034303</v>
      </c>
      <c r="I224" s="321">
        <f>$D224*'MWh Impact Summary'!E$29</f>
        <v>50600.929379142079</v>
      </c>
      <c r="J224" s="104">
        <f t="shared" si="98"/>
        <v>427447.37033575308</v>
      </c>
      <c r="K224" s="298">
        <f t="shared" si="106"/>
        <v>11.2</v>
      </c>
      <c r="L224" s="300">
        <f t="shared" si="110"/>
        <v>7.8845476944737758E-2</v>
      </c>
      <c r="M224" s="297">
        <f>(30/365)</f>
        <v>8.2191780821917804E-2</v>
      </c>
      <c r="N224" s="304">
        <f>$L224*'MWh Impact Summary'!F$29</f>
        <v>155722.09001444464</v>
      </c>
      <c r="O224" s="304">
        <f>$L224*'MWh Impact Summary'!G$29</f>
        <v>22715.947653305244</v>
      </c>
      <c r="P224" s="304">
        <f>$M224*'MWh Impact Summary'!H$29</f>
        <v>10346.541480619868</v>
      </c>
      <c r="Q224" s="304">
        <f>$M224*'MWh Impact Summary'!I$29</f>
        <v>1727.0596964429205</v>
      </c>
      <c r="R224" s="304">
        <f>$M224*'MWh Impact Summary'!J$29</f>
        <v>46009.355391859368</v>
      </c>
      <c r="S224" s="304">
        <f>$M224*'MWh Impact Summary'!K$29</f>
        <v>30204.612244755881</v>
      </c>
      <c r="T224" s="304">
        <f>$M224*'MWh Impact Summary'!L$29</f>
        <v>10830.74672947231</v>
      </c>
      <c r="U224" s="304">
        <f>$M224*'MWh Impact Summary'!M$29</f>
        <v>33523.005446787858</v>
      </c>
      <c r="V224" s="304">
        <f>$L224*'LED Impact Forecast'!$H$30+$D224*'LED Impact Forecast'!$J$30</f>
        <v>186721.86715522053</v>
      </c>
      <c r="W224" s="304">
        <f>$L224*'CFL Impact Forecast'!$H$30+$D224*'CFL Impact Forecast'!$J$30</f>
        <v>320186.06293310609</v>
      </c>
      <c r="X224" s="304">
        <f>$L224*'EISA Incand Impact Forecast'!$G$30+$D224*'EISA Incand Impact Forecast'!$I$30</f>
        <v>110832.63814368282</v>
      </c>
      <c r="Y224" s="85">
        <f t="shared" si="90"/>
        <v>928819.92688969756</v>
      </c>
      <c r="Z224" s="81">
        <f t="shared" si="91"/>
        <v>1356267.2972254506</v>
      </c>
      <c r="AA224" s="81"/>
      <c r="AB224" s="262">
        <f>+'MWh by mo-WgtbyActulCDH&amp;Days'!AB224</f>
        <v>5296301.965313198</v>
      </c>
      <c r="AC224" s="308">
        <f t="shared" si="99"/>
        <v>256.07816663550966</v>
      </c>
      <c r="AD224" s="309">
        <f t="shared" si="92"/>
        <v>80.706759760907232</v>
      </c>
      <c r="AE224" s="107">
        <f t="shared" si="93"/>
        <v>7.2059606929381461E-3</v>
      </c>
      <c r="AF224" s="309">
        <f t="shared" si="100"/>
        <v>175.37140687460246</v>
      </c>
      <c r="AG224" s="107">
        <f t="shared" si="94"/>
        <v>1.5658161328089507E-2</v>
      </c>
      <c r="AH224" s="119">
        <f t="shared" si="101"/>
        <v>2.2864122021027652E-2</v>
      </c>
      <c r="AI224" s="122">
        <f t="shared" si="95"/>
        <v>2.2864122021027652E-2</v>
      </c>
      <c r="AJ224" s="87" t="b">
        <f t="shared" si="102"/>
        <v>1</v>
      </c>
      <c r="AK224" s="88">
        <f t="shared" si="108"/>
        <v>9.280533616671631E-4</v>
      </c>
      <c r="AL224" s="312">
        <f>+AC224/'MWh by month-WgtbyCDH&amp;DayLtHrs'!AC224-1</f>
        <v>-1.9492985952586195E-2</v>
      </c>
      <c r="AM224" s="89">
        <f t="shared" si="96"/>
        <v>320186.06293310609</v>
      </c>
      <c r="AN224" s="90"/>
      <c r="AO224" s="96">
        <f t="shared" si="87"/>
        <v>60.454646474102951</v>
      </c>
      <c r="AP224" s="92">
        <f t="shared" si="86"/>
        <v>5.3977362923306208E-3</v>
      </c>
      <c r="AR224" s="94">
        <f t="shared" si="97"/>
        <v>2.2864122021027652E-2</v>
      </c>
      <c r="AS224" s="95"/>
    </row>
    <row r="225" spans="1:45">
      <c r="A225" s="78">
        <f t="shared" si="111"/>
        <v>2023</v>
      </c>
      <c r="B225" s="78">
        <f t="shared" si="112"/>
        <v>5</v>
      </c>
      <c r="C225" s="317">
        <f t="shared" si="105"/>
        <v>208.47875842628665</v>
      </c>
      <c r="D225" s="324">
        <f t="shared" si="109"/>
        <v>0.10603105035770212</v>
      </c>
      <c r="E225" s="321">
        <f>$D225*'MWh Impact Summary'!B$29</f>
        <v>372954.04730039136</v>
      </c>
      <c r="F225" s="321">
        <f>$D225*'MWh Impact Summary'!N$29</f>
        <v>56801.505804754284</v>
      </c>
      <c r="G225" s="321">
        <f>$D225*'MWh Impact Summary'!C$29</f>
        <v>257966.47375530406</v>
      </c>
      <c r="H225" s="321">
        <f>$D225*'MWh Impact Summary'!D$29</f>
        <v>1235.0145101988155</v>
      </c>
      <c r="I225" s="321">
        <f>$D225*'MWh Impact Summary'!E$29</f>
        <v>92509.475496606174</v>
      </c>
      <c r="J225" s="104">
        <f t="shared" si="98"/>
        <v>781466.51686725474</v>
      </c>
      <c r="K225" s="298">
        <f t="shared" si="106"/>
        <v>10.533333333333333</v>
      </c>
      <c r="L225" s="300">
        <f t="shared" si="110"/>
        <v>7.4152293793265281E-2</v>
      </c>
      <c r="M225" s="297">
        <f t="shared" si="113"/>
        <v>8.4931506849315067E-2</v>
      </c>
      <c r="N225" s="304">
        <f>$L225*'MWh Impact Summary'!F$29</f>
        <v>146452.91798977533</v>
      </c>
      <c r="O225" s="304">
        <f>$L225*'MWh Impact Summary'!G$29</f>
        <v>21363.807912037078</v>
      </c>
      <c r="P225" s="304">
        <f>$M225*'MWh Impact Summary'!H$29</f>
        <v>10691.42619664053</v>
      </c>
      <c r="Q225" s="304">
        <f>$M225*'MWh Impact Summary'!I$29</f>
        <v>1784.6283529910179</v>
      </c>
      <c r="R225" s="304">
        <f>$M225*'MWh Impact Summary'!J$29</f>
        <v>47543.000571588018</v>
      </c>
      <c r="S225" s="304">
        <f>$M225*'MWh Impact Summary'!K$29</f>
        <v>31211.432652914413</v>
      </c>
      <c r="T225" s="304">
        <f>$M225*'MWh Impact Summary'!L$29</f>
        <v>11191.771620454721</v>
      </c>
      <c r="U225" s="304">
        <f>$M225*'MWh Impact Summary'!M$29</f>
        <v>34640.438961680789</v>
      </c>
      <c r="V225" s="304">
        <f>$L225*'LED Impact Forecast'!$H$30+$D225*'LED Impact Forecast'!$J$30</f>
        <v>194010.63821559641</v>
      </c>
      <c r="W225" s="304">
        <f>$L225*'CFL Impact Forecast'!$H$30+$D225*'CFL Impact Forecast'!$J$30</f>
        <v>332966.61130944127</v>
      </c>
      <c r="X225" s="304">
        <f>$L225*'EISA Incand Impact Forecast'!$G$30+$D225*'EISA Incand Impact Forecast'!$I$30</f>
        <v>116030.57380943152</v>
      </c>
      <c r="Y225" s="85">
        <f t="shared" si="90"/>
        <v>947887.24759255105</v>
      </c>
      <c r="Z225" s="81">
        <f t="shared" si="91"/>
        <v>1729353.7644598058</v>
      </c>
      <c r="AA225" s="81"/>
      <c r="AB225" s="262">
        <f>+'MWh by mo-WgtbyActulCDH&amp;Days'!AB225</f>
        <v>5301485.111214349</v>
      </c>
      <c r="AC225" s="308">
        <f t="shared" si="99"/>
        <v>326.20175822085503</v>
      </c>
      <c r="AD225" s="309">
        <f t="shared" si="92"/>
        <v>147.40520825272174</v>
      </c>
      <c r="AE225" s="107">
        <f t="shared" si="93"/>
        <v>1.3994165340448266E-2</v>
      </c>
      <c r="AF225" s="309">
        <f t="shared" si="100"/>
        <v>178.79654996813329</v>
      </c>
      <c r="AG225" s="107">
        <f t="shared" si="94"/>
        <v>1.6974356009632905E-2</v>
      </c>
      <c r="AH225" s="119">
        <f t="shared" si="101"/>
        <v>3.0968521350081171E-2</v>
      </c>
      <c r="AI225" s="122">
        <f t="shared" si="95"/>
        <v>3.0968521350081171E-2</v>
      </c>
      <c r="AJ225" s="87" t="b">
        <f t="shared" si="102"/>
        <v>1</v>
      </c>
      <c r="AK225" s="88">
        <f t="shared" si="108"/>
        <v>1.0184964550906013E-3</v>
      </c>
      <c r="AL225" s="312">
        <f>+AC225/'MWh by month-WgtbyCDH&amp;DayLtHrs'!AC225-1</f>
        <v>2.4278495959496604E-2</v>
      </c>
      <c r="AM225" s="89">
        <f t="shared" si="96"/>
        <v>332966.61130944127</v>
      </c>
      <c r="AN225" s="90"/>
      <c r="AO225" s="96">
        <f t="shared" si="87"/>
        <v>62.806289996950028</v>
      </c>
      <c r="AP225" s="92">
        <f t="shared" si="86"/>
        <v>5.9626224680648767E-3</v>
      </c>
      <c r="AR225" s="94">
        <f t="shared" si="97"/>
        <v>3.0968521350081171E-2</v>
      </c>
      <c r="AS225" s="95"/>
    </row>
    <row r="226" spans="1:45">
      <c r="A226" s="78">
        <f t="shared" si="111"/>
        <v>2023</v>
      </c>
      <c r="B226" s="78">
        <f t="shared" si="112"/>
        <v>6</v>
      </c>
      <c r="C226" s="317">
        <f t="shared" si="105"/>
        <v>271.66325293295364</v>
      </c>
      <c r="D226" s="324">
        <f t="shared" si="109"/>
        <v>0.13816630657965029</v>
      </c>
      <c r="E226" s="321">
        <f>$D226*'MWh Impact Summary'!B$29</f>
        <v>485986.72809133539</v>
      </c>
      <c r="F226" s="321">
        <f>$D226*'MWh Impact Summary'!N$29</f>
        <v>74016.566267424336</v>
      </c>
      <c r="G226" s="321">
        <f>$D226*'MWh Impact Summary'!C$29</f>
        <v>336149.40887509176</v>
      </c>
      <c r="H226" s="321">
        <f>$D226*'MWh Impact Summary'!D$29</f>
        <v>1609.3153172659393</v>
      </c>
      <c r="I226" s="321">
        <f>$D226*'MWh Impact Summary'!E$29</f>
        <v>120546.69372666712</v>
      </c>
      <c r="J226" s="104">
        <f t="shared" si="98"/>
        <v>1018308.7122777846</v>
      </c>
      <c r="K226" s="298">
        <f t="shared" si="106"/>
        <v>10.199999999999999</v>
      </c>
      <c r="L226" s="300">
        <f t="shared" si="110"/>
        <v>7.1805702217529022E-2</v>
      </c>
      <c r="M226" s="297">
        <f>(30/365)</f>
        <v>8.2191780821917804E-2</v>
      </c>
      <c r="N226" s="304">
        <f>$L226*'MWh Impact Summary'!F$29</f>
        <v>141818.33197744066</v>
      </c>
      <c r="O226" s="304">
        <f>$L226*'MWh Impact Summary'!G$29</f>
        <v>20687.738041402987</v>
      </c>
      <c r="P226" s="304">
        <f>$M226*'MWh Impact Summary'!H$29</f>
        <v>10346.541480619868</v>
      </c>
      <c r="Q226" s="304">
        <f>$M226*'MWh Impact Summary'!I$29</f>
        <v>1727.0596964429205</v>
      </c>
      <c r="R226" s="304">
        <f>$M226*'MWh Impact Summary'!J$29</f>
        <v>46009.355391859368</v>
      </c>
      <c r="S226" s="304">
        <f>$M226*'MWh Impact Summary'!K$29</f>
        <v>30204.612244755881</v>
      </c>
      <c r="T226" s="304">
        <f>$M226*'MWh Impact Summary'!L$29</f>
        <v>10830.74672947231</v>
      </c>
      <c r="U226" s="304">
        <f>$M226*'MWh Impact Summary'!M$29</f>
        <v>33523.005446787858</v>
      </c>
      <c r="V226" s="304">
        <f>$L226*'LED Impact Forecast'!$H$30+$D226*'LED Impact Forecast'!$J$30</f>
        <v>200556.78599976696</v>
      </c>
      <c r="W226" s="304">
        <f>$L226*'CFL Impact Forecast'!$H$30+$D226*'CFL Impact Forecast'!$J$30</f>
        <v>344377.21204113192</v>
      </c>
      <c r="X226" s="304">
        <f>$L226*'EISA Incand Impact Forecast'!$G$30+$D226*'EISA Incand Impact Forecast'!$I$30</f>
        <v>120489.36403927245</v>
      </c>
      <c r="Y226" s="85">
        <f t="shared" si="90"/>
        <v>960570.75308895309</v>
      </c>
      <c r="Z226" s="81">
        <f t="shared" si="91"/>
        <v>1978879.4653667377</v>
      </c>
      <c r="AA226" s="81"/>
      <c r="AB226" s="262">
        <f>+'MWh by mo-WgtbyActulCDH&amp;Days'!AB226</f>
        <v>5306665.8266493091</v>
      </c>
      <c r="AC226" s="308">
        <f t="shared" si="99"/>
        <v>372.90448089440468</v>
      </c>
      <c r="AD226" s="309">
        <f t="shared" si="92"/>
        <v>191.89237565402843</v>
      </c>
      <c r="AE226" s="107">
        <f t="shared" si="93"/>
        <v>1.8812978005296906E-2</v>
      </c>
      <c r="AF226" s="309">
        <f t="shared" si="100"/>
        <v>181.01210524037629</v>
      </c>
      <c r="AG226" s="107">
        <f t="shared" si="94"/>
        <v>1.7746284827487874E-2</v>
      </c>
      <c r="AH226" s="119">
        <f t="shared" si="101"/>
        <v>3.6559262832784781E-2</v>
      </c>
      <c r="AI226" s="122">
        <f t="shared" si="95"/>
        <v>3.6559262832784774E-2</v>
      </c>
      <c r="AJ226" s="87" t="b">
        <f t="shared" si="102"/>
        <v>1</v>
      </c>
      <c r="AK226" s="88">
        <f t="shared" si="108"/>
        <v>1.0718817598420818E-3</v>
      </c>
      <c r="AL226" s="312">
        <f>+AC226/'MWh by month-WgtbyCDH&amp;DayLtHrs'!AC226-1</f>
        <v>4.1098188322239881E-2</v>
      </c>
      <c r="AM226" s="89">
        <f t="shared" si="96"/>
        <v>344377.21204113192</v>
      </c>
      <c r="AN226" s="90"/>
      <c r="AO226" s="96">
        <f t="shared" si="87"/>
        <v>64.89521354665284</v>
      </c>
      <c r="AP226" s="92">
        <f t="shared" si="86"/>
        <v>6.3622758379071409E-3</v>
      </c>
      <c r="AR226" s="94">
        <f t="shared" si="97"/>
        <v>3.6559262832784774E-2</v>
      </c>
      <c r="AS226" s="95"/>
    </row>
    <row r="227" spans="1:45">
      <c r="A227" s="78">
        <f t="shared" si="111"/>
        <v>2023</v>
      </c>
      <c r="B227" s="78">
        <f t="shared" si="112"/>
        <v>7</v>
      </c>
      <c r="C227" s="317">
        <f t="shared" si="105"/>
        <v>322.31916585708109</v>
      </c>
      <c r="D227" s="324">
        <f t="shared" si="109"/>
        <v>0.16392960109808263</v>
      </c>
      <c r="E227" s="321">
        <f>$D227*'MWh Impact Summary'!B$29</f>
        <v>576606.64489897236</v>
      </c>
      <c r="F227" s="321">
        <f>$D227*'MWh Impact Summary'!N$29</f>
        <v>87818.126453817677</v>
      </c>
      <c r="G227" s="321">
        <f>$D227*'MWh Impact Summary'!C$29</f>
        <v>398829.78614965844</v>
      </c>
      <c r="H227" s="321">
        <f>$D227*'MWh Impact Summary'!D$29</f>
        <v>1909.3976276217218</v>
      </c>
      <c r="I227" s="321">
        <f>$D227*'MWh Impact Summary'!E$29</f>
        <v>143024.53257598903</v>
      </c>
      <c r="J227" s="104">
        <f t="shared" si="98"/>
        <v>1208188.4877060591</v>
      </c>
      <c r="K227" s="298">
        <f t="shared" si="106"/>
        <v>10.366666666666667</v>
      </c>
      <c r="L227" s="300">
        <f t="shared" si="110"/>
        <v>7.2978998005397158E-2</v>
      </c>
      <c r="M227" s="297">
        <f t="shared" si="113"/>
        <v>8.4931506849315067E-2</v>
      </c>
      <c r="N227" s="304">
        <f>$L227*'MWh Impact Summary'!F$29</f>
        <v>144135.624983608</v>
      </c>
      <c r="O227" s="304">
        <f>$L227*'MWh Impact Summary'!G$29</f>
        <v>21025.772976720036</v>
      </c>
      <c r="P227" s="304">
        <f>$M227*'MWh Impact Summary'!H$29</f>
        <v>10691.42619664053</v>
      </c>
      <c r="Q227" s="304">
        <f>$M227*'MWh Impact Summary'!I$29</f>
        <v>1784.6283529910179</v>
      </c>
      <c r="R227" s="304">
        <f>$M227*'MWh Impact Summary'!J$29</f>
        <v>47543.000571588018</v>
      </c>
      <c r="S227" s="304">
        <f>$M227*'MWh Impact Summary'!K$29</f>
        <v>31211.432652914413</v>
      </c>
      <c r="T227" s="304">
        <f>$M227*'MWh Impact Summary'!L$29</f>
        <v>11191.771620454721</v>
      </c>
      <c r="U227" s="304">
        <f>$M227*'MWh Impact Summary'!M$29</f>
        <v>34640.438961680789</v>
      </c>
      <c r="V227" s="304">
        <f>$L227*'LED Impact Forecast'!$H$30+$D227*'LED Impact Forecast'!$J$30</f>
        <v>212235.68654002505</v>
      </c>
      <c r="W227" s="304">
        <f>$L227*'CFL Impact Forecast'!$H$30+$D227*'CFL Impact Forecast'!$J$30</f>
        <v>364540.25909683993</v>
      </c>
      <c r="X227" s="304">
        <f>$L227*'EISA Incand Impact Forecast'!$G$30+$D227*'EISA Incand Impact Forecast'!$I$30</f>
        <v>127843.11685109138</v>
      </c>
      <c r="Y227" s="85">
        <f t="shared" si="90"/>
        <v>1006843.1588045539</v>
      </c>
      <c r="Z227" s="81">
        <f t="shared" si="91"/>
        <v>2215031.6465106132</v>
      </c>
      <c r="AA227" s="81"/>
      <c r="AB227" s="262">
        <f>+'MWh by mo-WgtbyActulCDH&amp;Days'!AB227</f>
        <v>5311951.1835386856</v>
      </c>
      <c r="AC227" s="308">
        <f t="shared" si="99"/>
        <v>416.99021131346615</v>
      </c>
      <c r="AD227" s="309">
        <f t="shared" si="92"/>
        <v>227.44721213744194</v>
      </c>
      <c r="AE227" s="107">
        <f t="shared" si="93"/>
        <v>2.1940245543804686E-2</v>
      </c>
      <c r="AF227" s="309">
        <f t="shared" si="100"/>
        <v>189.54299917602421</v>
      </c>
      <c r="AG227" s="107">
        <f t="shared" si="94"/>
        <v>1.8283890595757961E-2</v>
      </c>
      <c r="AH227" s="119">
        <f t="shared" si="101"/>
        <v>4.0224136139562647E-2</v>
      </c>
      <c r="AI227" s="122">
        <f t="shared" si="95"/>
        <v>4.0224136139562647E-2</v>
      </c>
      <c r="AJ227" s="87" t="b">
        <f t="shared" si="102"/>
        <v>1</v>
      </c>
      <c r="AK227" s="88">
        <f t="shared" si="108"/>
        <v>1.1093178379529625E-3</v>
      </c>
      <c r="AL227" s="312">
        <f>+AC227/'MWh by month-WgtbyCDH&amp;DayLtHrs'!AC227-1</f>
        <v>5.3340867923859614E-2</v>
      </c>
      <c r="AM227" s="89">
        <f t="shared" si="96"/>
        <v>364540.25909683993</v>
      </c>
      <c r="AN227" s="90"/>
      <c r="AO227" s="96">
        <f t="shared" si="87"/>
        <v>68.626432454146268</v>
      </c>
      <c r="AP227" s="92">
        <f t="shared" si="86"/>
        <v>6.6199130984707002E-3</v>
      </c>
      <c r="AR227" s="94">
        <f t="shared" si="97"/>
        <v>4.0224136139562647E-2</v>
      </c>
      <c r="AS227" s="95"/>
    </row>
    <row r="228" spans="1:45">
      <c r="A228" s="78">
        <f t="shared" si="111"/>
        <v>2023</v>
      </c>
      <c r="B228" s="78">
        <f t="shared" si="112"/>
        <v>8</v>
      </c>
      <c r="C228" s="317">
        <f t="shared" si="105"/>
        <v>326.45437890907908</v>
      </c>
      <c r="D228" s="324">
        <f t="shared" si="109"/>
        <v>0.16603274573816959</v>
      </c>
      <c r="E228" s="321">
        <f>$D228*'MWh Impact Summary'!B$29</f>
        <v>584004.25440045726</v>
      </c>
      <c r="F228" s="321">
        <f>$D228*'MWh Impact Summary'!N$29</f>
        <v>88944.794369292678</v>
      </c>
      <c r="G228" s="321">
        <f>$D228*'MWh Impact Summary'!C$29</f>
        <v>403946.59678928053</v>
      </c>
      <c r="H228" s="321">
        <f>$D228*'MWh Impact Summary'!D$29</f>
        <v>1933.894358898001</v>
      </c>
      <c r="I228" s="321">
        <f>$D228*'MWh Impact Summary'!E$29</f>
        <v>144859.47438682258</v>
      </c>
      <c r="J228" s="104">
        <f t="shared" si="98"/>
        <v>1223689.0143047513</v>
      </c>
      <c r="K228" s="298">
        <f t="shared" si="106"/>
        <v>10.933333333333334</v>
      </c>
      <c r="L228" s="300">
        <f t="shared" si="110"/>
        <v>7.6968203684148764E-2</v>
      </c>
      <c r="M228" s="297">
        <f t="shared" si="113"/>
        <v>8.4931506849315067E-2</v>
      </c>
      <c r="N228" s="304">
        <f>$L228*'MWh Impact Summary'!F$29</f>
        <v>152014.42120457691</v>
      </c>
      <c r="O228" s="304">
        <f>$L228*'MWh Impact Summary'!G$29</f>
        <v>22175.091756797978</v>
      </c>
      <c r="P228" s="304">
        <f>$M228*'MWh Impact Summary'!H$29</f>
        <v>10691.42619664053</v>
      </c>
      <c r="Q228" s="304">
        <f>$M228*'MWh Impact Summary'!I$29</f>
        <v>1784.6283529910179</v>
      </c>
      <c r="R228" s="304">
        <f>$M228*'MWh Impact Summary'!J$29</f>
        <v>47543.000571588018</v>
      </c>
      <c r="S228" s="304">
        <f>$M228*'MWh Impact Summary'!K$29</f>
        <v>31211.432652914413</v>
      </c>
      <c r="T228" s="304">
        <f>$M228*'MWh Impact Summary'!L$29</f>
        <v>11191.771620454721</v>
      </c>
      <c r="U228" s="304">
        <f>$M228*'MWh Impact Summary'!M$29</f>
        <v>34640.438961680789</v>
      </c>
      <c r="V228" s="304">
        <f>$L228*'LED Impact Forecast'!$H$30+$D228*'LED Impact Forecast'!$J$30</f>
        <v>221385.8118134526</v>
      </c>
      <c r="W228" s="304">
        <f>$L228*'CFL Impact Forecast'!$H$30+$D228*'CFL Impact Forecast'!$J$30</f>
        <v>380226.11688571807</v>
      </c>
      <c r="X228" s="304">
        <f>$L228*'EISA Incand Impact Forecast'!$G$30+$D228*'EISA Incand Impact Forecast'!$I$30</f>
        <v>133260.29295685372</v>
      </c>
      <c r="Y228" s="85">
        <f t="shared" si="90"/>
        <v>1046124.4329736688</v>
      </c>
      <c r="Z228" s="81">
        <f t="shared" si="91"/>
        <v>2269813.44727842</v>
      </c>
      <c r="AA228" s="81"/>
      <c r="AB228" s="262">
        <f>+'MWh by mo-WgtbyActulCDH&amp;Days'!AB228</f>
        <v>5317288.920798488</v>
      </c>
      <c r="AC228" s="308">
        <f t="shared" si="99"/>
        <v>426.87419869175852</v>
      </c>
      <c r="AD228" s="309">
        <f t="shared" si="92"/>
        <v>230.13400861448622</v>
      </c>
      <c r="AE228" s="107">
        <f t="shared" si="93"/>
        <v>2.1048842251324959E-2</v>
      </c>
      <c r="AF228" s="309">
        <f t="shared" si="100"/>
        <v>196.74019007727233</v>
      </c>
      <c r="AG228" s="107">
        <f t="shared" si="94"/>
        <v>1.7994529580238321E-2</v>
      </c>
      <c r="AH228" s="119">
        <f t="shared" si="101"/>
        <v>3.9043371831563284E-2</v>
      </c>
      <c r="AI228" s="122">
        <f t="shared" si="95"/>
        <v>3.9043371831563277E-2</v>
      </c>
      <c r="AJ228" s="87" t="b">
        <f t="shared" si="102"/>
        <v>1</v>
      </c>
      <c r="AK228" s="88">
        <f t="shared" si="108"/>
        <v>1.0902484474680368E-3</v>
      </c>
      <c r="AL228" s="312">
        <f>+AC228/'MWh by month-WgtbyCDH&amp;DayLtHrs'!AC228-1</f>
        <v>5.0879705506132966E-2</v>
      </c>
      <c r="AM228" s="89">
        <f t="shared" si="96"/>
        <v>380226.11688571807</v>
      </c>
      <c r="AN228" s="90"/>
      <c r="AO228" s="96">
        <f t="shared" si="87"/>
        <v>71.507514928983795</v>
      </c>
      <c r="AP228" s="92">
        <f t="shared" si="86"/>
        <v>6.5403214874070539E-3</v>
      </c>
      <c r="AR228" s="94">
        <f t="shared" si="97"/>
        <v>3.9043371831563277E-2</v>
      </c>
      <c r="AS228" s="95"/>
    </row>
    <row r="229" spans="1:45">
      <c r="A229" s="78">
        <f t="shared" si="111"/>
        <v>2023</v>
      </c>
      <c r="B229" s="78">
        <f t="shared" si="112"/>
        <v>9</v>
      </c>
      <c r="C229" s="317">
        <f t="shared" si="105"/>
        <v>277.87653293728147</v>
      </c>
      <c r="D229" s="324">
        <f t="shared" si="109"/>
        <v>0.14132634365008559</v>
      </c>
      <c r="E229" s="321">
        <f>$D229*'MWh Impact Summary'!B$29</f>
        <v>497101.85532116302</v>
      </c>
      <c r="F229" s="321">
        <f>$D229*'MWh Impact Summary'!N$29</f>
        <v>75709.418157451204</v>
      </c>
      <c r="G229" s="321">
        <f>$D229*'MWh Impact Summary'!C$29</f>
        <v>343837.56830807071</v>
      </c>
      <c r="H229" s="321">
        <f>$D229*'MWh Impact Summary'!D$29</f>
        <v>1646.1223810608162</v>
      </c>
      <c r="I229" s="321">
        <f>$D229*'MWh Impact Summary'!E$29</f>
        <v>123303.74810790354</v>
      </c>
      <c r="J229" s="104">
        <f t="shared" si="98"/>
        <v>1041598.7122756493</v>
      </c>
      <c r="K229" s="298">
        <f t="shared" si="106"/>
        <v>11.683333333333334</v>
      </c>
      <c r="L229" s="300">
        <f t="shared" si="110"/>
        <v>8.2248034729555317E-2</v>
      </c>
      <c r="M229" s="297">
        <f>(30/365)</f>
        <v>8.2191780821917804E-2</v>
      </c>
      <c r="N229" s="304">
        <f>$L229*'MWh Impact Summary'!F$29</f>
        <v>162442.23973232991</v>
      </c>
      <c r="O229" s="304">
        <f>$L229*'MWh Impact Summary'!G$29</f>
        <v>23696.24896572467</v>
      </c>
      <c r="P229" s="304">
        <f>$M229*'MWh Impact Summary'!H$29</f>
        <v>10346.541480619868</v>
      </c>
      <c r="Q229" s="304">
        <f>$M229*'MWh Impact Summary'!I$29</f>
        <v>1727.0596964429205</v>
      </c>
      <c r="R229" s="304">
        <f>$M229*'MWh Impact Summary'!J$29</f>
        <v>46009.355391859368</v>
      </c>
      <c r="S229" s="304">
        <f>$M229*'MWh Impact Summary'!K$29</f>
        <v>30204.612244755881</v>
      </c>
      <c r="T229" s="304">
        <f>$M229*'MWh Impact Summary'!L$29</f>
        <v>10830.74672947231</v>
      </c>
      <c r="U229" s="304">
        <f>$M229*'MWh Impact Summary'!M$29</f>
        <v>33523.005446787858</v>
      </c>
      <c r="V229" s="304">
        <f>$L229*'LED Impact Forecast'!$H$30+$D229*'LED Impact Forecast'!$J$30</f>
        <v>223670.30112166854</v>
      </c>
      <c r="W229" s="304">
        <f>$L229*'CFL Impact Forecast'!$H$30+$D229*'CFL Impact Forecast'!$J$30</f>
        <v>383986.94102040568</v>
      </c>
      <c r="X229" s="304">
        <f>$L229*'EISA Incand Impact Forecast'!$G$30+$D229*'EISA Incand Impact Forecast'!$I$30</f>
        <v>134132.33934776529</v>
      </c>
      <c r="Y229" s="85">
        <f t="shared" si="90"/>
        <v>1060569.3911778324</v>
      </c>
      <c r="Z229" s="81">
        <f t="shared" si="91"/>
        <v>2102168.1034534816</v>
      </c>
      <c r="AA229" s="81"/>
      <c r="AB229" s="262">
        <f>+'MWh by mo-WgtbyActulCDH&amp;Days'!AB229</f>
        <v>5322436.1862808531</v>
      </c>
      <c r="AC229" s="308">
        <f t="shared" si="99"/>
        <v>394.96351480399977</v>
      </c>
      <c r="AD229" s="309">
        <f t="shared" si="92"/>
        <v>195.69961495461064</v>
      </c>
      <c r="AE229" s="107">
        <f t="shared" si="93"/>
        <v>1.6750323676571522E-2</v>
      </c>
      <c r="AF229" s="309">
        <f t="shared" si="100"/>
        <v>199.26389984938911</v>
      </c>
      <c r="AG229" s="107">
        <f t="shared" si="94"/>
        <v>1.7055397989961977E-2</v>
      </c>
      <c r="AH229" s="119">
        <f t="shared" si="101"/>
        <v>3.3805721666533499E-2</v>
      </c>
      <c r="AI229" s="122">
        <f t="shared" si="95"/>
        <v>3.3805721666533499E-2</v>
      </c>
      <c r="AJ229" s="87" t="b">
        <f t="shared" si="102"/>
        <v>1</v>
      </c>
      <c r="AK229" s="88">
        <f t="shared" si="108"/>
        <v>1.0257875896059337E-3</v>
      </c>
      <c r="AL229" s="312">
        <f>+AC229/'MWh by month-WgtbyCDH&amp;DayLtHrs'!AC229-1</f>
        <v>3.4111731744312479E-2</v>
      </c>
      <c r="AM229" s="89">
        <f t="shared" si="96"/>
        <v>383986.94102040568</v>
      </c>
      <c r="AN229" s="90"/>
      <c r="AO229" s="96">
        <f t="shared" si="87"/>
        <v>72.144959109171268</v>
      </c>
      <c r="AP229" s="92">
        <f t="shared" si="86"/>
        <v>6.1750321634098087E-3</v>
      </c>
      <c r="AR229" s="94">
        <f t="shared" si="97"/>
        <v>3.3805721666533499E-2</v>
      </c>
      <c r="AS229" s="95"/>
    </row>
    <row r="230" spans="1:45">
      <c r="A230" s="78">
        <f t="shared" si="111"/>
        <v>2023</v>
      </c>
      <c r="B230" s="78">
        <f t="shared" si="112"/>
        <v>10</v>
      </c>
      <c r="C230" s="317">
        <f t="shared" si="105"/>
        <v>198.89039579254836</v>
      </c>
      <c r="D230" s="324">
        <f t="shared" si="109"/>
        <v>0.10115446643644242</v>
      </c>
      <c r="E230" s="321">
        <f>$D230*'MWh Impact Summary'!B$29</f>
        <v>355801.13120366138</v>
      </c>
      <c r="F230" s="321">
        <f>$D230*'MWh Impact Summary'!N$29</f>
        <v>54189.088885593934</v>
      </c>
      <c r="G230" s="321">
        <f>$D230*'MWh Impact Summary'!C$29</f>
        <v>246102.07031975142</v>
      </c>
      <c r="H230" s="321">
        <f>$D230*'MWh Impact Summary'!D$29</f>
        <v>1178.2136779648597</v>
      </c>
      <c r="I230" s="321">
        <f>$D230*'MWh Impact Summary'!E$29</f>
        <v>88254.77633773713</v>
      </c>
      <c r="J230" s="104">
        <f t="shared" si="98"/>
        <v>745525.28042470873</v>
      </c>
      <c r="K230" s="298">
        <f t="shared" si="106"/>
        <v>12.466666666666667</v>
      </c>
      <c r="L230" s="300">
        <f t="shared" si="110"/>
        <v>8.7762524932535488E-2</v>
      </c>
      <c r="M230" s="297">
        <f t="shared" si="113"/>
        <v>8.4931506849315067E-2</v>
      </c>
      <c r="N230" s="304">
        <f>$L230*'MWh Impact Summary'!F$29</f>
        <v>173333.51686131637</v>
      </c>
      <c r="O230" s="304">
        <f>$L230*'MWh Impact Summary'!G$29</f>
        <v>25285.013161714767</v>
      </c>
      <c r="P230" s="304">
        <f>$M230*'MWh Impact Summary'!H$29</f>
        <v>10691.42619664053</v>
      </c>
      <c r="Q230" s="304">
        <f>$M230*'MWh Impact Summary'!I$29</f>
        <v>1784.6283529910179</v>
      </c>
      <c r="R230" s="304">
        <f>$M230*'MWh Impact Summary'!J$29</f>
        <v>47543.000571588018</v>
      </c>
      <c r="S230" s="304">
        <f>$M230*'MWh Impact Summary'!K$29</f>
        <v>31211.432652914413</v>
      </c>
      <c r="T230" s="304">
        <f>$M230*'MWh Impact Summary'!L$29</f>
        <v>11191.771620454721</v>
      </c>
      <c r="U230" s="304">
        <f>$M230*'MWh Impact Summary'!M$29</f>
        <v>34640.438961680789</v>
      </c>
      <c r="V230" s="304">
        <f>$L230*'LED Impact Forecast'!$H$30+$D230*'LED Impact Forecast'!$J$30</f>
        <v>220920.85948520422</v>
      </c>
      <c r="W230" s="304">
        <f>$L230*'CFL Impact Forecast'!$H$30+$D230*'CFL Impact Forecast'!$J$30</f>
        <v>379030.06879416615</v>
      </c>
      <c r="X230" s="304">
        <f>$L230*'EISA Incand Impact Forecast'!$G$30+$D230*'EISA Incand Impact Forecast'!$I$30</f>
        <v>131751.67776951162</v>
      </c>
      <c r="Y230" s="85">
        <f t="shared" si="90"/>
        <v>1067383.8344281828</v>
      </c>
      <c r="Z230" s="81">
        <f t="shared" si="91"/>
        <v>1812909.1148528915</v>
      </c>
      <c r="AA230" s="81"/>
      <c r="AB230" s="262">
        <f>+'MWh by mo-WgtbyActulCDH&amp;Days'!AB230</f>
        <v>5327648.4322968516</v>
      </c>
      <c r="AC230" s="308">
        <f t="shared" si="99"/>
        <v>340.28317331579467</v>
      </c>
      <c r="AD230" s="309">
        <f t="shared" si="92"/>
        <v>139.93514960657762</v>
      </c>
      <c r="AE230" s="107">
        <f t="shared" si="93"/>
        <v>1.1224744620848472E-2</v>
      </c>
      <c r="AF230" s="309">
        <f t="shared" si="100"/>
        <v>200.34802370921707</v>
      </c>
      <c r="AG230" s="107">
        <f t="shared" si="94"/>
        <v>1.6070697088974632E-2</v>
      </c>
      <c r="AH230" s="119">
        <f t="shared" si="101"/>
        <v>2.7295441709823103E-2</v>
      </c>
      <c r="AI230" s="122">
        <f t="shared" si="95"/>
        <v>2.7295441709823103E-2</v>
      </c>
      <c r="AJ230" s="87" t="b">
        <f t="shared" si="102"/>
        <v>1</v>
      </c>
      <c r="AK230" s="88">
        <f t="shared" si="108"/>
        <v>9.5798649926570958E-4</v>
      </c>
      <c r="AL230" s="312">
        <f>+AC230/'MWh by month-WgtbyCDH&amp;DayLtHrs'!AC230-1</f>
        <v>1.0431166766700084E-2</v>
      </c>
      <c r="AM230" s="89">
        <f t="shared" si="96"/>
        <v>379030.06879416615</v>
      </c>
      <c r="AN230" s="90"/>
      <c r="AO230" s="96">
        <f t="shared" si="87"/>
        <v>71.143971606016621</v>
      </c>
      <c r="AP230" s="92">
        <f t="shared" si="86"/>
        <v>5.7067356903221893E-3</v>
      </c>
      <c r="AR230" s="94">
        <f t="shared" si="97"/>
        <v>2.7295441709823103E-2</v>
      </c>
      <c r="AS230" s="95"/>
    </row>
    <row r="231" spans="1:45">
      <c r="A231" s="78">
        <f t="shared" si="111"/>
        <v>2023</v>
      </c>
      <c r="B231" s="78">
        <f t="shared" si="112"/>
        <v>11</v>
      </c>
      <c r="C231" s="317">
        <f t="shared" si="105"/>
        <v>78.117279066674627</v>
      </c>
      <c r="D231" s="324">
        <f t="shared" si="109"/>
        <v>3.9729981188725644E-2</v>
      </c>
      <c r="E231" s="321">
        <f>$D231*'MWh Impact Summary'!B$29</f>
        <v>139746.39724416632</v>
      </c>
      <c r="F231" s="321">
        <f>$D231*'MWh Impact Summary'!N$29</f>
        <v>21283.602770141279</v>
      </c>
      <c r="G231" s="321">
        <f>$D231*'MWh Impact Summary'!C$29</f>
        <v>96660.3944320507</v>
      </c>
      <c r="H231" s="321">
        <f>$D231*'MWh Impact Summary'!D$29</f>
        <v>462.76164474907426</v>
      </c>
      <c r="I231" s="321">
        <f>$D231*'MWh Impact Summary'!E$29</f>
        <v>34663.428390644607</v>
      </c>
      <c r="J231" s="104">
        <f t="shared" si="98"/>
        <v>292816.58448175201</v>
      </c>
      <c r="K231" s="298">
        <f t="shared" si="106"/>
        <v>13.15</v>
      </c>
      <c r="L231" s="300">
        <f t="shared" si="110"/>
        <v>9.2573037662794788E-2</v>
      </c>
      <c r="M231" s="297">
        <f>(30/365)</f>
        <v>8.2191780821917804E-2</v>
      </c>
      <c r="N231" s="304">
        <f>$L231*'MWh Impact Summary'!F$29</f>
        <v>182834.41818660244</v>
      </c>
      <c r="O231" s="304">
        <f>$L231*'MWh Impact Summary'!G$29</f>
        <v>26670.956396514641</v>
      </c>
      <c r="P231" s="304">
        <f>$M231*'MWh Impact Summary'!H$29</f>
        <v>10346.541480619868</v>
      </c>
      <c r="Q231" s="304">
        <f>$M231*'MWh Impact Summary'!I$29</f>
        <v>1727.0596964429205</v>
      </c>
      <c r="R231" s="304">
        <f>$M231*'MWh Impact Summary'!J$29</f>
        <v>46009.355391859368</v>
      </c>
      <c r="S231" s="304">
        <f>$M231*'MWh Impact Summary'!K$29</f>
        <v>30204.612244755881</v>
      </c>
      <c r="T231" s="304">
        <f>$M231*'MWh Impact Summary'!L$29</f>
        <v>10830.74672947231</v>
      </c>
      <c r="U231" s="304">
        <f>$M231*'MWh Impact Summary'!M$29</f>
        <v>33523.005446787858</v>
      </c>
      <c r="V231" s="304">
        <f>$L231*'LED Impact Forecast'!$H$30+$D231*'LED Impact Forecast'!$J$30</f>
        <v>209092.85427775042</v>
      </c>
      <c r="W231" s="304">
        <f>$L231*'CFL Impact Forecast'!$H$30+$D231*'CFL Impact Forecast'!$J$30</f>
        <v>358391.95379756868</v>
      </c>
      <c r="X231" s="304">
        <f>$L231*'EISA Incand Impact Forecast'!$G$30+$D231*'EISA Incand Impact Forecast'!$I$30</f>
        <v>123631.25830399671</v>
      </c>
      <c r="Y231" s="85">
        <f t="shared" si="90"/>
        <v>1033262.7619523711</v>
      </c>
      <c r="Z231" s="81">
        <f t="shared" si="91"/>
        <v>1326079.3464341231</v>
      </c>
      <c r="AA231" s="81"/>
      <c r="AB231" s="262">
        <f>+'MWh by mo-WgtbyActulCDH&amp;Days'!AB231</f>
        <v>5332876.5569538418</v>
      </c>
      <c r="AC231" s="308">
        <f t="shared" si="99"/>
        <v>248.66117418468511</v>
      </c>
      <c r="AD231" s="309">
        <f t="shared" si="92"/>
        <v>54.907812201265337</v>
      </c>
      <c r="AE231" s="107">
        <f t="shared" si="93"/>
        <v>4.1754990267121924E-3</v>
      </c>
      <c r="AF231" s="309">
        <f t="shared" si="100"/>
        <v>193.75336198341978</v>
      </c>
      <c r="AG231" s="107">
        <f t="shared" si="94"/>
        <v>1.4734095968320895E-2</v>
      </c>
      <c r="AH231" s="119">
        <f t="shared" si="101"/>
        <v>1.8909594995033085E-2</v>
      </c>
      <c r="AI231" s="122">
        <f t="shared" si="95"/>
        <v>1.8909594995033089E-2</v>
      </c>
      <c r="AJ231" s="87" t="b">
        <f t="shared" si="102"/>
        <v>1</v>
      </c>
      <c r="AK231" s="88">
        <f t="shared" si="108"/>
        <v>8.6616444708551704E-4</v>
      </c>
      <c r="AL231" s="312">
        <f>+AC231/'MWh by month-WgtbyCDH&amp;DayLtHrs'!AC231-1</f>
        <v>-4.7078817034822529E-2</v>
      </c>
      <c r="AM231" s="89">
        <f t="shared" si="96"/>
        <v>358391.95379756868</v>
      </c>
      <c r="AN231" s="90"/>
      <c r="AO231" s="96">
        <f t="shared" si="87"/>
        <v>67.204247083169591</v>
      </c>
      <c r="AP231" s="92">
        <f t="shared" si="86"/>
        <v>5.1105891317999681E-3</v>
      </c>
      <c r="AR231" s="94">
        <f t="shared" si="97"/>
        <v>1.8909594995033089E-2</v>
      </c>
      <c r="AS231" s="95"/>
    </row>
    <row r="232" spans="1:45">
      <c r="A232" s="78">
        <f t="shared" si="111"/>
        <v>2023</v>
      </c>
      <c r="B232" s="78">
        <f t="shared" si="112"/>
        <v>12</v>
      </c>
      <c r="C232" s="317">
        <f t="shared" si="105"/>
        <v>42.633806123140985</v>
      </c>
      <c r="D232" s="324">
        <f t="shared" si="109"/>
        <v>2.1683298951445065E-2</v>
      </c>
      <c r="E232" s="321">
        <f>$D232*'MWh Impact Summary'!B$29</f>
        <v>76268.923824523226</v>
      </c>
      <c r="F232" s="321">
        <f>$D232*'MWh Impact Summary'!N$29</f>
        <v>11615.880698170056</v>
      </c>
      <c r="G232" s="321">
        <f>$D232*'MWh Impact Summary'!C$29</f>
        <v>52754.020176317608</v>
      </c>
      <c r="H232" s="321">
        <f>$D232*'MWh Impact Summary'!D$29</f>
        <v>252.55987509010063</v>
      </c>
      <c r="I232" s="321">
        <f>$D232*'MWh Impact Summary'!E$29</f>
        <v>18918.143376560296</v>
      </c>
      <c r="J232" s="104">
        <f t="shared" si="98"/>
        <v>159809.52795066132</v>
      </c>
      <c r="K232" s="298">
        <f t="shared" si="106"/>
        <v>13.483333333333333</v>
      </c>
      <c r="L232" s="300">
        <f t="shared" si="110"/>
        <v>9.491962923853102E-2</v>
      </c>
      <c r="M232" s="297">
        <f t="shared" si="113"/>
        <v>8.4931506849315067E-2</v>
      </c>
      <c r="N232" s="304">
        <f>$L232*'MWh Impact Summary'!F$29</f>
        <v>187469.00419893707</v>
      </c>
      <c r="O232" s="304">
        <f>$L232*'MWh Impact Summary'!G$29</f>
        <v>27347.026267148722</v>
      </c>
      <c r="P232" s="304">
        <f>$M232*'MWh Impact Summary'!H$29</f>
        <v>10691.42619664053</v>
      </c>
      <c r="Q232" s="304">
        <f>$M232*'MWh Impact Summary'!I$29</f>
        <v>1784.6283529910179</v>
      </c>
      <c r="R232" s="304">
        <f>$M232*'MWh Impact Summary'!J$29</f>
        <v>47543.000571588018</v>
      </c>
      <c r="S232" s="304">
        <f>$M232*'MWh Impact Summary'!K$29</f>
        <v>31211.432652914413</v>
      </c>
      <c r="T232" s="304">
        <f>$M232*'MWh Impact Summary'!L$29</f>
        <v>11191.771620454721</v>
      </c>
      <c r="U232" s="304">
        <f>$M232*'MWh Impact Summary'!M$29</f>
        <v>34640.438961680789</v>
      </c>
      <c r="V232" s="304">
        <f>$L232*'LED Impact Forecast'!$H$30+$D232*'LED Impact Forecast'!$J$30</f>
        <v>207582.50261677706</v>
      </c>
      <c r="W232" s="304">
        <f>$L232*'CFL Impact Forecast'!$H$30+$D232*'CFL Impact Forecast'!$J$30</f>
        <v>355693.76253717742</v>
      </c>
      <c r="X232" s="304">
        <f>$L232*'EISA Incand Impact Forecast'!$G$30+$D232*'EISA Incand Impact Forecast'!$I$30</f>
        <v>122400.05379508293</v>
      </c>
      <c r="Y232" s="85">
        <f t="shared" si="90"/>
        <v>1037555.0477713927</v>
      </c>
      <c r="Z232" s="81">
        <f t="shared" si="91"/>
        <v>1197364.5757220541</v>
      </c>
      <c r="AA232" s="81">
        <f>SUM(Z221:Z232)</f>
        <v>19400542.359736763</v>
      </c>
      <c r="AB232" s="262">
        <f>+'MWh by mo-WgtbyActulCDH&amp;Days'!AB232</f>
        <v>5338112.0890329443</v>
      </c>
      <c r="AC232" s="308">
        <f t="shared" si="99"/>
        <v>224.30487703358986</v>
      </c>
      <c r="AD232" s="309">
        <f t="shared" si="92"/>
        <v>29.937462025008262</v>
      </c>
      <c r="AE232" s="107">
        <f t="shared" si="93"/>
        <v>2.220330928925211E-3</v>
      </c>
      <c r="AF232" s="309">
        <f t="shared" si="100"/>
        <v>194.36741500858159</v>
      </c>
      <c r="AG232" s="107">
        <f t="shared" si="94"/>
        <v>1.4415383066149439E-2</v>
      </c>
      <c r="AH232" s="119">
        <f t="shared" si="101"/>
        <v>1.6635713995074651E-2</v>
      </c>
      <c r="AI232" s="122">
        <f t="shared" si="95"/>
        <v>1.6635713995074651E-2</v>
      </c>
      <c r="AJ232" s="87" t="b">
        <f t="shared" si="102"/>
        <v>1</v>
      </c>
      <c r="AK232" s="88">
        <f t="shared" si="108"/>
        <v>8.4425484561517425E-4</v>
      </c>
      <c r="AL232" s="312">
        <f>+AC232/'MWh by month-WgtbyCDH&amp;DayLtHrs'!AC232-1</f>
        <v>-6.6768299351653737E-2</v>
      </c>
      <c r="AM232" s="89">
        <f t="shared" si="96"/>
        <v>355693.76253717742</v>
      </c>
      <c r="AN232" s="90">
        <f>SUM(AM221:AM232)</f>
        <v>4224450.6853054184</v>
      </c>
      <c r="AO232" s="96">
        <f t="shared" si="87"/>
        <v>66.632876306202689</v>
      </c>
      <c r="AP232" s="92">
        <f t="shared" si="86"/>
        <v>4.9418696889643524E-3</v>
      </c>
      <c r="AR232" s="94">
        <f t="shared" si="97"/>
        <v>1.6635713995074651E-2</v>
      </c>
      <c r="AS232" s="95"/>
    </row>
    <row r="233" spans="1:45">
      <c r="A233" s="78">
        <f t="shared" si="111"/>
        <v>2024</v>
      </c>
      <c r="B233" s="78">
        <f t="shared" si="112"/>
        <v>1</v>
      </c>
      <c r="C233" s="317">
        <f t="shared" si="105"/>
        <v>26.112829868525239</v>
      </c>
      <c r="D233" s="324">
        <f t="shared" si="109"/>
        <v>1.3280829182176284E-2</v>
      </c>
      <c r="E233" s="321">
        <f>$D233*'MWh Impact Summary'!B$30</f>
        <v>45678.362760088756</v>
      </c>
      <c r="F233" s="321">
        <f>$D233*'MWh Impact Summary'!N$30</f>
        <v>7880.1602204984219</v>
      </c>
      <c r="G233" s="321">
        <f>$D233*'MWh Impact Summary'!C$30</f>
        <v>32966.356367204404</v>
      </c>
      <c r="H233" s="321">
        <f>$D233*'MWh Impact Summary'!D$30</f>
        <v>165.77538377994071</v>
      </c>
      <c r="I233" s="321">
        <f>$D233*'MWh Impact Summary'!E$30</f>
        <v>11728.936603951188</v>
      </c>
      <c r="J233" s="104">
        <f t="shared" si="98"/>
        <v>98419.591335522709</v>
      </c>
      <c r="K233" s="298">
        <f t="shared" si="106"/>
        <v>13.3</v>
      </c>
      <c r="L233" s="300">
        <f t="shared" si="110"/>
        <v>9.3629003871876101E-2</v>
      </c>
      <c r="M233" s="297">
        <f>(31/366)</f>
        <v>8.4699453551912565E-2</v>
      </c>
      <c r="N233" s="304">
        <f>$L233*'MWh Impact Summary'!F$30</f>
        <v>196670.74795922043</v>
      </c>
      <c r="O233" s="304">
        <f>$L233*'MWh Impact Summary'!G$30</f>
        <v>32443.057436937041</v>
      </c>
      <c r="P233" s="304">
        <f>$M233*'MWh Impact Summary'!H$30</f>
        <v>11256.233754500045</v>
      </c>
      <c r="Q233" s="304">
        <f>$M233*'MWh Impact Summary'!I$30</f>
        <v>1872.0972336714331</v>
      </c>
      <c r="R233" s="304">
        <f>$M233*'MWh Impact Summary'!J$30</f>
        <v>48841.629368224894</v>
      </c>
      <c r="S233" s="304">
        <f>$M233*'MWh Impact Summary'!K$30</f>
        <v>34576.912314095389</v>
      </c>
      <c r="T233" s="304">
        <f>$M233*'MWh Impact Summary'!L$30</f>
        <v>12419.534744117105</v>
      </c>
      <c r="U233" s="304">
        <f>$M233*'MWh Impact Summary'!M$30</f>
        <v>38381.159252237456</v>
      </c>
      <c r="V233" s="304">
        <f>$L233*'LED Impact Forecast'!$H$31+$D233*'LED Impact Forecast'!$J$31</f>
        <v>235768.18001465124</v>
      </c>
      <c r="W233" s="304">
        <f>$L233*'CFL Impact Forecast'!$H$31+$D233*'CFL Impact Forecast'!$J$31</f>
        <v>347868.10992875637</v>
      </c>
      <c r="X233" s="304">
        <f>$L233*'EISA Incand Impact Forecast'!$G$31+$D233*'EISA Incand Impact Forecast'!$I$31</f>
        <v>118878.37690652076</v>
      </c>
      <c r="Y233" s="85">
        <f t="shared" si="90"/>
        <v>1078976.0389129322</v>
      </c>
      <c r="Z233" s="81">
        <f t="shared" si="91"/>
        <v>1177395.6302484549</v>
      </c>
      <c r="AA233" s="81"/>
      <c r="AB233" s="262">
        <f>+'MWh by mo-WgtbyActulCDH&amp;Days'!AB233</f>
        <v>5343385.5298156925</v>
      </c>
      <c r="AC233" s="308">
        <f t="shared" si="99"/>
        <v>220.346374724166</v>
      </c>
      <c r="AD233" s="309">
        <f t="shared" si="92"/>
        <v>18.418957566574363</v>
      </c>
      <c r="AE233" s="107">
        <f t="shared" si="93"/>
        <v>1.3848840275619821E-3</v>
      </c>
      <c r="AF233" s="309">
        <f t="shared" si="100"/>
        <v>201.92741715759163</v>
      </c>
      <c r="AG233" s="107">
        <f t="shared" si="94"/>
        <v>1.5182512568239971E-2</v>
      </c>
      <c r="AH233" s="119">
        <f t="shared" si="101"/>
        <v>1.6567396595801955E-2</v>
      </c>
      <c r="AI233" s="122">
        <f t="shared" si="95"/>
        <v>1.6567396595801951E-2</v>
      </c>
      <c r="AJ233" s="87" t="b">
        <f t="shared" si="102"/>
        <v>1</v>
      </c>
      <c r="AK233" s="88">
        <f t="shared" si="108"/>
        <v>7.1423363630179412E-4</v>
      </c>
      <c r="AL233" s="312">
        <f>+AC233/'MWh by month-WgtbyCDH&amp;DayLtHrs'!AC233-1</f>
        <v>-7.8268618045438609E-2</v>
      </c>
      <c r="AM233" s="89">
        <f t="shared" si="96"/>
        <v>347868.10992875637</v>
      </c>
      <c r="AN233" s="93"/>
      <c r="AO233" s="96">
        <f t="shared" si="87"/>
        <v>65.102566151680108</v>
      </c>
      <c r="AP233" s="92">
        <f t="shared" ref="AP233:AP268" si="114">+AO233/K233/1000</f>
        <v>4.8949297858406097E-3</v>
      </c>
      <c r="AR233" s="94">
        <f t="shared" si="97"/>
        <v>1.6567396595801951E-2</v>
      </c>
      <c r="AS233" s="95"/>
    </row>
    <row r="234" spans="1:45">
      <c r="A234" s="78">
        <f t="shared" si="111"/>
        <v>2024</v>
      </c>
      <c r="B234" s="78">
        <f t="shared" si="112"/>
        <v>2</v>
      </c>
      <c r="C234" s="317">
        <f t="shared" si="105"/>
        <v>35.042184420393127</v>
      </c>
      <c r="D234" s="324">
        <f t="shared" si="109"/>
        <v>1.7822245532205266E-2</v>
      </c>
      <c r="E234" s="321">
        <f>$D234*'MWh Impact Summary'!B$30</f>
        <v>61298.205515059635</v>
      </c>
      <c r="F234" s="321">
        <f>$D234*'MWh Impact Summary'!N$30</f>
        <v>10574.802849758957</v>
      </c>
      <c r="G234" s="321">
        <f>$D234*'MWh Impact Summary'!C$30</f>
        <v>44239.293301581194</v>
      </c>
      <c r="H234" s="321">
        <f>$D234*'MWh Impact Summary'!D$30</f>
        <v>222.46273575197958</v>
      </c>
      <c r="I234" s="321">
        <f>$D234*'MWh Impact Summary'!E$30</f>
        <v>15739.678985392527</v>
      </c>
      <c r="J234" s="104">
        <f t="shared" si="98"/>
        <v>132074.44338754428</v>
      </c>
      <c r="K234" s="298">
        <f t="shared" si="106"/>
        <v>12.733333333333333</v>
      </c>
      <c r="L234" s="300">
        <f t="shared" si="110"/>
        <v>8.9639798193124468E-2</v>
      </c>
      <c r="M234" s="297">
        <f>(29/366)</f>
        <v>7.9234972677595633E-2</v>
      </c>
      <c r="N234" s="304">
        <f>$L234*'MWh Impact Summary'!F$30</f>
        <v>188291.29253238643</v>
      </c>
      <c r="O234" s="304">
        <f>$L234*'MWh Impact Summary'!G$30</f>
        <v>31060.771781729192</v>
      </c>
      <c r="P234" s="304">
        <f>$M234*'MWh Impact Summary'!H$30</f>
        <v>10530.025125177463</v>
      </c>
      <c r="Q234" s="304">
        <f>$M234*'MWh Impact Summary'!I$30</f>
        <v>1751.3167669829536</v>
      </c>
      <c r="R234" s="304">
        <f>$M234*'MWh Impact Summary'!J$30</f>
        <v>45690.556505758774</v>
      </c>
      <c r="S234" s="304">
        <f>$M234*'MWh Impact Summary'!K$30</f>
        <v>32346.143777702142</v>
      </c>
      <c r="T234" s="304">
        <f>$M234*'MWh Impact Summary'!L$30</f>
        <v>11618.274438045035</v>
      </c>
      <c r="U234" s="304">
        <f>$M234*'MWh Impact Summary'!M$30</f>
        <v>35904.955429512462</v>
      </c>
      <c r="V234" s="304">
        <f>$L234*'LED Impact Forecast'!$H$31+$D234*'LED Impact Forecast'!$J$31</f>
        <v>227879.87415299751</v>
      </c>
      <c r="W234" s="304">
        <f>$L234*'CFL Impact Forecast'!$H$31+$D234*'CFL Impact Forecast'!$J$31</f>
        <v>336225.77419899084</v>
      </c>
      <c r="X234" s="304">
        <f>$L234*'EISA Incand Impact Forecast'!$G$31+$D234*'EISA Incand Impact Forecast'!$I$31</f>
        <v>114983.41945800981</v>
      </c>
      <c r="Y234" s="85">
        <f t="shared" si="90"/>
        <v>1036282.4041672926</v>
      </c>
      <c r="Z234" s="81">
        <f t="shared" si="91"/>
        <v>1168356.8475548369</v>
      </c>
      <c r="AA234" s="81"/>
      <c r="AB234" s="262">
        <f>+'MWh by mo-WgtbyActulCDH&amp;Days'!AB234</f>
        <v>5348619.574030689</v>
      </c>
      <c r="AC234" s="308">
        <f t="shared" si="99"/>
        <v>218.44082036187331</v>
      </c>
      <c r="AD234" s="309">
        <f t="shared" si="92"/>
        <v>24.693183270840429</v>
      </c>
      <c r="AE234" s="107">
        <f t="shared" si="93"/>
        <v>1.9392552306942744E-3</v>
      </c>
      <c r="AF234" s="309">
        <f t="shared" si="100"/>
        <v>193.74763709103283</v>
      </c>
      <c r="AG234" s="107">
        <f t="shared" si="94"/>
        <v>1.5215783017620379E-2</v>
      </c>
      <c r="AH234" s="119">
        <f t="shared" si="101"/>
        <v>1.7155038248314654E-2</v>
      </c>
      <c r="AI234" s="122">
        <f t="shared" si="95"/>
        <v>1.7155038248314658E-2</v>
      </c>
      <c r="AJ234" s="87" t="b">
        <f t="shared" si="102"/>
        <v>1</v>
      </c>
      <c r="AK234" s="88">
        <f t="shared" si="108"/>
        <v>7.770419192021788E-4</v>
      </c>
      <c r="AL234" s="312">
        <f>+AC234/'MWh by month-WgtbyCDH&amp;DayLtHrs'!AC234-1</f>
        <v>-7.7837012829153118E-2</v>
      </c>
      <c r="AM234" s="89">
        <f t="shared" si="96"/>
        <v>336225.77419899084</v>
      </c>
      <c r="AN234" s="93"/>
      <c r="AO234" s="96">
        <f t="shared" si="87"/>
        <v>62.862159019773586</v>
      </c>
      <c r="AP234" s="92">
        <f t="shared" si="114"/>
        <v>4.9368187711864081E-3</v>
      </c>
      <c r="AR234" s="94">
        <f t="shared" si="97"/>
        <v>1.7155038248314658E-2</v>
      </c>
      <c r="AS234" s="95"/>
    </row>
    <row r="235" spans="1:45">
      <c r="A235" s="78">
        <f t="shared" si="111"/>
        <v>2024</v>
      </c>
      <c r="B235" s="78">
        <f t="shared" si="112"/>
        <v>3</v>
      </c>
      <c r="C235" s="317">
        <f t="shared" si="105"/>
        <v>64.582270600115152</v>
      </c>
      <c r="D235" s="324">
        <f t="shared" si="109"/>
        <v>3.2846156787895278E-2</v>
      </c>
      <c r="E235" s="321">
        <f>$D235*'MWh Impact Summary'!B$30</f>
        <v>112971.76136003683</v>
      </c>
      <c r="F235" s="321">
        <f>$D235*'MWh Impact Summary'!N$30</f>
        <v>19489.218223181193</v>
      </c>
      <c r="G235" s="321">
        <f>$D235*'MWh Impact Summary'!C$30</f>
        <v>81532.417525257857</v>
      </c>
      <c r="H235" s="321">
        <f>$D235*'MWh Impact Summary'!D$30</f>
        <v>409.99580466836312</v>
      </c>
      <c r="I235" s="321">
        <f>$D235*'MWh Impact Summary'!E$30</f>
        <v>29008.014888535374</v>
      </c>
      <c r="J235" s="104">
        <f t="shared" si="98"/>
        <v>243411.40780167963</v>
      </c>
      <c r="K235" s="298">
        <f t="shared" si="106"/>
        <v>12</v>
      </c>
      <c r="L235" s="300">
        <f t="shared" si="110"/>
        <v>8.4477296726504739E-2</v>
      </c>
      <c r="M235" s="297">
        <f>(31/366)</f>
        <v>8.4699453551912565E-2</v>
      </c>
      <c r="N235" s="304">
        <f>$L235*'MWh Impact Summary'!F$30</f>
        <v>177447.29139177781</v>
      </c>
      <c r="O235" s="304">
        <f>$L235*'MWh Impact Summary'!G$30</f>
        <v>29271.931522048453</v>
      </c>
      <c r="P235" s="304">
        <f>$M235*'MWh Impact Summary'!H$30</f>
        <v>11256.233754500045</v>
      </c>
      <c r="Q235" s="304">
        <f>$M235*'MWh Impact Summary'!I$30</f>
        <v>1872.0972336714331</v>
      </c>
      <c r="R235" s="304">
        <f>$M235*'MWh Impact Summary'!J$30</f>
        <v>48841.629368224894</v>
      </c>
      <c r="S235" s="304">
        <f>$M235*'MWh Impact Summary'!K$30</f>
        <v>34576.912314095389</v>
      </c>
      <c r="T235" s="304">
        <f>$M235*'MWh Impact Summary'!L$30</f>
        <v>12419.534744117105</v>
      </c>
      <c r="U235" s="304">
        <f>$M235*'MWh Impact Summary'!M$30</f>
        <v>38381.159252237456</v>
      </c>
      <c r="V235" s="304">
        <f>$L235*'LED Impact Forecast'!$H$31+$D235*'LED Impact Forecast'!$J$31</f>
        <v>221534.4454410841</v>
      </c>
      <c r="W235" s="304">
        <f>$L235*'CFL Impact Forecast'!$H$31+$D235*'CFL Impact Forecast'!$J$31</f>
        <v>326852.80752735515</v>
      </c>
      <c r="X235" s="304">
        <f>$L235*'EISA Incand Impact Forecast'!$G$31+$D235*'EISA Incand Impact Forecast'!$I$31</f>
        <v>112038.34535817795</v>
      </c>
      <c r="Y235" s="85">
        <f t="shared" si="90"/>
        <v>1014492.3879072898</v>
      </c>
      <c r="Z235" s="81">
        <f t="shared" si="91"/>
        <v>1257903.7957089695</v>
      </c>
      <c r="AA235" s="81"/>
      <c r="AB235" s="262">
        <f>+'MWh by mo-WgtbyActulCDH&amp;Days'!AB235</f>
        <v>5353889.4374803631</v>
      </c>
      <c r="AC235" s="308">
        <f t="shared" si="99"/>
        <v>234.95139569056204</v>
      </c>
      <c r="AD235" s="309">
        <f t="shared" si="92"/>
        <v>45.464406884770007</v>
      </c>
      <c r="AE235" s="107">
        <f t="shared" si="93"/>
        <v>3.788700573730834E-3</v>
      </c>
      <c r="AF235" s="309">
        <f t="shared" si="100"/>
        <v>189.48698880579204</v>
      </c>
      <c r="AG235" s="107">
        <f t="shared" si="94"/>
        <v>1.5790582400482669E-2</v>
      </c>
      <c r="AH235" s="119">
        <f t="shared" si="101"/>
        <v>1.9579282974213501E-2</v>
      </c>
      <c r="AI235" s="122">
        <f t="shared" si="95"/>
        <v>1.9579282974213501E-2</v>
      </c>
      <c r="AJ235" s="87" t="b">
        <f t="shared" si="102"/>
        <v>1</v>
      </c>
      <c r="AK235" s="88">
        <f t="shared" si="108"/>
        <v>7.2861180651214233E-4</v>
      </c>
      <c r="AL235" s="312">
        <f>+AC235/'MWh by month-WgtbyCDH&amp;DayLtHrs'!AC235-1</f>
        <v>-4.7979956548972136E-2</v>
      </c>
      <c r="AM235" s="89">
        <f t="shared" si="96"/>
        <v>326852.80752735515</v>
      </c>
      <c r="AN235" s="93"/>
      <c r="AO235" s="96">
        <f t="shared" ref="AO235:AO268" si="115">+AM235*1000/AB235</f>
        <v>61.049599799202795</v>
      </c>
      <c r="AP235" s="92">
        <f t="shared" si="114"/>
        <v>5.0874666499335667E-3</v>
      </c>
      <c r="AR235" s="94">
        <f t="shared" si="97"/>
        <v>1.9579282974213501E-2</v>
      </c>
      <c r="AS235" s="95"/>
    </row>
    <row r="236" spans="1:45">
      <c r="A236" s="78">
        <f t="shared" si="111"/>
        <v>2024</v>
      </c>
      <c r="B236" s="78">
        <f t="shared" si="112"/>
        <v>4</v>
      </c>
      <c r="C236" s="317">
        <f t="shared" si="105"/>
        <v>114.03392869270741</v>
      </c>
      <c r="D236" s="324">
        <f t="shared" si="109"/>
        <v>5.7996974497419709E-2</v>
      </c>
      <c r="E236" s="321">
        <f>$D236*'MWh Impact Summary'!B$30</f>
        <v>199476.01190715996</v>
      </c>
      <c r="F236" s="321">
        <f>$D236*'MWh Impact Summary'!N$30</f>
        <v>34412.41846233407</v>
      </c>
      <c r="G236" s="321">
        <f>$D236*'MWh Impact Summary'!C$30</f>
        <v>143963.06911827164</v>
      </c>
      <c r="H236" s="321">
        <f>$D236*'MWh Impact Summary'!D$30</f>
        <v>723.9360263957326</v>
      </c>
      <c r="I236" s="321">
        <f>$D236*'MWh Impact Summary'!E$30</f>
        <v>51219.907113490983</v>
      </c>
      <c r="J236" s="104">
        <f t="shared" si="98"/>
        <v>429795.34262765234</v>
      </c>
      <c r="K236" s="298">
        <f t="shared" si="106"/>
        <v>11.2</v>
      </c>
      <c r="L236" s="300">
        <f t="shared" si="110"/>
        <v>7.8845476944737758E-2</v>
      </c>
      <c r="M236" s="297">
        <f>(30/366)</f>
        <v>8.1967213114754092E-2</v>
      </c>
      <c r="N236" s="304">
        <f>$L236*'MWh Impact Summary'!F$30</f>
        <v>165617.47196565929</v>
      </c>
      <c r="O236" s="304">
        <f>$L236*'MWh Impact Summary'!G$30</f>
        <v>27320.469420578556</v>
      </c>
      <c r="P236" s="304">
        <f>$M236*'MWh Impact Summary'!H$30</f>
        <v>10893.129439838753</v>
      </c>
      <c r="Q236" s="304">
        <f>$M236*'MWh Impact Summary'!I$30</f>
        <v>1811.7070003271933</v>
      </c>
      <c r="R236" s="304">
        <f>$M236*'MWh Impact Summary'!J$30</f>
        <v>47266.09293699183</v>
      </c>
      <c r="S236" s="304">
        <f>$M236*'MWh Impact Summary'!K$30</f>
        <v>33461.528045898762</v>
      </c>
      <c r="T236" s="304">
        <f>$M236*'MWh Impact Summary'!L$30</f>
        <v>12018.904591081069</v>
      </c>
      <c r="U236" s="304">
        <f>$M236*'MWh Impact Summary'!M$30</f>
        <v>37143.057340874955</v>
      </c>
      <c r="V236" s="304">
        <f>$L236*'LED Impact Forecast'!$H$31+$D236*'LED Impact Forecast'!$J$31</f>
        <v>218312.23888074211</v>
      </c>
      <c r="W236" s="304">
        <f>$L236*'CFL Impact Forecast'!$H$31+$D236*'CFL Impact Forecast'!$J$31</f>
        <v>322081.25985598267</v>
      </c>
      <c r="X236" s="304">
        <f>$L236*'EISA Incand Impact Forecast'!$G$31+$D236*'EISA Incand Impact Forecast'!$I$31</f>
        <v>110832.63814368282</v>
      </c>
      <c r="Y236" s="85">
        <f t="shared" si="90"/>
        <v>986758.49762165803</v>
      </c>
      <c r="Z236" s="81">
        <f t="shared" si="91"/>
        <v>1416553.8402493102</v>
      </c>
      <c r="AA236" s="81"/>
      <c r="AB236" s="262">
        <f>+'MWh by mo-WgtbyActulCDH&amp;Days'!AB236</f>
        <v>5359119.6367630055</v>
      </c>
      <c r="AC236" s="308">
        <f t="shared" si="99"/>
        <v>264.32584757613876</v>
      </c>
      <c r="AD236" s="309">
        <f t="shared" si="92"/>
        <v>80.198870665118363</v>
      </c>
      <c r="AE236" s="107">
        <f t="shared" si="93"/>
        <v>7.1606134522427117E-3</v>
      </c>
      <c r="AF236" s="309">
        <f t="shared" si="100"/>
        <v>184.12697691102039</v>
      </c>
      <c r="AG236" s="107">
        <f t="shared" si="94"/>
        <v>1.6439908652769678E-2</v>
      </c>
      <c r="AH236" s="119">
        <f t="shared" si="101"/>
        <v>2.360052210501239E-2</v>
      </c>
      <c r="AI236" s="122">
        <f t="shared" si="95"/>
        <v>2.360052210501239E-2</v>
      </c>
      <c r="AJ236" s="87" t="b">
        <f t="shared" si="102"/>
        <v>1</v>
      </c>
      <c r="AK236" s="88">
        <f t="shared" si="108"/>
        <v>7.3640008398473747E-4</v>
      </c>
      <c r="AL236" s="312">
        <f>+AC236/'MWh by month-WgtbyCDH&amp;DayLtHrs'!AC236-1</f>
        <v>-2.0017656988555843E-2</v>
      </c>
      <c r="AM236" s="89">
        <f t="shared" si="96"/>
        <v>322081.25985598267</v>
      </c>
      <c r="AN236" s="93"/>
      <c r="AO236" s="96">
        <f t="shared" si="115"/>
        <v>60.099658467509961</v>
      </c>
      <c r="AP236" s="92">
        <f t="shared" si="114"/>
        <v>5.3660409345991037E-3</v>
      </c>
      <c r="AR236" s="94">
        <f t="shared" si="97"/>
        <v>2.360052210501239E-2</v>
      </c>
      <c r="AS236" s="95"/>
    </row>
    <row r="237" spans="1:45">
      <c r="A237" s="78">
        <f t="shared" si="111"/>
        <v>2024</v>
      </c>
      <c r="B237" s="78">
        <f t="shared" si="112"/>
        <v>5</v>
      </c>
      <c r="C237" s="317">
        <f t="shared" si="105"/>
        <v>208.47875842628665</v>
      </c>
      <c r="D237" s="324">
        <f t="shared" si="109"/>
        <v>0.10603105035770212</v>
      </c>
      <c r="E237" s="321">
        <f>$D237*'MWh Impact Summary'!B$30</f>
        <v>364685.42104075896</v>
      </c>
      <c r="F237" s="321">
        <f>$D237*'MWh Impact Summary'!N$30</f>
        <v>62913.365852772149</v>
      </c>
      <c r="G237" s="321">
        <f>$D237*'MWh Impact Summary'!C$30</f>
        <v>263195.71949409076</v>
      </c>
      <c r="H237" s="321">
        <f>$D237*'MWh Impact Summary'!D$30</f>
        <v>1323.5120958583061</v>
      </c>
      <c r="I237" s="321">
        <f>$D237*'MWh Impact Summary'!E$30</f>
        <v>93641.101066556643</v>
      </c>
      <c r="J237" s="104">
        <f t="shared" si="98"/>
        <v>785759.11955003685</v>
      </c>
      <c r="K237" s="298">
        <f t="shared" si="106"/>
        <v>10.533333333333333</v>
      </c>
      <c r="L237" s="300">
        <f t="shared" si="110"/>
        <v>7.4152293793265281E-2</v>
      </c>
      <c r="M237" s="297">
        <f>(31/366)</f>
        <v>8.4699453551912565E-2</v>
      </c>
      <c r="N237" s="304">
        <f>$L237*'MWh Impact Summary'!F$30</f>
        <v>155759.28911056055</v>
      </c>
      <c r="O237" s="304">
        <f>$L237*'MWh Impact Summary'!G$30</f>
        <v>25694.251002686979</v>
      </c>
      <c r="P237" s="304">
        <f>$M237*'MWh Impact Summary'!H$30</f>
        <v>11256.233754500045</v>
      </c>
      <c r="Q237" s="304">
        <f>$M237*'MWh Impact Summary'!I$30</f>
        <v>1872.0972336714331</v>
      </c>
      <c r="R237" s="304">
        <f>$M237*'MWh Impact Summary'!J$30</f>
        <v>48841.629368224894</v>
      </c>
      <c r="S237" s="304">
        <f>$M237*'MWh Impact Summary'!K$30</f>
        <v>34576.912314095389</v>
      </c>
      <c r="T237" s="304">
        <f>$M237*'MWh Impact Summary'!L$30</f>
        <v>12419.534744117105</v>
      </c>
      <c r="U237" s="304">
        <f>$M237*'MWh Impact Summary'!M$30</f>
        <v>38381.159252237456</v>
      </c>
      <c r="V237" s="304">
        <f>$L237*'LED Impact Forecast'!$H$31+$D237*'LED Impact Forecast'!$J$31</f>
        <v>227061.69426882191</v>
      </c>
      <c r="W237" s="304">
        <f>$L237*'CFL Impact Forecast'!$H$31+$D237*'CFL Impact Forecast'!$J$31</f>
        <v>334958.34398395848</v>
      </c>
      <c r="X237" s="304">
        <f>$L237*'EISA Incand Impact Forecast'!$G$31+$D237*'EISA Incand Impact Forecast'!$I$31</f>
        <v>116030.57380943152</v>
      </c>
      <c r="Y237" s="85">
        <f t="shared" si="90"/>
        <v>1006851.7188423058</v>
      </c>
      <c r="Z237" s="81">
        <f t="shared" si="91"/>
        <v>1792610.8383923427</v>
      </c>
      <c r="AA237" s="81"/>
      <c r="AB237" s="262">
        <f>+'MWh by mo-WgtbyActulCDH&amp;Days'!AB237</f>
        <v>5364378.1867245836</v>
      </c>
      <c r="AC237" s="308">
        <f t="shared" si="99"/>
        <v>334.16936241158015</v>
      </c>
      <c r="AD237" s="309">
        <f t="shared" si="92"/>
        <v>146.47720429081284</v>
      </c>
      <c r="AE237" s="107">
        <f t="shared" si="93"/>
        <v>1.390606369849489E-2</v>
      </c>
      <c r="AF237" s="309">
        <f t="shared" si="100"/>
        <v>187.69215812076735</v>
      </c>
      <c r="AG237" s="107">
        <f t="shared" si="94"/>
        <v>1.7818875770958927E-2</v>
      </c>
      <c r="AH237" s="119">
        <f t="shared" si="101"/>
        <v>3.1724939469453817E-2</v>
      </c>
      <c r="AI237" s="122">
        <f t="shared" si="95"/>
        <v>3.172493946945381E-2</v>
      </c>
      <c r="AJ237" s="87" t="b">
        <f t="shared" si="102"/>
        <v>1</v>
      </c>
      <c r="AK237" s="88">
        <f t="shared" si="108"/>
        <v>7.5641811937263853E-4</v>
      </c>
      <c r="AL237" s="312">
        <f>+AC237/'MWh by month-WgtbyCDH&amp;DayLtHrs'!AC237-1</f>
        <v>2.4569078558613677E-2</v>
      </c>
      <c r="AM237" s="89">
        <f t="shared" si="96"/>
        <v>334958.34398395848</v>
      </c>
      <c r="AN237" s="93"/>
      <c r="AO237" s="96">
        <f t="shared" si="115"/>
        <v>62.441224746773401</v>
      </c>
      <c r="AP237" s="92">
        <f t="shared" si="114"/>
        <v>5.9279643746936771E-3</v>
      </c>
      <c r="AR237" s="94">
        <f t="shared" si="97"/>
        <v>3.172493946945381E-2</v>
      </c>
      <c r="AS237" s="95"/>
    </row>
    <row r="238" spans="1:45">
      <c r="A238" s="78">
        <f t="shared" si="111"/>
        <v>2024</v>
      </c>
      <c r="B238" s="78">
        <f t="shared" si="112"/>
        <v>6</v>
      </c>
      <c r="C238" s="317">
        <f t="shared" si="105"/>
        <v>271.66325293295364</v>
      </c>
      <c r="D238" s="324">
        <f t="shared" si="109"/>
        <v>0.13816630657965029</v>
      </c>
      <c r="E238" s="321">
        <f>$D238*'MWh Impact Summary'!B$30</f>
        <v>475212.09606678394</v>
      </c>
      <c r="F238" s="321">
        <f>$D238*'MWh Impact Summary'!N$30</f>
        <v>81980.772283657687</v>
      </c>
      <c r="G238" s="321">
        <f>$D238*'MWh Impact Summary'!C$30</f>
        <v>342963.50311907136</v>
      </c>
      <c r="H238" s="321">
        <f>$D238*'MWh Impact Summary'!D$30</f>
        <v>1724.6342215919669</v>
      </c>
      <c r="I238" s="321">
        <f>$D238*'MWh Impact Summary'!E$30</f>
        <v>122021.28560238355</v>
      </c>
      <c r="J238" s="104">
        <f t="shared" si="98"/>
        <v>1023902.2912934885</v>
      </c>
      <c r="K238" s="298">
        <f t="shared" si="106"/>
        <v>10.199999999999999</v>
      </c>
      <c r="L238" s="300">
        <f t="shared" si="110"/>
        <v>7.1805702217529022E-2</v>
      </c>
      <c r="M238" s="297">
        <f>(30/366)</f>
        <v>8.1967213114754092E-2</v>
      </c>
      <c r="N238" s="304">
        <f>$L238*'MWh Impact Summary'!F$30</f>
        <v>150830.19768301112</v>
      </c>
      <c r="O238" s="304">
        <f>$L238*'MWh Impact Summary'!G$30</f>
        <v>24881.141793741182</v>
      </c>
      <c r="P238" s="304">
        <f>$M238*'MWh Impact Summary'!H$30</f>
        <v>10893.129439838753</v>
      </c>
      <c r="Q238" s="304">
        <f>$M238*'MWh Impact Summary'!I$30</f>
        <v>1811.7070003271933</v>
      </c>
      <c r="R238" s="304">
        <f>$M238*'MWh Impact Summary'!J$30</f>
        <v>47266.09293699183</v>
      </c>
      <c r="S238" s="304">
        <f>$M238*'MWh Impact Summary'!K$30</f>
        <v>33461.528045898762</v>
      </c>
      <c r="T238" s="304">
        <f>$M238*'MWh Impact Summary'!L$30</f>
        <v>12018.904591081069</v>
      </c>
      <c r="U238" s="304">
        <f>$M238*'MWh Impact Summary'!M$30</f>
        <v>37143.057340874955</v>
      </c>
      <c r="V238" s="304">
        <f>$L238*'LED Impact Forecast'!$H$31+$D238*'LED Impact Forecast'!$J$31</f>
        <v>234864.99418124938</v>
      </c>
      <c r="W238" s="304">
        <f>$L238*'CFL Impact Forecast'!$H$31+$D238*'CFL Impact Forecast'!$J$31</f>
        <v>346450.22156523238</v>
      </c>
      <c r="X238" s="304">
        <f>$L238*'EISA Incand Impact Forecast'!$G$31+$D238*'EISA Incand Impact Forecast'!$I$31</f>
        <v>120489.36403927245</v>
      </c>
      <c r="Y238" s="85">
        <f t="shared" si="90"/>
        <v>1020110.338617519</v>
      </c>
      <c r="Z238" s="81">
        <f t="shared" si="91"/>
        <v>2044012.6299110074</v>
      </c>
      <c r="AA238" s="81"/>
      <c r="AB238" s="262">
        <f>+'MWh by mo-WgtbyActulCDH&amp;Days'!AB238</f>
        <v>5369633.722238888</v>
      </c>
      <c r="AC238" s="308">
        <f t="shared" si="99"/>
        <v>380.66146326620373</v>
      </c>
      <c r="AD238" s="309">
        <f t="shared" si="92"/>
        <v>190.68382393623838</v>
      </c>
      <c r="AE238" s="107">
        <f t="shared" si="93"/>
        <v>1.8694492542768469E-2</v>
      </c>
      <c r="AF238" s="309">
        <f t="shared" si="100"/>
        <v>189.9776393299654</v>
      </c>
      <c r="AG238" s="107">
        <f t="shared" si="94"/>
        <v>1.8625258757839745E-2</v>
      </c>
      <c r="AH238" s="119">
        <f t="shared" si="101"/>
        <v>3.7319751300608217E-2</v>
      </c>
      <c r="AI238" s="122">
        <f t="shared" si="95"/>
        <v>3.731975130060821E-2</v>
      </c>
      <c r="AJ238" s="87" t="b">
        <f t="shared" si="102"/>
        <v>1</v>
      </c>
      <c r="AK238" s="88">
        <f t="shared" si="108"/>
        <v>7.6048846782343638E-4</v>
      </c>
      <c r="AL238" s="312">
        <f>+AC238/'MWh by month-WgtbyCDH&amp;DayLtHrs'!AC238-1</f>
        <v>4.1878593209945025E-2</v>
      </c>
      <c r="AM238" s="89">
        <f t="shared" si="96"/>
        <v>346450.22156523238</v>
      </c>
      <c r="AN238" s="93"/>
      <c r="AO238" s="96">
        <f t="shared" si="115"/>
        <v>64.520270745912015</v>
      </c>
      <c r="AP238" s="92">
        <f t="shared" si="114"/>
        <v>6.325516739795296E-3</v>
      </c>
      <c r="AR238" s="94">
        <f t="shared" si="97"/>
        <v>3.731975130060821E-2</v>
      </c>
      <c r="AS238" s="95"/>
    </row>
    <row r="239" spans="1:45">
      <c r="A239" s="78">
        <f t="shared" si="111"/>
        <v>2024</v>
      </c>
      <c r="B239" s="78">
        <f t="shared" si="112"/>
        <v>7</v>
      </c>
      <c r="C239" s="317">
        <f t="shared" si="105"/>
        <v>322.31916585708109</v>
      </c>
      <c r="D239" s="324">
        <f t="shared" si="109"/>
        <v>0.16392960109808263</v>
      </c>
      <c r="E239" s="321">
        <f>$D239*'MWh Impact Summary'!B$30</f>
        <v>563822.91221125575</v>
      </c>
      <c r="F239" s="321">
        <f>$D239*'MWh Impact Summary'!N$30</f>
        <v>97267.384725416952</v>
      </c>
      <c r="G239" s="321">
        <f>$D239*'MWh Impact Summary'!C$30</f>
        <v>406914.47610709292</v>
      </c>
      <c r="H239" s="321">
        <f>$D239*'MWh Impact Summary'!D$30</f>
        <v>2046.2195667269386</v>
      </c>
      <c r="I239" s="321">
        <f>$D239*'MWh Impact Summary'!E$30</f>
        <v>144774.08544421539</v>
      </c>
      <c r="J239" s="104">
        <f t="shared" si="98"/>
        <v>1214825.078054708</v>
      </c>
      <c r="K239" s="298">
        <f t="shared" si="106"/>
        <v>10.366666666666667</v>
      </c>
      <c r="L239" s="300">
        <f t="shared" si="110"/>
        <v>7.2978998005397158E-2</v>
      </c>
      <c r="M239" s="297">
        <f>(31/366)</f>
        <v>8.4699453551912565E-2</v>
      </c>
      <c r="N239" s="304">
        <f>$L239*'MWh Impact Summary'!F$30</f>
        <v>153294.74339678584</v>
      </c>
      <c r="O239" s="304">
        <f>$L239*'MWh Impact Summary'!G$30</f>
        <v>25287.696398214084</v>
      </c>
      <c r="P239" s="304">
        <f>$M239*'MWh Impact Summary'!H$30</f>
        <v>11256.233754500045</v>
      </c>
      <c r="Q239" s="304">
        <f>$M239*'MWh Impact Summary'!I$30</f>
        <v>1872.0972336714331</v>
      </c>
      <c r="R239" s="304">
        <f>$M239*'MWh Impact Summary'!J$30</f>
        <v>48841.629368224894</v>
      </c>
      <c r="S239" s="304">
        <f>$M239*'MWh Impact Summary'!K$30</f>
        <v>34576.912314095389</v>
      </c>
      <c r="T239" s="304">
        <f>$M239*'MWh Impact Summary'!L$30</f>
        <v>12419.534744117105</v>
      </c>
      <c r="U239" s="304">
        <f>$M239*'MWh Impact Summary'!M$30</f>
        <v>38381.159252237456</v>
      </c>
      <c r="V239" s="304">
        <f>$L239*'LED Impact Forecast'!$H$31+$D239*'LED Impact Forecast'!$J$31</f>
        <v>248629.82399208596</v>
      </c>
      <c r="W239" s="304">
        <f>$L239*'CFL Impact Forecast'!$H$31+$D239*'CFL Impact Forecast'!$J$31</f>
        <v>366742.71626404254</v>
      </c>
      <c r="X239" s="304">
        <f>$L239*'EISA Incand Impact Forecast'!$G$31+$D239*'EISA Incand Impact Forecast'!$I$31</f>
        <v>127843.11685109138</v>
      </c>
      <c r="Y239" s="85">
        <f t="shared" si="90"/>
        <v>1069145.6635690662</v>
      </c>
      <c r="Z239" s="81">
        <f t="shared" si="91"/>
        <v>2283970.7416237742</v>
      </c>
      <c r="AA239" s="81"/>
      <c r="AB239" s="262">
        <f>+'MWh by mo-WgtbyActulCDH&amp;Days'!AB239</f>
        <v>5374960.0944571337</v>
      </c>
      <c r="AC239" s="308">
        <f t="shared" si="99"/>
        <v>424.9279439263359</v>
      </c>
      <c r="AD239" s="309">
        <f t="shared" si="92"/>
        <v>226.01564601521088</v>
      </c>
      <c r="AE239" s="107">
        <f t="shared" si="93"/>
        <v>2.1802152348734168E-2</v>
      </c>
      <c r="AF239" s="309">
        <f t="shared" si="100"/>
        <v>198.91229791112505</v>
      </c>
      <c r="AG239" s="107">
        <f t="shared" si="94"/>
        <v>1.9187681470526533E-2</v>
      </c>
      <c r="AH239" s="119">
        <f t="shared" si="101"/>
        <v>4.0989833819260704E-2</v>
      </c>
      <c r="AI239" s="122">
        <f t="shared" si="95"/>
        <v>4.0989833819260697E-2</v>
      </c>
      <c r="AJ239" s="87" t="b">
        <f t="shared" si="102"/>
        <v>1</v>
      </c>
      <c r="AK239" s="88">
        <f t="shared" si="108"/>
        <v>7.6569767969805053E-4</v>
      </c>
      <c r="AL239" s="312">
        <f>+AC239/'MWh by month-WgtbyCDH&amp;DayLtHrs'!AC239-1</f>
        <v>5.4594811882929584E-2</v>
      </c>
      <c r="AM239" s="89">
        <f t="shared" si="96"/>
        <v>366742.71626404254</v>
      </c>
      <c r="AN239" s="93"/>
      <c r="AO239" s="96">
        <f t="shared" si="115"/>
        <v>68.231709597665997</v>
      </c>
      <c r="AP239" s="92">
        <f t="shared" si="114"/>
        <v>6.581836938681607E-3</v>
      </c>
      <c r="AR239" s="94">
        <f t="shared" si="97"/>
        <v>4.0989833819260697E-2</v>
      </c>
      <c r="AS239" s="95"/>
    </row>
    <row r="240" spans="1:45">
      <c r="A240" s="78">
        <f t="shared" si="111"/>
        <v>2024</v>
      </c>
      <c r="B240" s="78">
        <f t="shared" si="112"/>
        <v>8</v>
      </c>
      <c r="C240" s="317">
        <f t="shared" si="105"/>
        <v>326.45437890907908</v>
      </c>
      <c r="D240" s="324">
        <f t="shared" si="109"/>
        <v>0.16603274573816959</v>
      </c>
      <c r="E240" s="321">
        <f>$D240*'MWh Impact Summary'!B$30</f>
        <v>571056.51204821153</v>
      </c>
      <c r="F240" s="321">
        <f>$D240*'MWh Impact Summary'!N$30</f>
        <v>98515.282466094926</v>
      </c>
      <c r="G240" s="321">
        <f>$D240*'MWh Impact Summary'!C$30</f>
        <v>412135.00976096536</v>
      </c>
      <c r="H240" s="321">
        <f>$D240*'MWh Impact Summary'!D$30</f>
        <v>2072.4716632694535</v>
      </c>
      <c r="I240" s="321">
        <f>$D240*'MWh Impact Summary'!E$30</f>
        <v>146631.47324840649</v>
      </c>
      <c r="J240" s="104">
        <f t="shared" si="98"/>
        <v>1230410.7491869479</v>
      </c>
      <c r="K240" s="298">
        <f t="shared" si="106"/>
        <v>10.933333333333334</v>
      </c>
      <c r="L240" s="300">
        <f t="shared" si="110"/>
        <v>7.6968203684148764E-2</v>
      </c>
      <c r="M240" s="297">
        <f>(31/366)</f>
        <v>8.4699453551912565E-2</v>
      </c>
      <c r="N240" s="304">
        <f>$L240*'MWh Impact Summary'!F$30</f>
        <v>161674.19882361978</v>
      </c>
      <c r="O240" s="304">
        <f>$L240*'MWh Impact Summary'!G$30</f>
        <v>26669.982053421925</v>
      </c>
      <c r="P240" s="304">
        <f>$M240*'MWh Impact Summary'!H$30</f>
        <v>11256.233754500045</v>
      </c>
      <c r="Q240" s="304">
        <f>$M240*'MWh Impact Summary'!I$30</f>
        <v>1872.0972336714331</v>
      </c>
      <c r="R240" s="304">
        <f>$M240*'MWh Impact Summary'!J$30</f>
        <v>48841.629368224894</v>
      </c>
      <c r="S240" s="304">
        <f>$M240*'MWh Impact Summary'!K$30</f>
        <v>34576.912314095389</v>
      </c>
      <c r="T240" s="304">
        <f>$M240*'MWh Impact Summary'!L$30</f>
        <v>12419.534744117105</v>
      </c>
      <c r="U240" s="304">
        <f>$M240*'MWh Impact Summary'!M$30</f>
        <v>38381.159252237456</v>
      </c>
      <c r="V240" s="304">
        <f>$L240*'LED Impact Forecast'!$H$31+$D240*'LED Impact Forecast'!$J$31</f>
        <v>259324.3314604499</v>
      </c>
      <c r="W240" s="304">
        <f>$L240*'CFL Impact Forecast'!$H$31+$D240*'CFL Impact Forecast'!$J$31</f>
        <v>382521.08219664369</v>
      </c>
      <c r="X240" s="304">
        <f>$L240*'EISA Incand Impact Forecast'!$G$31+$D240*'EISA Incand Impact Forecast'!$I$31</f>
        <v>133260.29295685372</v>
      </c>
      <c r="Y240" s="85">
        <f t="shared" si="90"/>
        <v>1110797.4541578353</v>
      </c>
      <c r="Z240" s="81">
        <f t="shared" si="91"/>
        <v>2341208.2033447833</v>
      </c>
      <c r="AA240" s="81"/>
      <c r="AB240" s="262">
        <f>+'MWh by mo-WgtbyActulCDH&amp;Days'!AB240</f>
        <v>5380321.6496443385</v>
      </c>
      <c r="AC240" s="308">
        <f t="shared" si="99"/>
        <v>435.14279550545956</v>
      </c>
      <c r="AD240" s="309">
        <f t="shared" si="92"/>
        <v>228.68721041395045</v>
      </c>
      <c r="AE240" s="107">
        <f t="shared" si="93"/>
        <v>2.0916513147617419E-2</v>
      </c>
      <c r="AF240" s="309">
        <f t="shared" si="100"/>
        <v>206.45558509150908</v>
      </c>
      <c r="AG240" s="107">
        <f t="shared" si="94"/>
        <v>1.8883132782759975E-2</v>
      </c>
      <c r="AH240" s="119">
        <f t="shared" si="101"/>
        <v>3.9799645930377395E-2</v>
      </c>
      <c r="AI240" s="122">
        <f t="shared" si="95"/>
        <v>3.9799645930377395E-2</v>
      </c>
      <c r="AJ240" s="87" t="b">
        <f t="shared" si="102"/>
        <v>1</v>
      </c>
      <c r="AK240" s="88">
        <f t="shared" si="108"/>
        <v>7.5627409881411783E-4</v>
      </c>
      <c r="AL240" s="312">
        <f>+AC240/'MWh by month-WgtbyCDH&amp;DayLtHrs'!AC240-1</f>
        <v>5.2052012465956476E-2</v>
      </c>
      <c r="AM240" s="89">
        <f t="shared" si="96"/>
        <v>382521.08219664369</v>
      </c>
      <c r="AN240" s="93"/>
      <c r="AO240" s="96">
        <f t="shared" si="115"/>
        <v>71.09632232153443</v>
      </c>
      <c r="AP240" s="92">
        <f t="shared" si="114"/>
        <v>6.5027124074574167E-3</v>
      </c>
      <c r="AR240" s="94">
        <f t="shared" si="97"/>
        <v>3.9799645930377395E-2</v>
      </c>
      <c r="AS240" s="95"/>
    </row>
    <row r="241" spans="1:45">
      <c r="A241" s="78">
        <f t="shared" si="111"/>
        <v>2024</v>
      </c>
      <c r="B241" s="78">
        <f t="shared" si="112"/>
        <v>9</v>
      </c>
      <c r="C241" s="317">
        <f t="shared" si="105"/>
        <v>277.87653293728147</v>
      </c>
      <c r="D241" s="324">
        <f t="shared" si="109"/>
        <v>0.14132634365008559</v>
      </c>
      <c r="E241" s="321">
        <f>$D241*'MWh Impact Summary'!B$30</f>
        <v>486080.79392131191</v>
      </c>
      <c r="F241" s="321">
        <f>$D241*'MWh Impact Summary'!N$30</f>
        <v>83855.775574202533</v>
      </c>
      <c r="G241" s="321">
        <f>$D241*'MWh Impact Summary'!C$30</f>
        <v>350807.50945094676</v>
      </c>
      <c r="H241" s="321">
        <f>$D241*'MWh Impact Summary'!D$30</f>
        <v>1764.0787736545219</v>
      </c>
      <c r="I241" s="321">
        <f>$D241*'MWh Impact Summary'!E$30</f>
        <v>124812.06575299443</v>
      </c>
      <c r="J241" s="104">
        <f t="shared" si="98"/>
        <v>1047320.2234731101</v>
      </c>
      <c r="K241" s="298">
        <f t="shared" si="106"/>
        <v>11.683333333333334</v>
      </c>
      <c r="L241" s="300">
        <f t="shared" si="110"/>
        <v>8.2248034729555317E-2</v>
      </c>
      <c r="M241" s="297">
        <f>(30/366)</f>
        <v>8.1967213114754092E-2</v>
      </c>
      <c r="N241" s="304">
        <f>$L241*'MWh Impact Summary'!F$30</f>
        <v>172764.65453560592</v>
      </c>
      <c r="O241" s="304">
        <f>$L241*'MWh Impact Summary'!G$30</f>
        <v>28499.477773549956</v>
      </c>
      <c r="P241" s="304">
        <f>$M241*'MWh Impact Summary'!H$30</f>
        <v>10893.129439838753</v>
      </c>
      <c r="Q241" s="304">
        <f>$M241*'MWh Impact Summary'!I$30</f>
        <v>1811.7070003271933</v>
      </c>
      <c r="R241" s="304">
        <f>$M241*'MWh Impact Summary'!J$30</f>
        <v>47266.09293699183</v>
      </c>
      <c r="S241" s="304">
        <f>$M241*'MWh Impact Summary'!K$30</f>
        <v>33461.528045898762</v>
      </c>
      <c r="T241" s="304">
        <f>$M241*'MWh Impact Summary'!L$30</f>
        <v>12018.904591081069</v>
      </c>
      <c r="U241" s="304">
        <f>$M241*'MWh Impact Summary'!M$30</f>
        <v>37143.057340874955</v>
      </c>
      <c r="V241" s="304">
        <f>$L241*'LED Impact Forecast'!$H$31+$D241*'LED Impact Forecast'!$J$31</f>
        <v>261868.96790092517</v>
      </c>
      <c r="W241" s="304">
        <f>$L241*'CFL Impact Forecast'!$H$31+$D241*'CFL Impact Forecast'!$J$31</f>
        <v>386292.5683287342</v>
      </c>
      <c r="X241" s="304">
        <f>$L241*'EISA Incand Impact Forecast'!$G$31+$D241*'EISA Incand Impact Forecast'!$I$31</f>
        <v>134132.33934776529</v>
      </c>
      <c r="Y241" s="85">
        <f t="shared" si="90"/>
        <v>1126152.4272415931</v>
      </c>
      <c r="Z241" s="81">
        <f t="shared" si="91"/>
        <v>2173472.6507147034</v>
      </c>
      <c r="AA241" s="81"/>
      <c r="AB241" s="262">
        <f>+'MWh by mo-WgtbyActulCDH&amp;Days'!AB241</f>
        <v>5385554.9074087441</v>
      </c>
      <c r="AC241" s="308">
        <f t="shared" si="99"/>
        <v>403.57450403573517</v>
      </c>
      <c r="AD241" s="309">
        <f t="shared" si="92"/>
        <v>194.46839582534818</v>
      </c>
      <c r="AE241" s="107">
        <f t="shared" si="93"/>
        <v>1.6644941154808687E-2</v>
      </c>
      <c r="AF241" s="309">
        <f t="shared" si="100"/>
        <v>209.10610821038691</v>
      </c>
      <c r="AG241" s="107">
        <f t="shared" si="94"/>
        <v>1.7897812400318423E-2</v>
      </c>
      <c r="AH241" s="119">
        <f t="shared" si="101"/>
        <v>3.4542753555127106E-2</v>
      </c>
      <c r="AI241" s="122">
        <f t="shared" si="95"/>
        <v>3.454275355512712E-2</v>
      </c>
      <c r="AJ241" s="87" t="b">
        <f t="shared" si="102"/>
        <v>1</v>
      </c>
      <c r="AK241" s="88">
        <f t="shared" si="108"/>
        <v>7.370318885936214E-4</v>
      </c>
      <c r="AL241" s="312">
        <f>+AC241/'MWh by month-WgtbyCDH&amp;DayLtHrs'!AC241-1</f>
        <v>3.469634383985909E-2</v>
      </c>
      <c r="AM241" s="89">
        <f t="shared" si="96"/>
        <v>386292.5683287342</v>
      </c>
      <c r="AN241" s="93"/>
      <c r="AO241" s="96">
        <f t="shared" si="115"/>
        <v>71.727533182759544</v>
      </c>
      <c r="AP241" s="92">
        <f t="shared" si="114"/>
        <v>6.1393038387526E-3</v>
      </c>
      <c r="AR241" s="94">
        <f t="shared" si="97"/>
        <v>3.454275355512712E-2</v>
      </c>
      <c r="AS241" s="95"/>
    </row>
    <row r="242" spans="1:45">
      <c r="A242" s="78">
        <f t="shared" si="111"/>
        <v>2024</v>
      </c>
      <c r="B242" s="78">
        <f t="shared" si="112"/>
        <v>10</v>
      </c>
      <c r="C242" s="317">
        <f t="shared" si="105"/>
        <v>198.89039579254836</v>
      </c>
      <c r="D242" s="324">
        <f t="shared" si="109"/>
        <v>0.10115446643644242</v>
      </c>
      <c r="E242" s="321">
        <f>$D242*'MWh Impact Summary'!B$30</f>
        <v>347912.79590344697</v>
      </c>
      <c r="F242" s="321">
        <f>$D242*'MWh Impact Summary'!N$30</f>
        <v>60019.852044176063</v>
      </c>
      <c r="G242" s="321">
        <f>$D242*'MWh Impact Summary'!C$30</f>
        <v>251090.81239848706</v>
      </c>
      <c r="H242" s="321">
        <f>$D242*'MWh Impact Summary'!D$30</f>
        <v>1262.6410794486635</v>
      </c>
      <c r="I242" s="321">
        <f>$D242*'MWh Impact Summary'!E$30</f>
        <v>89334.356143350728</v>
      </c>
      <c r="J242" s="104">
        <f t="shared" si="98"/>
        <v>749620.45756890951</v>
      </c>
      <c r="K242" s="298">
        <f t="shared" si="106"/>
        <v>12.466666666666667</v>
      </c>
      <c r="L242" s="300">
        <f t="shared" si="110"/>
        <v>8.7762524932535488E-2</v>
      </c>
      <c r="M242" s="297">
        <f>(31/366)</f>
        <v>8.4699453551912565E-2</v>
      </c>
      <c r="N242" s="304">
        <f>$L242*'MWh Impact Summary'!F$30</f>
        <v>184348.01939034698</v>
      </c>
      <c r="O242" s="304">
        <f>$L242*'MWh Impact Summary'!G$30</f>
        <v>30410.284414572565</v>
      </c>
      <c r="P242" s="304">
        <f>$M242*'MWh Impact Summary'!H$30</f>
        <v>11256.233754500045</v>
      </c>
      <c r="Q242" s="304">
        <f>$M242*'MWh Impact Summary'!I$30</f>
        <v>1872.0972336714331</v>
      </c>
      <c r="R242" s="304">
        <f>$M242*'MWh Impact Summary'!J$30</f>
        <v>48841.629368224894</v>
      </c>
      <c r="S242" s="304">
        <f>$M242*'MWh Impact Summary'!K$30</f>
        <v>34576.912314095389</v>
      </c>
      <c r="T242" s="304">
        <f>$M242*'MWh Impact Summary'!L$30</f>
        <v>12419.534744117105</v>
      </c>
      <c r="U242" s="304">
        <f>$M242*'MWh Impact Summary'!M$30</f>
        <v>38381.159252237456</v>
      </c>
      <c r="V242" s="304">
        <f>$L242*'LED Impact Forecast'!$H$31+$D242*'LED Impact Forecast'!$J$31</f>
        <v>258458.90083882734</v>
      </c>
      <c r="W242" s="304">
        <f>$L242*'CFL Impact Forecast'!$H$31+$D242*'CFL Impact Forecast'!$J$31</f>
        <v>381288.41353823501</v>
      </c>
      <c r="X242" s="304">
        <f>$L242*'EISA Incand Impact Forecast'!$G$31+$D242*'EISA Incand Impact Forecast'!$I$31</f>
        <v>131751.67776951162</v>
      </c>
      <c r="Y242" s="85">
        <f t="shared" si="90"/>
        <v>1133604.8626183399</v>
      </c>
      <c r="Z242" s="81">
        <f t="shared" si="91"/>
        <v>1883225.3201872495</v>
      </c>
      <c r="AA242" s="81"/>
      <c r="AB242" s="262">
        <f>+'MWh by mo-WgtbyActulCDH&amp;Days'!AB242</f>
        <v>5390832.5836841511</v>
      </c>
      <c r="AC242" s="308">
        <f t="shared" si="99"/>
        <v>349.33849103142313</v>
      </c>
      <c r="AD242" s="309">
        <f t="shared" si="92"/>
        <v>139.05467215541148</v>
      </c>
      <c r="AE242" s="107">
        <f t="shared" si="93"/>
        <v>1.1154118087332472E-2</v>
      </c>
      <c r="AF242" s="309">
        <f t="shared" si="100"/>
        <v>210.28381887601165</v>
      </c>
      <c r="AG242" s="107">
        <f t="shared" si="94"/>
        <v>1.6867686006097192E-2</v>
      </c>
      <c r="AH242" s="119">
        <f t="shared" si="101"/>
        <v>2.8021804093429664E-2</v>
      </c>
      <c r="AI242" s="122">
        <f t="shared" si="95"/>
        <v>2.8021804093429661E-2</v>
      </c>
      <c r="AJ242" s="87" t="b">
        <f t="shared" si="102"/>
        <v>1</v>
      </c>
      <c r="AK242" s="88">
        <f t="shared" si="108"/>
        <v>7.2636238360655747E-4</v>
      </c>
      <c r="AL242" s="312">
        <f>+AC242/'MWh by month-WgtbyCDH&amp;DayLtHrs'!AC242-1</f>
        <v>1.0428464235425317E-2</v>
      </c>
      <c r="AM242" s="89">
        <f t="shared" si="96"/>
        <v>381288.41353823501</v>
      </c>
      <c r="AN242" s="93"/>
      <c r="AO242" s="96">
        <f t="shared" si="115"/>
        <v>70.729040017350812</v>
      </c>
      <c r="AP242" s="92">
        <f t="shared" si="114"/>
        <v>5.6734524078088881E-3</v>
      </c>
      <c r="AR242" s="94">
        <f t="shared" si="97"/>
        <v>2.8021804093429661E-2</v>
      </c>
      <c r="AS242" s="95"/>
    </row>
    <row r="243" spans="1:45">
      <c r="A243" s="78">
        <f t="shared" si="111"/>
        <v>2024</v>
      </c>
      <c r="B243" s="78">
        <f t="shared" si="112"/>
        <v>11</v>
      </c>
      <c r="C243" s="317">
        <f t="shared" si="105"/>
        <v>78.117279066674627</v>
      </c>
      <c r="D243" s="324">
        <f t="shared" si="109"/>
        <v>3.9729981188725644E-2</v>
      </c>
      <c r="E243" s="321">
        <f>$D243*'MWh Impact Summary'!B$30</f>
        <v>136648.1315508289</v>
      </c>
      <c r="F243" s="321">
        <f>$D243*'MWh Impact Summary'!N$30</f>
        <v>23573.725181611237</v>
      </c>
      <c r="G243" s="321">
        <f>$D243*'MWh Impact Summary'!C$30</f>
        <v>98619.800041373019</v>
      </c>
      <c r="H243" s="321">
        <f>$D243*'MWh Impact Summary'!D$30</f>
        <v>495.92181247011206</v>
      </c>
      <c r="I243" s="321">
        <f>$D243*'MWh Impact Summary'!E$30</f>
        <v>35087.450056516434</v>
      </c>
      <c r="J243" s="104">
        <f t="shared" si="98"/>
        <v>294425.02864279965</v>
      </c>
      <c r="K243" s="298">
        <f t="shared" si="106"/>
        <v>13.15</v>
      </c>
      <c r="L243" s="300">
        <f t="shared" si="110"/>
        <v>9.2573037662794788E-2</v>
      </c>
      <c r="M243" s="297">
        <f>(30/366)</f>
        <v>8.1967213114754092E-2</v>
      </c>
      <c r="N243" s="304">
        <f>$L243*'MWh Impact Summary'!F$30</f>
        <v>194452.6568168232</v>
      </c>
      <c r="O243" s="304">
        <f>$L243*'MWh Impact Summary'!G$30</f>
        <v>32077.158292911434</v>
      </c>
      <c r="P243" s="304">
        <f>$M243*'MWh Impact Summary'!H$30</f>
        <v>10893.129439838753</v>
      </c>
      <c r="Q243" s="304">
        <f>$M243*'MWh Impact Summary'!I$30</f>
        <v>1811.7070003271933</v>
      </c>
      <c r="R243" s="304">
        <f>$M243*'MWh Impact Summary'!J$30</f>
        <v>47266.09293699183</v>
      </c>
      <c r="S243" s="304">
        <f>$M243*'MWh Impact Summary'!K$30</f>
        <v>33461.528045898762</v>
      </c>
      <c r="T243" s="304">
        <f>$M243*'MWh Impact Summary'!L$30</f>
        <v>12018.904591081069</v>
      </c>
      <c r="U243" s="304">
        <f>$M243*'MWh Impact Summary'!M$30</f>
        <v>37143.057340874955</v>
      </c>
      <c r="V243" s="304">
        <f>$L243*'LED Impact Forecast'!$H$31+$D243*'LED Impact Forecast'!$J$31</f>
        <v>244342.68561242521</v>
      </c>
      <c r="W243" s="304">
        <f>$L243*'CFL Impact Forecast'!$H$31+$D243*'CFL Impact Forecast'!$J$31</f>
        <v>360501.78620771575</v>
      </c>
      <c r="X243" s="304">
        <f>$L243*'EISA Incand Impact Forecast'!$G$31+$D243*'EISA Incand Impact Forecast'!$I$31</f>
        <v>123631.25830399671</v>
      </c>
      <c r="Y243" s="85">
        <f t="shared" si="90"/>
        <v>1097599.9645888847</v>
      </c>
      <c r="Z243" s="81">
        <f t="shared" si="91"/>
        <v>1392024.9932316844</v>
      </c>
      <c r="AA243" s="81"/>
      <c r="AB243" s="262">
        <f>+'MWh by mo-WgtbyActulCDH&amp;Days'!AB243</f>
        <v>5396121.651252266</v>
      </c>
      <c r="AC243" s="308">
        <f t="shared" si="99"/>
        <v>257.96768182730654</v>
      </c>
      <c r="AD243" s="309">
        <f t="shared" si="92"/>
        <v>54.562340820183898</v>
      </c>
      <c r="AE243" s="107">
        <f t="shared" si="93"/>
        <v>4.1492274387972547E-3</v>
      </c>
      <c r="AF243" s="309">
        <f t="shared" si="100"/>
        <v>203.40534100712264</v>
      </c>
      <c r="AG243" s="107">
        <f t="shared" si="94"/>
        <v>1.5468086768602483E-2</v>
      </c>
      <c r="AH243" s="119">
        <f t="shared" si="101"/>
        <v>1.9617314207399737E-2</v>
      </c>
      <c r="AI243" s="122">
        <f t="shared" si="95"/>
        <v>1.9617314207399737E-2</v>
      </c>
      <c r="AJ243" s="87" t="b">
        <f t="shared" si="102"/>
        <v>1</v>
      </c>
      <c r="AK243" s="88">
        <f t="shared" si="108"/>
        <v>7.0771921236664759E-4</v>
      </c>
      <c r="AL243" s="312">
        <f>+AC243/'MWh by month-WgtbyCDH&amp;DayLtHrs'!AC243-1</f>
        <v>-4.7678762118344653E-2</v>
      </c>
      <c r="AM243" s="89">
        <f t="shared" si="96"/>
        <v>360501.78620771575</v>
      </c>
      <c r="AN243" s="93"/>
      <c r="AO243" s="96">
        <f t="shared" si="115"/>
        <v>66.807572087270287</v>
      </c>
      <c r="AP243" s="92">
        <f t="shared" si="114"/>
        <v>5.0804237328722652E-3</v>
      </c>
      <c r="AR243" s="94">
        <f t="shared" si="97"/>
        <v>1.9617314207399737E-2</v>
      </c>
      <c r="AS243" s="95"/>
    </row>
    <row r="244" spans="1:45">
      <c r="A244" s="78">
        <f t="shared" si="111"/>
        <v>2024</v>
      </c>
      <c r="B244" s="78">
        <f t="shared" si="112"/>
        <v>12</v>
      </c>
      <c r="C244" s="317">
        <f t="shared" si="105"/>
        <v>42.633806123140985</v>
      </c>
      <c r="D244" s="324">
        <f t="shared" si="109"/>
        <v>2.1683298951445065E-2</v>
      </c>
      <c r="E244" s="321">
        <f>$D244*'MWh Impact Summary'!B$30</f>
        <v>74577.993719610284</v>
      </c>
      <c r="F244" s="321">
        <f>$D244*'MWh Impact Summary'!N$30</f>
        <v>12865.753147075191</v>
      </c>
      <c r="G244" s="321">
        <f>$D244*'MWh Impact Summary'!C$30</f>
        <v>53823.398422238613</v>
      </c>
      <c r="H244" s="321">
        <f>$D244*'MWh Impact Summary'!D$30</f>
        <v>270.65758891885423</v>
      </c>
      <c r="I244" s="321">
        <f>$D244*'MWh Impact Summary'!E$30</f>
        <v>19149.560262949304</v>
      </c>
      <c r="J244" s="104">
        <f t="shared" si="98"/>
        <v>160687.36314079224</v>
      </c>
      <c r="K244" s="298">
        <f t="shared" si="106"/>
        <v>13.483333333333333</v>
      </c>
      <c r="L244" s="300">
        <f t="shared" si="110"/>
        <v>9.491962923853102E-2</v>
      </c>
      <c r="M244" s="297">
        <f>(31/366)</f>
        <v>8.4699453551912565E-2</v>
      </c>
      <c r="N244" s="304">
        <f>$L244*'MWh Impact Summary'!F$30</f>
        <v>199381.74824437257</v>
      </c>
      <c r="O244" s="304">
        <f>$L244*'MWh Impact Summary'!G$30</f>
        <v>32890.267501857219</v>
      </c>
      <c r="P244" s="304">
        <f>$M244*'MWh Impact Summary'!H$30</f>
        <v>11256.233754500045</v>
      </c>
      <c r="Q244" s="304">
        <f>$M244*'MWh Impact Summary'!I$30</f>
        <v>1872.0972336714331</v>
      </c>
      <c r="R244" s="304">
        <f>$M244*'MWh Impact Summary'!J$30</f>
        <v>48841.629368224894</v>
      </c>
      <c r="S244" s="304">
        <f>$M244*'MWh Impact Summary'!K$30</f>
        <v>34576.912314095389</v>
      </c>
      <c r="T244" s="304">
        <f>$M244*'MWh Impact Summary'!L$30</f>
        <v>12419.534744117105</v>
      </c>
      <c r="U244" s="304">
        <f>$M244*'MWh Impact Summary'!M$30</f>
        <v>38381.159252237456</v>
      </c>
      <c r="V244" s="304">
        <f>$L244*'LED Impact Forecast'!$H$31+$D244*'LED Impact Forecast'!$J$31</f>
        <v>242489.42197942105</v>
      </c>
      <c r="W244" s="304">
        <f>$L244*'CFL Impact Forecast'!$H$31+$D244*'CFL Impact Forecast'!$J$31</f>
        <v>357779.60275704728</v>
      </c>
      <c r="X244" s="304">
        <f>$L244*'EISA Incand Impact Forecast'!$G$31+$D244*'EISA Incand Impact Forecast'!$I$31</f>
        <v>122400.05379508293</v>
      </c>
      <c r="Y244" s="85">
        <f t="shared" si="90"/>
        <v>1102288.6609446274</v>
      </c>
      <c r="Z244" s="81">
        <f t="shared" si="91"/>
        <v>1262976.0240854197</v>
      </c>
      <c r="AA244" s="81">
        <f>SUM(Z233:Z244)</f>
        <v>20193711.515252534</v>
      </c>
      <c r="AB244" s="262">
        <f>+'MWh by mo-WgtbyActulCDH&amp;Days'!AB244</f>
        <v>5401414.1942394003</v>
      </c>
      <c r="AC244" s="308">
        <f t="shared" si="99"/>
        <v>233.82321345257722</v>
      </c>
      <c r="AD244" s="309">
        <f t="shared" si="92"/>
        <v>29.749128165761675</v>
      </c>
      <c r="AE244" s="107">
        <f>+AD244/K244/1000</f>
        <v>2.2063630283630418E-3</v>
      </c>
      <c r="AF244" s="309">
        <f t="shared" si="100"/>
        <v>204.07408528681552</v>
      </c>
      <c r="AG244" s="107">
        <f t="shared" si="94"/>
        <v>1.5135284446488173E-2</v>
      </c>
      <c r="AH244" s="119">
        <f t="shared" si="101"/>
        <v>1.7341647474851216E-2</v>
      </c>
      <c r="AI244" s="122">
        <f t="shared" si="95"/>
        <v>1.7341647474851219E-2</v>
      </c>
      <c r="AJ244" s="87" t="b">
        <f t="shared" si="102"/>
        <v>1</v>
      </c>
      <c r="AK244" s="88">
        <f t="shared" si="108"/>
        <v>7.0593347977656803E-4</v>
      </c>
      <c r="AL244" s="312">
        <f>+AC244/'MWh by month-WgtbyCDH&amp;DayLtHrs'!AC244-1</f>
        <v>-6.7153361067898598E-2</v>
      </c>
      <c r="AM244" s="89">
        <f t="shared" si="96"/>
        <v>357779.60275704728</v>
      </c>
      <c r="AN244" s="90">
        <f>SUM(AM233:AM244)</f>
        <v>4249562.6863526935</v>
      </c>
      <c r="AO244" s="96">
        <f t="shared" si="115"/>
        <v>66.238135031121786</v>
      </c>
      <c r="AP244" s="92">
        <f t="shared" si="114"/>
        <v>4.9125934510102689E-3</v>
      </c>
      <c r="AR244" s="94">
        <f t="shared" si="97"/>
        <v>1.7341647474851219E-2</v>
      </c>
      <c r="AS244" s="95"/>
    </row>
    <row r="245" spans="1:45">
      <c r="A245" s="78">
        <f t="shared" si="111"/>
        <v>2025</v>
      </c>
      <c r="B245" s="78">
        <f t="shared" si="112"/>
        <v>1</v>
      </c>
      <c r="C245" s="317">
        <f t="shared" si="105"/>
        <v>26.112829868525239</v>
      </c>
      <c r="D245" s="324">
        <f t="shared" si="109"/>
        <v>1.3280829182176284E-2</v>
      </c>
      <c r="E245" s="321">
        <f>$D245*'MWh Impact Summary'!B$31</f>
        <v>45880.70599071886</v>
      </c>
      <c r="F245" s="321">
        <f>$D245*'MWh Impact Summary'!N$31</f>
        <v>8581.3403914239079</v>
      </c>
      <c r="G245" s="321">
        <f>$D245*'MWh Impact Summary'!C$31</f>
        <v>33375.198466663809</v>
      </c>
      <c r="H245" s="321">
        <f>$D245*'MWh Impact Summary'!D$31</f>
        <v>167.83119937659242</v>
      </c>
      <c r="I245" s="321">
        <f>$D245*'MWh Impact Summary'!E$31</f>
        <v>11874.396508957732</v>
      </c>
      <c r="J245" s="104">
        <f t="shared" si="98"/>
        <v>99879.472557140922</v>
      </c>
      <c r="K245" s="298">
        <f t="shared" si="106"/>
        <v>13.3</v>
      </c>
      <c r="L245" s="300">
        <f t="shared" si="110"/>
        <v>9.3629003871876101E-2</v>
      </c>
      <c r="M245" s="297">
        <f>(31/365)</f>
        <v>8.4931506849315067E-2</v>
      </c>
      <c r="N245" s="304">
        <f>$L245*'MWh Impact Summary'!F$31</f>
        <v>208506.93891530964</v>
      </c>
      <c r="O245" s="304">
        <f>$L245*'MWh Impact Summary'!G$31</f>
        <v>38385.929574999442</v>
      </c>
      <c r="P245" s="304">
        <f>$M245*'MWh Impact Summary'!H$31</f>
        <v>11918.16314863661</v>
      </c>
      <c r="Q245" s="304">
        <f>$M245*'MWh Impact Summary'!I$31</f>
        <v>1969.824181385665</v>
      </c>
      <c r="R245" s="304">
        <f>$M245*'MWh Impact Summary'!J$31</f>
        <v>50449.831017349366</v>
      </c>
      <c r="S245" s="304">
        <f>$M245*'MWh Impact Summary'!K$31</f>
        <v>38142.707657859886</v>
      </c>
      <c r="T245" s="304">
        <f>$M245*'MWh Impact Summary'!L$31</f>
        <v>13720.212941697286</v>
      </c>
      <c r="U245" s="304">
        <f>$M245*'MWh Impact Summary'!M$31</f>
        <v>42513.872742680498</v>
      </c>
      <c r="V245" s="304">
        <f>$L245*'LED Impact Forecast'!$H$32+$D245*'LED Impact Forecast'!$J$32</f>
        <v>264995.16999435535</v>
      </c>
      <c r="W245" s="304">
        <f>$L245*'CFL Impact Forecast'!$H$32+$D245*'CFL Impact Forecast'!$J$32</f>
        <v>349001.73202606163</v>
      </c>
      <c r="X245" s="304">
        <f>$L245*'EISA Incand Impact Forecast'!$G$32+$D245*'EISA Incand Impact Forecast'!$I$32</f>
        <v>118878.37690652076</v>
      </c>
      <c r="Y245" s="85">
        <f t="shared" si="90"/>
        <v>1138482.7591068561</v>
      </c>
      <c r="Z245" s="81">
        <f t="shared" si="91"/>
        <v>1238362.2316639971</v>
      </c>
      <c r="AA245" s="81"/>
      <c r="AB245" s="262">
        <f>+'MWh by mo-WgtbyActulCDH&amp;Days'!AB245</f>
        <v>5406732.2632630393</v>
      </c>
      <c r="AC245" s="308">
        <f t="shared" si="99"/>
        <v>229.04079051190669</v>
      </c>
      <c r="AD245" s="309">
        <f t="shared" si="92"/>
        <v>18.473167838509216</v>
      </c>
      <c r="AE245" s="107">
        <f t="shared" si="93"/>
        <v>1.3889599878578358E-3</v>
      </c>
      <c r="AF245" s="309">
        <f t="shared" si="100"/>
        <v>210.56762267339749</v>
      </c>
      <c r="AG245" s="107">
        <f t="shared" si="94"/>
        <v>1.5832152080706579E-2</v>
      </c>
      <c r="AH245" s="119">
        <f t="shared" si="101"/>
        <v>1.7221112068564415E-2</v>
      </c>
      <c r="AI245" s="122">
        <f t="shared" si="95"/>
        <v>1.7221112068564411E-2</v>
      </c>
      <c r="AJ245" s="87" t="b">
        <f t="shared" si="102"/>
        <v>1</v>
      </c>
      <c r="AK245" s="88">
        <f t="shared" si="108"/>
        <v>6.5371547276246028E-4</v>
      </c>
      <c r="AL245" s="312">
        <f>+AC245/'MWh by month-WgtbyCDH&amp;DayLtHrs'!AC245-1</f>
        <v>-7.7500301199701305E-2</v>
      </c>
      <c r="AM245" s="89">
        <f t="shared" si="96"/>
        <v>349001.73202606163</v>
      </c>
      <c r="AN245" s="90"/>
      <c r="AO245" s="96">
        <f t="shared" si="115"/>
        <v>64.549475548736382</v>
      </c>
      <c r="AP245" s="92">
        <f t="shared" si="114"/>
        <v>4.8533440262207798E-3</v>
      </c>
      <c r="AR245" s="94">
        <f t="shared" si="97"/>
        <v>1.7221112068564411E-2</v>
      </c>
      <c r="AS245" s="95"/>
    </row>
    <row r="246" spans="1:45">
      <c r="A246" s="78">
        <f t="shared" si="111"/>
        <v>2025</v>
      </c>
      <c r="B246" s="78">
        <f t="shared" si="112"/>
        <v>2</v>
      </c>
      <c r="C246" s="317">
        <f t="shared" si="105"/>
        <v>35.042184420393127</v>
      </c>
      <c r="D246" s="324">
        <f t="shared" si="109"/>
        <v>1.7822245532205266E-2</v>
      </c>
      <c r="E246" s="321">
        <f>$D246*'MWh Impact Summary'!B$31</f>
        <v>61569.740574249241</v>
      </c>
      <c r="F246" s="321">
        <f>$D246*'MWh Impact Summary'!N$31</f>
        <v>11515.753523630954</v>
      </c>
      <c r="G246" s="321">
        <f>$D246*'MWh Impact Summary'!C$31</f>
        <v>44787.940090160235</v>
      </c>
      <c r="H246" s="321">
        <f>$D246*'MWh Impact Summary'!D$31</f>
        <v>225.22154319012026</v>
      </c>
      <c r="I246" s="321">
        <f>$D246*'MWh Impact Summary'!E$31</f>
        <v>15934.879308095051</v>
      </c>
      <c r="J246" s="104">
        <f t="shared" si="98"/>
        <v>134033.53503932559</v>
      </c>
      <c r="K246" s="298">
        <f t="shared" si="106"/>
        <v>12.733333333333333</v>
      </c>
      <c r="L246" s="300">
        <f t="shared" si="110"/>
        <v>8.9639798193124468E-2</v>
      </c>
      <c r="M246" s="297">
        <f>(28/365)</f>
        <v>7.6712328767123292E-2</v>
      </c>
      <c r="N246" s="304">
        <f>$L246*'MWh Impact Summary'!F$31</f>
        <v>199623.18462568487</v>
      </c>
      <c r="O246" s="304">
        <f>$L246*'MWh Impact Summary'!G$31</f>
        <v>36750.438841227529</v>
      </c>
      <c r="P246" s="304">
        <f>$M246*'MWh Impact Summary'!H$31</f>
        <v>10764.792521349196</v>
      </c>
      <c r="Q246" s="304">
        <f>$M246*'MWh Impact Summary'!I$31</f>
        <v>1779.1960347999557</v>
      </c>
      <c r="R246" s="304">
        <f>$M246*'MWh Impact Summary'!J$31</f>
        <v>45567.58930599298</v>
      </c>
      <c r="S246" s="304">
        <f>$M246*'MWh Impact Summary'!K$31</f>
        <v>34451.477884518608</v>
      </c>
      <c r="T246" s="304">
        <f>$M246*'MWh Impact Summary'!L$31</f>
        <v>12392.450398952387</v>
      </c>
      <c r="U246" s="304">
        <f>$M246*'MWh Impact Summary'!M$31</f>
        <v>38399.62699338884</v>
      </c>
      <c r="V246" s="304">
        <f>$L246*'LED Impact Forecast'!$H$32+$D246*'LED Impact Forecast'!$J$32</f>
        <v>256145.86119830509</v>
      </c>
      <c r="W246" s="304">
        <f>$L246*'CFL Impact Forecast'!$H$32+$D246*'CFL Impact Forecast'!$J$32</f>
        <v>337323.55628128699</v>
      </c>
      <c r="X246" s="304">
        <f>$L246*'EISA Incand Impact Forecast'!$G$32+$D246*'EISA Incand Impact Forecast'!$I$32</f>
        <v>114983.41945800981</v>
      </c>
      <c r="Y246" s="85">
        <f t="shared" si="90"/>
        <v>1088181.5935435162</v>
      </c>
      <c r="Z246" s="81">
        <f t="shared" si="91"/>
        <v>1222215.1285828417</v>
      </c>
      <c r="AA246" s="81"/>
      <c r="AB246" s="262">
        <f>+'MWh by mo-WgtbyActulCDH&amp;Days'!AB246</f>
        <v>5412022.880566325</v>
      </c>
      <c r="AC246" s="308">
        <f t="shared" si="99"/>
        <v>225.83332619889933</v>
      </c>
      <c r="AD246" s="309">
        <f t="shared" si="92"/>
        <v>24.765884771222559</v>
      </c>
      <c r="AE246" s="107">
        <f t="shared" si="93"/>
        <v>1.9449647726091017E-3</v>
      </c>
      <c r="AF246" s="309">
        <f t="shared" si="100"/>
        <v>201.06744142767678</v>
      </c>
      <c r="AG246" s="107">
        <f t="shared" si="94"/>
        <v>1.5790636761335873E-2</v>
      </c>
      <c r="AH246" s="119">
        <f t="shared" si="101"/>
        <v>1.7735601533944975E-2</v>
      </c>
      <c r="AI246" s="122">
        <f t="shared" si="95"/>
        <v>1.7735601533944975E-2</v>
      </c>
      <c r="AJ246" s="87" t="b">
        <f t="shared" si="102"/>
        <v>1</v>
      </c>
      <c r="AK246" s="88">
        <f t="shared" si="108"/>
        <v>5.8056328563031723E-4</v>
      </c>
      <c r="AL246" s="312">
        <f>+AC246/'MWh by month-WgtbyCDH&amp;DayLtHrs'!AC246-1</f>
        <v>-8.1212721294533718E-2</v>
      </c>
      <c r="AM246" s="89">
        <f t="shared" si="96"/>
        <v>337323.55628128699</v>
      </c>
      <c r="AN246" s="90"/>
      <c r="AO246" s="96">
        <f t="shared" si="115"/>
        <v>62.328553246247324</v>
      </c>
      <c r="AP246" s="92">
        <f t="shared" si="114"/>
        <v>4.8949125586058113E-3</v>
      </c>
      <c r="AR246" s="94">
        <f t="shared" si="97"/>
        <v>1.7735601533944975E-2</v>
      </c>
      <c r="AS246" s="95"/>
    </row>
    <row r="247" spans="1:45">
      <c r="A247" s="78">
        <f t="shared" si="111"/>
        <v>2025</v>
      </c>
      <c r="B247" s="78">
        <f t="shared" si="112"/>
        <v>3</v>
      </c>
      <c r="C247" s="317">
        <f t="shared" si="105"/>
        <v>64.582270600115152</v>
      </c>
      <c r="D247" s="324">
        <f t="shared" si="109"/>
        <v>3.2846156787895278E-2</v>
      </c>
      <c r="E247" s="321">
        <f>$D247*'MWh Impact Summary'!B$31</f>
        <v>113472.19679121948</v>
      </c>
      <c r="F247" s="321">
        <f>$D247*'MWh Impact Summary'!N$31</f>
        <v>21223.377552757611</v>
      </c>
      <c r="G247" s="321">
        <f>$D247*'MWh Impact Summary'!C$31</f>
        <v>82543.566115163558</v>
      </c>
      <c r="H247" s="321">
        <f>$D247*'MWh Impact Summary'!D$31</f>
        <v>415.08024935840143</v>
      </c>
      <c r="I247" s="321">
        <f>$D247*'MWh Impact Summary'!E$31</f>
        <v>29367.766435721103</v>
      </c>
      <c r="J247" s="104">
        <f t="shared" si="98"/>
        <v>247021.98714422015</v>
      </c>
      <c r="K247" s="298">
        <f t="shared" si="106"/>
        <v>12</v>
      </c>
      <c r="L247" s="300">
        <f t="shared" si="110"/>
        <v>8.4477296726504739E-2</v>
      </c>
      <c r="M247" s="297">
        <f t="shared" ref="M247:M256" si="116">(31/365)</f>
        <v>8.4931506849315067E-2</v>
      </c>
      <c r="N247" s="304">
        <f>$L247*'MWh Impact Summary'!F$31</f>
        <v>188126.56142734701</v>
      </c>
      <c r="O247" s="304">
        <f>$L247*'MWh Impact Summary'!G$31</f>
        <v>34633.921421052124</v>
      </c>
      <c r="P247" s="304">
        <f>$M247*'MWh Impact Summary'!H$31</f>
        <v>11918.16314863661</v>
      </c>
      <c r="Q247" s="304">
        <f>$M247*'MWh Impact Summary'!I$31</f>
        <v>1969.824181385665</v>
      </c>
      <c r="R247" s="304">
        <f>$M247*'MWh Impact Summary'!J$31</f>
        <v>50449.831017349366</v>
      </c>
      <c r="S247" s="304">
        <f>$M247*'MWh Impact Summary'!K$31</f>
        <v>38142.707657859886</v>
      </c>
      <c r="T247" s="304">
        <f>$M247*'MWh Impact Summary'!L$31</f>
        <v>13720.212941697286</v>
      </c>
      <c r="U247" s="304">
        <f>$M247*'MWh Impact Summary'!M$31</f>
        <v>42513.872742680498</v>
      </c>
      <c r="V247" s="304">
        <f>$L247*'LED Impact Forecast'!$H$32+$D247*'LED Impact Forecast'!$J$32</f>
        <v>249065.86809366796</v>
      </c>
      <c r="W247" s="304">
        <f>$L247*'CFL Impact Forecast'!$H$32+$D247*'CFL Impact Forecast'!$J$32</f>
        <v>327926.52288468817</v>
      </c>
      <c r="X247" s="304">
        <f>$L247*'EISA Incand Impact Forecast'!$G$32+$D247*'EISA Incand Impact Forecast'!$I$32</f>
        <v>112038.34535817795</v>
      </c>
      <c r="Y247" s="85">
        <f t="shared" si="90"/>
        <v>1070505.8308745425</v>
      </c>
      <c r="Z247" s="81">
        <f t="shared" si="91"/>
        <v>1317527.8180187626</v>
      </c>
      <c r="AA247" s="81"/>
      <c r="AB247" s="262">
        <f>+'MWh by mo-WgtbyActulCDH&amp;Days'!AB247</f>
        <v>5417339.5801715693</v>
      </c>
      <c r="AC247" s="308">
        <f t="shared" si="99"/>
        <v>243.20569137684294</v>
      </c>
      <c r="AD247" s="309">
        <f t="shared" si="92"/>
        <v>45.598394468082589</v>
      </c>
      <c r="AE247" s="107">
        <f t="shared" si="93"/>
        <v>3.7998662056735492E-3</v>
      </c>
      <c r="AF247" s="309">
        <f t="shared" si="100"/>
        <v>197.60729690876036</v>
      </c>
      <c r="AG247" s="107">
        <f t="shared" si="94"/>
        <v>1.6467274742396697E-2</v>
      </c>
      <c r="AH247" s="119">
        <f t="shared" si="101"/>
        <v>2.0267140948070247E-2</v>
      </c>
      <c r="AI247" s="122">
        <f t="shared" si="95"/>
        <v>2.0267140948070247E-2</v>
      </c>
      <c r="AJ247" s="87" t="b">
        <f t="shared" si="102"/>
        <v>1</v>
      </c>
      <c r="AK247" s="88">
        <f t="shared" si="108"/>
        <v>6.878579738567453E-4</v>
      </c>
      <c r="AL247" s="312">
        <f>+AC247/'MWh by month-WgtbyCDH&amp;DayLtHrs'!AC247-1</f>
        <v>-4.7556489126985957E-2</v>
      </c>
      <c r="AM247" s="89">
        <f t="shared" si="96"/>
        <v>327926.52288468817</v>
      </c>
      <c r="AN247" s="90"/>
      <c r="AO247" s="96">
        <f t="shared" si="115"/>
        <v>60.532761151794475</v>
      </c>
      <c r="AP247" s="92">
        <f t="shared" si="114"/>
        <v>5.0443967626495395E-3</v>
      </c>
      <c r="AR247" s="94">
        <f t="shared" si="97"/>
        <v>2.0267140948070247E-2</v>
      </c>
      <c r="AS247" s="95"/>
    </row>
    <row r="248" spans="1:45">
      <c r="A248" s="78">
        <f t="shared" si="111"/>
        <v>2025</v>
      </c>
      <c r="B248" s="78">
        <f t="shared" si="112"/>
        <v>4</v>
      </c>
      <c r="C248" s="317">
        <f t="shared" si="105"/>
        <v>114.03392869270741</v>
      </c>
      <c r="D248" s="324">
        <f t="shared" si="109"/>
        <v>5.7996974497419709E-2</v>
      </c>
      <c r="E248" s="321">
        <f>$D248*'MWh Impact Summary'!B$31</f>
        <v>200359.63860136733</v>
      </c>
      <c r="F248" s="321">
        <f>$D248*'MWh Impact Summary'!N$31</f>
        <v>37474.450804850654</v>
      </c>
      <c r="G248" s="321">
        <f>$D248*'MWh Impact Summary'!C$31</f>
        <v>145748.47005149361</v>
      </c>
      <c r="H248" s="321">
        <f>$D248*'MWh Impact Summary'!D$31</f>
        <v>732.91371017547897</v>
      </c>
      <c r="I248" s="321">
        <f>$D248*'MWh Impact Summary'!E$31</f>
        <v>51855.126065962984</v>
      </c>
      <c r="J248" s="104">
        <f t="shared" si="98"/>
        <v>436170.59923385008</v>
      </c>
      <c r="K248" s="298">
        <f t="shared" si="106"/>
        <v>11.2</v>
      </c>
      <c r="L248" s="300">
        <f t="shared" si="110"/>
        <v>7.8845476944737758E-2</v>
      </c>
      <c r="M248" s="297">
        <f>(30/365)</f>
        <v>8.2191780821917804E-2</v>
      </c>
      <c r="N248" s="304">
        <f>$L248*'MWh Impact Summary'!F$31</f>
        <v>175584.79066552388</v>
      </c>
      <c r="O248" s="304">
        <f>$L248*'MWh Impact Summary'!G$31</f>
        <v>32324.993326315314</v>
      </c>
      <c r="P248" s="304">
        <f>$M248*'MWh Impact Summary'!H$31</f>
        <v>11533.706272874138</v>
      </c>
      <c r="Q248" s="304">
        <f>$M248*'MWh Impact Summary'!I$31</f>
        <v>1906.2814658570951</v>
      </c>
      <c r="R248" s="304">
        <f>$M248*'MWh Impact Summary'!J$31</f>
        <v>48822.417113563904</v>
      </c>
      <c r="S248" s="304">
        <f>$M248*'MWh Impact Summary'!K$31</f>
        <v>36912.297733412794</v>
      </c>
      <c r="T248" s="304">
        <f>$M248*'MWh Impact Summary'!L$31</f>
        <v>13277.625427448986</v>
      </c>
      <c r="U248" s="304">
        <f>$M248*'MWh Impact Summary'!M$31</f>
        <v>41142.457492916605</v>
      </c>
      <c r="V248" s="304">
        <f>$L248*'LED Impact Forecast'!$H$32+$D248*'LED Impact Forecast'!$J$32</f>
        <v>245529.93862873354</v>
      </c>
      <c r="W248" s="304">
        <f>$L248*'CFL Impact Forecast'!$H$32+$D248*'CFL Impact Forecast'!$J$32</f>
        <v>323150.09415206173</v>
      </c>
      <c r="X248" s="304">
        <f>$L248*'EISA Incand Impact Forecast'!$G$32+$D248*'EISA Incand Impact Forecast'!$I$32</f>
        <v>110832.63814368282</v>
      </c>
      <c r="Y248" s="85">
        <f t="shared" si="90"/>
        <v>1041017.2404223909</v>
      </c>
      <c r="Z248" s="81">
        <f t="shared" si="91"/>
        <v>1477187.839656241</v>
      </c>
      <c r="AA248" s="81"/>
      <c r="AB248" s="262">
        <f>+'MWh by mo-WgtbyActulCDH&amp;Days'!AB248</f>
        <v>5422629.6092505148</v>
      </c>
      <c r="AC248" s="308">
        <f t="shared" si="99"/>
        <v>272.4117164735523</v>
      </c>
      <c r="AD248" s="309">
        <f t="shared" si="92"/>
        <v>80.435255708740002</v>
      </c>
      <c r="AE248" s="107">
        <f t="shared" si="93"/>
        <v>7.1817192597089293E-3</v>
      </c>
      <c r="AF248" s="309">
        <f t="shared" si="100"/>
        <v>191.97646076481229</v>
      </c>
      <c r="AG248" s="107">
        <f t="shared" si="94"/>
        <v>1.7140755425429671E-2</v>
      </c>
      <c r="AH248" s="119">
        <f t="shared" si="101"/>
        <v>2.4322474685138602E-2</v>
      </c>
      <c r="AI248" s="122">
        <f t="shared" si="95"/>
        <v>2.4322474685138602E-2</v>
      </c>
      <c r="AJ248" s="87" t="b">
        <f t="shared" si="102"/>
        <v>1</v>
      </c>
      <c r="AK248" s="88">
        <f t="shared" si="108"/>
        <v>7.2195258012621236E-4</v>
      </c>
      <c r="AL248" s="312">
        <f>+AC248/'MWh by month-WgtbyCDH&amp;DayLtHrs'!AC248-1</f>
        <v>-1.9841686884280674E-2</v>
      </c>
      <c r="AM248" s="89">
        <f t="shared" si="96"/>
        <v>323150.09415206173</v>
      </c>
      <c r="AN248" s="90"/>
      <c r="AO248" s="96">
        <f t="shared" si="115"/>
        <v>59.592876046853171</v>
      </c>
      <c r="AP248" s="92">
        <f t="shared" si="114"/>
        <v>5.3207925041833188E-3</v>
      </c>
      <c r="AR248" s="94">
        <f t="shared" si="97"/>
        <v>2.4322474685138602E-2</v>
      </c>
      <c r="AS248" s="95"/>
    </row>
    <row r="249" spans="1:45">
      <c r="A249" s="78">
        <f t="shared" si="111"/>
        <v>2025</v>
      </c>
      <c r="B249" s="78">
        <f t="shared" si="112"/>
        <v>5</v>
      </c>
      <c r="C249" s="317">
        <f t="shared" si="105"/>
        <v>208.47875842628665</v>
      </c>
      <c r="D249" s="324">
        <f t="shared" si="109"/>
        <v>0.10603105035770212</v>
      </c>
      <c r="E249" s="321">
        <f>$D249*'MWh Impact Summary'!B$31</f>
        <v>366300.88231822749</v>
      </c>
      <c r="F249" s="321">
        <f>$D249*'MWh Impact Summary'!N$31</f>
        <v>68511.425205346357</v>
      </c>
      <c r="G249" s="321">
        <f>$D249*'MWh Impact Summary'!C$31</f>
        <v>266459.81969758612</v>
      </c>
      <c r="H249" s="321">
        <f>$D249*'MWh Impact Summary'!D$31</f>
        <v>1339.9252492890625</v>
      </c>
      <c r="I249" s="321">
        <f>$D249*'MWh Impact Summary'!E$31</f>
        <v>94802.419106357542</v>
      </c>
      <c r="J249" s="104">
        <f t="shared" si="98"/>
        <v>797414.47157680651</v>
      </c>
      <c r="K249" s="298">
        <f t="shared" si="106"/>
        <v>10.533333333333333</v>
      </c>
      <c r="L249" s="300">
        <f t="shared" si="110"/>
        <v>7.4152293793265281E-2</v>
      </c>
      <c r="M249" s="297">
        <f t="shared" si="116"/>
        <v>8.4931506849315067E-2</v>
      </c>
      <c r="N249" s="304">
        <f>$L249*'MWh Impact Summary'!F$31</f>
        <v>165133.31503067128</v>
      </c>
      <c r="O249" s="304">
        <f>$L249*'MWh Impact Summary'!G$31</f>
        <v>30400.886580701314</v>
      </c>
      <c r="P249" s="304">
        <f>$M249*'MWh Impact Summary'!H$31</f>
        <v>11918.16314863661</v>
      </c>
      <c r="Q249" s="304">
        <f>$M249*'MWh Impact Summary'!I$31</f>
        <v>1969.824181385665</v>
      </c>
      <c r="R249" s="304">
        <f>$M249*'MWh Impact Summary'!J$31</f>
        <v>50449.831017349366</v>
      </c>
      <c r="S249" s="304">
        <f>$M249*'MWh Impact Summary'!K$31</f>
        <v>38142.707657859886</v>
      </c>
      <c r="T249" s="304">
        <f>$M249*'MWh Impact Summary'!L$31</f>
        <v>13720.212941697286</v>
      </c>
      <c r="U249" s="304">
        <f>$M249*'MWh Impact Summary'!M$31</f>
        <v>42513.872742680498</v>
      </c>
      <c r="V249" s="304">
        <f>$L249*'LED Impact Forecast'!$H$32+$D249*'LED Impact Forecast'!$J$32</f>
        <v>255524.8864668124</v>
      </c>
      <c r="W249" s="304">
        <f>$L249*'CFL Impact Forecast'!$H$32+$D249*'CFL Impact Forecast'!$J$32</f>
        <v>336089.16297749407</v>
      </c>
      <c r="X249" s="304">
        <f>$L249*'EISA Incand Impact Forecast'!$G$32+$D249*'EISA Incand Impact Forecast'!$I$32</f>
        <v>116030.57380943152</v>
      </c>
      <c r="Y249" s="85">
        <f t="shared" si="90"/>
        <v>1061893.4365547197</v>
      </c>
      <c r="Z249" s="81">
        <f t="shared" si="91"/>
        <v>1859307.9081315263</v>
      </c>
      <c r="AA249" s="81"/>
      <c r="AB249" s="262">
        <f>+'MWh by mo-WgtbyActulCDH&amp;Days'!AB249</f>
        <v>5427176.8441906935</v>
      </c>
      <c r="AC249" s="308">
        <f t="shared" si="99"/>
        <v>342.59209926460176</v>
      </c>
      <c r="AD249" s="309">
        <f t="shared" si="92"/>
        <v>146.92988536578963</v>
      </c>
      <c r="AE249" s="107">
        <f t="shared" si="93"/>
        <v>1.3949039749916738E-2</v>
      </c>
      <c r="AF249" s="309">
        <f t="shared" si="100"/>
        <v>195.66221389881213</v>
      </c>
      <c r="AG249" s="107">
        <f t="shared" si="94"/>
        <v>1.8575526635963176E-2</v>
      </c>
      <c r="AH249" s="119">
        <f t="shared" si="101"/>
        <v>3.2524566385879916E-2</v>
      </c>
      <c r="AI249" s="122">
        <f t="shared" si="95"/>
        <v>3.2524566385879916E-2</v>
      </c>
      <c r="AJ249" s="87" t="b">
        <f t="shared" si="102"/>
        <v>1</v>
      </c>
      <c r="AK249" s="88">
        <f t="shared" si="108"/>
        <v>7.9962691642610634E-4</v>
      </c>
      <c r="AL249" s="312">
        <f>+AC249/'MWh by month-WgtbyCDH&amp;DayLtHrs'!AC249-1</f>
        <v>2.5056358547380642E-2</v>
      </c>
      <c r="AM249" s="89">
        <f t="shared" si="96"/>
        <v>336089.16297749407</v>
      </c>
      <c r="AN249" s="90"/>
      <c r="AO249" s="96">
        <f t="shared" si="115"/>
        <v>61.927070487346917</v>
      </c>
      <c r="AP249" s="92">
        <f t="shared" si="114"/>
        <v>5.8791522614569866E-3</v>
      </c>
      <c r="AR249" s="94">
        <f t="shared" si="97"/>
        <v>3.2524566385879916E-2</v>
      </c>
      <c r="AS249" s="95"/>
    </row>
    <row r="250" spans="1:45">
      <c r="A250" s="78">
        <f t="shared" si="111"/>
        <v>2025</v>
      </c>
      <c r="B250" s="78">
        <f t="shared" si="112"/>
        <v>6</v>
      </c>
      <c r="C250" s="317">
        <f t="shared" si="105"/>
        <v>271.66325293295364</v>
      </c>
      <c r="D250" s="324">
        <f t="shared" si="109"/>
        <v>0.13816630657965029</v>
      </c>
      <c r="E250" s="321">
        <f>$D250*'MWh Impact Summary'!B$31</f>
        <v>477317.16168084031</v>
      </c>
      <c r="F250" s="321">
        <f>$D250*'MWh Impact Summary'!N$31</f>
        <v>89275.457964404239</v>
      </c>
      <c r="G250" s="321">
        <f>$D250*'MWh Impact Summary'!C$31</f>
        <v>347216.8672789227</v>
      </c>
      <c r="H250" s="321">
        <f>$D250*'MWh Impact Summary'!D$31</f>
        <v>1746.0217753434608</v>
      </c>
      <c r="I250" s="321">
        <f>$D250*'MWh Impact Summary'!E$31</f>
        <v>123534.56896402435</v>
      </c>
      <c r="J250" s="104">
        <f t="shared" si="98"/>
        <v>1039090.077663535</v>
      </c>
      <c r="K250" s="298">
        <f t="shared" si="106"/>
        <v>10.199999999999999</v>
      </c>
      <c r="L250" s="300">
        <f t="shared" si="110"/>
        <v>7.1805702217529022E-2</v>
      </c>
      <c r="M250" s="297">
        <f>(30/365)</f>
        <v>8.2191780821917804E-2</v>
      </c>
      <c r="N250" s="304">
        <f>$L250*'MWh Impact Summary'!F$31</f>
        <v>159907.57721324495</v>
      </c>
      <c r="O250" s="304">
        <f>$L250*'MWh Impact Summary'!G$31</f>
        <v>29438.833207894302</v>
      </c>
      <c r="P250" s="304">
        <f>$M250*'MWh Impact Summary'!H$31</f>
        <v>11533.706272874138</v>
      </c>
      <c r="Q250" s="304">
        <f>$M250*'MWh Impact Summary'!I$31</f>
        <v>1906.2814658570951</v>
      </c>
      <c r="R250" s="304">
        <f>$M250*'MWh Impact Summary'!J$31</f>
        <v>48822.417113563904</v>
      </c>
      <c r="S250" s="304">
        <f>$M250*'MWh Impact Summary'!K$31</f>
        <v>36912.297733412794</v>
      </c>
      <c r="T250" s="304">
        <f>$M250*'MWh Impact Summary'!L$31</f>
        <v>13277.625427448986</v>
      </c>
      <c r="U250" s="304">
        <f>$M250*'MWh Impact Summary'!M$31</f>
        <v>41142.457492916605</v>
      </c>
      <c r="V250" s="304">
        <f>$L250*'LED Impact Forecast'!$H$32+$D250*'LED Impact Forecast'!$J$32</f>
        <v>264402.77173629147</v>
      </c>
      <c r="W250" s="304">
        <f>$L250*'CFL Impact Forecast'!$H$32+$D250*'CFL Impact Forecast'!$J$32</f>
        <v>347631.83809168305</v>
      </c>
      <c r="X250" s="304">
        <f>$L250*'EISA Incand Impact Forecast'!$G$32+$D250*'EISA Incand Impact Forecast'!$I$32</f>
        <v>120489.36403927245</v>
      </c>
      <c r="Y250" s="85">
        <f t="shared" si="90"/>
        <v>1075465.1697944598</v>
      </c>
      <c r="Z250" s="81">
        <f t="shared" si="91"/>
        <v>2114555.2474579951</v>
      </c>
      <c r="AA250" s="81"/>
      <c r="AB250" s="262">
        <f>+'MWh by mo-WgtbyActulCDH&amp;Days'!AB250</f>
        <v>5431720.3103298927</v>
      </c>
      <c r="AC250" s="308">
        <f t="shared" si="99"/>
        <v>389.29752024171671</v>
      </c>
      <c r="AD250" s="309">
        <f t="shared" si="92"/>
        <v>191.30036494836133</v>
      </c>
      <c r="AE250" s="107">
        <f t="shared" si="93"/>
        <v>1.8754937740035428E-2</v>
      </c>
      <c r="AF250" s="309">
        <f t="shared" si="100"/>
        <v>197.99715529335529</v>
      </c>
      <c r="AG250" s="107">
        <f t="shared" si="94"/>
        <v>1.9411485813074048E-2</v>
      </c>
      <c r="AH250" s="119">
        <f t="shared" si="101"/>
        <v>3.816642355310948E-2</v>
      </c>
      <c r="AI250" s="122">
        <f t="shared" si="95"/>
        <v>3.816642355310948E-2</v>
      </c>
      <c r="AJ250" s="87" t="b">
        <f t="shared" si="102"/>
        <v>1</v>
      </c>
      <c r="AK250" s="88">
        <f t="shared" si="108"/>
        <v>8.466722525012696E-4</v>
      </c>
      <c r="AL250" s="312">
        <f>+AC250/'MWh by month-WgtbyCDH&amp;DayLtHrs'!AC250-1</f>
        <v>4.2527456345379688E-2</v>
      </c>
      <c r="AM250" s="89">
        <f t="shared" si="96"/>
        <v>347631.83809168305</v>
      </c>
      <c r="AN250" s="90"/>
      <c r="AO250" s="96">
        <f t="shared" si="115"/>
        <v>64.000320014741291</v>
      </c>
      <c r="AP250" s="92">
        <f t="shared" si="114"/>
        <v>6.274541177915813E-3</v>
      </c>
      <c r="AR250" s="94">
        <f t="shared" si="97"/>
        <v>3.816642355310948E-2</v>
      </c>
      <c r="AS250" s="95"/>
    </row>
    <row r="251" spans="1:45">
      <c r="A251" s="78">
        <f t="shared" si="111"/>
        <v>2025</v>
      </c>
      <c r="B251" s="78">
        <f t="shared" si="112"/>
        <v>7</v>
      </c>
      <c r="C251" s="317">
        <f t="shared" si="105"/>
        <v>322.31916585708109</v>
      </c>
      <c r="D251" s="324">
        <f t="shared" si="109"/>
        <v>0.16392960109808263</v>
      </c>
      <c r="E251" s="321">
        <f>$D251*'MWh Impact Summary'!B$31</f>
        <v>566320.50062438031</v>
      </c>
      <c r="F251" s="321">
        <f>$D251*'MWh Impact Summary'!N$31</f>
        <v>105922.27999897132</v>
      </c>
      <c r="G251" s="321">
        <f>$D251*'MWh Impact Summary'!C$31</f>
        <v>411960.9473294192</v>
      </c>
      <c r="H251" s="321">
        <f>$D251*'MWh Impact Summary'!D$31</f>
        <v>2071.5951683605035</v>
      </c>
      <c r="I251" s="321">
        <f>$D251*'MWh Impact Summary'!E$31</f>
        <v>146569.54443825842</v>
      </c>
      <c r="J251" s="104">
        <f t="shared" si="98"/>
        <v>1232844.8675593899</v>
      </c>
      <c r="K251" s="298">
        <f t="shared" si="106"/>
        <v>10.366666666666667</v>
      </c>
      <c r="L251" s="300">
        <f t="shared" si="110"/>
        <v>7.2978998005397158E-2</v>
      </c>
      <c r="M251" s="297">
        <f t="shared" si="116"/>
        <v>8.4931506849315067E-2</v>
      </c>
      <c r="N251" s="304">
        <f>$L251*'MWh Impact Summary'!F$31</f>
        <v>162520.44612195811</v>
      </c>
      <c r="O251" s="304">
        <f>$L251*'MWh Impact Summary'!G$31</f>
        <v>29919.85989429781</v>
      </c>
      <c r="P251" s="304">
        <f>$M251*'MWh Impact Summary'!H$31</f>
        <v>11918.16314863661</v>
      </c>
      <c r="Q251" s="304">
        <f>$M251*'MWh Impact Summary'!I$31</f>
        <v>1969.824181385665</v>
      </c>
      <c r="R251" s="304">
        <f>$M251*'MWh Impact Summary'!J$31</f>
        <v>50449.831017349366</v>
      </c>
      <c r="S251" s="304">
        <f>$M251*'MWh Impact Summary'!K$31</f>
        <v>38142.707657859886</v>
      </c>
      <c r="T251" s="304">
        <f>$M251*'MWh Impact Summary'!L$31</f>
        <v>13720.212941697286</v>
      </c>
      <c r="U251" s="304">
        <f>$M251*'MWh Impact Summary'!M$31</f>
        <v>42513.872742680498</v>
      </c>
      <c r="V251" s="304">
        <f>$L251*'LED Impact Forecast'!$H$32+$D251*'LED Impact Forecast'!$J$32</f>
        <v>279958.51034020883</v>
      </c>
      <c r="W251" s="304">
        <f>$L251*'CFL Impact Forecast'!$H$32+$D251*'CFL Impact Forecast'!$J$32</f>
        <v>368000.98463386134</v>
      </c>
      <c r="X251" s="304">
        <f>$L251*'EISA Incand Impact Forecast'!$G$32+$D251*'EISA Incand Impact Forecast'!$I$32</f>
        <v>127843.11685109138</v>
      </c>
      <c r="Y251" s="85">
        <f t="shared" si="90"/>
        <v>1126957.5295310267</v>
      </c>
      <c r="Z251" s="81">
        <f t="shared" si="91"/>
        <v>2359802.3970904164</v>
      </c>
      <c r="AA251" s="81"/>
      <c r="AB251" s="262">
        <f>+'MWh by mo-WgtbyActulCDH&amp;Days'!AB251</f>
        <v>5436311.5981648155</v>
      </c>
      <c r="AC251" s="308">
        <f t="shared" si="99"/>
        <v>434.08151914747418</v>
      </c>
      <c r="AD251" s="309">
        <f t="shared" si="92"/>
        <v>226.77965478939294</v>
      </c>
      <c r="AE251" s="107">
        <f t="shared" si="93"/>
        <v>2.1875850944314428E-2</v>
      </c>
      <c r="AF251" s="309">
        <f t="shared" si="100"/>
        <v>207.3018643580813</v>
      </c>
      <c r="AG251" s="107">
        <f t="shared" si="94"/>
        <v>1.9996964407531959E-2</v>
      </c>
      <c r="AH251" s="119">
        <f t="shared" si="101"/>
        <v>4.1872815351846386E-2</v>
      </c>
      <c r="AI251" s="122">
        <f t="shared" si="95"/>
        <v>4.1872815351846386E-2</v>
      </c>
      <c r="AJ251" s="87" t="b">
        <f t="shared" si="102"/>
        <v>1</v>
      </c>
      <c r="AK251" s="88">
        <f t="shared" si="108"/>
        <v>8.8298153258568879E-4</v>
      </c>
      <c r="AL251" s="312">
        <f>+AC251/'MWh by month-WgtbyCDH&amp;DayLtHrs'!AC251-1</f>
        <v>5.5523264863263755E-2</v>
      </c>
      <c r="AM251" s="89">
        <f t="shared" si="96"/>
        <v>368000.98463386134</v>
      </c>
      <c r="AN251" s="90"/>
      <c r="AO251" s="96">
        <f t="shared" si="115"/>
        <v>67.693136787466486</v>
      </c>
      <c r="AP251" s="92">
        <f t="shared" si="114"/>
        <v>6.5298845775691146E-3</v>
      </c>
      <c r="AR251" s="94">
        <f t="shared" si="97"/>
        <v>4.1872815351846386E-2</v>
      </c>
      <c r="AS251" s="95"/>
    </row>
    <row r="252" spans="1:45">
      <c r="A252" s="78">
        <f t="shared" si="111"/>
        <v>2025</v>
      </c>
      <c r="B252" s="78">
        <f t="shared" si="112"/>
        <v>8</v>
      </c>
      <c r="C252" s="317">
        <f t="shared" si="105"/>
        <v>326.45437890907908</v>
      </c>
      <c r="D252" s="324">
        <f t="shared" si="109"/>
        <v>0.16603274573816959</v>
      </c>
      <c r="E252" s="321">
        <f>$D252*'MWh Impact Summary'!B$31</f>
        <v>573586.14342153992</v>
      </c>
      <c r="F252" s="321">
        <f>$D252*'MWh Impact Summary'!N$31</f>
        <v>107281.21623716992</v>
      </c>
      <c r="G252" s="321">
        <f>$D252*'MWh Impact Summary'!C$31</f>
        <v>417246.22498822724</v>
      </c>
      <c r="H252" s="321">
        <f>$D252*'MWh Impact Summary'!D$31</f>
        <v>2098.1728227047038</v>
      </c>
      <c r="I252" s="321">
        <f>$D252*'MWh Impact Summary'!E$31</f>
        <v>148449.96719119902</v>
      </c>
      <c r="J252" s="104">
        <f t="shared" si="98"/>
        <v>1248661.7246608408</v>
      </c>
      <c r="K252" s="298">
        <f t="shared" si="106"/>
        <v>10.933333333333334</v>
      </c>
      <c r="L252" s="300">
        <f t="shared" si="110"/>
        <v>7.6968203684148764E-2</v>
      </c>
      <c r="M252" s="297">
        <f t="shared" si="116"/>
        <v>8.4931506849315067E-2</v>
      </c>
      <c r="N252" s="304">
        <f>$L252*'MWh Impact Summary'!F$31</f>
        <v>171404.20041158283</v>
      </c>
      <c r="O252" s="304">
        <f>$L252*'MWh Impact Summary'!G$31</f>
        <v>31555.350628069711</v>
      </c>
      <c r="P252" s="304">
        <f>$M252*'MWh Impact Summary'!H$31</f>
        <v>11918.16314863661</v>
      </c>
      <c r="Q252" s="304">
        <f>$M252*'MWh Impact Summary'!I$31</f>
        <v>1969.824181385665</v>
      </c>
      <c r="R252" s="304">
        <f>$M252*'MWh Impact Summary'!J$31</f>
        <v>50449.831017349366</v>
      </c>
      <c r="S252" s="304">
        <f>$M252*'MWh Impact Summary'!K$31</f>
        <v>38142.707657859886</v>
      </c>
      <c r="T252" s="304">
        <f>$M252*'MWh Impact Summary'!L$31</f>
        <v>13720.212941697286</v>
      </c>
      <c r="U252" s="304">
        <f>$M252*'MWh Impact Summary'!M$31</f>
        <v>42513.872742680498</v>
      </c>
      <c r="V252" s="304">
        <f>$L252*'LED Impact Forecast'!$H$32+$D252*'LED Impact Forecast'!$J$32</f>
        <v>291983.83990312554</v>
      </c>
      <c r="W252" s="304">
        <f>$L252*'CFL Impact Forecast'!$H$32+$D252*'CFL Impact Forecast'!$J$32</f>
        <v>383831.40063514584</v>
      </c>
      <c r="X252" s="304">
        <f>$L252*'EISA Incand Impact Forecast'!$G$32+$D252*'EISA Incand Impact Forecast'!$I$32</f>
        <v>133260.29295685372</v>
      </c>
      <c r="Y252" s="85">
        <f t="shared" si="90"/>
        <v>1170749.696224387</v>
      </c>
      <c r="Z252" s="81">
        <f t="shared" si="91"/>
        <v>2419411.4208852276</v>
      </c>
      <c r="AA252" s="81"/>
      <c r="AB252" s="262">
        <f>+'MWh by mo-WgtbyActulCDH&amp;Days'!AB252</f>
        <v>5440926.2620600108</v>
      </c>
      <c r="AC252" s="308">
        <f t="shared" si="99"/>
        <v>444.66903324089611</v>
      </c>
      <c r="AD252" s="309">
        <f t="shared" si="92"/>
        <v>229.49432955338011</v>
      </c>
      <c r="AE252" s="107">
        <f t="shared" si="93"/>
        <v>2.0990335020126229E-2</v>
      </c>
      <c r="AF252" s="309">
        <f t="shared" si="100"/>
        <v>215.174703687516</v>
      </c>
      <c r="AG252" s="107">
        <f t="shared" si="94"/>
        <v>1.9680613142150853E-2</v>
      </c>
      <c r="AH252" s="119">
        <f t="shared" si="101"/>
        <v>4.0670948162277079E-2</v>
      </c>
      <c r="AI252" s="122">
        <f t="shared" si="95"/>
        <v>4.0670948162277086E-2</v>
      </c>
      <c r="AJ252" s="87" t="b">
        <f t="shared" si="102"/>
        <v>1</v>
      </c>
      <c r="AK252" s="88">
        <f t="shared" si="108"/>
        <v>8.713022318996913E-4</v>
      </c>
      <c r="AL252" s="312">
        <f>+AC252/'MWh by month-WgtbyCDH&amp;DayLtHrs'!AC252-1</f>
        <v>5.2928867310922501E-2</v>
      </c>
      <c r="AM252" s="89">
        <f t="shared" si="96"/>
        <v>383831.40063514584</v>
      </c>
      <c r="AN252" s="90"/>
      <c r="AO252" s="96">
        <f t="shared" si="115"/>
        <v>70.545231114714994</v>
      </c>
      <c r="AP252" s="92">
        <f t="shared" si="114"/>
        <v>6.4523077239068589E-3</v>
      </c>
      <c r="AR252" s="94">
        <f t="shared" si="97"/>
        <v>4.0670948162277086E-2</v>
      </c>
      <c r="AS252" s="95"/>
    </row>
    <row r="253" spans="1:45">
      <c r="A253" s="78">
        <f t="shared" si="111"/>
        <v>2025</v>
      </c>
      <c r="B253" s="78">
        <f t="shared" si="112"/>
        <v>9</v>
      </c>
      <c r="C253" s="317">
        <f t="shared" si="105"/>
        <v>277.87653293728147</v>
      </c>
      <c r="D253" s="324">
        <f t="shared" si="109"/>
        <v>0.14132634365008559</v>
      </c>
      <c r="E253" s="321">
        <f>$D253*'MWh Impact Summary'!B$31</f>
        <v>488234.00503147935</v>
      </c>
      <c r="F253" s="321">
        <f>$D253*'MWh Impact Summary'!N$31</f>
        <v>91317.299883982312</v>
      </c>
      <c r="G253" s="321">
        <f>$D253*'MWh Impact Summary'!C$31</f>
        <v>355158.15339450171</v>
      </c>
      <c r="H253" s="321">
        <f>$D253*'MWh Impact Summary'!D$31</f>
        <v>1785.9554876388813</v>
      </c>
      <c r="I253" s="321">
        <f>$D253*'MWh Impact Summary'!E$31</f>
        <v>126359.95980691788</v>
      </c>
      <c r="J253" s="104">
        <f t="shared" si="98"/>
        <v>1062855.37360452</v>
      </c>
      <c r="K253" s="298">
        <f t="shared" si="106"/>
        <v>11.683333333333334</v>
      </c>
      <c r="L253" s="300">
        <f t="shared" si="110"/>
        <v>8.2248034729555317E-2</v>
      </c>
      <c r="M253" s="297">
        <f>(30/365)</f>
        <v>8.2191780821917804E-2</v>
      </c>
      <c r="N253" s="304">
        <f>$L253*'MWh Impact Summary'!F$31</f>
        <v>183162.11050079204</v>
      </c>
      <c r="O253" s="304">
        <f>$L253*'MWh Impact Summary'!G$31</f>
        <v>33719.970716885473</v>
      </c>
      <c r="P253" s="304">
        <f>$M253*'MWh Impact Summary'!H$31</f>
        <v>11533.706272874138</v>
      </c>
      <c r="Q253" s="304">
        <f>$M253*'MWh Impact Summary'!I$31</f>
        <v>1906.2814658570951</v>
      </c>
      <c r="R253" s="304">
        <f>$M253*'MWh Impact Summary'!J$31</f>
        <v>48822.417113563904</v>
      </c>
      <c r="S253" s="304">
        <f>$M253*'MWh Impact Summary'!K$31</f>
        <v>36912.297733412794</v>
      </c>
      <c r="T253" s="304">
        <f>$M253*'MWh Impact Summary'!L$31</f>
        <v>13277.625427448986</v>
      </c>
      <c r="U253" s="304">
        <f>$M253*'MWh Impact Summary'!M$31</f>
        <v>41142.457492916605</v>
      </c>
      <c r="V253" s="304">
        <f>$L253*'LED Impact Forecast'!$H$32+$D253*'LED Impact Forecast'!$J$32</f>
        <v>294759.83723549719</v>
      </c>
      <c r="W253" s="304">
        <f>$L253*'CFL Impact Forecast'!$H$32+$D253*'CFL Impact Forecast'!$J$32</f>
        <v>387604.71209052019</v>
      </c>
      <c r="X253" s="304">
        <f>$L253*'EISA Incand Impact Forecast'!$G$32+$D253*'EISA Incand Impact Forecast'!$I$32</f>
        <v>134132.33934776529</v>
      </c>
      <c r="Y253" s="85">
        <f t="shared" si="90"/>
        <v>1186973.7553975338</v>
      </c>
      <c r="Z253" s="81">
        <f t="shared" si="91"/>
        <v>2249829.1290020538</v>
      </c>
      <c r="AA253" s="81"/>
      <c r="AB253" s="262">
        <f>+'MWh by mo-WgtbyActulCDH&amp;Days'!AB253</f>
        <v>5445455.1194933662</v>
      </c>
      <c r="AC253" s="308">
        <f t="shared" si="99"/>
        <v>413.15722554543305</v>
      </c>
      <c r="AD253" s="309">
        <f t="shared" si="92"/>
        <v>195.18210145553562</v>
      </c>
      <c r="AE253" s="107">
        <f t="shared" si="93"/>
        <v>1.670602865525269E-2</v>
      </c>
      <c r="AF253" s="309">
        <f t="shared" si="100"/>
        <v>217.97512408989741</v>
      </c>
      <c r="AG253" s="107">
        <f t="shared" si="94"/>
        <v>1.8656929308693074E-2</v>
      </c>
      <c r="AH253" s="119">
        <f t="shared" si="101"/>
        <v>3.5362957963945764E-2</v>
      </c>
      <c r="AI253" s="122">
        <f t="shared" si="95"/>
        <v>3.5362957963945771E-2</v>
      </c>
      <c r="AJ253" s="87" t="b">
        <f t="shared" si="102"/>
        <v>1</v>
      </c>
      <c r="AK253" s="88">
        <f t="shared" si="108"/>
        <v>8.2020440881865053E-4</v>
      </c>
      <c r="AL253" s="312">
        <f>+AC253/'MWh by month-WgtbyCDH&amp;DayLtHrs'!AC253-1</f>
        <v>3.5227260394447679E-2</v>
      </c>
      <c r="AM253" s="89">
        <f t="shared" si="96"/>
        <v>387604.71209052019</v>
      </c>
      <c r="AN253" s="90"/>
      <c r="AO253" s="96">
        <f t="shared" si="115"/>
        <v>71.179488873756824</v>
      </c>
      <c r="AP253" s="92">
        <f t="shared" si="114"/>
        <v>6.0923956240020111E-3</v>
      </c>
      <c r="AR253" s="94">
        <f t="shared" si="97"/>
        <v>3.5362957963945771E-2</v>
      </c>
      <c r="AS253" s="95"/>
    </row>
    <row r="254" spans="1:45">
      <c r="A254" s="78">
        <f t="shared" si="111"/>
        <v>2025</v>
      </c>
      <c r="B254" s="78">
        <f t="shared" si="112"/>
        <v>10</v>
      </c>
      <c r="C254" s="317">
        <f t="shared" si="105"/>
        <v>198.89039579254836</v>
      </c>
      <c r="D254" s="324">
        <f t="shared" si="109"/>
        <v>0.10115446643644242</v>
      </c>
      <c r="E254" s="321">
        <f>$D254*'MWh Impact Summary'!B$31</f>
        <v>349453.95882713568</v>
      </c>
      <c r="F254" s="321">
        <f>$D254*'MWh Impact Summary'!N$31</f>
        <v>65360.4452475711</v>
      </c>
      <c r="G254" s="321">
        <f>$D254*'MWh Impact Summary'!C$31</f>
        <v>254204.78998680465</v>
      </c>
      <c r="H254" s="321">
        <f>$D254*'MWh Impact Summary'!D$31</f>
        <v>1278.2993585303723</v>
      </c>
      <c r="I254" s="321">
        <f>$D254*'MWh Impact Summary'!E$31</f>
        <v>90442.262801662364</v>
      </c>
      <c r="J254" s="104">
        <f t="shared" si="98"/>
        <v>760739.75622170407</v>
      </c>
      <c r="K254" s="298">
        <f t="shared" si="106"/>
        <v>12.466666666666667</v>
      </c>
      <c r="L254" s="300">
        <f t="shared" si="110"/>
        <v>8.7762524932535488E-2</v>
      </c>
      <c r="M254" s="297">
        <f t="shared" si="116"/>
        <v>8.4931506849315067E-2</v>
      </c>
      <c r="N254" s="304">
        <f>$L254*'MWh Impact Summary'!F$31</f>
        <v>195442.59437174385</v>
      </c>
      <c r="O254" s="304">
        <f>$L254*'MWh Impact Summary'!G$31</f>
        <v>35980.796142981933</v>
      </c>
      <c r="P254" s="304">
        <f>$M254*'MWh Impact Summary'!H$31</f>
        <v>11918.16314863661</v>
      </c>
      <c r="Q254" s="304">
        <f>$M254*'MWh Impact Summary'!I$31</f>
        <v>1969.824181385665</v>
      </c>
      <c r="R254" s="304">
        <f>$M254*'MWh Impact Summary'!J$31</f>
        <v>50449.831017349366</v>
      </c>
      <c r="S254" s="304">
        <f>$M254*'MWh Impact Summary'!K$31</f>
        <v>38142.707657859886</v>
      </c>
      <c r="T254" s="304">
        <f>$M254*'MWh Impact Summary'!L$31</f>
        <v>13720.212941697286</v>
      </c>
      <c r="U254" s="304">
        <f>$M254*'MWh Impact Summary'!M$31</f>
        <v>42513.872742680498</v>
      </c>
      <c r="V254" s="304">
        <f>$L254*'LED Impact Forecast'!$H$32+$D254*'LED Impact Forecast'!$J$32</f>
        <v>290791.76055943174</v>
      </c>
      <c r="W254" s="304">
        <f>$L254*'CFL Impact Forecast'!$H$32+$D254*'CFL Impact Forecast'!$J$32</f>
        <v>382567.41304593632</v>
      </c>
      <c r="X254" s="304">
        <f>$L254*'EISA Incand Impact Forecast'!$G$32+$D254*'EISA Incand Impact Forecast'!$I$32</f>
        <v>131751.67776951162</v>
      </c>
      <c r="Y254" s="85">
        <f t="shared" si="90"/>
        <v>1195248.8535792148</v>
      </c>
      <c r="Z254" s="81">
        <f t="shared" si="91"/>
        <v>1955988.609800919</v>
      </c>
      <c r="AA254" s="81"/>
      <c r="AB254" s="262">
        <f>+'MWh by mo-WgtbyActulCDH&amp;Days'!AB254</f>
        <v>5450014.5728547378</v>
      </c>
      <c r="AC254" s="308">
        <f t="shared" si="99"/>
        <v>358.89603296535131</v>
      </c>
      <c r="AD254" s="309">
        <f t="shared" si="92"/>
        <v>139.58490313232792</v>
      </c>
      <c r="AE254" s="107">
        <f t="shared" si="93"/>
        <v>1.1196649983876572E-2</v>
      </c>
      <c r="AF254" s="309">
        <f t="shared" si="100"/>
        <v>219.31112983302339</v>
      </c>
      <c r="AG254" s="107">
        <f t="shared" si="94"/>
        <v>1.7591801858263905E-2</v>
      </c>
      <c r="AH254" s="119">
        <f t="shared" si="101"/>
        <v>2.8788451842140475E-2</v>
      </c>
      <c r="AI254" s="122">
        <f t="shared" si="95"/>
        <v>2.8788451842140479E-2</v>
      </c>
      <c r="AJ254" s="87" t="b">
        <f t="shared" si="102"/>
        <v>1</v>
      </c>
      <c r="AK254" s="88">
        <f t="shared" si="108"/>
        <v>7.6664774871081781E-4</v>
      </c>
      <c r="AL254" s="312">
        <f>+AC254/'MWh by month-WgtbyCDH&amp;DayLtHrs'!AC254-1</f>
        <v>1.0761091909792242E-2</v>
      </c>
      <c r="AM254" s="89">
        <f t="shared" si="96"/>
        <v>382567.41304593632</v>
      </c>
      <c r="AN254" s="90"/>
      <c r="AO254" s="96">
        <f t="shared" si="115"/>
        <v>70.195667907277922</v>
      </c>
      <c r="AP254" s="92">
        <f t="shared" si="114"/>
        <v>5.6306685487121323E-3</v>
      </c>
      <c r="AR254" s="94">
        <f t="shared" si="97"/>
        <v>2.8788451842140479E-2</v>
      </c>
      <c r="AS254" s="95"/>
    </row>
    <row r="255" spans="1:45">
      <c r="A255" s="78">
        <f t="shared" si="111"/>
        <v>2025</v>
      </c>
      <c r="B255" s="78">
        <f t="shared" si="112"/>
        <v>11</v>
      </c>
      <c r="C255" s="317">
        <f t="shared" si="105"/>
        <v>78.117279066674627</v>
      </c>
      <c r="D255" s="324">
        <f t="shared" si="109"/>
        <v>3.9729981188725644E-2</v>
      </c>
      <c r="E255" s="321">
        <f>$D255*'MWh Impact Summary'!B$31</f>
        <v>137253.4471253556</v>
      </c>
      <c r="F255" s="321">
        <f>$D255*'MWh Impact Summary'!N$31</f>
        <v>25671.325762015062</v>
      </c>
      <c r="G255" s="321">
        <f>$D255*'MWh Impact Summary'!C$31</f>
        <v>99842.862901219225</v>
      </c>
      <c r="H255" s="321">
        <f>$D255*'MWh Impact Summary'!D$31</f>
        <v>502.07184375671858</v>
      </c>
      <c r="I255" s="321">
        <f>$D255*'MWh Impact Summary'!E$31</f>
        <v>35522.597531899955</v>
      </c>
      <c r="J255" s="104">
        <f t="shared" si="98"/>
        <v>298792.30516424659</v>
      </c>
      <c r="K255" s="298">
        <f t="shared" si="106"/>
        <v>13.15</v>
      </c>
      <c r="L255" s="300">
        <f t="shared" si="110"/>
        <v>9.2573037662794788E-2</v>
      </c>
      <c r="M255" s="297">
        <f>(30/365)</f>
        <v>8.2191780821917804E-2</v>
      </c>
      <c r="N255" s="304">
        <f>$L255*'MWh Impact Summary'!F$31</f>
        <v>206155.35689746778</v>
      </c>
      <c r="O255" s="304">
        <f>$L255*'MWh Impact Summary'!G$31</f>
        <v>37953.005557236291</v>
      </c>
      <c r="P255" s="304">
        <f>$M255*'MWh Impact Summary'!H$31</f>
        <v>11533.706272874138</v>
      </c>
      <c r="Q255" s="304">
        <f>$M255*'MWh Impact Summary'!I$31</f>
        <v>1906.2814658570951</v>
      </c>
      <c r="R255" s="304">
        <f>$M255*'MWh Impact Summary'!J$31</f>
        <v>48822.417113563904</v>
      </c>
      <c r="S255" s="304">
        <f>$M255*'MWh Impact Summary'!K$31</f>
        <v>36912.297733412794</v>
      </c>
      <c r="T255" s="304">
        <f>$M255*'MWh Impact Summary'!L$31</f>
        <v>13277.625427448986</v>
      </c>
      <c r="U255" s="304">
        <f>$M255*'MWh Impact Summary'!M$31</f>
        <v>41142.457492916605</v>
      </c>
      <c r="V255" s="304">
        <f>$L255*'LED Impact Forecast'!$H$32+$D255*'LED Impact Forecast'!$J$32</f>
        <v>274720.47618042323</v>
      </c>
      <c r="W255" s="304">
        <f>$L255*'CFL Impact Forecast'!$H$32+$D255*'CFL Impact Forecast'!$J$32</f>
        <v>361687.51378783805</v>
      </c>
      <c r="X255" s="304">
        <f>$L255*'EISA Incand Impact Forecast'!$G$32+$D255*'EISA Incand Impact Forecast'!$I$32</f>
        <v>123631.25830399671</v>
      </c>
      <c r="Y255" s="85">
        <f t="shared" si="90"/>
        <v>1157742.3962330357</v>
      </c>
      <c r="Z255" s="81">
        <f t="shared" si="91"/>
        <v>1456534.7013972823</v>
      </c>
      <c r="AA255" s="81"/>
      <c r="AB255" s="262">
        <f>+'MWh by mo-WgtbyActulCDH&amp;Days'!AB255</f>
        <v>5454581.94816502</v>
      </c>
      <c r="AC255" s="308">
        <f t="shared" si="99"/>
        <v>267.02957536228348</v>
      </c>
      <c r="AD255" s="309">
        <f t="shared" si="92"/>
        <v>54.778222786581011</v>
      </c>
      <c r="AE255" s="107">
        <f t="shared" si="93"/>
        <v>4.1656443183711797E-3</v>
      </c>
      <c r="AF255" s="309">
        <f t="shared" si="100"/>
        <v>212.2513525757025</v>
      </c>
      <c r="AG255" s="107">
        <f t="shared" si="94"/>
        <v>1.614078726811426E-2</v>
      </c>
      <c r="AH255" s="119">
        <f t="shared" si="101"/>
        <v>2.030643158648544E-2</v>
      </c>
      <c r="AI255" s="122">
        <f t="shared" si="95"/>
        <v>2.0306431586485433E-2</v>
      </c>
      <c r="AJ255" s="87" t="b">
        <f t="shared" si="102"/>
        <v>1</v>
      </c>
      <c r="AK255" s="88">
        <f t="shared" si="108"/>
        <v>6.8911737908569637E-4</v>
      </c>
      <c r="AL255" s="312">
        <f>+AC255/'MWh by month-WgtbyCDH&amp;DayLtHrs'!AC255-1</f>
        <v>-4.7427753633610292E-2</v>
      </c>
      <c r="AM255" s="89">
        <f t="shared" si="96"/>
        <v>361687.51378783805</v>
      </c>
      <c r="AN255" s="90"/>
      <c r="AO255" s="96">
        <f t="shared" si="115"/>
        <v>66.308933888052337</v>
      </c>
      <c r="AP255" s="92">
        <f t="shared" si="114"/>
        <v>5.0425044781788851E-3</v>
      </c>
      <c r="AR255" s="94">
        <f t="shared" si="97"/>
        <v>2.0306431586485433E-2</v>
      </c>
      <c r="AS255" s="95"/>
    </row>
    <row r="256" spans="1:45">
      <c r="A256" s="78">
        <f t="shared" si="111"/>
        <v>2025</v>
      </c>
      <c r="B256" s="78">
        <f t="shared" si="112"/>
        <v>12</v>
      </c>
      <c r="C256" s="317">
        <f t="shared" si="105"/>
        <v>42.633806123140985</v>
      </c>
      <c r="D256" s="324">
        <f t="shared" si="109"/>
        <v>2.1683298951445065E-2</v>
      </c>
      <c r="E256" s="321">
        <f>$D256*'MWh Impact Summary'!B$31</f>
        <v>74908.354776165535</v>
      </c>
      <c r="F256" s="321">
        <f>$D256*'MWh Impact Summary'!N$31</f>
        <v>14010.553600152869</v>
      </c>
      <c r="G256" s="321">
        <f>$D256*'MWh Impact Summary'!C$31</f>
        <v>54490.905348569104</v>
      </c>
      <c r="H256" s="321">
        <f>$D256*'MWh Impact Summary'!D$31</f>
        <v>274.01407092459129</v>
      </c>
      <c r="I256" s="321">
        <f>$D256*'MWh Impact Summary'!E$31</f>
        <v>19387.049245183833</v>
      </c>
      <c r="J256" s="104">
        <f t="shared" si="98"/>
        <v>163070.87704099593</v>
      </c>
      <c r="K256" s="298">
        <f t="shared" si="106"/>
        <v>13.483333333333333</v>
      </c>
      <c r="L256" s="300">
        <f t="shared" si="110"/>
        <v>9.491962923853102E-2</v>
      </c>
      <c r="M256" s="297">
        <f t="shared" si="116"/>
        <v>8.4931506849315067E-2</v>
      </c>
      <c r="N256" s="304">
        <f>$L256*'MWh Impact Summary'!F$31</f>
        <v>211381.09471489408</v>
      </c>
      <c r="O256" s="304">
        <f>$L256*'MWh Impact Summary'!G$31</f>
        <v>38915.058930043291</v>
      </c>
      <c r="P256" s="304">
        <f>$M256*'MWh Impact Summary'!H$31</f>
        <v>11918.16314863661</v>
      </c>
      <c r="Q256" s="304">
        <f>$M256*'MWh Impact Summary'!I$31</f>
        <v>1969.824181385665</v>
      </c>
      <c r="R256" s="304">
        <f>$M256*'MWh Impact Summary'!J$31</f>
        <v>50449.831017349366</v>
      </c>
      <c r="S256" s="304">
        <f>$M256*'MWh Impact Summary'!K$31</f>
        <v>38142.707657859886</v>
      </c>
      <c r="T256" s="304">
        <f>$M256*'MWh Impact Summary'!L$31</f>
        <v>13720.212941697286</v>
      </c>
      <c r="U256" s="304">
        <f>$M256*'MWh Impact Summary'!M$31</f>
        <v>42513.872742680498</v>
      </c>
      <c r="V256" s="304">
        <f>$L256*'LED Impact Forecast'!$H$32+$D256*'LED Impact Forecast'!$J$32</f>
        <v>272576.76095128246</v>
      </c>
      <c r="W256" s="304">
        <f>$L256*'CFL Impact Forecast'!$H$32+$D256*'CFL Impact Forecast'!$J$32</f>
        <v>358948.90325262951</v>
      </c>
      <c r="X256" s="304">
        <f>$L256*'EISA Incand Impact Forecast'!$G$32+$D256*'EISA Incand Impact Forecast'!$I$32</f>
        <v>122400.05379508293</v>
      </c>
      <c r="Y256" s="85">
        <f t="shared" si="90"/>
        <v>1162936.4833335418</v>
      </c>
      <c r="Z256" s="81">
        <f t="shared" si="91"/>
        <v>1326007.3603745378</v>
      </c>
      <c r="AA256" s="81">
        <f>SUM(Z245:Z256)</f>
        <v>20996729.792061798</v>
      </c>
      <c r="AB256" s="262">
        <f>+'MWh by mo-WgtbyActulCDH&amp;Days'!AB256</f>
        <v>5459151.0861720592</v>
      </c>
      <c r="AC256" s="308">
        <f t="shared" si="99"/>
        <v>242.89625611082514</v>
      </c>
      <c r="AD256" s="309">
        <f t="shared" si="92"/>
        <v>29.871105317830789</v>
      </c>
      <c r="AE256" s="107">
        <f t="shared" si="93"/>
        <v>2.215409541495485E-3</v>
      </c>
      <c r="AF256" s="309">
        <f t="shared" si="100"/>
        <v>213.02515079299437</v>
      </c>
      <c r="AG256" s="107">
        <f t="shared" si="94"/>
        <v>1.5799145917898223E-2</v>
      </c>
      <c r="AH256" s="119">
        <f t="shared" si="101"/>
        <v>1.8014555459393709E-2</v>
      </c>
      <c r="AI256" s="122">
        <f t="shared" si="95"/>
        <v>1.8014555459393709E-2</v>
      </c>
      <c r="AJ256" s="87" t="b">
        <f t="shared" si="102"/>
        <v>1</v>
      </c>
      <c r="AK256" s="88">
        <f t="shared" si="108"/>
        <v>6.7290798454248957E-4</v>
      </c>
      <c r="AL256" s="312">
        <f>+AC256/'MWh by month-WgtbyCDH&amp;DayLtHrs'!AC256-1</f>
        <v>-6.6567183355035642E-2</v>
      </c>
      <c r="AM256" s="89">
        <f t="shared" si="96"/>
        <v>358948.90325262951</v>
      </c>
      <c r="AN256" s="90">
        <f>SUM(AM245:AM256)</f>
        <v>4263763.8338592062</v>
      </c>
      <c r="AO256" s="96">
        <f t="shared" si="115"/>
        <v>65.751780375128519</v>
      </c>
      <c r="AP256" s="92">
        <f t="shared" si="114"/>
        <v>4.8765226483408058E-3</v>
      </c>
      <c r="AR256" s="94">
        <f t="shared" si="97"/>
        <v>1.8014555459393709E-2</v>
      </c>
      <c r="AS256" s="95"/>
    </row>
    <row r="257" spans="1:45">
      <c r="A257" s="78">
        <f t="shared" si="111"/>
        <v>2026</v>
      </c>
      <c r="B257" s="78">
        <f t="shared" si="112"/>
        <v>1</v>
      </c>
      <c r="C257" s="317">
        <f t="shared" si="105"/>
        <v>26.112829868525239</v>
      </c>
      <c r="D257" s="324">
        <f t="shared" si="109"/>
        <v>1.3280829182176284E-2</v>
      </c>
      <c r="E257" s="321">
        <f>$D257*'MWh Impact Summary'!B$32</f>
        <v>46129.807655694538</v>
      </c>
      <c r="F257" s="321">
        <f>$D257*'MWh Impact Summary'!N$32</f>
        <v>9198.3575070110764</v>
      </c>
      <c r="G257" s="321">
        <f>$D257*'MWh Impact Summary'!C$32</f>
        <v>33793.111949938575</v>
      </c>
      <c r="H257" s="321">
        <f>$D257*'MWh Impact Summary'!D$32</f>
        <v>169.93312024913459</v>
      </c>
      <c r="I257" s="321">
        <f>$D257*'MWh Impact Summary'!E$32</f>
        <v>12023.083876668879</v>
      </c>
      <c r="J257" s="104">
        <f t="shared" si="98"/>
        <v>101314.29410956221</v>
      </c>
      <c r="K257" s="298">
        <f t="shared" si="106"/>
        <v>13.3</v>
      </c>
      <c r="L257" s="300">
        <f t="shared" si="110"/>
        <v>9.3629003871876101E-2</v>
      </c>
      <c r="M257" s="297">
        <f>(31/365)</f>
        <v>8.4931506849315067E-2</v>
      </c>
      <c r="N257" s="304">
        <f>$L257*'MWh Impact Summary'!F$32</f>
        <v>220417.26212525796</v>
      </c>
      <c r="O257" s="304">
        <f>$L257*'MWh Impact Summary'!G$32</f>
        <v>44804.001695700841</v>
      </c>
      <c r="P257" s="304">
        <f>$M257*'MWh Impact Summary'!H$32</f>
        <v>12517.757415120317</v>
      </c>
      <c r="Q257" s="304">
        <f>$M257*'MWh Impact Summary'!I$32</f>
        <v>2062.4220955829887</v>
      </c>
      <c r="R257" s="304">
        <f>$M257*'MWh Impact Summary'!J$32</f>
        <v>52011.23615889428</v>
      </c>
      <c r="S257" s="304">
        <f>$M257*'MWh Impact Summary'!K$32</f>
        <v>41738.545245949317</v>
      </c>
      <c r="T257" s="304">
        <f>$M257*'MWh Impact Summary'!L$32</f>
        <v>14991.085009939821</v>
      </c>
      <c r="U257" s="304">
        <f>$M257*'MWh Impact Summary'!M$32</f>
        <v>46643.890633818344</v>
      </c>
      <c r="V257" s="304">
        <f>$L257*'LED Impact Forecast'!$H$33+$D257*'LED Impact Forecast'!$J$33</f>
        <v>290339.83187763026</v>
      </c>
      <c r="W257" s="304">
        <f>$L257*'CFL Impact Forecast'!$H$33+$D257*'CFL Impact Forecast'!$J$33</f>
        <v>349828.36179984111</v>
      </c>
      <c r="X257" s="304">
        <f>$L257*'EISA Incand Impact Forecast'!$G$33+$D257*'EISA Incand Impact Forecast'!$I$33</f>
        <v>118878.37690652076</v>
      </c>
      <c r="Y257" s="85">
        <f t="shared" si="90"/>
        <v>1194232.7709642558</v>
      </c>
      <c r="Z257" s="81">
        <f t="shared" si="91"/>
        <v>1295547.065073818</v>
      </c>
      <c r="AA257" s="81"/>
      <c r="AB257" s="262">
        <f>+'MWh by mo-WgtbyActulCDH&amp;Days'!AB257</f>
        <v>5463737.3974974714</v>
      </c>
      <c r="AC257" s="308">
        <f t="shared" si="99"/>
        <v>237.11737421114179</v>
      </c>
      <c r="AD257" s="309">
        <f t="shared" si="92"/>
        <v>18.54303871850918</v>
      </c>
      <c r="AE257" s="107">
        <f t="shared" si="93"/>
        <v>1.394213437481893E-3</v>
      </c>
      <c r="AF257" s="309">
        <f t="shared" si="100"/>
        <v>218.57433549263263</v>
      </c>
      <c r="AG257" s="107">
        <f t="shared" si="94"/>
        <v>1.6434160563355834E-2</v>
      </c>
      <c r="AH257" s="119">
        <f t="shared" si="101"/>
        <v>1.7828374000837727E-2</v>
      </c>
      <c r="AI257" s="122">
        <f t="shared" si="95"/>
        <v>1.7828374000837727E-2</v>
      </c>
      <c r="AJ257" s="87" t="b">
        <f t="shared" si="102"/>
        <v>1</v>
      </c>
      <c r="AK257" s="88">
        <f t="shared" si="108"/>
        <v>6.072619322733154E-4</v>
      </c>
      <c r="AL257" s="312">
        <f>+AC257/'MWh by month-WgtbyCDH&amp;DayLtHrs'!AC257-1</f>
        <v>-7.6832607863869473E-2</v>
      </c>
      <c r="AM257" s="89">
        <f t="shared" si="96"/>
        <v>349828.36179984111</v>
      </c>
      <c r="AN257" s="93"/>
      <c r="AO257" s="96">
        <f t="shared" si="115"/>
        <v>64.027301524423791</v>
      </c>
      <c r="AP257" s="92">
        <f t="shared" si="114"/>
        <v>4.8140828213852471E-3</v>
      </c>
      <c r="AR257" s="94">
        <f t="shared" si="97"/>
        <v>1.7828374000837727E-2</v>
      </c>
      <c r="AS257" s="95"/>
    </row>
    <row r="258" spans="1:45">
      <c r="A258" s="78">
        <f t="shared" si="111"/>
        <v>2026</v>
      </c>
      <c r="B258" s="78">
        <f t="shared" si="112"/>
        <v>2</v>
      </c>
      <c r="C258" s="317">
        <f t="shared" si="105"/>
        <v>35.042184420393127</v>
      </c>
      <c r="D258" s="324">
        <f t="shared" si="109"/>
        <v>1.7822245532205266E-2</v>
      </c>
      <c r="E258" s="321">
        <f>$D258*'MWh Impact Summary'!B$32</f>
        <v>61904.023244011754</v>
      </c>
      <c r="F258" s="321">
        <f>$D258*'MWh Impact Summary'!N$32</f>
        <v>12343.761352112459</v>
      </c>
      <c r="G258" s="321">
        <f>$D258*'MWh Impact Summary'!C$32</f>
        <v>45348.760247393933</v>
      </c>
      <c r="H258" s="321">
        <f>$D258*'MWh Impact Summary'!D$32</f>
        <v>228.0422217310346</v>
      </c>
      <c r="I258" s="321">
        <f>$D258*'MWh Impact Summary'!E$32</f>
        <v>16134.410733319744</v>
      </c>
      <c r="J258" s="104">
        <f t="shared" si="98"/>
        <v>135958.99779856892</v>
      </c>
      <c r="K258" s="298">
        <f t="shared" si="106"/>
        <v>12.733333333333333</v>
      </c>
      <c r="L258" s="300">
        <f t="shared" si="110"/>
        <v>8.9639798193124468E-2</v>
      </c>
      <c r="M258" s="297">
        <f>(28/365)</f>
        <v>7.6712328767123292E-2</v>
      </c>
      <c r="N258" s="304">
        <f>$L258*'MWh Impact Summary'!F$32</f>
        <v>211026.05045576071</v>
      </c>
      <c r="O258" s="304">
        <f>$L258*'MWh Impact Summary'!G$32</f>
        <v>42895.0592675632</v>
      </c>
      <c r="P258" s="304">
        <f>$M258*'MWh Impact Summary'!H$32</f>
        <v>11306.361536237706</v>
      </c>
      <c r="Q258" s="304">
        <f>$M258*'MWh Impact Summary'!I$32</f>
        <v>1862.8328605265706</v>
      </c>
      <c r="R258" s="304">
        <f>$M258*'MWh Impact Summary'!J$32</f>
        <v>46977.890724162578</v>
      </c>
      <c r="S258" s="304">
        <f>$M258*'MWh Impact Summary'!K$32</f>
        <v>37699.331189889708</v>
      </c>
      <c r="T258" s="304">
        <f>$M258*'MWh Impact Summary'!L$32</f>
        <v>13540.334847687582</v>
      </c>
      <c r="U258" s="304">
        <f>$M258*'MWh Impact Summary'!M$32</f>
        <v>42129.965733771416</v>
      </c>
      <c r="V258" s="304">
        <f>$L258*'LED Impact Forecast'!$H$33+$D258*'LED Impact Forecast'!$J$33</f>
        <v>280655.70221315668</v>
      </c>
      <c r="W258" s="304">
        <f>$L258*'CFL Impact Forecast'!$H$33+$D258*'CFL Impact Forecast'!$J$33</f>
        <v>338124.20394662448</v>
      </c>
      <c r="X258" s="304">
        <f>$L258*'EISA Incand Impact Forecast'!$G$33+$D258*'EISA Incand Impact Forecast'!$I$33</f>
        <v>114983.41945800981</v>
      </c>
      <c r="Y258" s="85">
        <f t="shared" si="90"/>
        <v>1141201.1522333904</v>
      </c>
      <c r="Z258" s="81">
        <f t="shared" si="91"/>
        <v>1277160.1500319592</v>
      </c>
      <c r="AA258" s="81"/>
      <c r="AB258" s="262">
        <f>+'MWh by mo-WgtbyActulCDH&amp;Days'!AB258</f>
        <v>5468304.7475988464</v>
      </c>
      <c r="AC258" s="308">
        <f t="shared" si="99"/>
        <v>233.55687164157501</v>
      </c>
      <c r="AD258" s="309">
        <f t="shared" si="92"/>
        <v>24.863098176499584</v>
      </c>
      <c r="AE258" s="107">
        <f t="shared" si="93"/>
        <v>1.9525993332329516E-3</v>
      </c>
      <c r="AF258" s="309">
        <f t="shared" si="100"/>
        <v>208.69377346507545</v>
      </c>
      <c r="AG258" s="107">
        <f t="shared" si="94"/>
        <v>1.6389563361131582E-2</v>
      </c>
      <c r="AH258" s="119">
        <f t="shared" si="101"/>
        <v>1.8342162694364533E-2</v>
      </c>
      <c r="AI258" s="122">
        <f t="shared" si="95"/>
        <v>1.8342162694364533E-2</v>
      </c>
      <c r="AJ258" s="87" t="b">
        <f t="shared" si="102"/>
        <v>1</v>
      </c>
      <c r="AK258" s="88">
        <f t="shared" si="108"/>
        <v>6.065611604195581E-4</v>
      </c>
      <c r="AL258" s="312">
        <f>+AC258/'MWh by month-WgtbyCDH&amp;DayLtHrs'!AC258-1</f>
        <v>-8.0945485680882001E-2</v>
      </c>
      <c r="AM258" s="89">
        <f t="shared" si="96"/>
        <v>338124.20394662448</v>
      </c>
      <c r="AN258" s="93"/>
      <c r="AO258" s="96">
        <f t="shared" si="115"/>
        <v>61.833460195336791</v>
      </c>
      <c r="AP258" s="92">
        <f t="shared" si="114"/>
        <v>4.8560309053929419E-3</v>
      </c>
      <c r="AR258" s="94">
        <f t="shared" si="97"/>
        <v>1.8342162694364533E-2</v>
      </c>
      <c r="AS258" s="95"/>
    </row>
    <row r="259" spans="1:45">
      <c r="A259" s="78">
        <f t="shared" si="111"/>
        <v>2026</v>
      </c>
      <c r="B259" s="78">
        <f t="shared" si="112"/>
        <v>3</v>
      </c>
      <c r="C259" s="317">
        <f t="shared" si="105"/>
        <v>64.582270600115152</v>
      </c>
      <c r="D259" s="324">
        <f t="shared" si="109"/>
        <v>3.2846156787895278E-2</v>
      </c>
      <c r="E259" s="321">
        <f>$D259*'MWh Impact Summary'!B$32</f>
        <v>114088.27521762509</v>
      </c>
      <c r="F259" s="321">
        <f>$D259*'MWh Impact Summary'!N$32</f>
        <v>22749.384750153848</v>
      </c>
      <c r="G259" s="321">
        <f>$D259*'MWh Impact Summary'!C$32</f>
        <v>83577.150058389074</v>
      </c>
      <c r="H259" s="321">
        <f>$D259*'MWh Impact Summary'!D$32</f>
        <v>420.27872165167707</v>
      </c>
      <c r="I259" s="321">
        <f>$D259*'MWh Impact Summary'!E$32</f>
        <v>29735.500146111277</v>
      </c>
      <c r="J259" s="104">
        <f t="shared" si="98"/>
        <v>250570.58889393095</v>
      </c>
      <c r="K259" s="298">
        <f t="shared" si="106"/>
        <v>12</v>
      </c>
      <c r="L259" s="300">
        <f t="shared" si="110"/>
        <v>8.4477296726504739E-2</v>
      </c>
      <c r="M259" s="297">
        <f t="shared" ref="M259:M268" si="117">(31/365)</f>
        <v>8.4931506849315067E-2</v>
      </c>
      <c r="N259" s="304">
        <f>$L259*'MWh Impact Summary'!F$32</f>
        <v>198872.71770699963</v>
      </c>
      <c r="O259" s="304">
        <f>$L259*'MWh Impact Summary'!G$32</f>
        <v>40424.663184090976</v>
      </c>
      <c r="P259" s="304">
        <f>$M259*'MWh Impact Summary'!H$32</f>
        <v>12517.757415120317</v>
      </c>
      <c r="Q259" s="304">
        <f>$M259*'MWh Impact Summary'!I$32</f>
        <v>2062.4220955829887</v>
      </c>
      <c r="R259" s="304">
        <f>$M259*'MWh Impact Summary'!J$32</f>
        <v>52011.23615889428</v>
      </c>
      <c r="S259" s="304">
        <f>$M259*'MWh Impact Summary'!K$32</f>
        <v>41738.545245949317</v>
      </c>
      <c r="T259" s="304">
        <f>$M259*'MWh Impact Summary'!L$32</f>
        <v>14991.085009939821</v>
      </c>
      <c r="U259" s="304">
        <f>$M259*'MWh Impact Summary'!M$32</f>
        <v>46643.890633818344</v>
      </c>
      <c r="V259" s="304">
        <f>$L259*'LED Impact Forecast'!$H$33+$D259*'LED Impact Forecast'!$J$33</f>
        <v>272934.1800226075</v>
      </c>
      <c r="W259" s="304">
        <f>$L259*'CFL Impact Forecast'!$H$33+$D259*'CFL Impact Forecast'!$J$33</f>
        <v>328710.09078117291</v>
      </c>
      <c r="X259" s="304">
        <f>$L259*'EISA Incand Impact Forecast'!$G$33+$D259*'EISA Incand Impact Forecast'!$I$33</f>
        <v>112038.34535817795</v>
      </c>
      <c r="Y259" s="85">
        <f t="shared" si="90"/>
        <v>1122944.9336123541</v>
      </c>
      <c r="Z259" s="81">
        <f t="shared" si="91"/>
        <v>1373515.522506285</v>
      </c>
      <c r="AA259" s="81"/>
      <c r="AB259" s="262">
        <f>+'MWh by mo-WgtbyActulCDH&amp;Days'!AB259</f>
        <v>5472890.5962758642</v>
      </c>
      <c r="AC259" s="308">
        <f t="shared" si="99"/>
        <v>250.96710748081105</v>
      </c>
      <c r="AD259" s="309">
        <f t="shared" si="92"/>
        <v>45.783957213476299</v>
      </c>
      <c r="AE259" s="107">
        <f t="shared" si="93"/>
        <v>3.8153297677896917E-3</v>
      </c>
      <c r="AF259" s="309">
        <f t="shared" si="100"/>
        <v>205.18315026733478</v>
      </c>
      <c r="AG259" s="107">
        <f t="shared" si="94"/>
        <v>1.7098595855611232E-2</v>
      </c>
      <c r="AH259" s="119">
        <f t="shared" si="101"/>
        <v>2.0913925623400925E-2</v>
      </c>
      <c r="AI259" s="122">
        <f t="shared" si="95"/>
        <v>2.0913925623400921E-2</v>
      </c>
      <c r="AJ259" s="87" t="b">
        <f t="shared" si="102"/>
        <v>1</v>
      </c>
      <c r="AK259" s="88">
        <f t="shared" si="108"/>
        <v>6.4678467533067427E-4</v>
      </c>
      <c r="AL259" s="312">
        <f>+AC259/'MWh by month-WgtbyCDH&amp;DayLtHrs'!AC259-1</f>
        <v>-4.7267931057162205E-2</v>
      </c>
      <c r="AM259" s="89">
        <f t="shared" si="96"/>
        <v>328710.09078117291</v>
      </c>
      <c r="AN259" s="93"/>
      <c r="AO259" s="96">
        <f t="shared" si="115"/>
        <v>60.061513198317932</v>
      </c>
      <c r="AP259" s="92">
        <f t="shared" si="114"/>
        <v>5.0051260998598274E-3</v>
      </c>
      <c r="AR259" s="94">
        <f t="shared" si="97"/>
        <v>2.0913925623400921E-2</v>
      </c>
      <c r="AS259" s="95"/>
    </row>
    <row r="260" spans="1:45">
      <c r="A260" s="78">
        <f t="shared" si="111"/>
        <v>2026</v>
      </c>
      <c r="B260" s="78">
        <f t="shared" si="112"/>
        <v>4</v>
      </c>
      <c r="C260" s="317">
        <f t="shared" si="105"/>
        <v>114.03392869270741</v>
      </c>
      <c r="D260" s="324">
        <f t="shared" si="109"/>
        <v>5.7996974497419709E-2</v>
      </c>
      <c r="E260" s="321">
        <f>$D260*'MWh Impact Summary'!B$32</f>
        <v>201447.45794703352</v>
      </c>
      <c r="F260" s="321">
        <f>$D260*'MWh Impact Summary'!N$32</f>
        <v>40168.945661030746</v>
      </c>
      <c r="G260" s="321">
        <f>$D260*'MWh Impact Summary'!C$32</f>
        <v>147573.48544015194</v>
      </c>
      <c r="H260" s="321">
        <f>$D260*'MWh Impact Summary'!D$32</f>
        <v>742.09273428370466</v>
      </c>
      <c r="I260" s="321">
        <f>$D260*'MWh Impact Summary'!E$32</f>
        <v>52504.439249269715</v>
      </c>
      <c r="J260" s="104">
        <f t="shared" si="98"/>
        <v>442436.4210317696</v>
      </c>
      <c r="K260" s="298">
        <f t="shared" si="106"/>
        <v>11.2</v>
      </c>
      <c r="L260" s="300">
        <f t="shared" si="110"/>
        <v>7.8845476944737758E-2</v>
      </c>
      <c r="M260" s="297">
        <f>(30/365)</f>
        <v>8.2191780821917804E-2</v>
      </c>
      <c r="N260" s="304">
        <f>$L260*'MWh Impact Summary'!F$32</f>
        <v>185614.53652653299</v>
      </c>
      <c r="O260" s="304">
        <f>$L260*'MWh Impact Summary'!G$32</f>
        <v>37729.685638484909</v>
      </c>
      <c r="P260" s="304">
        <f>$M260*'MWh Impact Summary'!H$32</f>
        <v>12113.958788826112</v>
      </c>
      <c r="Q260" s="304">
        <f>$M260*'MWh Impact Summary'!I$32</f>
        <v>1995.8923505641826</v>
      </c>
      <c r="R260" s="304">
        <f>$M260*'MWh Impact Summary'!J$32</f>
        <v>50333.454347317042</v>
      </c>
      <c r="S260" s="304">
        <f>$M260*'MWh Impact Summary'!K$32</f>
        <v>40392.140560596112</v>
      </c>
      <c r="T260" s="304">
        <f>$M260*'MWh Impact Summary'!L$32</f>
        <v>14507.501622522408</v>
      </c>
      <c r="U260" s="304">
        <f>$M260*'MWh Impact Summary'!M$32</f>
        <v>45139.249000469368</v>
      </c>
      <c r="V260" s="304">
        <f>$L260*'LED Impact Forecast'!$H$33+$D260*'LED Impact Forecast'!$J$33</f>
        <v>269118.72416520532</v>
      </c>
      <c r="W260" s="304">
        <f>$L260*'CFL Impact Forecast'!$H$33+$D260*'CFL Impact Forecast'!$J$33</f>
        <v>323930.87610130885</v>
      </c>
      <c r="X260" s="304">
        <f>$L260*'EISA Incand Impact Forecast'!$G$33+$D260*'EISA Incand Impact Forecast'!$I$33</f>
        <v>110832.63814368282</v>
      </c>
      <c r="Y260" s="85">
        <f t="shared" si="90"/>
        <v>1091708.65724551</v>
      </c>
      <c r="Z260" s="81">
        <f t="shared" si="91"/>
        <v>1534145.0782772796</v>
      </c>
      <c r="AA260" s="81"/>
      <c r="AB260" s="262">
        <f>+'MWh by mo-WgtbyActulCDH&amp;Days'!AB260</f>
        <v>5477458.5188071523</v>
      </c>
      <c r="AC260" s="308">
        <f t="shared" si="99"/>
        <v>280.08337680873507</v>
      </c>
      <c r="AD260" s="309">
        <f t="shared" si="92"/>
        <v>80.774034073035878</v>
      </c>
      <c r="AE260" s="107">
        <f t="shared" si="93"/>
        <v>7.2119673279496324E-3</v>
      </c>
      <c r="AF260" s="309">
        <f t="shared" si="100"/>
        <v>199.30934273569923</v>
      </c>
      <c r="AG260" s="107">
        <f t="shared" si="94"/>
        <v>1.7795477029973146E-2</v>
      </c>
      <c r="AH260" s="119">
        <f t="shared" si="101"/>
        <v>2.5007444357922778E-2</v>
      </c>
      <c r="AI260" s="122">
        <f t="shared" si="95"/>
        <v>2.5007444357922775E-2</v>
      </c>
      <c r="AJ260" s="87" t="b">
        <f t="shared" si="102"/>
        <v>1</v>
      </c>
      <c r="AK260" s="88">
        <f t="shared" si="108"/>
        <v>6.8496967278417267E-4</v>
      </c>
      <c r="AL260" s="312">
        <f>+AC260/'MWh by month-WgtbyCDH&amp;DayLtHrs'!AC260-1</f>
        <v>-1.9864323400518136E-2</v>
      </c>
      <c r="AM260" s="89">
        <f t="shared" si="96"/>
        <v>323930.87610130885</v>
      </c>
      <c r="AN260" s="93"/>
      <c r="AO260" s="96">
        <f t="shared" si="115"/>
        <v>59.138900822174101</v>
      </c>
      <c r="AP260" s="92">
        <f t="shared" si="114"/>
        <v>5.2802590019798302E-3</v>
      </c>
      <c r="AR260" s="94">
        <f t="shared" si="97"/>
        <v>2.5007444357922775E-2</v>
      </c>
      <c r="AS260" s="95"/>
    </row>
    <row r="261" spans="1:45">
      <c r="A261" s="78">
        <f t="shared" si="111"/>
        <v>2026</v>
      </c>
      <c r="B261" s="78">
        <f t="shared" si="112"/>
        <v>5</v>
      </c>
      <c r="C261" s="317">
        <f t="shared" si="105"/>
        <v>208.47875842628665</v>
      </c>
      <c r="D261" s="324">
        <f t="shared" si="109"/>
        <v>0.10603105035770212</v>
      </c>
      <c r="E261" s="321">
        <f>$D261*'MWh Impact Summary'!B$32</f>
        <v>368289.65205699281</v>
      </c>
      <c r="F261" s="321">
        <f>$D261*'MWh Impact Summary'!N$32</f>
        <v>73437.546304937699</v>
      </c>
      <c r="G261" s="321">
        <f>$D261*'MWh Impact Summary'!C$32</f>
        <v>269796.34371897316</v>
      </c>
      <c r="H261" s="321">
        <f>$D261*'MWh Impact Summary'!D$32</f>
        <v>1356.7064965159698</v>
      </c>
      <c r="I261" s="321">
        <f>$D261*'MWh Impact Summary'!E$32</f>
        <v>95989.504457511139</v>
      </c>
      <c r="J261" s="104">
        <f t="shared" si="98"/>
        <v>808869.75303493079</v>
      </c>
      <c r="K261" s="298">
        <f t="shared" si="106"/>
        <v>10.533333333333333</v>
      </c>
      <c r="L261" s="300">
        <f t="shared" si="110"/>
        <v>7.4152293793265281E-2</v>
      </c>
      <c r="M261" s="297">
        <f t="shared" si="117"/>
        <v>8.4931506849315067E-2</v>
      </c>
      <c r="N261" s="304">
        <f>$L261*'MWh Impact Summary'!F$32</f>
        <v>174566.05220947749</v>
      </c>
      <c r="O261" s="304">
        <f>$L261*'MWh Impact Summary'!G$32</f>
        <v>35483.871017146528</v>
      </c>
      <c r="P261" s="304">
        <f>$M261*'MWh Impact Summary'!H$32</f>
        <v>12517.757415120317</v>
      </c>
      <c r="Q261" s="304">
        <f>$M261*'MWh Impact Summary'!I$32</f>
        <v>2062.4220955829887</v>
      </c>
      <c r="R261" s="304">
        <f>$M261*'MWh Impact Summary'!J$32</f>
        <v>52011.23615889428</v>
      </c>
      <c r="S261" s="304">
        <f>$M261*'MWh Impact Summary'!K$32</f>
        <v>41738.545245949317</v>
      </c>
      <c r="T261" s="304">
        <f>$M261*'MWh Impact Summary'!L$32</f>
        <v>14991.085009939821</v>
      </c>
      <c r="U261" s="304">
        <f>$M261*'MWh Impact Summary'!M$32</f>
        <v>46643.890633818344</v>
      </c>
      <c r="V261" s="304">
        <f>$L261*'LED Impact Forecast'!$H$33+$D261*'LED Impact Forecast'!$J$33</f>
        <v>280179.69006363599</v>
      </c>
      <c r="W261" s="304">
        <f>$L261*'CFL Impact Forecast'!$H$33+$D261*'CFL Impact Forecast'!$J$33</f>
        <v>336916.59499592113</v>
      </c>
      <c r="X261" s="304">
        <f>$L261*'EISA Incand Impact Forecast'!$G$33+$D261*'EISA Incand Impact Forecast'!$I$33</f>
        <v>116030.57380943152</v>
      </c>
      <c r="Y261" s="85">
        <f t="shared" ref="Y261:Y268" si="118">SUM(N261:X261)</f>
        <v>1113141.7186549176</v>
      </c>
      <c r="Z261" s="81">
        <f t="shared" ref="Z261:Z268" si="119">Y261+J261</f>
        <v>1922011.4716898482</v>
      </c>
      <c r="AA261" s="81"/>
      <c r="AB261" s="262">
        <f>+'MWh by mo-WgtbyActulCDH&amp;Days'!AB261</f>
        <v>5482057.5816175342</v>
      </c>
      <c r="AC261" s="308">
        <f t="shared" si="99"/>
        <v>350.60038007166281</v>
      </c>
      <c r="AD261" s="309">
        <f t="shared" ref="AD261:AD268" si="120">+J261*1000/AB261</f>
        <v>147.54856930858176</v>
      </c>
      <c r="AE261" s="107">
        <f t="shared" ref="AE261:AE268" si="121">+AD261/K261/1000</f>
        <v>1.4007775567270422E-2</v>
      </c>
      <c r="AF261" s="309">
        <f t="shared" si="100"/>
        <v>203.05181076308108</v>
      </c>
      <c r="AG261" s="107">
        <f t="shared" ref="AG261:AG268" si="122">+AF261/K261/1000</f>
        <v>1.9277070642064662E-2</v>
      </c>
      <c r="AH261" s="119">
        <f t="shared" si="101"/>
        <v>3.3284846209335084E-2</v>
      </c>
      <c r="AI261" s="122">
        <f t="shared" ref="AI261:AI268" si="123">+AC261/K261/1000</f>
        <v>3.3284846209335077E-2</v>
      </c>
      <c r="AJ261" s="87" t="b">
        <f t="shared" si="102"/>
        <v>1</v>
      </c>
      <c r="AK261" s="88">
        <f t="shared" si="108"/>
        <v>7.6027982345516082E-4</v>
      </c>
      <c r="AL261" s="312">
        <f>+AC261/'MWh by month-WgtbyCDH&amp;DayLtHrs'!AC261-1</f>
        <v>2.5201831430743837E-2</v>
      </c>
      <c r="AM261" s="89">
        <f t="shared" ref="AM261:AM268" si="124">+W261</f>
        <v>336916.59499592113</v>
      </c>
      <c r="AN261" s="93"/>
      <c r="AO261" s="96">
        <f t="shared" si="115"/>
        <v>61.458054750404614</v>
      </c>
      <c r="AP261" s="92">
        <f t="shared" si="114"/>
        <v>5.8346254509877796E-3</v>
      </c>
      <c r="AR261" s="94">
        <f t="shared" ref="AR261:AR268" si="125">AI261</f>
        <v>3.3284846209335077E-2</v>
      </c>
      <c r="AS261" s="95"/>
    </row>
    <row r="262" spans="1:45">
      <c r="A262" s="78">
        <f t="shared" si="111"/>
        <v>2026</v>
      </c>
      <c r="B262" s="78">
        <f t="shared" si="112"/>
        <v>6</v>
      </c>
      <c r="C262" s="317">
        <f t="shared" si="105"/>
        <v>271.66325293295364</v>
      </c>
      <c r="D262" s="324">
        <f t="shared" si="109"/>
        <v>0.13816630657965029</v>
      </c>
      <c r="E262" s="321">
        <f>$D262*'MWh Impact Summary'!B$32</f>
        <v>479908.67585065746</v>
      </c>
      <c r="F262" s="321">
        <f>$D262*'MWh Impact Summary'!N$32</f>
        <v>95694.558367526683</v>
      </c>
      <c r="G262" s="321">
        <f>$D262*'MWh Impact Summary'!C$32</f>
        <v>351564.6050339872</v>
      </c>
      <c r="H262" s="321">
        <f>$D262*'MWh Impact Summary'!D$32</f>
        <v>1767.8889825560636</v>
      </c>
      <c r="I262" s="321">
        <f>$D262*'MWh Impact Summary'!E$32</f>
        <v>125081.4290395436</v>
      </c>
      <c r="J262" s="104">
        <f t="shared" ref="J262:J267" si="126">SUM(E262:I262)</f>
        <v>1054017.1572742709</v>
      </c>
      <c r="K262" s="298">
        <f t="shared" si="106"/>
        <v>10.199999999999999</v>
      </c>
      <c r="L262" s="300">
        <f t="shared" si="110"/>
        <v>7.1805702217529022E-2</v>
      </c>
      <c r="M262" s="297">
        <f>(30/365)</f>
        <v>8.2191780821917804E-2</v>
      </c>
      <c r="N262" s="304">
        <f>$L262*'MWh Impact Summary'!F$32</f>
        <v>169041.81005094969</v>
      </c>
      <c r="O262" s="304">
        <f>$L262*'MWh Impact Summary'!G$32</f>
        <v>34360.963706477327</v>
      </c>
      <c r="P262" s="304">
        <f>$M262*'MWh Impact Summary'!H$32</f>
        <v>12113.958788826112</v>
      </c>
      <c r="Q262" s="304">
        <f>$M262*'MWh Impact Summary'!I$32</f>
        <v>1995.8923505641826</v>
      </c>
      <c r="R262" s="304">
        <f>$M262*'MWh Impact Summary'!J$32</f>
        <v>50333.454347317042</v>
      </c>
      <c r="S262" s="304">
        <f>$M262*'MWh Impact Summary'!K$32</f>
        <v>40392.140560596112</v>
      </c>
      <c r="T262" s="304">
        <f>$M262*'MWh Impact Summary'!L$32</f>
        <v>14507.501622522408</v>
      </c>
      <c r="U262" s="304">
        <f>$M262*'MWh Impact Summary'!M$32</f>
        <v>45139.249000469368</v>
      </c>
      <c r="V262" s="304">
        <f>$L262*'LED Impact Forecast'!$H$33+$D262*'LED Impact Forecast'!$J$33</f>
        <v>289980.06508027721</v>
      </c>
      <c r="W262" s="304">
        <f>$L262*'CFL Impact Forecast'!$H$33+$D262*'CFL Impact Forecast'!$J$33</f>
        <v>348497.27887461963</v>
      </c>
      <c r="X262" s="304">
        <f>$L262*'EISA Incand Impact Forecast'!$G$33+$D262*'EISA Incand Impact Forecast'!$I$33</f>
        <v>120489.36403927245</v>
      </c>
      <c r="Y262" s="85">
        <f t="shared" si="118"/>
        <v>1126851.6784218915</v>
      </c>
      <c r="Z262" s="81">
        <f t="shared" si="119"/>
        <v>2180868.8356961627</v>
      </c>
      <c r="AA262" s="81"/>
      <c r="AB262" s="262">
        <f>+'MWh by mo-WgtbyActulCDH&amp;Days'!AB262</f>
        <v>5486653.8083125623</v>
      </c>
      <c r="AC262" s="308">
        <f t="shared" ref="AC262:AC268" si="127">+Z262*1000/AB262</f>
        <v>397.48613852618774</v>
      </c>
      <c r="AD262" s="309">
        <f t="shared" si="120"/>
        <v>192.10564291069008</v>
      </c>
      <c r="AE262" s="107">
        <f t="shared" si="121"/>
        <v>1.8833886559871577E-2</v>
      </c>
      <c r="AF262" s="309">
        <f t="shared" ref="AF262:AF268" si="128">+Y262*1000/AB262</f>
        <v>205.38049561549761</v>
      </c>
      <c r="AG262" s="107">
        <f t="shared" si="122"/>
        <v>2.0135342707401725E-2</v>
      </c>
      <c r="AH262" s="119">
        <f t="shared" ref="AH262:AH268" si="129">AE262+AG262</f>
        <v>3.8969229267273302E-2</v>
      </c>
      <c r="AI262" s="122">
        <f t="shared" si="123"/>
        <v>3.8969229267273316E-2</v>
      </c>
      <c r="AJ262" s="87" t="b">
        <f t="shared" ref="AJ262:AJ268" si="130">AH262=AI262</f>
        <v>1</v>
      </c>
      <c r="AK262" s="88">
        <f t="shared" si="108"/>
        <v>8.0280571416383589E-4</v>
      </c>
      <c r="AL262" s="312">
        <f>+AC262/'MWh by month-WgtbyCDH&amp;DayLtHrs'!AC262-1</f>
        <v>4.2750488000250719E-2</v>
      </c>
      <c r="AM262" s="89">
        <f t="shared" si="124"/>
        <v>348497.27887461963</v>
      </c>
      <c r="AN262" s="93"/>
      <c r="AO262" s="96">
        <f t="shared" si="115"/>
        <v>63.517271373424059</v>
      </c>
      <c r="AP262" s="92">
        <f t="shared" si="114"/>
        <v>6.2271834679827514E-3</v>
      </c>
      <c r="AR262" s="94">
        <f t="shared" si="125"/>
        <v>3.8969229267273316E-2</v>
      </c>
      <c r="AS262" s="95"/>
    </row>
    <row r="263" spans="1:45">
      <c r="A263" s="78">
        <f t="shared" si="111"/>
        <v>2026</v>
      </c>
      <c r="B263" s="78">
        <f t="shared" si="112"/>
        <v>7</v>
      </c>
      <c r="C263" s="317">
        <f t="shared" si="105"/>
        <v>322.31916585708109</v>
      </c>
      <c r="D263" s="324">
        <f t="shared" si="109"/>
        <v>0.16392960109808263</v>
      </c>
      <c r="E263" s="321">
        <f>$D263*'MWh Impact Summary'!B$32</f>
        <v>569395.24362515134</v>
      </c>
      <c r="F263" s="321">
        <f>$D263*'MWh Impact Summary'!N$32</f>
        <v>113538.32326264345</v>
      </c>
      <c r="G263" s="321">
        <f>$D263*'MWh Impact Summary'!C$32</f>
        <v>417119.38959736773</v>
      </c>
      <c r="H263" s="321">
        <f>$D263*'MWh Impact Summary'!D$32</f>
        <v>2097.5398624341237</v>
      </c>
      <c r="I263" s="321">
        <f>$D263*'MWh Impact Summary'!E$32</f>
        <v>148404.84105587655</v>
      </c>
      <c r="J263" s="104">
        <f t="shared" si="126"/>
        <v>1250555.3374034732</v>
      </c>
      <c r="K263" s="298">
        <f t="shared" si="106"/>
        <v>10.366666666666667</v>
      </c>
      <c r="L263" s="300">
        <f t="shared" si="110"/>
        <v>7.2978998005397158E-2</v>
      </c>
      <c r="M263" s="297">
        <f t="shared" si="117"/>
        <v>8.4931506849315067E-2</v>
      </c>
      <c r="N263" s="304">
        <f>$L263*'MWh Impact Summary'!F$32</f>
        <v>171803.9311302136</v>
      </c>
      <c r="O263" s="304">
        <f>$L263*'MWh Impact Summary'!G$32</f>
        <v>34922.417361811931</v>
      </c>
      <c r="P263" s="304">
        <f>$M263*'MWh Impact Summary'!H$32</f>
        <v>12517.757415120317</v>
      </c>
      <c r="Q263" s="304">
        <f>$M263*'MWh Impact Summary'!I$32</f>
        <v>2062.4220955829887</v>
      </c>
      <c r="R263" s="304">
        <f>$M263*'MWh Impact Summary'!J$32</f>
        <v>52011.23615889428</v>
      </c>
      <c r="S263" s="304">
        <f>$M263*'MWh Impact Summary'!K$32</f>
        <v>41738.545245949317</v>
      </c>
      <c r="T263" s="304">
        <f>$M263*'MWh Impact Summary'!L$32</f>
        <v>14991.085009939821</v>
      </c>
      <c r="U263" s="304">
        <f>$M263*'MWh Impact Summary'!M$32</f>
        <v>46643.890633818344</v>
      </c>
      <c r="V263" s="304">
        <f>$L263*'LED Impact Forecast'!$H$33+$D263*'LED Impact Forecast'!$J$33</f>
        <v>307081.44470013713</v>
      </c>
      <c r="W263" s="304">
        <f>$L263*'CFL Impact Forecast'!$H$33+$D263*'CFL Impact Forecast'!$J$33</f>
        <v>368923.08221389324</v>
      </c>
      <c r="X263" s="304">
        <f>$L263*'EISA Incand Impact Forecast'!$G$33+$D263*'EISA Incand Impact Forecast'!$I$33</f>
        <v>127843.11685109138</v>
      </c>
      <c r="Y263" s="85">
        <f t="shared" si="118"/>
        <v>1180538.9288164524</v>
      </c>
      <c r="Z263" s="81">
        <f t="shared" si="119"/>
        <v>2431094.2662199256</v>
      </c>
      <c r="AA263" s="81"/>
      <c r="AB263" s="262">
        <f>+'MWh by mo-WgtbyActulCDH&amp;Days'!AB263</f>
        <v>5491282.4171985919</v>
      </c>
      <c r="AC263" s="308">
        <f t="shared" si="127"/>
        <v>442.71885536350936</v>
      </c>
      <c r="AD263" s="309">
        <f t="shared" si="120"/>
        <v>227.73466057523424</v>
      </c>
      <c r="AE263" s="107">
        <f t="shared" si="121"/>
        <v>2.1967973688929349E-2</v>
      </c>
      <c r="AF263" s="309">
        <f t="shared" si="128"/>
        <v>214.98419478827515</v>
      </c>
      <c r="AG263" s="107">
        <f t="shared" si="122"/>
        <v>2.0738025220733935E-2</v>
      </c>
      <c r="AH263" s="119">
        <f t="shared" si="129"/>
        <v>4.2705998909663284E-2</v>
      </c>
      <c r="AI263" s="122">
        <f t="shared" si="123"/>
        <v>4.2705998909663277E-2</v>
      </c>
      <c r="AJ263" s="87" t="b">
        <f t="shared" si="130"/>
        <v>1</v>
      </c>
      <c r="AK263" s="88">
        <f t="shared" si="108"/>
        <v>8.3318355781689113E-4</v>
      </c>
      <c r="AL263" s="312">
        <f>+AC263/'MWh by month-WgtbyCDH&amp;DayLtHrs'!AC263-1</f>
        <v>5.5976942892357329E-2</v>
      </c>
      <c r="AM263" s="89">
        <f t="shared" si="124"/>
        <v>368923.08221389324</v>
      </c>
      <c r="AN263" s="93"/>
      <c r="AO263" s="96">
        <f t="shared" si="115"/>
        <v>67.183410756371444</v>
      </c>
      <c r="AP263" s="92">
        <f t="shared" si="114"/>
        <v>6.4807148639586601E-3</v>
      </c>
      <c r="AR263" s="94">
        <f t="shared" si="125"/>
        <v>4.2705998909663277E-2</v>
      </c>
      <c r="AS263" s="95"/>
    </row>
    <row r="264" spans="1:45">
      <c r="A264" s="78">
        <f t="shared" si="111"/>
        <v>2026</v>
      </c>
      <c r="B264" s="78">
        <f t="shared" si="112"/>
        <v>8</v>
      </c>
      <c r="C264" s="317">
        <f t="shared" si="105"/>
        <v>326.45437890907908</v>
      </c>
      <c r="D264" s="324">
        <f t="shared" si="109"/>
        <v>0.16603274573816959</v>
      </c>
      <c r="E264" s="321">
        <f>$D264*'MWh Impact Summary'!B$32</f>
        <v>576700.33402188041</v>
      </c>
      <c r="F264" s="321">
        <f>$D264*'MWh Impact Summary'!N$32</f>
        <v>114994.96998425302</v>
      </c>
      <c r="G264" s="321">
        <f>$D264*'MWh Impact Summary'!C$32</f>
        <v>422470.84780035063</v>
      </c>
      <c r="H264" s="321">
        <f>$D264*'MWh Impact Summary'!D$32</f>
        <v>2124.4503757855691</v>
      </c>
      <c r="I264" s="321">
        <f>$D264*'MWh Impact Summary'!E$32</f>
        <v>150308.80985674539</v>
      </c>
      <c r="J264" s="104">
        <f t="shared" si="126"/>
        <v>1266599.412039015</v>
      </c>
      <c r="K264" s="298">
        <f t="shared" si="106"/>
        <v>10.933333333333334</v>
      </c>
      <c r="L264" s="300">
        <f t="shared" si="110"/>
        <v>7.6968203684148764E-2</v>
      </c>
      <c r="M264" s="297">
        <f t="shared" si="117"/>
        <v>8.4931506849315067E-2</v>
      </c>
      <c r="N264" s="304">
        <f>$L264*'MWh Impact Summary'!F$32</f>
        <v>181195.1427997108</v>
      </c>
      <c r="O264" s="304">
        <f>$L264*'MWh Impact Summary'!G$32</f>
        <v>36831.359789949558</v>
      </c>
      <c r="P264" s="304">
        <f>$M264*'MWh Impact Summary'!H$32</f>
        <v>12517.757415120317</v>
      </c>
      <c r="Q264" s="304">
        <f>$M264*'MWh Impact Summary'!I$32</f>
        <v>2062.4220955829887</v>
      </c>
      <c r="R264" s="304">
        <f>$M264*'MWh Impact Summary'!J$32</f>
        <v>52011.23615889428</v>
      </c>
      <c r="S264" s="304">
        <f>$M264*'MWh Impact Summary'!K$32</f>
        <v>41738.545245949317</v>
      </c>
      <c r="T264" s="304">
        <f>$M264*'MWh Impact Summary'!L$32</f>
        <v>14991.085009939821</v>
      </c>
      <c r="U264" s="304">
        <f>$M264*'MWh Impact Summary'!M$32</f>
        <v>46643.890633818344</v>
      </c>
      <c r="V264" s="304">
        <f>$L264*'LED Impact Forecast'!$H$33+$D264*'LED Impact Forecast'!$J$33</f>
        <v>320260.37547039724</v>
      </c>
      <c r="W264" s="304">
        <f>$L264*'CFL Impact Forecast'!$H$33+$D264*'CFL Impact Forecast'!$J$33</f>
        <v>384791.49859357823</v>
      </c>
      <c r="X264" s="304">
        <f>$L264*'EISA Incand Impact Forecast'!$G$33+$D264*'EISA Incand Impact Forecast'!$I$33</f>
        <v>133260.29295685372</v>
      </c>
      <c r="Y264" s="85">
        <f t="shared" si="118"/>
        <v>1226303.6061697947</v>
      </c>
      <c r="Z264" s="81">
        <f t="shared" si="119"/>
        <v>2492903.0182088097</v>
      </c>
      <c r="AA264" s="81"/>
      <c r="AB264" s="262">
        <f>+'MWh by mo-WgtbyActulCDH&amp;Days'!AB264</f>
        <v>5495927.0258769719</v>
      </c>
      <c r="AC264" s="308">
        <f t="shared" si="127"/>
        <v>453.59099683661162</v>
      </c>
      <c r="AD264" s="309">
        <f t="shared" si="120"/>
        <v>230.46146829740826</v>
      </c>
      <c r="AE264" s="107">
        <f t="shared" si="121"/>
        <v>2.1078792832080022E-2</v>
      </c>
      <c r="AF264" s="309">
        <f t="shared" si="128"/>
        <v>223.12952853920336</v>
      </c>
      <c r="AG264" s="107">
        <f t="shared" si="122"/>
        <v>2.0408188585902747E-2</v>
      </c>
      <c r="AH264" s="119">
        <f t="shared" si="129"/>
        <v>4.1486981417982766E-2</v>
      </c>
      <c r="AI264" s="122">
        <f t="shared" si="123"/>
        <v>4.1486981417982766E-2</v>
      </c>
      <c r="AJ264" s="87" t="b">
        <f t="shared" si="130"/>
        <v>1</v>
      </c>
      <c r="AK264" s="88">
        <f t="shared" si="108"/>
        <v>8.1603325570567958E-4</v>
      </c>
      <c r="AL264" s="312">
        <f>+AC264/'MWh by month-WgtbyCDH&amp;DayLtHrs'!AC264-1</f>
        <v>5.3352182842292706E-2</v>
      </c>
      <c r="AM264" s="89">
        <f t="shared" si="124"/>
        <v>384791.49859357823</v>
      </c>
      <c r="AN264" s="93"/>
      <c r="AO264" s="96">
        <f t="shared" si="115"/>
        <v>70.013938828122988</v>
      </c>
      <c r="AP264" s="92">
        <f t="shared" si="114"/>
        <v>6.4037139172063709E-3</v>
      </c>
      <c r="AR264" s="94">
        <f t="shared" si="125"/>
        <v>4.1486981417982766E-2</v>
      </c>
      <c r="AS264" s="95"/>
    </row>
    <row r="265" spans="1:45">
      <c r="A265" s="78">
        <f t="shared" si="111"/>
        <v>2026</v>
      </c>
      <c r="B265" s="78">
        <f t="shared" si="112"/>
        <v>9</v>
      </c>
      <c r="C265" s="317">
        <f t="shared" si="105"/>
        <v>277.87653293728147</v>
      </c>
      <c r="D265" s="324">
        <f t="shared" si="109"/>
        <v>0.14132634365008559</v>
      </c>
      <c r="E265" s="321">
        <f>$D265*'MWh Impact Summary'!B$32</f>
        <v>490884.79038721666</v>
      </c>
      <c r="F265" s="321">
        <f>$D265*'MWh Impact Summary'!N$32</f>
        <v>97883.213180456718</v>
      </c>
      <c r="G265" s="321">
        <f>$D265*'MWh Impact Summary'!C$32</f>
        <v>359605.32937599532</v>
      </c>
      <c r="H265" s="321">
        <f>$D265*'MWh Impact Summary'!D$32</f>
        <v>1808.3228253618038</v>
      </c>
      <c r="I265" s="321">
        <f>$D265*'MWh Impact Summary'!E$32</f>
        <v>127942.19851636334</v>
      </c>
      <c r="J265" s="104">
        <f t="shared" si="126"/>
        <v>1078123.8542853938</v>
      </c>
      <c r="K265" s="298">
        <f t="shared" si="106"/>
        <v>11.683333333333334</v>
      </c>
      <c r="L265" s="300">
        <f t="shared" si="110"/>
        <v>8.2248034729555317E-2</v>
      </c>
      <c r="M265" s="297">
        <f>(30/365)</f>
        <v>8.2191780821917804E-2</v>
      </c>
      <c r="N265" s="304">
        <f>$L265*'MWh Impact Summary'!F$32</f>
        <v>193624.68765639828</v>
      </c>
      <c r="O265" s="304">
        <f>$L265*'MWh Impact Summary'!G$32</f>
        <v>39357.901238955244</v>
      </c>
      <c r="P265" s="304">
        <f>$M265*'MWh Impact Summary'!H$32</f>
        <v>12113.958788826112</v>
      </c>
      <c r="Q265" s="304">
        <f>$M265*'MWh Impact Summary'!I$32</f>
        <v>1995.8923505641826</v>
      </c>
      <c r="R265" s="304">
        <f>$M265*'MWh Impact Summary'!J$32</f>
        <v>50333.454347317042</v>
      </c>
      <c r="S265" s="304">
        <f>$M265*'MWh Impact Summary'!K$32</f>
        <v>40392.140560596112</v>
      </c>
      <c r="T265" s="304">
        <f>$M265*'MWh Impact Summary'!L$32</f>
        <v>14507.501622522408</v>
      </c>
      <c r="U265" s="304">
        <f>$M265*'MWh Impact Summary'!M$32</f>
        <v>45139.249000469368</v>
      </c>
      <c r="V265" s="304">
        <f>$L265*'LED Impact Forecast'!$H$33+$D265*'LED Impact Forecast'!$J$33</f>
        <v>323244.33520318742</v>
      </c>
      <c r="W265" s="304">
        <f>$L265*'CFL Impact Forecast'!$H$33+$D265*'CFL Impact Forecast'!$J$33</f>
        <v>388565.38250342722</v>
      </c>
      <c r="X265" s="304">
        <f>$L265*'EISA Incand Impact Forecast'!$G$33+$D265*'EISA Incand Impact Forecast'!$I$33</f>
        <v>134132.33934776529</v>
      </c>
      <c r="Y265" s="85">
        <f t="shared" si="118"/>
        <v>1243406.8426200286</v>
      </c>
      <c r="Z265" s="81">
        <f t="shared" si="119"/>
        <v>2321530.6969054225</v>
      </c>
      <c r="AA265" s="81"/>
      <c r="AB265" s="262">
        <f>+'MWh by mo-WgtbyActulCDH&amp;Days'!AB265</f>
        <v>5500513.1358683985</v>
      </c>
      <c r="AC265" s="308">
        <f t="shared" si="127"/>
        <v>422.05711350217672</v>
      </c>
      <c r="AD265" s="309">
        <f t="shared" si="120"/>
        <v>196.00423226971972</v>
      </c>
      <c r="AE265" s="107">
        <f t="shared" si="121"/>
        <v>1.6776396485282712E-2</v>
      </c>
      <c r="AF265" s="309">
        <f t="shared" si="128"/>
        <v>226.052881232457</v>
      </c>
      <c r="AG265" s="107">
        <f t="shared" si="122"/>
        <v>1.9348320790224565E-2</v>
      </c>
      <c r="AH265" s="119">
        <f t="shared" si="129"/>
        <v>3.6124717275507277E-2</v>
      </c>
      <c r="AI265" s="122">
        <f t="shared" si="123"/>
        <v>3.6124717275507277E-2</v>
      </c>
      <c r="AJ265" s="87" t="b">
        <f t="shared" si="130"/>
        <v>1</v>
      </c>
      <c r="AK265" s="88">
        <f t="shared" si="108"/>
        <v>7.617593115615065E-4</v>
      </c>
      <c r="AL265" s="312">
        <f>+AC265/'MWh by month-WgtbyCDH&amp;DayLtHrs'!AC265-1</f>
        <v>3.5388900187430794E-2</v>
      </c>
      <c r="AM265" s="89">
        <f t="shared" si="124"/>
        <v>388565.38250342722</v>
      </c>
      <c r="AN265" s="93"/>
      <c r="AO265" s="96">
        <f t="shared" si="115"/>
        <v>70.64166067882357</v>
      </c>
      <c r="AP265" s="92">
        <f t="shared" si="114"/>
        <v>6.0463618270034433E-3</v>
      </c>
      <c r="AR265" s="94">
        <f t="shared" si="125"/>
        <v>3.6124717275507277E-2</v>
      </c>
      <c r="AS265" s="95"/>
    </row>
    <row r="266" spans="1:45">
      <c r="A266" s="78">
        <f t="shared" si="111"/>
        <v>2026</v>
      </c>
      <c r="B266" s="78">
        <f t="shared" si="112"/>
        <v>10</v>
      </c>
      <c r="C266" s="317">
        <f t="shared" si="112"/>
        <v>198.89039579254836</v>
      </c>
      <c r="D266" s="324">
        <f t="shared" si="109"/>
        <v>0.10115446643644242</v>
      </c>
      <c r="E266" s="321">
        <f>$D266*'MWh Impact Summary'!B$32</f>
        <v>351351.26099580311</v>
      </c>
      <c r="F266" s="321">
        <f>$D266*'MWh Impact Summary'!N$32</f>
        <v>70060.004006532938</v>
      </c>
      <c r="G266" s="321">
        <f>$D266*'MWh Impact Summary'!C$32</f>
        <v>257387.86047414952</v>
      </c>
      <c r="H266" s="321">
        <f>$D266*'MWh Impact Summary'!D$32</f>
        <v>1294.3088020249829</v>
      </c>
      <c r="I266" s="321">
        <f>$D266*'MWh Impact Summary'!E$32</f>
        <v>91574.75168020658</v>
      </c>
      <c r="J266" s="104">
        <f t="shared" si="126"/>
        <v>771668.18595871713</v>
      </c>
      <c r="K266" s="298">
        <f t="shared" si="106"/>
        <v>12.466666666666667</v>
      </c>
      <c r="L266" s="300">
        <f t="shared" si="110"/>
        <v>8.7762524932535488E-2</v>
      </c>
      <c r="M266" s="297">
        <f t="shared" si="117"/>
        <v>8.4931506849315067E-2</v>
      </c>
      <c r="N266" s="304">
        <f>$L266*'MWh Impact Summary'!F$32</f>
        <v>206606.65672893854</v>
      </c>
      <c r="O266" s="304">
        <f>$L266*'MWh Impact Summary'!G$32</f>
        <v>41996.733419027849</v>
      </c>
      <c r="P266" s="304">
        <f>$M266*'MWh Impact Summary'!H$32</f>
        <v>12517.757415120317</v>
      </c>
      <c r="Q266" s="304">
        <f>$M266*'MWh Impact Summary'!I$32</f>
        <v>2062.4220955829887</v>
      </c>
      <c r="R266" s="304">
        <f>$M266*'MWh Impact Summary'!J$32</f>
        <v>52011.23615889428</v>
      </c>
      <c r="S266" s="304">
        <f>$M266*'MWh Impact Summary'!K$32</f>
        <v>41738.545245949317</v>
      </c>
      <c r="T266" s="304">
        <f>$M266*'MWh Impact Summary'!L$32</f>
        <v>14991.085009939821</v>
      </c>
      <c r="U266" s="304">
        <f>$M266*'MWh Impact Summary'!M$32</f>
        <v>46643.890633818344</v>
      </c>
      <c r="V266" s="304">
        <f>$L266*'LED Impact Forecast'!$H$33+$D266*'LED Impact Forecast'!$J$33</f>
        <v>318804.17079923052</v>
      </c>
      <c r="W266" s="304">
        <f>$L266*'CFL Impact Forecast'!$H$33+$D266*'CFL Impact Forecast'!$J$33</f>
        <v>383502.69447022164</v>
      </c>
      <c r="X266" s="304">
        <f>$L266*'EISA Incand Impact Forecast'!$G$33+$D266*'EISA Incand Impact Forecast'!$I$33</f>
        <v>131751.67776951162</v>
      </c>
      <c r="Y266" s="85">
        <f t="shared" si="118"/>
        <v>1252626.8697462352</v>
      </c>
      <c r="Z266" s="81">
        <f t="shared" si="119"/>
        <v>2024295.0557049522</v>
      </c>
      <c r="AA266" s="81"/>
      <c r="AB266" s="262">
        <f>+'MWh by mo-WgtbyActulCDH&amp;Days'!AB266</f>
        <v>5505120.0001729308</v>
      </c>
      <c r="AC266" s="308">
        <f>+Z266*1000/AB266</f>
        <v>367.7113406504061</v>
      </c>
      <c r="AD266" s="309">
        <f t="shared" si="120"/>
        <v>140.17281838261053</v>
      </c>
      <c r="AE266" s="107">
        <f t="shared" si="121"/>
        <v>1.1243808961171968E-2</v>
      </c>
      <c r="AF266" s="309">
        <f t="shared" si="128"/>
        <v>227.53852226779557</v>
      </c>
      <c r="AG266" s="107">
        <f t="shared" si="122"/>
        <v>1.8251753123085204E-2</v>
      </c>
      <c r="AH266" s="119">
        <f t="shared" si="129"/>
        <v>2.9495562084257174E-2</v>
      </c>
      <c r="AI266" s="122">
        <f t="shared" si="123"/>
        <v>2.9495562084257174E-2</v>
      </c>
      <c r="AJ266" s="87" t="b">
        <f t="shared" si="130"/>
        <v>1</v>
      </c>
      <c r="AK266" s="88">
        <f t="shared" si="108"/>
        <v>7.0711024211669513E-4</v>
      </c>
      <c r="AL266" s="312">
        <f>+AC266/'MWh by month-WgtbyCDH&amp;DayLtHrs'!AC266-1</f>
        <v>1.0837401259748969E-2</v>
      </c>
      <c r="AM266" s="89">
        <f t="shared" si="124"/>
        <v>383502.69447022164</v>
      </c>
      <c r="AN266" s="93"/>
      <c r="AO266" s="96">
        <f t="shared" si="115"/>
        <v>69.66291278994369</v>
      </c>
      <c r="AP266" s="92">
        <f t="shared" si="114"/>
        <v>5.5879341810115253E-3</v>
      </c>
      <c r="AR266" s="94">
        <f t="shared" si="125"/>
        <v>2.9495562084257174E-2</v>
      </c>
      <c r="AS266" s="95"/>
    </row>
    <row r="267" spans="1:45">
      <c r="A267" s="78">
        <f t="shared" si="111"/>
        <v>2026</v>
      </c>
      <c r="B267" s="78">
        <f t="shared" ref="B267:C268" si="131">+B255</f>
        <v>11</v>
      </c>
      <c r="C267" s="317">
        <f t="shared" si="131"/>
        <v>78.117279066674627</v>
      </c>
      <c r="D267" s="324">
        <f t="shared" si="109"/>
        <v>3.9729981188725644E-2</v>
      </c>
      <c r="E267" s="321">
        <f>$D267*'MWh Impact Summary'!B$32</f>
        <v>137998.64189654097</v>
      </c>
      <c r="F267" s="321">
        <f>$D267*'MWh Impact Summary'!N$32</f>
        <v>27517.150149870253</v>
      </c>
      <c r="G267" s="321">
        <f>$D267*'MWh Impact Summary'!C$32</f>
        <v>101093.06306577705</v>
      </c>
      <c r="H267" s="321">
        <f>$D267*'MWh Impact Summary'!D$32</f>
        <v>508.35980029774277</v>
      </c>
      <c r="I267" s="321">
        <f>$D267*'MWh Impact Summary'!E$32</f>
        <v>35967.40005447837</v>
      </c>
      <c r="J267" s="104">
        <f t="shared" si="126"/>
        <v>303084.61496696441</v>
      </c>
      <c r="K267" s="298">
        <f t="shared" si="106"/>
        <v>13.15</v>
      </c>
      <c r="L267" s="300">
        <f t="shared" si="110"/>
        <v>9.2573037662794788E-2</v>
      </c>
      <c r="M267" s="297">
        <f>(30/365)</f>
        <v>8.2191780821917804E-2</v>
      </c>
      <c r="N267" s="304">
        <f>$L267*'MWh Impact Summary'!F$32</f>
        <v>217931.35315392047</v>
      </c>
      <c r="O267" s="304">
        <f>$L267*'MWh Impact Summary'!G$32</f>
        <v>44298.693405899699</v>
      </c>
      <c r="P267" s="304">
        <f>$M267*'MWh Impact Summary'!H$32</f>
        <v>12113.958788826112</v>
      </c>
      <c r="Q267" s="304">
        <f>$M267*'MWh Impact Summary'!I$32</f>
        <v>1995.8923505641826</v>
      </c>
      <c r="R267" s="304">
        <f>$M267*'MWh Impact Summary'!J$32</f>
        <v>50333.454347317042</v>
      </c>
      <c r="S267" s="304">
        <f>$M267*'MWh Impact Summary'!K$32</f>
        <v>40392.140560596112</v>
      </c>
      <c r="T267" s="304">
        <f>$M267*'MWh Impact Summary'!L$32</f>
        <v>14507.501622522408</v>
      </c>
      <c r="U267" s="304">
        <f>$M267*'MWh Impact Summary'!M$32</f>
        <v>45139.249000469368</v>
      </c>
      <c r="V267" s="304">
        <f>$L267*'LED Impact Forecast'!$H$33+$D267*'LED Impact Forecast'!$J$33</f>
        <v>301055.41008222755</v>
      </c>
      <c r="W267" s="304">
        <f>$L267*'CFL Impact Forecast'!$H$33+$D267*'CFL Impact Forecast'!$J$33</f>
        <v>362552.93117537256</v>
      </c>
      <c r="X267" s="304">
        <f>$L267*'EISA Incand Impact Forecast'!$G$33+$D267*'EISA Incand Impact Forecast'!$I$33</f>
        <v>123631.25830399671</v>
      </c>
      <c r="Y267" s="85">
        <f t="shared" si="118"/>
        <v>1213951.8427917124</v>
      </c>
      <c r="Z267" s="81">
        <f t="shared" si="119"/>
        <v>1517036.4577586767</v>
      </c>
      <c r="AA267" s="81"/>
      <c r="AB267" s="262">
        <f>+'MWh by mo-WgtbyActulCDH&amp;Days'!AB267</f>
        <v>5509732.4814156815</v>
      </c>
      <c r="AC267" s="308">
        <f t="shared" si="127"/>
        <v>275.33758905276039</v>
      </c>
      <c r="AD267" s="309">
        <f t="shared" si="120"/>
        <v>55.008952973536978</v>
      </c>
      <c r="AE267" s="107">
        <f t="shared" si="121"/>
        <v>4.1831903401929257E-3</v>
      </c>
      <c r="AF267" s="309">
        <f t="shared" si="128"/>
        <v>220.3286360792234</v>
      </c>
      <c r="AG267" s="107">
        <f t="shared" si="122"/>
        <v>1.6755029359636762E-2</v>
      </c>
      <c r="AH267" s="119">
        <f t="shared" si="129"/>
        <v>2.0938219699829688E-2</v>
      </c>
      <c r="AI267" s="122">
        <f t="shared" si="123"/>
        <v>2.0938219699829688E-2</v>
      </c>
      <c r="AJ267" s="87" t="b">
        <f t="shared" si="130"/>
        <v>1</v>
      </c>
      <c r="AK267" s="88">
        <f t="shared" si="108"/>
        <v>6.317881133442553E-4</v>
      </c>
      <c r="AL267" s="312">
        <f>+AC267/'MWh by month-WgtbyCDH&amp;DayLtHrs'!AC267-1</f>
        <v>-4.7289964064355705E-2</v>
      </c>
      <c r="AM267" s="89">
        <f t="shared" si="124"/>
        <v>362552.93117537256</v>
      </c>
      <c r="AN267" s="93"/>
      <c r="AO267" s="96">
        <f t="shared" si="115"/>
        <v>65.802274865116047</v>
      </c>
      <c r="AP267" s="92">
        <f t="shared" si="114"/>
        <v>5.0039752749137679E-3</v>
      </c>
      <c r="AR267" s="94">
        <f t="shared" si="125"/>
        <v>2.0938219699829688E-2</v>
      </c>
      <c r="AS267" s="95"/>
    </row>
    <row r="268" spans="1:45">
      <c r="A268" s="78">
        <f t="shared" si="111"/>
        <v>2026</v>
      </c>
      <c r="B268" s="78">
        <f t="shared" si="131"/>
        <v>12</v>
      </c>
      <c r="C268" s="317">
        <f>+C256</f>
        <v>42.633806123140985</v>
      </c>
      <c r="D268" s="324">
        <f>D256</f>
        <v>2.1683298951445065E-2</v>
      </c>
      <c r="E268" s="321">
        <f>$D268*'MWh Impact Summary'!B$32</f>
        <v>75315.057234037624</v>
      </c>
      <c r="F268" s="321">
        <f>$D268*'MWh Impact Summary'!N$32</f>
        <v>15017.943002720467</v>
      </c>
      <c r="G268" s="321">
        <f>$D268*'MWh Impact Summary'!C$32</f>
        <v>55173.222910927929</v>
      </c>
      <c r="H268" s="321">
        <f>$D268*'MWh Impact Summary'!D$32</f>
        <v>277.44582793512348</v>
      </c>
      <c r="I268" s="321">
        <f>$D268*'MWh Impact Summary'!E$32</f>
        <v>19629.807630233398</v>
      </c>
      <c r="J268" s="104">
        <f>SUM(E268:I268)</f>
        <v>165413.47660585455</v>
      </c>
      <c r="K268" s="298">
        <f t="shared" si="106"/>
        <v>13.483333333333333</v>
      </c>
      <c r="L268" s="300">
        <f>L256</f>
        <v>9.491962923853102E-2</v>
      </c>
      <c r="M268" s="297">
        <f t="shared" si="117"/>
        <v>8.4931506849315067E-2</v>
      </c>
      <c r="N268" s="304">
        <f>$L268*'MWh Impact Summary'!F$32</f>
        <v>223455.59531244819</v>
      </c>
      <c r="O268" s="304">
        <f>$L268*'MWh Impact Summary'!G$32</f>
        <v>45421.600716568886</v>
      </c>
      <c r="P268" s="304">
        <f>$M268*'MWh Impact Summary'!H$32</f>
        <v>12517.757415120317</v>
      </c>
      <c r="Q268" s="304">
        <f>$M268*'MWh Impact Summary'!I$32</f>
        <v>2062.4220955829887</v>
      </c>
      <c r="R268" s="304">
        <f>$M268*'MWh Impact Summary'!J$32</f>
        <v>52011.23615889428</v>
      </c>
      <c r="S268" s="304">
        <f>$M268*'MWh Impact Summary'!K$32</f>
        <v>41738.545245949317</v>
      </c>
      <c r="T268" s="304">
        <f>$M268*'MWh Impact Summary'!L$32</f>
        <v>14991.085009939821</v>
      </c>
      <c r="U268" s="304">
        <f>$M268*'MWh Impact Summary'!M$32</f>
        <v>46643.890633818344</v>
      </c>
      <c r="V268" s="304">
        <f>$L268*'LED Impact Forecast'!$H$33+$D268*'LED Impact Forecast'!$J$33</f>
        <v>298665.12039911165</v>
      </c>
      <c r="W268" s="304">
        <f>$L268*'CFL Impact Forecast'!$H$33+$D268*'CFL Impact Forecast'!$J$33</f>
        <v>359801.79441479134</v>
      </c>
      <c r="X268" s="304">
        <f>$L268*'EISA Incand Impact Forecast'!$G$33+$D268*'EISA Incand Impact Forecast'!$I$33</f>
        <v>122400.05379508293</v>
      </c>
      <c r="Y268" s="85">
        <f t="shared" si="118"/>
        <v>1219709.1011973079</v>
      </c>
      <c r="Z268" s="81">
        <f t="shared" si="119"/>
        <v>1385122.5778031624</v>
      </c>
      <c r="AA268" s="81">
        <f>SUM(Z257:Z268)</f>
        <v>21755230.195876297</v>
      </c>
      <c r="AB268" s="262">
        <f>+'MWh by mo-WgtbyActulCDH&amp;Days'!AB268</f>
        <v>5514345.5968124717</v>
      </c>
      <c r="AC268" s="308">
        <f t="shared" si="127"/>
        <v>251.1853044908579</v>
      </c>
      <c r="AD268" s="309">
        <f t="shared" si="120"/>
        <v>29.99693684441371</v>
      </c>
      <c r="AE268" s="107">
        <f t="shared" si="121"/>
        <v>2.2247419167673952E-3</v>
      </c>
      <c r="AF268" s="309">
        <f t="shared" si="128"/>
        <v>221.18836764644422</v>
      </c>
      <c r="AG268" s="107">
        <f t="shared" si="122"/>
        <v>1.6404576092443331E-2</v>
      </c>
      <c r="AH268" s="119">
        <f t="shared" si="129"/>
        <v>1.8629318009210728E-2</v>
      </c>
      <c r="AI268" s="122">
        <f t="shared" si="123"/>
        <v>1.8629318009210725E-2</v>
      </c>
      <c r="AJ268" s="87" t="b">
        <f t="shared" si="130"/>
        <v>1</v>
      </c>
      <c r="AK268" s="88">
        <f t="shared" si="108"/>
        <v>6.1476254981701617E-4</v>
      </c>
      <c r="AL268" s="312">
        <f>+AC268/'MWh by month-WgtbyCDH&amp;DayLtHrs'!AC268-1</f>
        <v>-6.6075390670104373E-2</v>
      </c>
      <c r="AM268" s="89">
        <f t="shared" si="124"/>
        <v>359801.79441479134</v>
      </c>
      <c r="AN268" s="90">
        <f>SUM(AM257:AM268)</f>
        <v>4274144.7898707725</v>
      </c>
      <c r="AO268" s="96">
        <f t="shared" si="115"/>
        <v>65.248321509404889</v>
      </c>
      <c r="AP268" s="92">
        <f t="shared" si="114"/>
        <v>4.8391833010683486E-3</v>
      </c>
      <c r="AR268" s="94">
        <f t="shared" si="125"/>
        <v>1.8629318009210725E-2</v>
      </c>
      <c r="AS268" s="95"/>
    </row>
    <row r="269" spans="1:45">
      <c r="C269" s="325"/>
      <c r="D269" s="324"/>
      <c r="E269" s="321"/>
      <c r="F269" s="319"/>
      <c r="G269" s="319"/>
      <c r="H269" s="319"/>
      <c r="I269" s="319"/>
      <c r="J269" s="104"/>
      <c r="K269" s="83"/>
      <c r="L269" s="84"/>
      <c r="M269" s="84"/>
      <c r="N269" s="85"/>
      <c r="O269" s="85"/>
      <c r="P269" s="85"/>
      <c r="Q269" s="85"/>
      <c r="R269" s="85"/>
      <c r="S269" s="85"/>
      <c r="T269" s="85"/>
      <c r="U269" s="85"/>
      <c r="V269" s="85"/>
      <c r="W269" s="85"/>
      <c r="X269" s="85"/>
      <c r="Y269" s="85"/>
      <c r="Z269" s="81"/>
      <c r="AA269" s="81"/>
      <c r="AB269" s="81"/>
      <c r="AC269" s="140"/>
      <c r="AD269" s="118"/>
      <c r="AE269" s="107"/>
      <c r="AF269" s="118"/>
      <c r="AG269" s="107"/>
      <c r="AH269" s="119"/>
      <c r="AI269" s="122"/>
      <c r="AJ269" s="87"/>
      <c r="AK269" s="88"/>
      <c r="AM269" s="89"/>
      <c r="AN269" s="90"/>
      <c r="AO269" s="96"/>
      <c r="AP269" s="92"/>
      <c r="AR269" s="94"/>
      <c r="AS269" s="95"/>
    </row>
    <row r="270" spans="1:45">
      <c r="C270" s="325"/>
      <c r="D270" s="324"/>
      <c r="E270" s="321"/>
      <c r="F270" s="319"/>
      <c r="G270" s="319"/>
      <c r="H270" s="319"/>
      <c r="I270" s="319"/>
      <c r="J270" s="104"/>
      <c r="K270" s="83"/>
      <c r="L270" s="84"/>
      <c r="M270" s="84"/>
      <c r="N270" s="85"/>
      <c r="O270" s="85"/>
      <c r="P270" s="85"/>
      <c r="Q270" s="85"/>
      <c r="R270" s="85"/>
      <c r="S270" s="85"/>
      <c r="T270" s="85"/>
      <c r="U270" s="85"/>
      <c r="V270" s="85"/>
      <c r="W270" s="85"/>
      <c r="X270" s="85"/>
      <c r="Y270" s="85"/>
      <c r="Z270" s="81"/>
      <c r="AA270" s="81"/>
      <c r="AB270" s="81"/>
      <c r="AC270" s="140"/>
      <c r="AD270" s="118"/>
      <c r="AE270" s="107"/>
      <c r="AF270" s="118"/>
      <c r="AG270" s="107"/>
      <c r="AH270" s="119"/>
      <c r="AI270" s="122"/>
      <c r="AJ270" s="87"/>
      <c r="AK270" s="88"/>
      <c r="AM270" s="89"/>
      <c r="AN270" s="90"/>
      <c r="AO270" s="96"/>
      <c r="AP270" s="92"/>
      <c r="AR270" s="94"/>
      <c r="AS270" s="95"/>
    </row>
    <row r="271" spans="1:45">
      <c r="F271" s="319"/>
      <c r="J271" s="321">
        <f>SUM(J5:J268)</f>
        <v>93951928.573862925</v>
      </c>
      <c r="L271" s="97"/>
      <c r="M271" s="97"/>
      <c r="N271" s="81"/>
      <c r="O271" s="81"/>
      <c r="P271" s="81"/>
      <c r="Q271" s="81"/>
      <c r="R271" s="81"/>
      <c r="S271" s="81"/>
      <c r="T271" s="81"/>
      <c r="U271" s="81"/>
      <c r="V271" s="81"/>
      <c r="W271" s="81"/>
      <c r="X271" s="81"/>
      <c r="Y271" s="81"/>
      <c r="Z271" s="81">
        <f>SUM(Z5:Z268)</f>
        <v>236435929.49524155</v>
      </c>
      <c r="AA271" s="81"/>
      <c r="AB271" s="81"/>
      <c r="AD271" s="102"/>
      <c r="AI271" s="78"/>
      <c r="AJ271" s="78"/>
      <c r="AK271" s="78"/>
      <c r="AL271" s="102"/>
      <c r="AM271" s="102"/>
    </row>
    <row r="272" spans="1:45">
      <c r="F272" s="319"/>
      <c r="L272" s="97"/>
      <c r="M272" s="97"/>
      <c r="N272" s="81"/>
      <c r="O272" s="81"/>
      <c r="P272" s="81"/>
      <c r="Q272" s="81"/>
      <c r="R272" s="81"/>
      <c r="S272" s="81"/>
      <c r="T272" s="81"/>
      <c r="U272" s="81"/>
      <c r="V272" s="81"/>
      <c r="W272" s="81"/>
      <c r="X272" s="81"/>
      <c r="Y272" s="81"/>
      <c r="Z272" s="81">
        <f>SUM('MWh Impact Summary'!R11:R32)</f>
        <v>236435929.49524158</v>
      </c>
      <c r="AA272" s="103"/>
      <c r="AB272" s="103"/>
      <c r="AC272" s="86">
        <f>SUM(AC5:AC271)</f>
        <v>46558.771916722173</v>
      </c>
      <c r="AD272" s="126">
        <f>SUM(AD5:AD271)</f>
        <v>18577.74318091802</v>
      </c>
      <c r="AF272" s="86">
        <f>SUM(AF5:AF271)</f>
        <v>27981.028735804146</v>
      </c>
      <c r="AG272" s="82"/>
      <c r="AI272" s="78"/>
      <c r="AJ272" s="82"/>
      <c r="AK272" s="124">
        <f>SUM(AK5:AK220)</f>
        <v>0.30590140400238619</v>
      </c>
      <c r="AL272" s="104"/>
      <c r="AP272" s="125">
        <f>SUM(AP5:AP220)</f>
        <v>0.83529068631987435</v>
      </c>
    </row>
    <row r="273" spans="1:39">
      <c r="F273" s="319"/>
      <c r="L273" s="97"/>
      <c r="M273" s="97"/>
      <c r="N273" s="81"/>
      <c r="O273" s="81"/>
      <c r="P273" s="81"/>
      <c r="Q273" s="81"/>
      <c r="R273" s="81"/>
      <c r="S273" s="81"/>
      <c r="T273" s="81"/>
      <c r="U273" s="81"/>
      <c r="V273" s="81"/>
      <c r="W273" s="81"/>
      <c r="X273" s="81"/>
      <c r="Y273" s="81"/>
      <c r="Z273" s="81">
        <f>+Z272-Z271</f>
        <v>0</v>
      </c>
      <c r="AA273" s="105"/>
      <c r="AB273" s="105"/>
      <c r="AD273" s="102"/>
      <c r="AI273" s="78"/>
      <c r="AJ273" s="78"/>
      <c r="AK273" s="78"/>
      <c r="AL273" s="102"/>
      <c r="AM273" s="102"/>
    </row>
    <row r="274" spans="1:39" ht="13.8" thickBot="1">
      <c r="L274" s="97"/>
      <c r="M274" s="97"/>
      <c r="AC274" s="86">
        <f>AF272+AD272</f>
        <v>46558.771916722166</v>
      </c>
      <c r="AD274" s="102"/>
      <c r="AI274" s="78"/>
      <c r="AJ274" s="78"/>
      <c r="AK274" s="78"/>
      <c r="AL274" s="102"/>
      <c r="AM274" s="102"/>
    </row>
    <row r="275" spans="1:39" ht="13.8" thickBot="1">
      <c r="A275" s="78">
        <v>2005</v>
      </c>
      <c r="J275" s="319">
        <f>SUM(J5:J16)</f>
        <v>104508.94023145309</v>
      </c>
      <c r="K275" s="81">
        <f>SUM('MWh Impact Summary'!B11:E11,'MWh Impact Summary'!N11)</f>
        <v>104508.94023145307</v>
      </c>
      <c r="L275" s="97"/>
      <c r="M275" s="97"/>
      <c r="N275" s="81"/>
      <c r="O275" s="81"/>
      <c r="P275" s="81"/>
      <c r="Q275" s="81"/>
      <c r="R275" s="81"/>
      <c r="S275" s="81"/>
      <c r="T275" s="81"/>
      <c r="U275" s="81"/>
      <c r="V275" s="81"/>
      <c r="W275" s="81"/>
      <c r="X275" s="81"/>
      <c r="Y275" s="81">
        <f>SUM(Y5:Y16)</f>
        <v>0</v>
      </c>
      <c r="Z275" s="81">
        <f>SUM(Z5:Z16)</f>
        <v>104508.94023145309</v>
      </c>
      <c r="AA275" s="81">
        <f>+Z275-'MWh by month- AllWgtbyCDH'!Y275</f>
        <v>0</v>
      </c>
      <c r="AB275" s="81">
        <f>AVERAGE(AB5:AB16)</f>
        <v>4321895.166666667</v>
      </c>
      <c r="AD275" s="102"/>
      <c r="AI275" s="127" t="s">
        <v>251</v>
      </c>
      <c r="AJ275" s="128">
        <f>SUM('MWh Impact Summary'!M11:M28)</f>
        <v>1635736.7688186388</v>
      </c>
      <c r="AK275" s="129"/>
      <c r="AL275" s="130"/>
      <c r="AM275" s="131">
        <f>SUM(AM5:AM271)</f>
        <v>64652532.05507341</v>
      </c>
    </row>
    <row r="276" spans="1:39">
      <c r="A276" s="78">
        <v>2006</v>
      </c>
      <c r="J276" s="319">
        <f>SUM(J17:J28)</f>
        <v>523995.00862670655</v>
      </c>
      <c r="K276" s="81">
        <f>SUM('MWh Impact Summary'!B12:E12,'MWh Impact Summary'!N12)</f>
        <v>523995.00862670649</v>
      </c>
      <c r="L276" s="97"/>
      <c r="M276" s="97"/>
      <c r="N276" s="81"/>
      <c r="O276" s="81"/>
      <c r="P276" s="81"/>
      <c r="Q276" s="81"/>
      <c r="R276" s="81"/>
      <c r="S276" s="81"/>
      <c r="T276" s="81"/>
      <c r="U276" s="81"/>
      <c r="V276" s="81"/>
      <c r="W276" s="81"/>
      <c r="X276" s="81"/>
      <c r="Y276" s="81">
        <f>SUM(Y17:Y28)</f>
        <v>1367.8209417769033</v>
      </c>
      <c r="Z276" s="81">
        <f>SUM(Z17:Z28)</f>
        <v>525362.82956848352</v>
      </c>
      <c r="AA276" s="81">
        <f>+Z276-'MWh by month- AllWgtbyCDH'!Y276</f>
        <v>0</v>
      </c>
      <c r="AB276" s="81">
        <f>AVERAGE(AB17:AB28)</f>
        <v>4409562.5</v>
      </c>
      <c r="AC276" s="86"/>
      <c r="AD276" s="102"/>
      <c r="AF276" s="106"/>
      <c r="AI276" s="78"/>
      <c r="AJ276" s="78"/>
      <c r="AK276" s="78"/>
      <c r="AL276" s="102"/>
      <c r="AM276" s="102"/>
    </row>
    <row r="277" spans="1:39">
      <c r="A277" s="78">
        <v>2007</v>
      </c>
      <c r="J277" s="319">
        <f>SUM(J29:J40)</f>
        <v>939574.413992899</v>
      </c>
      <c r="K277" s="81">
        <f>SUM('MWh Impact Summary'!B13:E13,'MWh Impact Summary'!N13)</f>
        <v>939574.41399289877</v>
      </c>
      <c r="L277" s="97"/>
      <c r="M277" s="97"/>
      <c r="N277" s="81"/>
      <c r="O277" s="81"/>
      <c r="P277" s="81"/>
      <c r="Q277" s="81"/>
      <c r="R277" s="81"/>
      <c r="S277" s="81"/>
      <c r="T277" s="81"/>
      <c r="U277" s="81"/>
      <c r="V277" s="81"/>
      <c r="W277" s="81"/>
      <c r="X277" s="81"/>
      <c r="Y277" s="81">
        <f>SUM(Y29:Y40)</f>
        <v>136056.66988666818</v>
      </c>
      <c r="Z277" s="81">
        <f>SUM(Z29:Z40)</f>
        <v>1075631.0838795672</v>
      </c>
      <c r="AA277" s="81">
        <f>+Z277-'MWh by month- AllWgtbyCDH'!Y277</f>
        <v>0</v>
      </c>
      <c r="AB277" s="81">
        <f>AVERAGE(AB29:AB40)</f>
        <v>4496589.333333333</v>
      </c>
      <c r="AD277" s="102"/>
    </row>
    <row r="278" spans="1:39">
      <c r="A278" s="78">
        <v>2008</v>
      </c>
      <c r="J278" s="319">
        <f>SUM(J41:J52)</f>
        <v>1258245.6704983781</v>
      </c>
      <c r="K278" s="81">
        <f>SUM('MWh Impact Summary'!B14:E14,'MWh Impact Summary'!N14)</f>
        <v>1258245.6704983781</v>
      </c>
      <c r="L278" s="97"/>
      <c r="M278" s="97"/>
      <c r="N278" s="81"/>
      <c r="O278" s="81"/>
      <c r="P278" s="81"/>
      <c r="Q278" s="81"/>
      <c r="R278" s="81"/>
      <c r="S278" s="81"/>
      <c r="T278" s="81"/>
      <c r="U278" s="81"/>
      <c r="V278" s="81"/>
      <c r="W278" s="81"/>
      <c r="X278" s="81"/>
      <c r="Y278" s="81">
        <f>SUM(Y41:Y52)</f>
        <v>1754902.8614681643</v>
      </c>
      <c r="Z278" s="81">
        <f>SUM(Z41:Z52)</f>
        <v>3013148.5319665419</v>
      </c>
      <c r="AA278" s="81">
        <f>+Z278-'MWh by month- AllWgtbyCDH'!Y278</f>
        <v>0</v>
      </c>
      <c r="AB278" s="81">
        <f>AVERAGE(AB41:AB52)</f>
        <v>4509730.166666667</v>
      </c>
    </row>
    <row r="279" spans="1:39">
      <c r="A279" s="78">
        <v>2009</v>
      </c>
      <c r="J279" s="319">
        <f>SUM(J53:J64)</f>
        <v>1548378.2378467496</v>
      </c>
      <c r="K279" s="81">
        <f>SUM('MWh Impact Summary'!B15:E15,'MWh Impact Summary'!N15)</f>
        <v>1548378.2378467503</v>
      </c>
      <c r="L279" s="97"/>
      <c r="M279" s="97"/>
      <c r="N279" s="81"/>
      <c r="O279" s="81"/>
      <c r="P279" s="81"/>
      <c r="Q279" s="81"/>
      <c r="R279" s="81"/>
      <c r="S279" s="81"/>
      <c r="T279" s="81"/>
      <c r="U279" s="81"/>
      <c r="V279" s="81"/>
      <c r="W279" s="81"/>
      <c r="X279" s="81"/>
      <c r="Y279" s="81">
        <f>SUM(Y53:Y64)</f>
        <v>2178220.0368855582</v>
      </c>
      <c r="Z279" s="81">
        <f>SUM(Z53:Z64)</f>
        <v>3726598.274732308</v>
      </c>
      <c r="AA279" s="81">
        <f>+Z279-'MWh by month- AllWgtbyCDH'!Y279</f>
        <v>0</v>
      </c>
      <c r="AB279" s="81">
        <f>AVERAGE(AB53:AB64)</f>
        <v>4499066.75</v>
      </c>
    </row>
    <row r="280" spans="1:39">
      <c r="A280" s="78">
        <v>2010</v>
      </c>
      <c r="J280" s="319">
        <f>SUM(J65:J76)</f>
        <v>1882877.3064484615</v>
      </c>
      <c r="K280" s="81">
        <f>SUM('MWh Impact Summary'!B16:E16,'MWh Impact Summary'!N16)</f>
        <v>1882877.306448462</v>
      </c>
      <c r="L280" s="97"/>
      <c r="M280" s="97"/>
      <c r="N280" s="81"/>
      <c r="O280" s="81"/>
      <c r="P280" s="81"/>
      <c r="Q280" s="81"/>
      <c r="R280" s="81"/>
      <c r="S280" s="81"/>
      <c r="T280" s="81"/>
      <c r="U280" s="81"/>
      <c r="V280" s="81"/>
      <c r="W280" s="81"/>
      <c r="X280" s="81"/>
      <c r="Y280" s="81">
        <f>SUM(Y65:Y76)</f>
        <v>2611128.6782838129</v>
      </c>
      <c r="Z280" s="81">
        <f>SUM(Z65:Z76)</f>
        <v>4494005.9847322749</v>
      </c>
      <c r="AA280" s="81">
        <f>+Z280-'MWh by month- AllWgtbyCDH'!Y280</f>
        <v>0</v>
      </c>
      <c r="AB280" s="81">
        <f>AVERAGE(AB65:AB76)</f>
        <v>4520327.666666667</v>
      </c>
    </row>
    <row r="281" spans="1:39">
      <c r="A281" s="78">
        <v>2011</v>
      </c>
      <c r="J281" s="319">
        <f>SUM(J77:J88)</f>
        <v>2255529.3516428825</v>
      </c>
      <c r="K281" s="81">
        <f>SUM('MWh Impact Summary'!B17:E17,'MWh Impact Summary'!N17)</f>
        <v>2255529.3516428825</v>
      </c>
      <c r="L281" s="97"/>
      <c r="M281" s="97"/>
      <c r="N281" s="81"/>
      <c r="O281" s="81"/>
      <c r="P281" s="81"/>
      <c r="Q281" s="81"/>
      <c r="R281" s="81"/>
      <c r="S281" s="81"/>
      <c r="T281" s="81"/>
      <c r="U281" s="81"/>
      <c r="V281" s="81"/>
      <c r="W281" s="81"/>
      <c r="X281" s="81"/>
      <c r="Y281" s="81">
        <f>SUM(Y77:Y88)</f>
        <v>3035487.0522158355</v>
      </c>
      <c r="Z281" s="81">
        <f>SUM(Z77:Z88)</f>
        <v>5291016.4038587175</v>
      </c>
      <c r="AA281" s="81">
        <f>+Z281-'MWh by month- AllWgtbyCDH'!Y281</f>
        <v>0</v>
      </c>
      <c r="AB281" s="81">
        <f>AVERAGE(AB77:AB88)</f>
        <v>4547050.833333333</v>
      </c>
    </row>
    <row r="282" spans="1:39">
      <c r="A282" s="78">
        <v>2012</v>
      </c>
      <c r="J282" s="319">
        <f>SUM(J89:J100)</f>
        <v>2633605.7732989891</v>
      </c>
      <c r="K282" s="81">
        <f>SUM('MWh Impact Summary'!B18:E18,'MWh Impact Summary'!N18)</f>
        <v>2633605.77329899</v>
      </c>
      <c r="L282" s="97"/>
      <c r="M282" s="97"/>
      <c r="N282" s="81"/>
      <c r="O282" s="81"/>
      <c r="P282" s="81"/>
      <c r="Q282" s="81"/>
      <c r="R282" s="81"/>
      <c r="S282" s="81"/>
      <c r="T282" s="81"/>
      <c r="U282" s="81"/>
      <c r="V282" s="81"/>
      <c r="W282" s="81"/>
      <c r="X282" s="81"/>
      <c r="Y282" s="81">
        <f>SUM(Y89:Y100)</f>
        <v>3434526.8863944174</v>
      </c>
      <c r="Z282" s="81">
        <f>SUM(Z89:Z100)</f>
        <v>6068132.659693406</v>
      </c>
      <c r="AA282" s="81">
        <f>+Z282-'MWh by month- AllWgtbyCDH'!Y282</f>
        <v>0</v>
      </c>
      <c r="AB282" s="81">
        <f>AVERAGE(AB89:AB100)</f>
        <v>4576448.666666667</v>
      </c>
    </row>
    <row r="283" spans="1:39">
      <c r="A283" s="78">
        <v>2013</v>
      </c>
      <c r="J283" s="319">
        <f>SUM(J101:J112)</f>
        <v>3036742.4276550999</v>
      </c>
      <c r="K283" s="81">
        <f>SUM('MWh Impact Summary'!B19:E19,'MWh Impact Summary'!N19)</f>
        <v>3036742.4276550999</v>
      </c>
      <c r="N283" s="81"/>
      <c r="O283" s="81"/>
      <c r="P283" s="81"/>
      <c r="Q283" s="81"/>
      <c r="R283" s="81"/>
      <c r="S283" s="81"/>
      <c r="T283" s="81"/>
      <c r="U283" s="81"/>
      <c r="V283" s="81"/>
      <c r="W283" s="81"/>
      <c r="X283" s="81"/>
      <c r="Y283" s="81">
        <f>SUM(Y101:Y112)</f>
        <v>4155744.3509899341</v>
      </c>
      <c r="Z283" s="81">
        <f>SUM(Z101:Z112)</f>
        <v>7192486.778645033</v>
      </c>
      <c r="AA283" s="81">
        <f>+Z283-'MWh by month- AllWgtbyCDH'!Y283</f>
        <v>0</v>
      </c>
      <c r="AB283" s="81">
        <f>AVERAGE(AB101:AB112)</f>
        <v>4626934.333333333</v>
      </c>
    </row>
    <row r="284" spans="1:39">
      <c r="A284" s="78">
        <v>2014</v>
      </c>
      <c r="J284" s="319">
        <f>SUM(J113:J124)</f>
        <v>3474083.7080153474</v>
      </c>
      <c r="K284" s="81">
        <f>SUM('MWh Impact Summary'!B20:E20,'MWh Impact Summary'!N20)</f>
        <v>3474083.7080153474</v>
      </c>
      <c r="N284" s="81"/>
      <c r="O284" s="81"/>
      <c r="P284" s="81"/>
      <c r="Q284" s="81"/>
      <c r="R284" s="81"/>
      <c r="S284" s="81"/>
      <c r="T284" s="81"/>
      <c r="U284" s="81"/>
      <c r="V284" s="81"/>
      <c r="W284" s="81"/>
      <c r="X284" s="81"/>
      <c r="Y284" s="81">
        <f>SUM(Y113:Y124)</f>
        <v>4910864.7329712622</v>
      </c>
      <c r="Z284" s="81">
        <f>SUM(Z113:Z124)</f>
        <v>8384948.4409866091</v>
      </c>
      <c r="AA284" s="81">
        <f>+Z284-'MWh by month- AllWgtbyCDH'!Y284</f>
        <v>0</v>
      </c>
      <c r="AB284" s="81">
        <f>AVERAGE(AB113:AB124)</f>
        <v>4708829.333333333</v>
      </c>
    </row>
    <row r="285" spans="1:39">
      <c r="A285" s="78">
        <v>2015</v>
      </c>
      <c r="J285" s="319">
        <f>SUM(J125:J136)</f>
        <v>4039997.9425893626</v>
      </c>
      <c r="K285" s="81">
        <f>SUM('MWh Impact Summary'!B21:E21,'MWh Impact Summary'!N21)</f>
        <v>4039997.9425893626</v>
      </c>
      <c r="N285" s="81"/>
      <c r="O285" s="81"/>
      <c r="P285" s="81"/>
      <c r="Q285" s="81"/>
      <c r="R285" s="81"/>
      <c r="S285" s="81"/>
      <c r="T285" s="81"/>
      <c r="U285" s="81"/>
      <c r="V285" s="81"/>
      <c r="W285" s="81"/>
      <c r="X285" s="81"/>
      <c r="Y285" s="81">
        <f>SUM(Y125:Y136)</f>
        <v>5800287.9445377765</v>
      </c>
      <c r="Z285" s="81">
        <f>SUM(Z125:Z136)</f>
        <v>9840285.8871271368</v>
      </c>
      <c r="AA285" s="81">
        <f>+Z285-'MWh by month- AllWgtbyCDH'!Y285</f>
        <v>0</v>
      </c>
      <c r="AB285" s="81">
        <f>AVERAGE(AB125:AB136)</f>
        <v>4780487.4751066575</v>
      </c>
    </row>
    <row r="286" spans="1:39">
      <c r="A286" s="78">
        <v>2016</v>
      </c>
      <c r="J286" s="319">
        <f>SUM(J137:J148)</f>
        <v>4575939.1961389175</v>
      </c>
      <c r="K286" s="81">
        <f>SUM('MWh Impact Summary'!B22:E22,'MWh Impact Summary'!N22)</f>
        <v>4575939.1961389165</v>
      </c>
      <c r="N286" s="81"/>
      <c r="O286" s="81"/>
      <c r="P286" s="81"/>
      <c r="Q286" s="81"/>
      <c r="R286" s="81"/>
      <c r="S286" s="81"/>
      <c r="T286" s="81"/>
      <c r="U286" s="81"/>
      <c r="V286" s="81"/>
      <c r="W286" s="81"/>
      <c r="X286" s="81"/>
      <c r="Y286" s="81">
        <f>SUM(Y137:Y148)</f>
        <v>6619830.477604825</v>
      </c>
      <c r="Z286" s="81">
        <f>SUM(Z137:Z148)</f>
        <v>11195769.673743743</v>
      </c>
      <c r="AA286" s="81">
        <f>+Z286-'MWh by month- AllWgtbyCDH'!Y286</f>
        <v>0</v>
      </c>
      <c r="AB286" s="81">
        <f>AVERAGE(AB137:AB148)</f>
        <v>4852827.4973874111</v>
      </c>
    </row>
    <row r="287" spans="1:39">
      <c r="A287" s="78">
        <v>2017</v>
      </c>
      <c r="J287" s="319">
        <f>SUM(J149:J160)</f>
        <v>5107282.6344742086</v>
      </c>
      <c r="K287" s="81">
        <f>SUM('MWh Impact Summary'!B23:E23,'MWh Impact Summary'!N23)</f>
        <v>5107282.6344742095</v>
      </c>
      <c r="N287" s="81"/>
      <c r="O287" s="81"/>
      <c r="P287" s="81"/>
      <c r="Q287" s="81"/>
      <c r="R287" s="81"/>
      <c r="S287" s="81"/>
      <c r="T287" s="81"/>
      <c r="U287" s="81"/>
      <c r="V287" s="81"/>
      <c r="W287" s="81"/>
      <c r="X287" s="81"/>
      <c r="Y287" s="81">
        <f>SUM(Y149:Y160)</f>
        <v>7476087.5976180388</v>
      </c>
      <c r="Z287" s="81">
        <f>SUM(Z149:Z160)</f>
        <v>12583370.232092246</v>
      </c>
      <c r="AA287" s="81">
        <f>+Z287-'MWh by month- AllWgtbyCDH'!Y287</f>
        <v>0</v>
      </c>
      <c r="AB287" s="81">
        <f>AVERAGE(AB149:AB160)</f>
        <v>4922917.6134850439</v>
      </c>
    </row>
    <row r="288" spans="1:39">
      <c r="A288" s="78">
        <v>2018</v>
      </c>
      <c r="J288" s="319">
        <f>SUM(J161:J172)</f>
        <v>5645813.9724402977</v>
      </c>
      <c r="K288" s="81">
        <f>SUM('MWh Impact Summary'!B24:E24,'MWh Impact Summary'!N24)</f>
        <v>5645813.9724402977</v>
      </c>
      <c r="N288" s="81"/>
      <c r="O288" s="81"/>
      <c r="P288" s="81"/>
      <c r="Q288" s="81"/>
      <c r="R288" s="81"/>
      <c r="S288" s="81"/>
      <c r="T288" s="81"/>
      <c r="U288" s="81"/>
      <c r="V288" s="81"/>
      <c r="W288" s="81"/>
      <c r="X288" s="81"/>
      <c r="Y288" s="81">
        <f>SUM(Y161:Y172)</f>
        <v>8121182.6862091785</v>
      </c>
      <c r="Z288" s="81">
        <f>SUM(Z161:Z172)</f>
        <v>13766996.658649478</v>
      </c>
      <c r="AA288" s="81">
        <f>+Z288-'MWh by month- AllWgtbyCDH'!Y288</f>
        <v>0</v>
      </c>
      <c r="AB288" s="81">
        <f>AVERAGE(AB161:AB172)</f>
        <v>4991658.9753791485</v>
      </c>
    </row>
    <row r="289" spans="1:28">
      <c r="A289" s="78">
        <v>2019</v>
      </c>
      <c r="J289" s="319">
        <f>SUM(J173:J184)</f>
        <v>6178818.5956216026</v>
      </c>
      <c r="K289" s="81">
        <f>SUM('MWh Impact Summary'!B25:E25,'MWh Impact Summary'!N25)</f>
        <v>6178818.5956216045</v>
      </c>
      <c r="N289" s="81"/>
      <c r="O289" s="81"/>
      <c r="P289" s="81"/>
      <c r="Q289" s="81"/>
      <c r="R289" s="81"/>
      <c r="S289" s="81"/>
      <c r="T289" s="81"/>
      <c r="U289" s="81"/>
      <c r="V289" s="81"/>
      <c r="W289" s="81"/>
      <c r="X289" s="81"/>
      <c r="Y289" s="81">
        <f>SUM(Y173:Y184)</f>
        <v>8825351.2505414523</v>
      </c>
      <c r="Z289" s="81">
        <f>SUM(Z173:Z184)</f>
        <v>15004169.846163057</v>
      </c>
      <c r="AA289" s="81">
        <f>+Z289-'MWh by month- AllWgtbyCDH'!Y289</f>
        <v>0</v>
      </c>
      <c r="AB289" s="81">
        <f>AVERAGE(AB173:AB184)</f>
        <v>5058945.3176616272</v>
      </c>
    </row>
    <row r="290" spans="1:28" ht="12" customHeight="1">
      <c r="A290" s="78">
        <v>2020</v>
      </c>
      <c r="J290" s="319">
        <f>SUM(J185:J196)</f>
        <v>6602699.0569757409</v>
      </c>
      <c r="K290" s="81">
        <f>SUM('MWh Impact Summary'!B26:E26,'MWh Impact Summary'!N26)</f>
        <v>6602699.0569757428</v>
      </c>
      <c r="N290" s="81"/>
      <c r="O290" s="81"/>
      <c r="P290" s="81"/>
      <c r="Q290" s="81"/>
      <c r="R290" s="81"/>
      <c r="S290" s="81"/>
      <c r="T290" s="81"/>
      <c r="U290" s="81"/>
      <c r="V290" s="81"/>
      <c r="W290" s="81"/>
      <c r="X290" s="81"/>
      <c r="Y290" s="81">
        <f>SUM(Y185:Y196)</f>
        <v>9551225.2281682696</v>
      </c>
      <c r="Z290" s="81">
        <f>SUM(Z185:Z196)</f>
        <v>16153924.285144009</v>
      </c>
      <c r="AA290" s="81">
        <f>+Z290-'MWh by month- AllWgtbyCDH'!Y290</f>
        <v>0</v>
      </c>
      <c r="AB290" s="81">
        <f>AVERAGE(AB185:AB196)</f>
        <v>5123908.5663745506</v>
      </c>
    </row>
    <row r="291" spans="1:28">
      <c r="A291" s="78">
        <v>2021</v>
      </c>
      <c r="J291" s="319">
        <f>SUM(J197:J208)</f>
        <v>6943997.269991735</v>
      </c>
      <c r="K291" s="81">
        <f>SUM('MWh Impact Summary'!B27:E27,'MWh Impact Summary'!N27)</f>
        <v>6943997.2699917359</v>
      </c>
      <c r="N291" s="81"/>
      <c r="O291" s="81"/>
      <c r="P291" s="81"/>
      <c r="Q291" s="81"/>
      <c r="R291" s="81"/>
      <c r="S291" s="81"/>
      <c r="T291" s="81"/>
      <c r="U291" s="81"/>
      <c r="V291" s="81"/>
      <c r="W291" s="81"/>
      <c r="X291" s="81"/>
      <c r="Y291" s="81">
        <f>SUM(Y197:Y208)</f>
        <v>10259823.684878604</v>
      </c>
      <c r="Z291" s="81">
        <f>SUM(Z197:Z208)</f>
        <v>17203820.954870343</v>
      </c>
      <c r="AA291" s="81">
        <f>+Z291-'MWh by month- AllWgtbyCDH'!Y291</f>
        <v>0</v>
      </c>
      <c r="AB291" s="81">
        <f>AVERAGE(AB197:AB208)</f>
        <v>5185332.6771582505</v>
      </c>
    </row>
    <row r="292" spans="1:28">
      <c r="A292" s="78">
        <v>2022</v>
      </c>
      <c r="J292" s="319">
        <f>SUM(J209:J220)</f>
        <v>7269834.1270947866</v>
      </c>
      <c r="K292" s="81">
        <f>SUM('MWh Impact Summary'!B28:E28,'MWh Impact Summary'!N28)</f>
        <v>7269834.1270947866</v>
      </c>
      <c r="N292" s="81"/>
      <c r="O292" s="81"/>
      <c r="P292" s="81"/>
      <c r="Q292" s="81"/>
      <c r="R292" s="81"/>
      <c r="S292" s="81"/>
      <c r="T292" s="81"/>
      <c r="U292" s="81"/>
      <c r="V292" s="81"/>
      <c r="W292" s="81"/>
      <c r="X292" s="81"/>
      <c r="Y292" s="81">
        <f>SUM(Y209:Y220)</f>
        <v>11195704.039134977</v>
      </c>
      <c r="Z292" s="81">
        <f>SUM(Z209:Z220)</f>
        <v>18465538.166229762</v>
      </c>
      <c r="AA292" s="81">
        <f>+Z292-'MWh by month- AllWgtbyCDH'!Y292</f>
        <v>0</v>
      </c>
      <c r="AB292" s="81">
        <f>AVERAGE(AB209:AB220)</f>
        <v>5247054.0847409368</v>
      </c>
    </row>
    <row r="293" spans="1:28">
      <c r="A293" s="78">
        <v>2023</v>
      </c>
      <c r="J293" s="319">
        <f>SUM(J221:J232)</f>
        <v>7370166.7033470888</v>
      </c>
      <c r="K293" s="81">
        <f>SUM('MWh Impact Summary'!B29:E29,'MWh Impact Summary'!N29)</f>
        <v>7370166.7033470906</v>
      </c>
      <c r="N293" s="81"/>
      <c r="O293" s="81"/>
      <c r="P293" s="81"/>
      <c r="Q293" s="81"/>
      <c r="R293" s="81"/>
      <c r="S293" s="81"/>
      <c r="T293" s="81"/>
      <c r="U293" s="81"/>
      <c r="V293" s="81"/>
      <c r="W293" s="81"/>
      <c r="X293" s="81"/>
      <c r="Y293" s="81">
        <f>SUM(Y221:Y232)</f>
        <v>12030375.656389674</v>
      </c>
      <c r="Z293" s="81">
        <f>SUM(Z221:Z232)</f>
        <v>19400542.359736763</v>
      </c>
      <c r="AA293" s="81">
        <f>+Z293-'MWh by month- AllWgtbyCDH'!Y293</f>
        <v>0</v>
      </c>
      <c r="AB293" s="81">
        <f>AVERAGE(AB221:AB232)</f>
        <v>5309376.0310086822</v>
      </c>
    </row>
    <row r="294" spans="1:28">
      <c r="A294" s="78">
        <v>2024</v>
      </c>
      <c r="J294" s="319">
        <f>SUM(J233:J244)</f>
        <v>7410651.096063192</v>
      </c>
      <c r="K294" s="81">
        <f>SUM('MWh Impact Summary'!B30:E30,'MWh Impact Summary'!N30)</f>
        <v>7410651.096063192</v>
      </c>
      <c r="N294" s="81"/>
      <c r="O294" s="81"/>
      <c r="P294" s="81"/>
      <c r="Q294" s="81"/>
      <c r="R294" s="81"/>
      <c r="S294" s="81"/>
      <c r="T294" s="81"/>
      <c r="U294" s="81"/>
      <c r="V294" s="81"/>
      <c r="W294" s="81"/>
      <c r="X294" s="81"/>
      <c r="Y294" s="81">
        <f>SUM(Y233:Y244)</f>
        <v>12783060.419189345</v>
      </c>
      <c r="Z294" s="81">
        <f>SUM(Z233:Z244)</f>
        <v>20193711.515252534</v>
      </c>
      <c r="AA294" s="81">
        <f>+Z294-'MWh by month- AllWgtbyCDH'!Y294</f>
        <v>0</v>
      </c>
      <c r="AB294" s="81">
        <f>AVERAGE(AB233:AB244)</f>
        <v>5372352.5973116057</v>
      </c>
    </row>
    <row r="295" spans="1:28">
      <c r="A295" s="78">
        <v>2025</v>
      </c>
      <c r="J295" s="319">
        <f>SUM(J245:J256)</f>
        <v>7520575.047466577</v>
      </c>
      <c r="K295" s="81">
        <f>SUM('MWh Impact Summary'!B31:E31,'MWh Impact Summary'!N31)</f>
        <v>7520575.0474665752</v>
      </c>
      <c r="N295" s="81"/>
      <c r="O295" s="81"/>
      <c r="P295" s="81"/>
      <c r="Q295" s="81"/>
      <c r="R295" s="81"/>
      <c r="S295" s="81"/>
      <c r="T295" s="81"/>
      <c r="U295" s="81"/>
      <c r="V295" s="81"/>
      <c r="W295" s="81"/>
      <c r="X295" s="81"/>
      <c r="Y295" s="81">
        <f>SUM(Y245:Y256)</f>
        <v>13476154.744595226</v>
      </c>
      <c r="Z295" s="81">
        <f>SUM(Z245:Z256)</f>
        <v>20996729.792061798</v>
      </c>
      <c r="AA295" s="81">
        <f>+Z295-'MWh by month- AllWgtbyCDH'!Y295</f>
        <v>0</v>
      </c>
      <c r="AB295" s="81">
        <f>AVERAGE(AB245:AB256)</f>
        <v>5433671.8395568365</v>
      </c>
    </row>
    <row r="296" spans="1:28">
      <c r="A296" s="78">
        <v>2026</v>
      </c>
      <c r="J296" s="319">
        <f>SUM(J257:J268)</f>
        <v>7628612.0934024518</v>
      </c>
      <c r="K296" s="81">
        <f>SUM('MWh Impact Summary'!B32:E32,'MWh Impact Summary'!N32)</f>
        <v>7628612.0934024528</v>
      </c>
      <c r="N296" s="81"/>
      <c r="O296" s="81"/>
      <c r="P296" s="81"/>
      <c r="Q296" s="81"/>
      <c r="R296" s="81"/>
      <c r="S296" s="81"/>
      <c r="T296" s="81"/>
      <c r="U296" s="81"/>
      <c r="V296" s="81"/>
      <c r="W296" s="81"/>
      <c r="X296" s="81"/>
      <c r="Y296" s="81">
        <f>SUM(Y257:Y268)</f>
        <v>14126618.102473851</v>
      </c>
      <c r="Z296" s="81">
        <f>SUM(Z257:Z268)</f>
        <v>21755230.195876297</v>
      </c>
      <c r="AA296" s="81">
        <f>+Z296-'MWh by month- AllWgtbyCDH'!Y296</f>
        <v>0</v>
      </c>
      <c r="AB296" s="81">
        <f>AVERAGE(AB257:AB268)</f>
        <v>5489001.9422878725</v>
      </c>
    </row>
    <row r="298" spans="1:28">
      <c r="J298" s="319">
        <f>SUM(J275:J296)</f>
        <v>93951928.57386291</v>
      </c>
      <c r="K298" s="81">
        <f>SUM(K275:K296)</f>
        <v>93951928.57386294</v>
      </c>
      <c r="L298" s="81">
        <f>+K298-J298</f>
        <v>0</v>
      </c>
      <c r="M298" s="81"/>
    </row>
  </sheetData>
  <pageMargins left="0.75" right="0.75" top="1" bottom="1" header="0.5" footer="0.5"/>
  <pageSetup orientation="portrait" r:id="rId1"/>
  <headerFooter alignWithMargins="0"/>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AU298"/>
  <sheetViews>
    <sheetView zoomScale="75" zoomScaleNormal="75" workbookViewId="0">
      <pane xSplit="2" ySplit="4" topLeftCell="Q5" activePane="bottomRight" state="frozen"/>
      <selection activeCell="AB18" sqref="AB18"/>
      <selection pane="topRight" activeCell="AB18" sqref="AB18"/>
      <selection pane="bottomLeft" activeCell="AB18" sqref="AB18"/>
      <selection pane="bottomRight" activeCell="A2" sqref="A1:A2"/>
    </sheetView>
  </sheetViews>
  <sheetFormatPr defaultColWidth="9.109375" defaultRowHeight="13.2"/>
  <cols>
    <col min="1" max="1" width="12.6640625" style="78" customWidth="1"/>
    <col min="2" max="2" width="9.109375" style="78"/>
    <col min="3" max="3" width="18.109375" style="102" customWidth="1"/>
    <col min="4" max="4" width="10.6640625" style="102" customWidth="1"/>
    <col min="5" max="5" width="19.5546875" style="102" customWidth="1"/>
    <col min="6" max="6" width="19.6640625" style="102" customWidth="1"/>
    <col min="7" max="7" width="17.109375" style="102" customWidth="1"/>
    <col min="8" max="8" width="18" style="102" customWidth="1"/>
    <col min="9" max="9" width="19" style="102" bestFit="1" customWidth="1"/>
    <col min="10" max="10" width="19.5546875" style="102" customWidth="1"/>
    <col min="11" max="11" width="14.109375" style="78" customWidth="1"/>
    <col min="12" max="12" width="14.33203125" style="78" customWidth="1"/>
    <col min="13" max="13" width="19.44140625" style="78" customWidth="1"/>
    <col min="14" max="14" width="17.33203125" style="78" customWidth="1"/>
    <col min="15" max="15" width="19.6640625" style="78" customWidth="1"/>
    <col min="16" max="16" width="17.109375" style="78" customWidth="1"/>
    <col min="17" max="20" width="15.6640625" style="78" customWidth="1"/>
    <col min="21" max="25" width="19.6640625" style="78" customWidth="1"/>
    <col min="26" max="26" width="13" style="78" customWidth="1"/>
    <col min="27" max="30" width="15.44140625" style="78" customWidth="1"/>
    <col min="31" max="31" width="17.6640625" style="78" customWidth="1"/>
    <col min="32" max="33" width="17.5546875" style="78" customWidth="1"/>
    <col min="34" max="34" width="19.33203125" style="78" customWidth="1"/>
    <col min="35" max="35" width="19.44140625" style="102" customWidth="1"/>
    <col min="36" max="37" width="17.88671875" style="102" customWidth="1"/>
    <col min="38" max="38" width="21" style="78" customWidth="1"/>
    <col min="39" max="39" width="12.88671875" style="78" customWidth="1"/>
    <col min="40" max="41" width="15.44140625" style="78" customWidth="1"/>
    <col min="42" max="42" width="17.5546875" style="78" customWidth="1"/>
    <col min="43" max="43" width="10.6640625" style="78" bestFit="1" customWidth="1"/>
    <col min="44" max="44" width="22.33203125" style="78" customWidth="1"/>
    <col min="45" max="45" width="20.6640625" style="78" customWidth="1"/>
    <col min="46" max="46" width="9.109375" style="78"/>
    <col min="47" max="47" width="15" style="141" customWidth="1"/>
    <col min="48" max="16384" width="9.109375" style="78"/>
  </cols>
  <sheetData>
    <row r="1" spans="1:47">
      <c r="A1" s="416" t="s">
        <v>384</v>
      </c>
    </row>
    <row r="2" spans="1:47">
      <c r="A2" s="416" t="s">
        <v>380</v>
      </c>
    </row>
    <row r="3" spans="1:47" s="62" customFormat="1" ht="52.8">
      <c r="C3" s="294" t="s">
        <v>248</v>
      </c>
      <c r="D3" s="314" t="s">
        <v>364</v>
      </c>
      <c r="E3" s="315" t="s">
        <v>23</v>
      </c>
      <c r="F3" s="316" t="s">
        <v>169</v>
      </c>
      <c r="G3" s="315" t="s">
        <v>43</v>
      </c>
      <c r="H3" s="315" t="s">
        <v>187</v>
      </c>
      <c r="I3" s="315" t="s">
        <v>95</v>
      </c>
      <c r="J3" s="294" t="s">
        <v>228</v>
      </c>
      <c r="K3" s="272" t="s">
        <v>363</v>
      </c>
      <c r="L3" s="273" t="s">
        <v>365</v>
      </c>
      <c r="M3" s="274" t="s">
        <v>367</v>
      </c>
      <c r="N3" s="276" t="s">
        <v>59</v>
      </c>
      <c r="O3" s="276" t="s">
        <v>353</v>
      </c>
      <c r="P3" s="276" t="s">
        <v>70</v>
      </c>
      <c r="Q3" s="277" t="s">
        <v>89</v>
      </c>
      <c r="R3" s="277" t="s">
        <v>129</v>
      </c>
      <c r="S3" s="277" t="s">
        <v>327</v>
      </c>
      <c r="T3" s="277" t="s">
        <v>146</v>
      </c>
      <c r="U3" s="277" t="s">
        <v>147</v>
      </c>
      <c r="V3" s="277" t="s">
        <v>261</v>
      </c>
      <c r="W3" s="277" t="s">
        <v>212</v>
      </c>
      <c r="X3" s="277" t="s">
        <v>214</v>
      </c>
      <c r="Y3" s="294" t="s">
        <v>229</v>
      </c>
      <c r="Z3" s="279" t="s">
        <v>230</v>
      </c>
      <c r="AA3" s="279" t="s">
        <v>230</v>
      </c>
      <c r="AB3" s="279"/>
      <c r="AC3" s="305" t="s">
        <v>256</v>
      </c>
      <c r="AD3" s="306" t="s">
        <v>228</v>
      </c>
      <c r="AE3" s="280" t="s">
        <v>228</v>
      </c>
      <c r="AF3" s="305" t="s">
        <v>229</v>
      </c>
      <c r="AG3" s="281" t="s">
        <v>229</v>
      </c>
      <c r="AH3" s="280" t="s">
        <v>230</v>
      </c>
      <c r="AI3" s="282" t="s">
        <v>230</v>
      </c>
      <c r="AJ3" s="282"/>
      <c r="AK3" s="283" t="s">
        <v>230</v>
      </c>
      <c r="AL3" s="311" t="s">
        <v>369</v>
      </c>
      <c r="AM3" s="285" t="s">
        <v>231</v>
      </c>
      <c r="AN3" s="286"/>
      <c r="AO3" s="285" t="s">
        <v>231</v>
      </c>
      <c r="AP3" s="287"/>
      <c r="AQ3" s="284"/>
      <c r="AR3" s="281" t="s">
        <v>250</v>
      </c>
      <c r="AS3" s="281" t="s">
        <v>232</v>
      </c>
      <c r="AT3" s="284"/>
      <c r="AU3" s="288" t="s">
        <v>259</v>
      </c>
    </row>
    <row r="4" spans="1:47" s="62" customFormat="1" ht="39.6">
      <c r="C4" s="283"/>
      <c r="D4" s="283" t="s">
        <v>233</v>
      </c>
      <c r="E4" s="283" t="s">
        <v>234</v>
      </c>
      <c r="F4" s="283" t="s">
        <v>234</v>
      </c>
      <c r="G4" s="283" t="s">
        <v>234</v>
      </c>
      <c r="H4" s="283" t="s">
        <v>235</v>
      </c>
      <c r="I4" s="283" t="s">
        <v>234</v>
      </c>
      <c r="J4" s="283" t="s">
        <v>234</v>
      </c>
      <c r="K4" s="289"/>
      <c r="L4" s="272" t="s">
        <v>233</v>
      </c>
      <c r="M4" s="290" t="s">
        <v>233</v>
      </c>
      <c r="N4" s="290" t="s">
        <v>234</v>
      </c>
      <c r="O4" s="290"/>
      <c r="P4" s="290" t="s">
        <v>234</v>
      </c>
      <c r="Q4" s="290" t="s">
        <v>234</v>
      </c>
      <c r="R4" s="290" t="s">
        <v>234</v>
      </c>
      <c r="S4" s="290"/>
      <c r="T4" s="290" t="s">
        <v>234</v>
      </c>
      <c r="U4" s="290" t="s">
        <v>234</v>
      </c>
      <c r="V4" s="290"/>
      <c r="W4" s="290" t="s">
        <v>234</v>
      </c>
      <c r="X4" s="290" t="s">
        <v>234</v>
      </c>
      <c r="Y4" s="291" t="s">
        <v>234</v>
      </c>
      <c r="Z4" s="292" t="s">
        <v>236</v>
      </c>
      <c r="AA4" s="292" t="s">
        <v>237</v>
      </c>
      <c r="AB4" s="292" t="s">
        <v>246</v>
      </c>
      <c r="AC4" s="307" t="s">
        <v>238</v>
      </c>
      <c r="AD4" s="307" t="s">
        <v>238</v>
      </c>
      <c r="AE4" s="281" t="s">
        <v>239</v>
      </c>
      <c r="AF4" s="307" t="s">
        <v>238</v>
      </c>
      <c r="AG4" s="281" t="s">
        <v>239</v>
      </c>
      <c r="AH4" s="281" t="s">
        <v>239</v>
      </c>
      <c r="AI4" s="293" t="s">
        <v>239</v>
      </c>
      <c r="AJ4" s="293"/>
      <c r="AK4" s="294" t="s">
        <v>240</v>
      </c>
      <c r="AL4" s="311" t="s">
        <v>368</v>
      </c>
      <c r="AM4" s="286" t="s">
        <v>241</v>
      </c>
      <c r="AN4" s="286" t="s">
        <v>104</v>
      </c>
      <c r="AO4" s="286" t="s">
        <v>238</v>
      </c>
      <c r="AP4" s="295" t="s">
        <v>239</v>
      </c>
      <c r="AQ4" s="284"/>
      <c r="AR4" s="281" t="s">
        <v>239</v>
      </c>
      <c r="AS4" s="281" t="s">
        <v>234</v>
      </c>
      <c r="AT4" s="284"/>
      <c r="AU4" s="296" t="s">
        <v>258</v>
      </c>
    </row>
    <row r="5" spans="1:47">
      <c r="A5" s="78">
        <v>2005</v>
      </c>
      <c r="B5" s="78">
        <v>1</v>
      </c>
      <c r="C5" s="317">
        <v>23.472308723910274</v>
      </c>
      <c r="D5" s="318">
        <f t="shared" ref="D5:D16" si="0">C5/(SUM(C$5:C$16))</f>
        <v>1.2307451486293614E-2</v>
      </c>
      <c r="E5" s="102">
        <f>$D5*'MWh Impact Summary'!B$11</f>
        <v>0</v>
      </c>
      <c r="F5" s="319">
        <f>$D5*'MWh Impact Summary'!N$11</f>
        <v>0</v>
      </c>
      <c r="G5" s="319">
        <f>$D5*'MWh Impact Summary'!C$11</f>
        <v>715.00499645869411</v>
      </c>
      <c r="H5" s="319">
        <f>$D5*'MWh Impact Summary'!D$11</f>
        <v>0</v>
      </c>
      <c r="I5" s="319">
        <f>$D5*'MWh Impact Summary'!E$11</f>
        <v>571.23371532387364</v>
      </c>
      <c r="J5" s="104">
        <f>SUM(E5:I5)</f>
        <v>1286.2387117825679</v>
      </c>
      <c r="K5" s="298">
        <v>13.3</v>
      </c>
      <c r="L5" s="299">
        <f t="shared" ref="L5:L14" si="1">K5/(SUM(K$5:K$16))</f>
        <v>9.3629003871876101E-2</v>
      </c>
      <c r="M5" s="297">
        <f>(31/365)</f>
        <v>8.4931506849315067E-2</v>
      </c>
      <c r="N5" s="303">
        <f>$M5*'MWh Impact Summary'!F$11</f>
        <v>0</v>
      </c>
      <c r="O5" s="303">
        <f>$M5*'MWh Impact Summary'!G$11</f>
        <v>0</v>
      </c>
      <c r="P5" s="303">
        <f>$M5*'MWh Impact Summary'!H$11</f>
        <v>0</v>
      </c>
      <c r="Q5" s="303">
        <f>$M5*'MWh Impact Summary'!I$11</f>
        <v>0</v>
      </c>
      <c r="R5" s="303">
        <f>$M5*'MWh Impact Summary'!J$11</f>
        <v>0</v>
      </c>
      <c r="S5" s="303">
        <f>$M5*'MWh Impact Summary'!K$11</f>
        <v>0</v>
      </c>
      <c r="T5" s="303">
        <f>$M5*'MWh Impact Summary'!L$11</f>
        <v>0</v>
      </c>
      <c r="U5" s="303">
        <f>$M5*'MWh Impact Summary'!M$11</f>
        <v>0</v>
      </c>
      <c r="V5" s="303">
        <f>$M5*'MWh Impact Summary'!O$11</f>
        <v>0</v>
      </c>
      <c r="W5" s="303">
        <f>$M5*'MWh Impact Summary'!P$11</f>
        <v>0</v>
      </c>
      <c r="X5" s="303">
        <f>$M5*'MWh Impact Summary'!Q$11</f>
        <v>0</v>
      </c>
      <c r="Y5" s="85">
        <f t="shared" ref="Y5:Y68" si="2">SUM(N5:X5)</f>
        <v>0</v>
      </c>
      <c r="Z5" s="81">
        <f t="shared" ref="Z5:Z68" si="3">Y5+J5</f>
        <v>1286.2387117825679</v>
      </c>
      <c r="AA5" s="81"/>
      <c r="AB5" s="81">
        <v>4272459</v>
      </c>
      <c r="AC5" s="308">
        <f>+Z5*1000/AB5</f>
        <v>0.30105349443553886</v>
      </c>
      <c r="AD5" s="309">
        <f t="shared" ref="AD5:AD68" si="4">+J5*1000/AB5</f>
        <v>0.30105349443553886</v>
      </c>
      <c r="AE5" s="107">
        <f t="shared" ref="AE5:AE68" si="5">+AD5/K5/1000</f>
        <v>2.2635601085378861E-5</v>
      </c>
      <c r="AF5" s="309">
        <f>+Y5*1000/AB5</f>
        <v>0</v>
      </c>
      <c r="AG5" s="107">
        <f t="shared" ref="AG5:AG68" si="6">+AF5/K5/1000</f>
        <v>0</v>
      </c>
      <c r="AH5" s="119">
        <f>AE5+AG5</f>
        <v>2.2635601085378861E-5</v>
      </c>
      <c r="AI5" s="122">
        <f t="shared" ref="AI5:AI68" si="7">+AC5/K5/1000</f>
        <v>2.2635601085378861E-5</v>
      </c>
      <c r="AJ5" s="87" t="b">
        <f>AH5=AI5</f>
        <v>1</v>
      </c>
      <c r="AK5" s="88">
        <f t="shared" ref="AK5:AK16" si="8">AI5</f>
        <v>2.2635601085378861E-5</v>
      </c>
      <c r="AL5" s="312">
        <f>+AC5/'MWh by month-WgtbyCDH&amp;DayLtHrs'!AC5-1</f>
        <v>-7.3291937011659036E-2</v>
      </c>
      <c r="AM5" s="89">
        <f t="shared" ref="AM5:AM68" si="9">+W5</f>
        <v>0</v>
      </c>
      <c r="AN5" s="90"/>
      <c r="AO5" s="91"/>
      <c r="AP5" s="92"/>
      <c r="AR5" s="94">
        <f t="shared" ref="AR5:AR68" si="10">AI5</f>
        <v>2.2635601085378861E-5</v>
      </c>
      <c r="AS5" s="95">
        <v>1374.7828602320258</v>
      </c>
      <c r="AU5" s="141">
        <v>0.30105349443553886</v>
      </c>
    </row>
    <row r="6" spans="1:47">
      <c r="A6" s="78">
        <v>2005</v>
      </c>
      <c r="B6" s="78">
        <v>2</v>
      </c>
      <c r="C6" s="317">
        <v>18.741238924773285</v>
      </c>
      <c r="D6" s="318">
        <f t="shared" si="0"/>
        <v>9.8267661512445939E-3</v>
      </c>
      <c r="E6" s="102">
        <f>$D6*'MWh Impact Summary'!B$11</f>
        <v>0</v>
      </c>
      <c r="F6" s="319">
        <f>$D6*'MWh Impact Summary'!N$11</f>
        <v>0</v>
      </c>
      <c r="G6" s="319">
        <f>$D6*'MWh Impact Summary'!C$11</f>
        <v>570.888855828185</v>
      </c>
      <c r="H6" s="319">
        <f>$D6*'MWh Impact Summary'!D$11</f>
        <v>0</v>
      </c>
      <c r="I6" s="319">
        <f>$D6*'MWh Impact Summary'!E$11</f>
        <v>456.09606054070252</v>
      </c>
      <c r="J6" s="104">
        <f t="shared" ref="J6:J69" si="11">SUM(E6:I6)</f>
        <v>1026.9849163688875</v>
      </c>
      <c r="K6" s="298">
        <v>12.733333333333333</v>
      </c>
      <c r="L6" s="299">
        <f t="shared" si="1"/>
        <v>8.9639798193124468E-2</v>
      </c>
      <c r="M6" s="297">
        <f>(28/365)</f>
        <v>7.6712328767123292E-2</v>
      </c>
      <c r="N6" s="303">
        <f>$M6*'MWh Impact Summary'!F$11</f>
        <v>0</v>
      </c>
      <c r="O6" s="303">
        <f>$M6*'MWh Impact Summary'!G$11</f>
        <v>0</v>
      </c>
      <c r="P6" s="303">
        <f>$M6*'MWh Impact Summary'!H$11</f>
        <v>0</v>
      </c>
      <c r="Q6" s="303">
        <f>$M6*'MWh Impact Summary'!I$11</f>
        <v>0</v>
      </c>
      <c r="R6" s="303">
        <f>$M6*'MWh Impact Summary'!J$11</f>
        <v>0</v>
      </c>
      <c r="S6" s="303">
        <f>$M6*'MWh Impact Summary'!K$11</f>
        <v>0</v>
      </c>
      <c r="T6" s="303">
        <f>$M6*'MWh Impact Summary'!L$11</f>
        <v>0</v>
      </c>
      <c r="U6" s="303">
        <f>$M6*'MWh Impact Summary'!M$11</f>
        <v>0</v>
      </c>
      <c r="V6" s="303">
        <f>$M6*'MWh Impact Summary'!O$11</f>
        <v>0</v>
      </c>
      <c r="W6" s="303">
        <f>$M6*'MWh Impact Summary'!P$11</f>
        <v>0</v>
      </c>
      <c r="X6" s="303">
        <f>$M6*'MWh Impact Summary'!Q$11</f>
        <v>0</v>
      </c>
      <c r="Y6" s="85">
        <f t="shared" si="2"/>
        <v>0</v>
      </c>
      <c r="Z6" s="81">
        <f t="shared" si="3"/>
        <v>1026.9849163688875</v>
      </c>
      <c r="AA6" s="81"/>
      <c r="AB6" s="81">
        <v>4287988</v>
      </c>
      <c r="AC6" s="308">
        <f t="shared" ref="AC6:AC69" si="12">+Z6*1000/AB6</f>
        <v>0.23950274962730481</v>
      </c>
      <c r="AD6" s="309">
        <f t="shared" si="4"/>
        <v>0.23950274962730481</v>
      </c>
      <c r="AE6" s="107">
        <f t="shared" si="5"/>
        <v>1.8809116462877342E-5</v>
      </c>
      <c r="AF6" s="309">
        <f t="shared" ref="AF6:AF69" si="13">+Y6*1000/AB6</f>
        <v>0</v>
      </c>
      <c r="AG6" s="107">
        <f t="shared" si="6"/>
        <v>0</v>
      </c>
      <c r="AH6" s="119">
        <f t="shared" ref="AH6:AH69" si="14">AE6+AG6</f>
        <v>1.8809116462877342E-5</v>
      </c>
      <c r="AI6" s="122">
        <f t="shared" si="7"/>
        <v>1.8809116462877342E-5</v>
      </c>
      <c r="AJ6" s="87" t="b">
        <f t="shared" ref="AJ6:AJ69" si="15">AH6=AI6</f>
        <v>1</v>
      </c>
      <c r="AK6" s="88">
        <f t="shared" si="8"/>
        <v>1.8809116462877342E-5</v>
      </c>
      <c r="AL6" s="312">
        <f>+AC6/'MWh by month-WgtbyCDH&amp;DayLtHrs'!AC6-1</f>
        <v>-0.44862356802977676</v>
      </c>
      <c r="AM6" s="89">
        <f t="shared" si="9"/>
        <v>0</v>
      </c>
      <c r="AN6" s="90"/>
      <c r="AO6" s="96"/>
      <c r="AP6" s="92"/>
      <c r="AR6" s="94">
        <f t="shared" si="10"/>
        <v>1.8809116462877342E-5</v>
      </c>
      <c r="AS6" s="95">
        <v>1609.5466669451559</v>
      </c>
      <c r="AU6" s="141">
        <v>0.23950274962730481</v>
      </c>
    </row>
    <row r="7" spans="1:47">
      <c r="A7" s="78">
        <v>2005</v>
      </c>
      <c r="B7" s="78">
        <v>3</v>
      </c>
      <c r="C7" s="317">
        <v>59.816978305441737</v>
      </c>
      <c r="D7" s="318">
        <f t="shared" si="0"/>
        <v>3.1364386316245517E-2</v>
      </c>
      <c r="E7" s="102">
        <f>$D7*'MWh Impact Summary'!B$11</f>
        <v>0</v>
      </c>
      <c r="F7" s="319">
        <f>$D7*'MWh Impact Summary'!N$11</f>
        <v>0</v>
      </c>
      <c r="G7" s="319">
        <f>$D7*'MWh Impact Summary'!C$11</f>
        <v>1822.1232033253159</v>
      </c>
      <c r="H7" s="319">
        <f>$D7*'MWh Impact Summary'!D$11</f>
        <v>0</v>
      </c>
      <c r="I7" s="319">
        <f>$D7*'MWh Impact Summary'!E$11</f>
        <v>1455.7355715953918</v>
      </c>
      <c r="J7" s="104">
        <f t="shared" si="11"/>
        <v>3277.8587749207077</v>
      </c>
      <c r="K7" s="298">
        <v>12</v>
      </c>
      <c r="L7" s="299">
        <f t="shared" si="1"/>
        <v>8.4477296726504739E-2</v>
      </c>
      <c r="M7" s="297">
        <f t="shared" ref="M7:M16" si="16">(31/365)</f>
        <v>8.4931506849315067E-2</v>
      </c>
      <c r="N7" s="303">
        <f>$M7*'MWh Impact Summary'!F$11</f>
        <v>0</v>
      </c>
      <c r="O7" s="303">
        <f>$M7*'MWh Impact Summary'!G$11</f>
        <v>0</v>
      </c>
      <c r="P7" s="303">
        <f>$M7*'MWh Impact Summary'!H$11</f>
        <v>0</v>
      </c>
      <c r="Q7" s="303">
        <f>$M7*'MWh Impact Summary'!I$11</f>
        <v>0</v>
      </c>
      <c r="R7" s="303">
        <f>$M7*'MWh Impact Summary'!J$11</f>
        <v>0</v>
      </c>
      <c r="S7" s="303">
        <f>$M7*'MWh Impact Summary'!K$11</f>
        <v>0</v>
      </c>
      <c r="T7" s="303">
        <f>$M7*'MWh Impact Summary'!L$11</f>
        <v>0</v>
      </c>
      <c r="U7" s="303">
        <f>$M7*'MWh Impact Summary'!M$11</f>
        <v>0</v>
      </c>
      <c r="V7" s="303">
        <f>$M7*'MWh Impact Summary'!O$11</f>
        <v>0</v>
      </c>
      <c r="W7" s="303">
        <f>$M7*'MWh Impact Summary'!P$11</f>
        <v>0</v>
      </c>
      <c r="X7" s="303">
        <f>$M7*'MWh Impact Summary'!Q$11</f>
        <v>0</v>
      </c>
      <c r="Y7" s="85">
        <f t="shared" si="2"/>
        <v>0</v>
      </c>
      <c r="Z7" s="81">
        <f t="shared" si="3"/>
        <v>3277.8587749207077</v>
      </c>
      <c r="AA7" s="81"/>
      <c r="AB7" s="81">
        <v>4299864</v>
      </c>
      <c r="AC7" s="308">
        <f t="shared" si="12"/>
        <v>0.76231684884003481</v>
      </c>
      <c r="AD7" s="309">
        <f t="shared" si="4"/>
        <v>0.76231684884003481</v>
      </c>
      <c r="AE7" s="107">
        <f t="shared" si="5"/>
        <v>6.3526404070002895E-5</v>
      </c>
      <c r="AF7" s="309">
        <f t="shared" si="13"/>
        <v>0</v>
      </c>
      <c r="AG7" s="107">
        <f t="shared" si="6"/>
        <v>0</v>
      </c>
      <c r="AH7" s="119">
        <f t="shared" si="14"/>
        <v>6.3526404070002895E-5</v>
      </c>
      <c r="AI7" s="122">
        <f t="shared" si="7"/>
        <v>6.3526404070002895E-5</v>
      </c>
      <c r="AJ7" s="87" t="b">
        <f t="shared" si="15"/>
        <v>1</v>
      </c>
      <c r="AK7" s="88">
        <f t="shared" si="8"/>
        <v>6.3526404070002895E-5</v>
      </c>
      <c r="AL7" s="312">
        <f>+AC7/'MWh by month-WgtbyCDH&amp;DayLtHrs'!AC7-1</f>
        <v>-4.5112445916224764E-2</v>
      </c>
      <c r="AM7" s="89">
        <f t="shared" si="9"/>
        <v>0</v>
      </c>
      <c r="AN7" s="90"/>
      <c r="AO7" s="96"/>
      <c r="AP7" s="92"/>
      <c r="AR7" s="94">
        <f t="shared" si="10"/>
        <v>6.3526404070002895E-5</v>
      </c>
      <c r="AS7" s="95">
        <v>3159.7166533048885</v>
      </c>
      <c r="AU7" s="141">
        <v>0.76231684884003481</v>
      </c>
    </row>
    <row r="8" spans="1:47">
      <c r="A8" s="78">
        <v>2005</v>
      </c>
      <c r="B8" s="78">
        <v>4</v>
      </c>
      <c r="C8" s="317">
        <v>68.09057008808503</v>
      </c>
      <c r="D8" s="318">
        <f t="shared" si="0"/>
        <v>3.5702554780200367E-2</v>
      </c>
      <c r="E8" s="102">
        <f>$D8*'MWh Impact Summary'!B$11</f>
        <v>0</v>
      </c>
      <c r="F8" s="319">
        <f>$D8*'MWh Impact Summary'!N$11</f>
        <v>0</v>
      </c>
      <c r="G8" s="319">
        <f>$D8*'MWh Impact Summary'!C$11</f>
        <v>2074.1503700106073</v>
      </c>
      <c r="H8" s="319">
        <f>$D8*'MWh Impact Summary'!D$11</f>
        <v>0</v>
      </c>
      <c r="I8" s="319">
        <f>$D8*'MWh Impact Summary'!E$11</f>
        <v>1657.0857936235327</v>
      </c>
      <c r="J8" s="104">
        <f t="shared" si="11"/>
        <v>3731.2361636341402</v>
      </c>
      <c r="K8" s="298">
        <v>11.2</v>
      </c>
      <c r="L8" s="299">
        <f t="shared" si="1"/>
        <v>7.8845476944737758E-2</v>
      </c>
      <c r="M8" s="297">
        <f>(30/365)</f>
        <v>8.2191780821917804E-2</v>
      </c>
      <c r="N8" s="303">
        <f>$M8*'MWh Impact Summary'!F$11</f>
        <v>0</v>
      </c>
      <c r="O8" s="303">
        <f>$M8*'MWh Impact Summary'!G$11</f>
        <v>0</v>
      </c>
      <c r="P8" s="303">
        <f>$M8*'MWh Impact Summary'!H$11</f>
        <v>0</v>
      </c>
      <c r="Q8" s="303">
        <f>$M8*'MWh Impact Summary'!I$11</f>
        <v>0</v>
      </c>
      <c r="R8" s="303">
        <f>$M8*'MWh Impact Summary'!J$11</f>
        <v>0</v>
      </c>
      <c r="S8" s="303">
        <f>$M8*'MWh Impact Summary'!K$11</f>
        <v>0</v>
      </c>
      <c r="T8" s="303">
        <f>$M8*'MWh Impact Summary'!L$11</f>
        <v>0</v>
      </c>
      <c r="U8" s="303">
        <f>$M8*'MWh Impact Summary'!M$11</f>
        <v>0</v>
      </c>
      <c r="V8" s="303">
        <f>$M8*'MWh Impact Summary'!O$11</f>
        <v>0</v>
      </c>
      <c r="W8" s="303">
        <f>$M8*'MWh Impact Summary'!P$11</f>
        <v>0</v>
      </c>
      <c r="X8" s="303">
        <f>$M8*'MWh Impact Summary'!Q$11</f>
        <v>0</v>
      </c>
      <c r="Y8" s="85">
        <f t="shared" si="2"/>
        <v>0</v>
      </c>
      <c r="Z8" s="81">
        <f t="shared" si="3"/>
        <v>3731.2361636341402</v>
      </c>
      <c r="AA8" s="81"/>
      <c r="AB8" s="81">
        <v>4310180</v>
      </c>
      <c r="AC8" s="308">
        <f t="shared" si="12"/>
        <v>0.86567989356225028</v>
      </c>
      <c r="AD8" s="309">
        <f t="shared" si="4"/>
        <v>0.86567989356225028</v>
      </c>
      <c r="AE8" s="107">
        <f t="shared" si="5"/>
        <v>7.7292847639486641E-5</v>
      </c>
      <c r="AF8" s="309">
        <f t="shared" si="13"/>
        <v>0</v>
      </c>
      <c r="AG8" s="107">
        <f t="shared" si="6"/>
        <v>0</v>
      </c>
      <c r="AH8" s="119">
        <f t="shared" si="14"/>
        <v>7.7292847639486641E-5</v>
      </c>
      <c r="AI8" s="122">
        <f t="shared" si="7"/>
        <v>7.7292847639486641E-5</v>
      </c>
      <c r="AJ8" s="87" t="b">
        <f t="shared" si="15"/>
        <v>1</v>
      </c>
      <c r="AK8" s="88">
        <f t="shared" si="8"/>
        <v>7.7292847639486641E-5</v>
      </c>
      <c r="AL8" s="312">
        <f>+AC8/'MWh by month-WgtbyCDH&amp;DayLtHrs'!AC8-1</f>
        <v>-0.38440659897200713</v>
      </c>
      <c r="AM8" s="89">
        <f t="shared" si="9"/>
        <v>0</v>
      </c>
      <c r="AN8" s="90"/>
      <c r="AO8" s="96"/>
      <c r="AP8" s="92"/>
      <c r="AR8" s="94">
        <f t="shared" si="10"/>
        <v>7.7292847639486641E-5</v>
      </c>
      <c r="AS8" s="95">
        <v>5970.3384166432006</v>
      </c>
      <c r="AU8" s="141">
        <v>0.86567989356225028</v>
      </c>
    </row>
    <row r="9" spans="1:47">
      <c r="A9" s="78">
        <v>2005</v>
      </c>
      <c r="B9" s="78">
        <v>5</v>
      </c>
      <c r="C9" s="317">
        <v>168.41009322371792</v>
      </c>
      <c r="D9" s="318">
        <f t="shared" si="0"/>
        <v>8.8304012891655598E-2</v>
      </c>
      <c r="E9" s="102">
        <f>$D9*'MWh Impact Summary'!B$11</f>
        <v>0</v>
      </c>
      <c r="F9" s="319">
        <f>$D9*'MWh Impact Summary'!N$11</f>
        <v>0</v>
      </c>
      <c r="G9" s="319">
        <f>$D9*'MWh Impact Summary'!C$11</f>
        <v>5130.0474753202234</v>
      </c>
      <c r="H9" s="319">
        <f>$D9*'MWh Impact Summary'!D$11</f>
        <v>0</v>
      </c>
      <c r="I9" s="319">
        <f>$D9*'MWh Impact Summary'!E$11</f>
        <v>4098.5113301712736</v>
      </c>
      <c r="J9" s="104">
        <f>SUM(E9:I9)</f>
        <v>9228.558805491497</v>
      </c>
      <c r="K9" s="298">
        <v>10.533333333333333</v>
      </c>
      <c r="L9" s="299">
        <f t="shared" si="1"/>
        <v>7.4152293793265281E-2</v>
      </c>
      <c r="M9" s="297">
        <f t="shared" si="16"/>
        <v>8.4931506849315067E-2</v>
      </c>
      <c r="N9" s="303">
        <f>$M9*'MWh Impact Summary'!F$11</f>
        <v>0</v>
      </c>
      <c r="O9" s="303">
        <f>$M9*'MWh Impact Summary'!G$11</f>
        <v>0</v>
      </c>
      <c r="P9" s="303">
        <f>$M9*'MWh Impact Summary'!H$11</f>
        <v>0</v>
      </c>
      <c r="Q9" s="303">
        <f>$M9*'MWh Impact Summary'!I$11</f>
        <v>0</v>
      </c>
      <c r="R9" s="303">
        <f>$M9*'MWh Impact Summary'!J$11</f>
        <v>0</v>
      </c>
      <c r="S9" s="303">
        <f>$M9*'MWh Impact Summary'!K$11</f>
        <v>0</v>
      </c>
      <c r="T9" s="303">
        <f>$M9*'MWh Impact Summary'!L$11</f>
        <v>0</v>
      </c>
      <c r="U9" s="303">
        <f>$M9*'MWh Impact Summary'!M$11</f>
        <v>0</v>
      </c>
      <c r="V9" s="303">
        <f>$M9*'MWh Impact Summary'!O$11</f>
        <v>0</v>
      </c>
      <c r="W9" s="303">
        <f>$M9*'MWh Impact Summary'!P$11</f>
        <v>0</v>
      </c>
      <c r="X9" s="303">
        <f>$M9*'MWh Impact Summary'!Q$11</f>
        <v>0</v>
      </c>
      <c r="Y9" s="85">
        <f t="shared" si="2"/>
        <v>0</v>
      </c>
      <c r="Z9" s="81">
        <f t="shared" si="3"/>
        <v>9228.558805491497</v>
      </c>
      <c r="AA9" s="81"/>
      <c r="AB9" s="81">
        <v>4313996</v>
      </c>
      <c r="AC9" s="308">
        <f t="shared" si="12"/>
        <v>2.1392135749526653</v>
      </c>
      <c r="AD9" s="309">
        <f t="shared" si="4"/>
        <v>2.1392135749526653</v>
      </c>
      <c r="AE9" s="107">
        <f t="shared" si="5"/>
        <v>2.0308989635626571E-4</v>
      </c>
      <c r="AF9" s="309">
        <f t="shared" si="13"/>
        <v>0</v>
      </c>
      <c r="AG9" s="107">
        <f t="shared" si="6"/>
        <v>0</v>
      </c>
      <c r="AH9" s="119">
        <f t="shared" si="14"/>
        <v>2.0308989635626571E-4</v>
      </c>
      <c r="AI9" s="122">
        <f t="shared" si="7"/>
        <v>2.0308989635626571E-4</v>
      </c>
      <c r="AJ9" s="87" t="b">
        <f t="shared" si="15"/>
        <v>1</v>
      </c>
      <c r="AK9" s="88">
        <f t="shared" si="8"/>
        <v>2.0308989635626571E-4</v>
      </c>
      <c r="AL9" s="312">
        <f>+AC9/'MWh by month-WgtbyCDH&amp;DayLtHrs'!AC9-1</f>
        <v>-0.16718722870558467</v>
      </c>
      <c r="AM9" s="89">
        <f t="shared" si="9"/>
        <v>0</v>
      </c>
      <c r="AN9" s="90"/>
      <c r="AO9" s="96"/>
      <c r="AP9" s="92"/>
      <c r="AR9" s="94">
        <f t="shared" si="10"/>
        <v>2.0308989635626571E-4</v>
      </c>
      <c r="AS9" s="95">
        <v>10211.168855045597</v>
      </c>
      <c r="AU9" s="141">
        <v>2.1392135749526653</v>
      </c>
    </row>
    <row r="10" spans="1:47">
      <c r="A10" s="78">
        <v>2005</v>
      </c>
      <c r="B10" s="78">
        <v>6</v>
      </c>
      <c r="C10" s="317">
        <v>237.58316535506088</v>
      </c>
      <c r="D10" s="318">
        <f t="shared" si="0"/>
        <v>0.12457416592296619</v>
      </c>
      <c r="E10" s="102">
        <f>$D10*'MWh Impact Summary'!B$11</f>
        <v>0</v>
      </c>
      <c r="F10" s="319">
        <f>$D10*'MWh Impact Summary'!N$11</f>
        <v>0</v>
      </c>
      <c r="G10" s="319">
        <f>$D10*'MWh Impact Summary'!C$11</f>
        <v>7237.1726318637693</v>
      </c>
      <c r="H10" s="319">
        <f>$D10*'MWh Impact Summary'!D$11</f>
        <v>0</v>
      </c>
      <c r="I10" s="319">
        <f>$D10*'MWh Impact Summary'!E$11</f>
        <v>5781.9414289626238</v>
      </c>
      <c r="J10" s="104">
        <f>SUM(E10:I10)</f>
        <v>13019.114060826392</v>
      </c>
      <c r="K10" s="298">
        <v>10.199999999999999</v>
      </c>
      <c r="L10" s="299">
        <f t="shared" si="1"/>
        <v>7.1805702217529022E-2</v>
      </c>
      <c r="M10" s="297">
        <f>(30/365)</f>
        <v>8.2191780821917804E-2</v>
      </c>
      <c r="N10" s="303">
        <f>$M10*'MWh Impact Summary'!F$11</f>
        <v>0</v>
      </c>
      <c r="O10" s="303">
        <f>$M10*'MWh Impact Summary'!G$11</f>
        <v>0</v>
      </c>
      <c r="P10" s="303">
        <f>$M10*'MWh Impact Summary'!H$11</f>
        <v>0</v>
      </c>
      <c r="Q10" s="303">
        <f>$M10*'MWh Impact Summary'!I$11</f>
        <v>0</v>
      </c>
      <c r="R10" s="303">
        <f>$M10*'MWh Impact Summary'!J$11</f>
        <v>0</v>
      </c>
      <c r="S10" s="303">
        <f>$M10*'MWh Impact Summary'!K$11</f>
        <v>0</v>
      </c>
      <c r="T10" s="303">
        <f>$M10*'MWh Impact Summary'!L$11</f>
        <v>0</v>
      </c>
      <c r="U10" s="303">
        <f>$M10*'MWh Impact Summary'!M$11</f>
        <v>0</v>
      </c>
      <c r="V10" s="303">
        <f>$M10*'MWh Impact Summary'!O$11</f>
        <v>0</v>
      </c>
      <c r="W10" s="303">
        <f>$M10*'MWh Impact Summary'!P$11</f>
        <v>0</v>
      </c>
      <c r="X10" s="303">
        <f>$M10*'MWh Impact Summary'!Q$11</f>
        <v>0</v>
      </c>
      <c r="Y10" s="85">
        <f t="shared" si="2"/>
        <v>0</v>
      </c>
      <c r="Z10" s="81">
        <f t="shared" si="3"/>
        <v>13019.114060826392</v>
      </c>
      <c r="AA10" s="81"/>
      <c r="AB10" s="81">
        <v>4320906</v>
      </c>
      <c r="AC10" s="308">
        <f t="shared" si="12"/>
        <v>3.0130519064349914</v>
      </c>
      <c r="AD10" s="309">
        <f t="shared" si="4"/>
        <v>3.0130519064349914</v>
      </c>
      <c r="AE10" s="107">
        <f t="shared" si="5"/>
        <v>2.9539724572892075E-4</v>
      </c>
      <c r="AF10" s="309">
        <f t="shared" si="13"/>
        <v>0</v>
      </c>
      <c r="AG10" s="107">
        <f t="shared" si="6"/>
        <v>0</v>
      </c>
      <c r="AH10" s="119">
        <f t="shared" si="14"/>
        <v>2.9539724572892075E-4</v>
      </c>
      <c r="AI10" s="122">
        <f t="shared" si="7"/>
        <v>2.9539724572892075E-4</v>
      </c>
      <c r="AJ10" s="87" t="b">
        <f t="shared" si="15"/>
        <v>1</v>
      </c>
      <c r="AK10" s="88">
        <f t="shared" si="8"/>
        <v>2.9539724572892075E-4</v>
      </c>
      <c r="AL10" s="312">
        <f>+AC10/'MWh by month-WgtbyCDH&amp;DayLtHrs'!AC10-1</f>
        <v>-9.837521891669343E-2</v>
      </c>
      <c r="AM10" s="89">
        <f t="shared" si="9"/>
        <v>0</v>
      </c>
      <c r="AN10" s="90"/>
      <c r="AO10" s="96"/>
      <c r="AP10" s="92"/>
      <c r="AR10" s="94">
        <f t="shared" si="10"/>
        <v>2.9539724572892075E-4</v>
      </c>
      <c r="AS10" s="95">
        <v>14808.878014280665</v>
      </c>
      <c r="AU10" s="141">
        <v>3.0130519064349914</v>
      </c>
    </row>
    <row r="11" spans="1:47">
      <c r="A11" s="78">
        <v>2005</v>
      </c>
      <c r="B11" s="78">
        <v>7</v>
      </c>
      <c r="C11" s="317">
        <v>364.85537468903868</v>
      </c>
      <c r="D11" s="318">
        <f t="shared" si="0"/>
        <v>0.19130797384769382</v>
      </c>
      <c r="E11" s="102">
        <f>$D11*'MWh Impact Summary'!B$11</f>
        <v>0</v>
      </c>
      <c r="F11" s="319">
        <f>$D11*'MWh Impact Summary'!N$11</f>
        <v>0</v>
      </c>
      <c r="G11" s="319">
        <f>$D11*'MWh Impact Summary'!C$11</f>
        <v>11114.092736081415</v>
      </c>
      <c r="H11" s="319">
        <f>$D11*'MWh Impact Summary'!D$11</f>
        <v>0</v>
      </c>
      <c r="I11" s="319">
        <f>$D11*'MWh Impact Summary'!E$11</f>
        <v>8879.3008685676086</v>
      </c>
      <c r="J11" s="104">
        <f t="shared" si="11"/>
        <v>19993.393604649023</v>
      </c>
      <c r="K11" s="298">
        <v>10.366666666666667</v>
      </c>
      <c r="L11" s="299">
        <f t="shared" si="1"/>
        <v>7.2978998005397158E-2</v>
      </c>
      <c r="M11" s="297">
        <f t="shared" si="16"/>
        <v>8.4931506849315067E-2</v>
      </c>
      <c r="N11" s="303">
        <f>$M11*'MWh Impact Summary'!F$11</f>
        <v>0</v>
      </c>
      <c r="O11" s="303">
        <f>$M11*'MWh Impact Summary'!G$11</f>
        <v>0</v>
      </c>
      <c r="P11" s="303">
        <f>$M11*'MWh Impact Summary'!H$11</f>
        <v>0</v>
      </c>
      <c r="Q11" s="303">
        <f>$M11*'MWh Impact Summary'!I$11</f>
        <v>0</v>
      </c>
      <c r="R11" s="303">
        <f>$M11*'MWh Impact Summary'!J$11</f>
        <v>0</v>
      </c>
      <c r="S11" s="303">
        <f>$M11*'MWh Impact Summary'!K$11</f>
        <v>0</v>
      </c>
      <c r="T11" s="303">
        <f>$M11*'MWh Impact Summary'!L$11</f>
        <v>0</v>
      </c>
      <c r="U11" s="303">
        <f>$M11*'MWh Impact Summary'!M$11</f>
        <v>0</v>
      </c>
      <c r="V11" s="303">
        <f>$M11*'MWh Impact Summary'!O$11</f>
        <v>0</v>
      </c>
      <c r="W11" s="303">
        <f>$M11*'MWh Impact Summary'!P$11</f>
        <v>0</v>
      </c>
      <c r="X11" s="303">
        <f>$M11*'MWh Impact Summary'!Q$11</f>
        <v>0</v>
      </c>
      <c r="Y11" s="85">
        <f t="shared" si="2"/>
        <v>0</v>
      </c>
      <c r="Z11" s="81">
        <f t="shared" si="3"/>
        <v>19993.393604649023</v>
      </c>
      <c r="AA11" s="81"/>
      <c r="AB11" s="81">
        <v>4327794</v>
      </c>
      <c r="AC11" s="308">
        <f t="shared" si="12"/>
        <v>4.6197655444434327</v>
      </c>
      <c r="AD11" s="309">
        <f t="shared" si="4"/>
        <v>4.6197655444434327</v>
      </c>
      <c r="AE11" s="107">
        <f t="shared" si="5"/>
        <v>4.4563654769550799E-4</v>
      </c>
      <c r="AF11" s="309">
        <f t="shared" si="13"/>
        <v>0</v>
      </c>
      <c r="AG11" s="107">
        <f t="shared" si="6"/>
        <v>0</v>
      </c>
      <c r="AH11" s="119">
        <f t="shared" si="14"/>
        <v>4.4563654769550799E-4</v>
      </c>
      <c r="AI11" s="122">
        <f t="shared" si="7"/>
        <v>4.4563654769550799E-4</v>
      </c>
      <c r="AJ11" s="87" t="b">
        <f t="shared" si="15"/>
        <v>1</v>
      </c>
      <c r="AK11" s="88">
        <f t="shared" si="8"/>
        <v>4.4563654769550799E-4</v>
      </c>
      <c r="AL11" s="312">
        <f>+AC11/'MWh by month-WgtbyCDH&amp;DayLtHrs'!AC11-1</f>
        <v>0.16701298951633592</v>
      </c>
      <c r="AM11" s="89">
        <f t="shared" si="9"/>
        <v>0</v>
      </c>
      <c r="AN11" s="90"/>
      <c r="AO11" s="96"/>
      <c r="AP11" s="92"/>
      <c r="AR11" s="94">
        <f t="shared" si="10"/>
        <v>4.4563654769550799E-4</v>
      </c>
      <c r="AS11" s="95">
        <v>16664.117811051237</v>
      </c>
      <c r="AU11" s="141">
        <v>4.6197655444434327</v>
      </c>
    </row>
    <row r="12" spans="1:47">
      <c r="A12" s="78">
        <v>2005</v>
      </c>
      <c r="B12" s="78">
        <v>8</v>
      </c>
      <c r="C12" s="317">
        <v>365.72725656601534</v>
      </c>
      <c r="D12" s="318">
        <f t="shared" si="0"/>
        <v>0.19176513569013917</v>
      </c>
      <c r="E12" s="102">
        <f>$D12*'MWh Impact Summary'!B$11</f>
        <v>0</v>
      </c>
      <c r="F12" s="319">
        <f>$D12*'MWh Impact Summary'!N$11</f>
        <v>0</v>
      </c>
      <c r="G12" s="319">
        <f>$D12*'MWh Impact Summary'!C$11</f>
        <v>11140.651687128486</v>
      </c>
      <c r="H12" s="319">
        <f>$D12*'MWh Impact Summary'!D$11</f>
        <v>0</v>
      </c>
      <c r="I12" s="319">
        <f>$D12*'MWh Impact Summary'!E$11</f>
        <v>8900.5194171887579</v>
      </c>
      <c r="J12" s="104">
        <f t="shared" si="11"/>
        <v>20041.171104317244</v>
      </c>
      <c r="K12" s="298">
        <v>10.933333333333334</v>
      </c>
      <c r="L12" s="299">
        <f t="shared" si="1"/>
        <v>7.6968203684148764E-2</v>
      </c>
      <c r="M12" s="297">
        <f t="shared" si="16"/>
        <v>8.4931506849315067E-2</v>
      </c>
      <c r="N12" s="303">
        <f>$M12*'MWh Impact Summary'!F$11</f>
        <v>0</v>
      </c>
      <c r="O12" s="303">
        <f>$M12*'MWh Impact Summary'!G$11</f>
        <v>0</v>
      </c>
      <c r="P12" s="303">
        <f>$M12*'MWh Impact Summary'!H$11</f>
        <v>0</v>
      </c>
      <c r="Q12" s="303">
        <f>$M12*'MWh Impact Summary'!I$11</f>
        <v>0</v>
      </c>
      <c r="R12" s="303">
        <f>$M12*'MWh Impact Summary'!J$11</f>
        <v>0</v>
      </c>
      <c r="S12" s="303">
        <f>$M12*'MWh Impact Summary'!K$11</f>
        <v>0</v>
      </c>
      <c r="T12" s="303">
        <f>$M12*'MWh Impact Summary'!L$11</f>
        <v>0</v>
      </c>
      <c r="U12" s="303">
        <f>$M12*'MWh Impact Summary'!M$11</f>
        <v>0</v>
      </c>
      <c r="V12" s="303">
        <f>$M12*'MWh Impact Summary'!O$11</f>
        <v>0</v>
      </c>
      <c r="W12" s="303">
        <f>$M12*'MWh Impact Summary'!P$11</f>
        <v>0</v>
      </c>
      <c r="X12" s="303">
        <f>$M12*'MWh Impact Summary'!Q$11</f>
        <v>0</v>
      </c>
      <c r="Y12" s="85">
        <f t="shared" si="2"/>
        <v>0</v>
      </c>
      <c r="Z12" s="81">
        <f t="shared" si="3"/>
        <v>20041.171104317244</v>
      </c>
      <c r="AA12" s="81"/>
      <c r="AB12" s="81">
        <v>4340306</v>
      </c>
      <c r="AC12" s="308">
        <f t="shared" si="12"/>
        <v>4.6174557978901127</v>
      </c>
      <c r="AD12" s="309">
        <f t="shared" si="4"/>
        <v>4.6174557978901127</v>
      </c>
      <c r="AE12" s="107">
        <f t="shared" si="5"/>
        <v>4.2232827419726637E-4</v>
      </c>
      <c r="AF12" s="309">
        <f t="shared" si="13"/>
        <v>0</v>
      </c>
      <c r="AG12" s="107">
        <f t="shared" si="6"/>
        <v>0</v>
      </c>
      <c r="AH12" s="119">
        <f t="shared" si="14"/>
        <v>4.2232827419726637E-4</v>
      </c>
      <c r="AI12" s="122">
        <f t="shared" si="7"/>
        <v>4.2232827419726637E-4</v>
      </c>
      <c r="AJ12" s="87" t="b">
        <f t="shared" si="15"/>
        <v>1</v>
      </c>
      <c r="AK12" s="88">
        <f t="shared" si="8"/>
        <v>4.2232827419726637E-4</v>
      </c>
      <c r="AL12" s="312">
        <f>+AC12/'MWh by month-WgtbyCDH&amp;DayLtHrs'!AC12-1</f>
        <v>0.15498382465196947</v>
      </c>
      <c r="AM12" s="89">
        <f t="shared" si="9"/>
        <v>0</v>
      </c>
      <c r="AN12" s="90"/>
      <c r="AO12" s="96"/>
      <c r="AP12" s="92"/>
      <c r="AR12" s="94">
        <f t="shared" si="10"/>
        <v>4.2232827419726637E-4</v>
      </c>
      <c r="AS12" s="95">
        <v>17403.825127899949</v>
      </c>
      <c r="AU12" s="141">
        <v>4.6174557978901127</v>
      </c>
    </row>
    <row r="13" spans="1:47">
      <c r="A13" s="78">
        <v>2005</v>
      </c>
      <c r="B13" s="78">
        <v>9</v>
      </c>
      <c r="C13" s="317">
        <v>295.85169010672553</v>
      </c>
      <c r="D13" s="318">
        <f t="shared" si="0"/>
        <v>0.15512663734766646</v>
      </c>
      <c r="E13" s="102">
        <f>$D13*'MWh Impact Summary'!B$11</f>
        <v>0</v>
      </c>
      <c r="F13" s="319">
        <f>$D13*'MWh Impact Summary'!N$11</f>
        <v>0</v>
      </c>
      <c r="G13" s="319">
        <f>$D13*'MWh Impact Summary'!C$11</f>
        <v>9012.1274019191605</v>
      </c>
      <c r="H13" s="319">
        <f>$D13*'MWh Impact Summary'!D$11</f>
        <v>0</v>
      </c>
      <c r="I13" s="319">
        <f>$D13*'MWh Impact Summary'!E$11</f>
        <v>7199.9930689544108</v>
      </c>
      <c r="J13" s="104">
        <f t="shared" si="11"/>
        <v>16212.120470873571</v>
      </c>
      <c r="K13" s="298">
        <v>11.683333333333334</v>
      </c>
      <c r="L13" s="299">
        <f t="shared" si="1"/>
        <v>8.2248034729555317E-2</v>
      </c>
      <c r="M13" s="297">
        <f>(30/365)</f>
        <v>8.2191780821917804E-2</v>
      </c>
      <c r="N13" s="303">
        <f>$M13*'MWh Impact Summary'!F$11</f>
        <v>0</v>
      </c>
      <c r="O13" s="303">
        <f>$M13*'MWh Impact Summary'!G$11</f>
        <v>0</v>
      </c>
      <c r="P13" s="303">
        <f>$M13*'MWh Impact Summary'!H$11</f>
        <v>0</v>
      </c>
      <c r="Q13" s="303">
        <f>$M13*'MWh Impact Summary'!I$11</f>
        <v>0</v>
      </c>
      <c r="R13" s="303">
        <f>$M13*'MWh Impact Summary'!J$11</f>
        <v>0</v>
      </c>
      <c r="S13" s="303">
        <f>$M13*'MWh Impact Summary'!K$11</f>
        <v>0</v>
      </c>
      <c r="T13" s="303">
        <f>$M13*'MWh Impact Summary'!L$11</f>
        <v>0</v>
      </c>
      <c r="U13" s="303">
        <f>$M13*'MWh Impact Summary'!M$11</f>
        <v>0</v>
      </c>
      <c r="V13" s="303">
        <f>$M13*'MWh Impact Summary'!O$11</f>
        <v>0</v>
      </c>
      <c r="W13" s="303">
        <f>$M13*'MWh Impact Summary'!P$11</f>
        <v>0</v>
      </c>
      <c r="X13" s="303">
        <f>$M13*'MWh Impact Summary'!Q$11</f>
        <v>0</v>
      </c>
      <c r="Y13" s="85">
        <f t="shared" si="2"/>
        <v>0</v>
      </c>
      <c r="Z13" s="81">
        <f t="shared" si="3"/>
        <v>16212.120470873571</v>
      </c>
      <c r="AA13" s="81"/>
      <c r="AB13" s="81">
        <v>4343095</v>
      </c>
      <c r="AC13" s="308">
        <f t="shared" si="12"/>
        <v>3.7328496086025225</v>
      </c>
      <c r="AD13" s="309">
        <f t="shared" si="4"/>
        <v>3.7328496086025225</v>
      </c>
      <c r="AE13" s="107">
        <f t="shared" si="5"/>
        <v>3.1950210629978792E-4</v>
      </c>
      <c r="AF13" s="309">
        <f t="shared" si="13"/>
        <v>0</v>
      </c>
      <c r="AG13" s="107">
        <f t="shared" si="6"/>
        <v>0</v>
      </c>
      <c r="AH13" s="119">
        <f t="shared" si="14"/>
        <v>3.1950210629978792E-4</v>
      </c>
      <c r="AI13" s="122">
        <f t="shared" si="7"/>
        <v>3.1950210629978792E-4</v>
      </c>
      <c r="AJ13" s="87" t="b">
        <f t="shared" si="15"/>
        <v>1</v>
      </c>
      <c r="AK13" s="88">
        <f t="shared" si="8"/>
        <v>3.1950210629978792E-4</v>
      </c>
      <c r="AL13" s="312">
        <f>+AC13/'MWh by month-WgtbyCDH&amp;DayLtHrs'!AC13-1</f>
        <v>9.7648416715212516E-2</v>
      </c>
      <c r="AM13" s="89">
        <f t="shared" si="9"/>
        <v>0</v>
      </c>
      <c r="AN13" s="90"/>
      <c r="AO13" s="96"/>
      <c r="AP13" s="92"/>
      <c r="AR13" s="94">
        <f t="shared" si="10"/>
        <v>3.1950210629978792E-4</v>
      </c>
      <c r="AS13" s="95">
        <v>15722.431837506771</v>
      </c>
      <c r="AU13" s="141">
        <v>3.7328496086025225</v>
      </c>
    </row>
    <row r="14" spans="1:47">
      <c r="A14" s="78">
        <v>2005</v>
      </c>
      <c r="B14" s="78">
        <v>10</v>
      </c>
      <c r="C14" s="317">
        <v>202.3425504957174</v>
      </c>
      <c r="D14" s="318">
        <f t="shared" si="0"/>
        <v>0.10609613025846794</v>
      </c>
      <c r="E14" s="102">
        <f>$D14*'MWh Impact Summary'!B$11</f>
        <v>0</v>
      </c>
      <c r="F14" s="319">
        <f>$D14*'MWh Impact Summary'!N$11</f>
        <v>0</v>
      </c>
      <c r="G14" s="319">
        <f>$D14*'MWh Impact Summary'!C$11</f>
        <v>6163.6857414566184</v>
      </c>
      <c r="H14" s="319">
        <f>$D14*'MWh Impact Summary'!D$11</f>
        <v>0</v>
      </c>
      <c r="I14" s="319">
        <f>$D14*'MWh Impact Summary'!E$11</f>
        <v>4924.3083945140679</v>
      </c>
      <c r="J14" s="104">
        <f t="shared" si="11"/>
        <v>11087.994135970686</v>
      </c>
      <c r="K14" s="298">
        <v>12.466666666666667</v>
      </c>
      <c r="L14" s="299">
        <f t="shared" si="1"/>
        <v>8.7762524932535488E-2</v>
      </c>
      <c r="M14" s="297">
        <f t="shared" si="16"/>
        <v>8.4931506849315067E-2</v>
      </c>
      <c r="N14" s="303">
        <f>$M14*'MWh Impact Summary'!F$11</f>
        <v>0</v>
      </c>
      <c r="O14" s="303">
        <f>$M14*'MWh Impact Summary'!G$11</f>
        <v>0</v>
      </c>
      <c r="P14" s="303">
        <f>$M14*'MWh Impact Summary'!H$11</f>
        <v>0</v>
      </c>
      <c r="Q14" s="303">
        <f>$M14*'MWh Impact Summary'!I$11</f>
        <v>0</v>
      </c>
      <c r="R14" s="303">
        <f>$M14*'MWh Impact Summary'!J$11</f>
        <v>0</v>
      </c>
      <c r="S14" s="303">
        <f>$M14*'MWh Impact Summary'!K$11</f>
        <v>0</v>
      </c>
      <c r="T14" s="303">
        <f>$M14*'MWh Impact Summary'!L$11</f>
        <v>0</v>
      </c>
      <c r="U14" s="303">
        <f>$M14*'MWh Impact Summary'!M$11</f>
        <v>0</v>
      </c>
      <c r="V14" s="303">
        <f>$M14*'MWh Impact Summary'!O$11</f>
        <v>0</v>
      </c>
      <c r="W14" s="303">
        <f>$M14*'MWh Impact Summary'!P$11</f>
        <v>0</v>
      </c>
      <c r="X14" s="303">
        <f>$M14*'MWh Impact Summary'!Q$11</f>
        <v>0</v>
      </c>
      <c r="Y14" s="85">
        <f t="shared" si="2"/>
        <v>0</v>
      </c>
      <c r="Z14" s="81">
        <f t="shared" si="3"/>
        <v>11087.994135970686</v>
      </c>
      <c r="AA14" s="81"/>
      <c r="AB14" s="81">
        <v>4344668</v>
      </c>
      <c r="AC14" s="308">
        <f t="shared" si="12"/>
        <v>2.5520923891010052</v>
      </c>
      <c r="AD14" s="309">
        <f t="shared" si="4"/>
        <v>2.5520923891010052</v>
      </c>
      <c r="AE14" s="107">
        <f t="shared" si="5"/>
        <v>2.0471329324339612E-4</v>
      </c>
      <c r="AF14" s="309">
        <f t="shared" si="13"/>
        <v>0</v>
      </c>
      <c r="AG14" s="107">
        <f t="shared" si="6"/>
        <v>0</v>
      </c>
      <c r="AH14" s="119">
        <f t="shared" si="14"/>
        <v>2.0471329324339612E-4</v>
      </c>
      <c r="AI14" s="122">
        <f t="shared" si="7"/>
        <v>2.0471329324339612E-4</v>
      </c>
      <c r="AJ14" s="87" t="b">
        <f t="shared" si="15"/>
        <v>1</v>
      </c>
      <c r="AK14" s="88">
        <f t="shared" si="8"/>
        <v>2.0471329324339612E-4</v>
      </c>
      <c r="AL14" s="312">
        <f>+AC14/'MWh by month-WgtbyCDH&amp;DayLtHrs'!AC14-1</f>
        <v>4.8852650763873795E-2</v>
      </c>
      <c r="AM14" s="89">
        <f t="shared" si="9"/>
        <v>0</v>
      </c>
      <c r="AN14" s="90"/>
      <c r="AO14" s="96"/>
      <c r="AP14" s="92"/>
      <c r="AR14" s="94">
        <f t="shared" si="10"/>
        <v>2.0471329324339612E-4</v>
      </c>
      <c r="AS14" s="95">
        <v>10562.607614854458</v>
      </c>
      <c r="AU14" s="141">
        <v>2.5520923891010052</v>
      </c>
    </row>
    <row r="15" spans="1:47">
      <c r="A15" s="78">
        <v>2005</v>
      </c>
      <c r="B15" s="78">
        <v>11</v>
      </c>
      <c r="C15" s="317">
        <v>83.146324960442655</v>
      </c>
      <c r="D15" s="318">
        <f t="shared" si="0"/>
        <v>4.359687718625814E-2</v>
      </c>
      <c r="E15" s="102">
        <f>$D15*'MWh Impact Summary'!B$11</f>
        <v>0</v>
      </c>
      <c r="F15" s="319">
        <f>$D15*'MWh Impact Summary'!N$11</f>
        <v>0</v>
      </c>
      <c r="G15" s="319">
        <f>$D15*'MWh Impact Summary'!C$11</f>
        <v>2532.7733408403674</v>
      </c>
      <c r="H15" s="319">
        <f>$D15*'MWh Impact Summary'!D$11</f>
        <v>0</v>
      </c>
      <c r="I15" s="319">
        <f>$D15*'MWh Impact Summary'!E$11</f>
        <v>2023.4900912962848</v>
      </c>
      <c r="J15" s="104">
        <f t="shared" si="11"/>
        <v>4556.2634321366522</v>
      </c>
      <c r="K15" s="298">
        <v>13.15</v>
      </c>
      <c r="L15" s="299">
        <f>K15/(SUM(K$5:K$16))</f>
        <v>9.2573037662794788E-2</v>
      </c>
      <c r="M15" s="297">
        <f>(30/365)</f>
        <v>8.2191780821917804E-2</v>
      </c>
      <c r="N15" s="303">
        <f>$M15*'MWh Impact Summary'!F$11</f>
        <v>0</v>
      </c>
      <c r="O15" s="303">
        <f>$M15*'MWh Impact Summary'!G$11</f>
        <v>0</v>
      </c>
      <c r="P15" s="303">
        <f>$M15*'MWh Impact Summary'!H$11</f>
        <v>0</v>
      </c>
      <c r="Q15" s="303">
        <f>$M15*'MWh Impact Summary'!I$11</f>
        <v>0</v>
      </c>
      <c r="R15" s="303">
        <f>$M15*'MWh Impact Summary'!J$11</f>
        <v>0</v>
      </c>
      <c r="S15" s="303">
        <f>$M15*'MWh Impact Summary'!K$11</f>
        <v>0</v>
      </c>
      <c r="T15" s="303">
        <f>$M15*'MWh Impact Summary'!L$11</f>
        <v>0</v>
      </c>
      <c r="U15" s="303">
        <f>$M15*'MWh Impact Summary'!M$11</f>
        <v>0</v>
      </c>
      <c r="V15" s="303">
        <f>$M15*'MWh Impact Summary'!O$11</f>
        <v>0</v>
      </c>
      <c r="W15" s="303">
        <f>$M15*'MWh Impact Summary'!P$11</f>
        <v>0</v>
      </c>
      <c r="X15" s="303">
        <f>$M15*'MWh Impact Summary'!Q$11</f>
        <v>0</v>
      </c>
      <c r="Y15" s="85">
        <f t="shared" si="2"/>
        <v>0</v>
      </c>
      <c r="Z15" s="81">
        <f t="shared" si="3"/>
        <v>4556.2634321366522</v>
      </c>
      <c r="AA15" s="81"/>
      <c r="AB15" s="81">
        <v>4345746</v>
      </c>
      <c r="AC15" s="308">
        <f t="shared" si="12"/>
        <v>1.0484421851016263</v>
      </c>
      <c r="AD15" s="309">
        <f t="shared" si="4"/>
        <v>1.0484421851016263</v>
      </c>
      <c r="AE15" s="107">
        <f t="shared" si="5"/>
        <v>7.9729443733963983E-5</v>
      </c>
      <c r="AF15" s="309">
        <f t="shared" si="13"/>
        <v>0</v>
      </c>
      <c r="AG15" s="107">
        <f t="shared" si="6"/>
        <v>0</v>
      </c>
      <c r="AH15" s="119">
        <f t="shared" si="14"/>
        <v>7.9729443733963983E-5</v>
      </c>
      <c r="AI15" s="122">
        <f t="shared" si="7"/>
        <v>7.9729443733963983E-5</v>
      </c>
      <c r="AJ15" s="87" t="b">
        <f t="shared" si="15"/>
        <v>1</v>
      </c>
      <c r="AK15" s="88">
        <f t="shared" si="8"/>
        <v>7.9729443733963983E-5</v>
      </c>
      <c r="AL15" s="312">
        <f>+AC15/'MWh by month-WgtbyCDH&amp;DayLtHrs'!AC15-1</f>
        <v>9.7329419290785424E-2</v>
      </c>
      <c r="AM15" s="89">
        <f t="shared" si="9"/>
        <v>0</v>
      </c>
      <c r="AN15" s="90"/>
      <c r="AO15" s="96"/>
      <c r="AP15" s="92"/>
      <c r="AR15" s="94">
        <f t="shared" si="10"/>
        <v>7.9729443733963983E-5</v>
      </c>
      <c r="AS15" s="95">
        <v>4865.4451527342171</v>
      </c>
      <c r="AU15" s="141">
        <v>1.0484421851016263</v>
      </c>
    </row>
    <row r="16" spans="1:47">
      <c r="A16" s="78">
        <v>2005</v>
      </c>
      <c r="B16" s="78">
        <v>12</v>
      </c>
      <c r="C16" s="317">
        <v>19.124849327028503</v>
      </c>
      <c r="D16" s="318">
        <f t="shared" si="0"/>
        <v>1.0027908121168683E-2</v>
      </c>
      <c r="E16" s="102">
        <f>$D16*'MWh Impact Summary'!B$11</f>
        <v>0</v>
      </c>
      <c r="F16" s="319">
        <f>$D16*'MWh Impact Summary'!N$11</f>
        <v>0</v>
      </c>
      <c r="G16" s="319">
        <f>$D16*'MWh Impact Summary'!C$11</f>
        <v>582.57425744471243</v>
      </c>
      <c r="H16" s="319">
        <f>$D16*'MWh Impact Summary'!D$11</f>
        <v>0</v>
      </c>
      <c r="I16" s="319">
        <f>$D16*'MWh Impact Summary'!E$11</f>
        <v>465.4317930370085</v>
      </c>
      <c r="J16" s="104">
        <f t="shared" si="11"/>
        <v>1048.0060504817209</v>
      </c>
      <c r="K16" s="298">
        <v>13.483333333333333</v>
      </c>
      <c r="L16" s="299">
        <f>K16/(SUM(K$5:K$16))</f>
        <v>9.491962923853102E-2</v>
      </c>
      <c r="M16" s="297">
        <f t="shared" si="16"/>
        <v>8.4931506849315067E-2</v>
      </c>
      <c r="N16" s="303">
        <f>$M16*'MWh Impact Summary'!F$11</f>
        <v>0</v>
      </c>
      <c r="O16" s="303">
        <f>$M16*'MWh Impact Summary'!G$11</f>
        <v>0</v>
      </c>
      <c r="P16" s="303">
        <f>$M16*'MWh Impact Summary'!H$11</f>
        <v>0</v>
      </c>
      <c r="Q16" s="303">
        <f>$M16*'MWh Impact Summary'!I$11</f>
        <v>0</v>
      </c>
      <c r="R16" s="303">
        <f>$M16*'MWh Impact Summary'!J$11</f>
        <v>0</v>
      </c>
      <c r="S16" s="303">
        <f>$M16*'MWh Impact Summary'!K$11</f>
        <v>0</v>
      </c>
      <c r="T16" s="303">
        <f>$M16*'MWh Impact Summary'!L$11</f>
        <v>0</v>
      </c>
      <c r="U16" s="303">
        <f>$M16*'MWh Impact Summary'!M$11</f>
        <v>0</v>
      </c>
      <c r="V16" s="303">
        <f>$M16*'MWh Impact Summary'!O$11</f>
        <v>0</v>
      </c>
      <c r="W16" s="303">
        <f>$M16*'MWh Impact Summary'!P$11</f>
        <v>0</v>
      </c>
      <c r="X16" s="303">
        <f>$M16*'MWh Impact Summary'!Q$11</f>
        <v>0</v>
      </c>
      <c r="Y16" s="85">
        <f t="shared" si="2"/>
        <v>0</v>
      </c>
      <c r="Z16" s="81">
        <f t="shared" si="3"/>
        <v>1048.0060504817209</v>
      </c>
      <c r="AA16" s="81">
        <f>SUM(Z5:Z16)</f>
        <v>104508.94023145309</v>
      </c>
      <c r="AB16" s="81">
        <v>4355740</v>
      </c>
      <c r="AC16" s="308">
        <f t="shared" si="12"/>
        <v>0.2406034452198067</v>
      </c>
      <c r="AD16" s="309">
        <f t="shared" si="4"/>
        <v>0.2406034452198067</v>
      </c>
      <c r="AE16" s="107">
        <f t="shared" si="5"/>
        <v>1.7844507680084553E-5</v>
      </c>
      <c r="AF16" s="309">
        <f t="shared" si="13"/>
        <v>0</v>
      </c>
      <c r="AG16" s="107">
        <f t="shared" si="6"/>
        <v>0</v>
      </c>
      <c r="AH16" s="119">
        <f t="shared" si="14"/>
        <v>1.7844507680084553E-5</v>
      </c>
      <c r="AI16" s="122">
        <f t="shared" si="7"/>
        <v>1.7844507680084553E-5</v>
      </c>
      <c r="AJ16" s="87" t="b">
        <f t="shared" si="15"/>
        <v>1</v>
      </c>
      <c r="AK16" s="88">
        <f t="shared" si="8"/>
        <v>1.7844507680084553E-5</v>
      </c>
      <c r="AL16" s="312">
        <f>+AC16/'MWh by month-WgtbyCDH&amp;DayLtHrs'!AC16-1</f>
        <v>-0.53752848477420545</v>
      </c>
      <c r="AM16" s="89">
        <f t="shared" si="9"/>
        <v>0</v>
      </c>
      <c r="AN16" s="90">
        <f>SUM(AM5:AM16)</f>
        <v>0</v>
      </c>
      <c r="AO16" s="96"/>
      <c r="AP16" s="92"/>
      <c r="AR16" s="94">
        <f t="shared" si="10"/>
        <v>1.7844507680084553E-5</v>
      </c>
      <c r="AS16" s="95">
        <v>2156.0812209549281</v>
      </c>
      <c r="AU16" s="141">
        <v>0.2406034452198067</v>
      </c>
    </row>
    <row r="17" spans="1:47">
      <c r="A17" s="78">
        <v>2006</v>
      </c>
      <c r="B17" s="78">
        <v>1</v>
      </c>
      <c r="C17" s="317">
        <v>28.785119209450606</v>
      </c>
      <c r="D17" s="318">
        <f t="shared" ref="D17:D28" si="17">C17/(SUM(C$17:C$28))</f>
        <v>1.4939323397985623E-2</v>
      </c>
      <c r="E17" s="104">
        <f>$D17*'MWh Impact Summary'!B$12</f>
        <v>3267.7504211832384</v>
      </c>
      <c r="F17" s="320">
        <f>$D17*'MWh Impact Summary'!N$12</f>
        <v>0</v>
      </c>
      <c r="G17" s="320">
        <f>$D17*'MWh Impact Summary'!C$12</f>
        <v>2967.5657315475569</v>
      </c>
      <c r="H17" s="320">
        <f>$D17*'MWh Impact Summary'!D$12</f>
        <v>0</v>
      </c>
      <c r="I17" s="320">
        <f>$D17*'MWh Impact Summary'!E$12</f>
        <v>1592.8147400738396</v>
      </c>
      <c r="J17" s="104">
        <f t="shared" si="11"/>
        <v>7828.1308928046346</v>
      </c>
      <c r="K17" s="298">
        <f>+K5</f>
        <v>13.3</v>
      </c>
      <c r="L17" s="299">
        <f>K17/(SUM(K$17:K$28))</f>
        <v>9.3629003871876101E-2</v>
      </c>
      <c r="M17" s="297">
        <f>(31/365)</f>
        <v>8.4931506849315067E-2</v>
      </c>
      <c r="N17" s="304">
        <f>$M17*'MWh Impact Summary'!F$12</f>
        <v>0</v>
      </c>
      <c r="O17" s="304">
        <f>$M17*'MWh Impact Summary'!G$12</f>
        <v>0</v>
      </c>
      <c r="P17" s="304">
        <f>$M17*'MWh Impact Summary'!H$12</f>
        <v>0</v>
      </c>
      <c r="Q17" s="304">
        <f>$M17*'MWh Impact Summary'!I$12</f>
        <v>116.17109368516167</v>
      </c>
      <c r="R17" s="304">
        <f>$M17*'MWh Impact Summary'!J$12</f>
        <v>0</v>
      </c>
      <c r="S17" s="304">
        <f>$M17*'MWh Impact Summary'!K$12</f>
        <v>0</v>
      </c>
      <c r="T17" s="304">
        <f>$M17*'MWh Impact Summary'!L$12</f>
        <v>0</v>
      </c>
      <c r="U17" s="304">
        <f>$M17*'MWh Impact Summary'!M$12</f>
        <v>0</v>
      </c>
      <c r="V17" s="304">
        <f>$M17*'MWh Impact Summary'!O$12</f>
        <v>0</v>
      </c>
      <c r="W17" s="304">
        <f>$M17*'MWh Impact Summary'!P$12</f>
        <v>0</v>
      </c>
      <c r="X17" s="304">
        <f>$M17*'MWh Impact Summary'!Q$12</f>
        <v>0</v>
      </c>
      <c r="Y17" s="85">
        <f t="shared" si="2"/>
        <v>116.17109368516167</v>
      </c>
      <c r="Z17" s="81">
        <f t="shared" si="3"/>
        <v>7944.301986489796</v>
      </c>
      <c r="AA17" s="81"/>
      <c r="AB17" s="81">
        <v>4369236</v>
      </c>
      <c r="AC17" s="308">
        <f t="shared" si="12"/>
        <v>1.8182359539493393</v>
      </c>
      <c r="AD17" s="309">
        <f t="shared" si="4"/>
        <v>1.7916475312399318</v>
      </c>
      <c r="AE17" s="107">
        <f t="shared" si="5"/>
        <v>1.3471034069473169E-4</v>
      </c>
      <c r="AF17" s="309">
        <f t="shared" si="13"/>
        <v>2.6588422709407703E-2</v>
      </c>
      <c r="AG17" s="107">
        <f t="shared" si="6"/>
        <v>1.9991295270231351E-6</v>
      </c>
      <c r="AH17" s="119">
        <f t="shared" si="14"/>
        <v>1.3670947022175484E-4</v>
      </c>
      <c r="AI17" s="122">
        <f t="shared" si="7"/>
        <v>1.3670947022175484E-4</v>
      </c>
      <c r="AJ17" s="87" t="b">
        <f t="shared" si="15"/>
        <v>1</v>
      </c>
      <c r="AK17" s="88">
        <f>AI17-AI5</f>
        <v>1.1407386913637598E-4</v>
      </c>
      <c r="AL17" s="312">
        <f>+AC17/'MWh by month-WgtbyCDH&amp;DayLtHrs'!AC17-1</f>
        <v>0.12317541068640914</v>
      </c>
      <c r="AM17" s="89">
        <f t="shared" si="9"/>
        <v>0</v>
      </c>
      <c r="AN17" s="90"/>
      <c r="AO17" s="96"/>
      <c r="AP17" s="92"/>
      <c r="AR17" s="94">
        <f t="shared" si="10"/>
        <v>1.3670947022175484E-4</v>
      </c>
      <c r="AS17" s="95">
        <v>7009.1637420817888</v>
      </c>
      <c r="AU17" s="141">
        <v>1.8182359539493393</v>
      </c>
    </row>
    <row r="18" spans="1:47">
      <c r="A18" s="78">
        <v>2006</v>
      </c>
      <c r="B18" s="78">
        <v>2</v>
      </c>
      <c r="C18" s="317">
        <v>21.454291223695627</v>
      </c>
      <c r="D18" s="318">
        <f t="shared" si="17"/>
        <v>1.1134662758670264E-2</v>
      </c>
      <c r="E18" s="104">
        <f>$D18*'MWh Impact Summary'!B$12</f>
        <v>2435.5386084140978</v>
      </c>
      <c r="F18" s="320">
        <f>$D18*'MWh Impact Summary'!N$12</f>
        <v>0</v>
      </c>
      <c r="G18" s="320">
        <f>$D18*'MWh Impact Summary'!C$12</f>
        <v>2211.8032225893221</v>
      </c>
      <c r="H18" s="320">
        <f>$D18*'MWh Impact Summary'!D$12</f>
        <v>0</v>
      </c>
      <c r="I18" s="320">
        <f>$D18*'MWh Impact Summary'!E$12</f>
        <v>1187.1658772814731</v>
      </c>
      <c r="J18" s="104">
        <f>SUM(E18:I18)</f>
        <v>5834.5077082848929</v>
      </c>
      <c r="K18" s="298">
        <f t="shared" ref="K18:K81" si="18">+K6</f>
        <v>12.733333333333333</v>
      </c>
      <c r="L18" s="299">
        <f>K18/(SUM(K$17:K$28))</f>
        <v>8.9639798193124468E-2</v>
      </c>
      <c r="M18" s="297">
        <f>(28/365)</f>
        <v>7.6712328767123292E-2</v>
      </c>
      <c r="N18" s="304">
        <f>$M18*'MWh Impact Summary'!F$12</f>
        <v>0</v>
      </c>
      <c r="O18" s="304">
        <f>$M18*'MWh Impact Summary'!G$12</f>
        <v>0</v>
      </c>
      <c r="P18" s="304">
        <f>$M18*'MWh Impact Summary'!H$12</f>
        <v>0</v>
      </c>
      <c r="Q18" s="304">
        <f>$M18*'MWh Impact Summary'!I$12</f>
        <v>104.92872978014603</v>
      </c>
      <c r="R18" s="304">
        <f>$M18*'MWh Impact Summary'!J$12</f>
        <v>0</v>
      </c>
      <c r="S18" s="304">
        <f>$M18*'MWh Impact Summary'!K$12</f>
        <v>0</v>
      </c>
      <c r="T18" s="304">
        <f>$M18*'MWh Impact Summary'!L$12</f>
        <v>0</v>
      </c>
      <c r="U18" s="304">
        <f>$M18*'MWh Impact Summary'!M$12</f>
        <v>0</v>
      </c>
      <c r="V18" s="304">
        <f>$M18*'MWh Impact Summary'!O$12</f>
        <v>0</v>
      </c>
      <c r="W18" s="304">
        <f>$M18*'MWh Impact Summary'!P$12</f>
        <v>0</v>
      </c>
      <c r="X18" s="304">
        <f>$M18*'MWh Impact Summary'!Q$12</f>
        <v>0</v>
      </c>
      <c r="Y18" s="85">
        <f t="shared" si="2"/>
        <v>104.92872978014603</v>
      </c>
      <c r="Z18" s="81">
        <f t="shared" si="3"/>
        <v>5939.4364380650386</v>
      </c>
      <c r="AA18" s="81"/>
      <c r="AB18" s="81">
        <v>4377958</v>
      </c>
      <c r="AC18" s="308">
        <f t="shared" si="12"/>
        <v>1.3566682088007787</v>
      </c>
      <c r="AD18" s="309">
        <f t="shared" si="4"/>
        <v>1.3327007039091954</v>
      </c>
      <c r="AE18" s="107">
        <f t="shared" si="5"/>
        <v>1.0466235894574834E-4</v>
      </c>
      <c r="AF18" s="309">
        <f t="shared" si="13"/>
        <v>2.3967504891583249E-2</v>
      </c>
      <c r="AG18" s="107">
        <f t="shared" si="6"/>
        <v>1.8822647820615116E-6</v>
      </c>
      <c r="AH18" s="119">
        <f t="shared" si="14"/>
        <v>1.0654462372780985E-4</v>
      </c>
      <c r="AI18" s="122">
        <f t="shared" si="7"/>
        <v>1.0654462372780984E-4</v>
      </c>
      <c r="AJ18" s="87" t="b">
        <f t="shared" si="15"/>
        <v>1</v>
      </c>
      <c r="AK18" s="88">
        <f>AI18-AI6</f>
        <v>8.7735507264932505E-5</v>
      </c>
      <c r="AL18" s="312">
        <f>+AC18/'MWh by month-WgtbyCDH&amp;DayLtHrs'!AC18-1</f>
        <v>-0.37167123943946168</v>
      </c>
      <c r="AM18" s="89">
        <f t="shared" si="9"/>
        <v>0</v>
      </c>
      <c r="AN18" s="90"/>
      <c r="AO18" s="96"/>
      <c r="AP18" s="92"/>
      <c r="AR18" s="94">
        <f t="shared" si="10"/>
        <v>1.0654462372780984E-4</v>
      </c>
      <c r="AS18" s="95">
        <v>8174.9983119916897</v>
      </c>
      <c r="AU18" s="141">
        <v>1.3566682088007787</v>
      </c>
    </row>
    <row r="19" spans="1:47">
      <c r="A19" s="78">
        <v>2006</v>
      </c>
      <c r="B19" s="78">
        <v>3</v>
      </c>
      <c r="C19" s="317">
        <v>53.926511805182379</v>
      </c>
      <c r="D19" s="318">
        <f t="shared" si="17"/>
        <v>2.7987572110467741E-2</v>
      </c>
      <c r="E19" s="104">
        <f>$D19*'MWh Impact Summary'!B$12</f>
        <v>6121.8569352484155</v>
      </c>
      <c r="F19" s="320">
        <f>$D19*'MWh Impact Summary'!N$12</f>
        <v>0</v>
      </c>
      <c r="G19" s="320">
        <f>$D19*'MWh Impact Summary'!C$12</f>
        <v>5559.4860417466507</v>
      </c>
      <c r="H19" s="320">
        <f>$D19*'MWh Impact Summary'!D$12</f>
        <v>0</v>
      </c>
      <c r="I19" s="320">
        <f>$D19*'MWh Impact Summary'!E$12</f>
        <v>2984.005112470049</v>
      </c>
      <c r="J19" s="104">
        <f t="shared" si="11"/>
        <v>14665.348089465117</v>
      </c>
      <c r="K19" s="298">
        <f t="shared" si="18"/>
        <v>12</v>
      </c>
      <c r="L19" s="299">
        <f>K19/(SUM(K$17:K$28))</f>
        <v>8.4477296726504739E-2</v>
      </c>
      <c r="M19" s="297">
        <f t="shared" ref="M19:M28" si="19">(31/365)</f>
        <v>8.4931506849315067E-2</v>
      </c>
      <c r="N19" s="304">
        <f>$M19*'MWh Impact Summary'!F$12</f>
        <v>0</v>
      </c>
      <c r="O19" s="304">
        <f>$M19*'MWh Impact Summary'!G$12</f>
        <v>0</v>
      </c>
      <c r="P19" s="304">
        <f>$M19*'MWh Impact Summary'!H$12</f>
        <v>0</v>
      </c>
      <c r="Q19" s="304">
        <f>$M19*'MWh Impact Summary'!I$12</f>
        <v>116.17109368516167</v>
      </c>
      <c r="R19" s="304">
        <f>$M19*'MWh Impact Summary'!J$12</f>
        <v>0</v>
      </c>
      <c r="S19" s="304">
        <f>$M19*'MWh Impact Summary'!K$12</f>
        <v>0</v>
      </c>
      <c r="T19" s="304">
        <f>$M19*'MWh Impact Summary'!L$12</f>
        <v>0</v>
      </c>
      <c r="U19" s="304">
        <f>$M19*'MWh Impact Summary'!M$12</f>
        <v>0</v>
      </c>
      <c r="V19" s="304">
        <f>$M19*'MWh Impact Summary'!O$12</f>
        <v>0</v>
      </c>
      <c r="W19" s="304">
        <f>$M19*'MWh Impact Summary'!P$12</f>
        <v>0</v>
      </c>
      <c r="X19" s="304">
        <f>$M19*'MWh Impact Summary'!Q$12</f>
        <v>0</v>
      </c>
      <c r="Y19" s="85">
        <f t="shared" si="2"/>
        <v>116.17109368516167</v>
      </c>
      <c r="Z19" s="81">
        <f t="shared" si="3"/>
        <v>14781.519183150278</v>
      </c>
      <c r="AA19" s="81"/>
      <c r="AB19" s="81">
        <v>4390093</v>
      </c>
      <c r="AC19" s="308">
        <f t="shared" si="12"/>
        <v>3.3670173235852356</v>
      </c>
      <c r="AD19" s="309">
        <f t="shared" si="4"/>
        <v>3.3405552204623268</v>
      </c>
      <c r="AE19" s="107">
        <f t="shared" si="5"/>
        <v>2.783796017051939E-4</v>
      </c>
      <c r="AF19" s="309">
        <f t="shared" si="13"/>
        <v>2.6462103122909166E-2</v>
      </c>
      <c r="AG19" s="107">
        <f t="shared" si="6"/>
        <v>2.2051752602424307E-6</v>
      </c>
      <c r="AH19" s="119">
        <f t="shared" si="14"/>
        <v>2.8058477696543633E-4</v>
      </c>
      <c r="AI19" s="122">
        <f t="shared" si="7"/>
        <v>2.8058477696543633E-4</v>
      </c>
      <c r="AJ19" s="87" t="b">
        <f t="shared" si="15"/>
        <v>1</v>
      </c>
      <c r="AK19" s="88">
        <f>AI19-AI7</f>
        <v>2.1705837289543345E-4</v>
      </c>
      <c r="AL19" s="312">
        <f>+AC19/'MWh by month-WgtbyCDH&amp;DayLtHrs'!AC19-1</f>
        <v>-0.14682006757481691</v>
      </c>
      <c r="AM19" s="89">
        <f t="shared" si="9"/>
        <v>0</v>
      </c>
      <c r="AN19" s="90"/>
      <c r="AO19" s="96"/>
      <c r="AP19" s="92"/>
      <c r="AR19" s="94">
        <f t="shared" si="10"/>
        <v>2.8058477696543633E-4</v>
      </c>
      <c r="AS19" s="95">
        <v>15958.602864016615</v>
      </c>
      <c r="AU19" s="141">
        <v>3.3670173235852356</v>
      </c>
    </row>
    <row r="20" spans="1:47">
      <c r="A20" s="78">
        <v>2006</v>
      </c>
      <c r="B20" s="78">
        <v>4</v>
      </c>
      <c r="C20" s="317">
        <v>129.35805428171426</v>
      </c>
      <c r="D20" s="318">
        <f t="shared" si="17"/>
        <v>6.7136140482413953E-2</v>
      </c>
      <c r="E20" s="104">
        <f>$D20*'MWh Impact Summary'!B$12</f>
        <v>14685.012533272182</v>
      </c>
      <c r="F20" s="320">
        <f>$D20*'MWh Impact Summary'!N$12</f>
        <v>0</v>
      </c>
      <c r="G20" s="320">
        <f>$D20*'MWh Impact Summary'!C$12</f>
        <v>13336.006225746347</v>
      </c>
      <c r="H20" s="320">
        <f>$D20*'MWh Impact Summary'!D$12</f>
        <v>0</v>
      </c>
      <c r="I20" s="320">
        <f>$D20*'MWh Impact Summary'!E$12</f>
        <v>7157.9837522277512</v>
      </c>
      <c r="J20" s="104">
        <f t="shared" si="11"/>
        <v>35179.002511246283</v>
      </c>
      <c r="K20" s="298">
        <f t="shared" si="18"/>
        <v>11.2</v>
      </c>
      <c r="L20" s="299">
        <f>K20/(SUM(K$17:K$28))</f>
        <v>7.8845476944737758E-2</v>
      </c>
      <c r="M20" s="297">
        <f>(30/365)</f>
        <v>8.2191780821917804E-2</v>
      </c>
      <c r="N20" s="304">
        <f>$M20*'MWh Impact Summary'!F$12</f>
        <v>0</v>
      </c>
      <c r="O20" s="304">
        <f>$M20*'MWh Impact Summary'!G$12</f>
        <v>0</v>
      </c>
      <c r="P20" s="304">
        <f>$M20*'MWh Impact Summary'!H$12</f>
        <v>0</v>
      </c>
      <c r="Q20" s="304">
        <f>$M20*'MWh Impact Summary'!I$12</f>
        <v>112.42363905015645</v>
      </c>
      <c r="R20" s="304">
        <f>$M20*'MWh Impact Summary'!J$12</f>
        <v>0</v>
      </c>
      <c r="S20" s="304">
        <f>$M20*'MWh Impact Summary'!K$12</f>
        <v>0</v>
      </c>
      <c r="T20" s="304">
        <f>$M20*'MWh Impact Summary'!L$12</f>
        <v>0</v>
      </c>
      <c r="U20" s="304">
        <f>$M20*'MWh Impact Summary'!M$12</f>
        <v>0</v>
      </c>
      <c r="V20" s="304">
        <f>$M20*'MWh Impact Summary'!O$12</f>
        <v>0</v>
      </c>
      <c r="W20" s="304">
        <f>$M20*'MWh Impact Summary'!P$12</f>
        <v>0</v>
      </c>
      <c r="X20" s="304">
        <f>$M20*'MWh Impact Summary'!Q$12</f>
        <v>0</v>
      </c>
      <c r="Y20" s="85">
        <f t="shared" si="2"/>
        <v>112.42363905015645</v>
      </c>
      <c r="Z20" s="81">
        <f t="shared" si="3"/>
        <v>35291.426150296436</v>
      </c>
      <c r="AA20" s="81"/>
      <c r="AB20" s="81">
        <v>4398215</v>
      </c>
      <c r="AC20" s="308">
        <f t="shared" si="12"/>
        <v>8.0240338751735507</v>
      </c>
      <c r="AD20" s="309">
        <f t="shared" si="4"/>
        <v>7.9984726784039175</v>
      </c>
      <c r="AE20" s="107">
        <f t="shared" si="5"/>
        <v>7.1414934628606403E-4</v>
      </c>
      <c r="AF20" s="309">
        <f t="shared" si="13"/>
        <v>2.5561196769634149E-2</v>
      </c>
      <c r="AG20" s="107">
        <f t="shared" si="6"/>
        <v>2.2822497115744776E-6</v>
      </c>
      <c r="AH20" s="119">
        <f t="shared" si="14"/>
        <v>7.1643159599763852E-4</v>
      </c>
      <c r="AI20" s="122">
        <f t="shared" si="7"/>
        <v>7.1643159599763852E-4</v>
      </c>
      <c r="AJ20" s="87" t="b">
        <f t="shared" si="15"/>
        <v>1</v>
      </c>
      <c r="AK20" s="88">
        <f>AI20-AI8</f>
        <v>6.3913874835815185E-4</v>
      </c>
      <c r="AL20" s="312">
        <f>+AC20/'MWh by month-WgtbyCDH&amp;DayLtHrs'!AC20-1</f>
        <v>0.15694002819716801</v>
      </c>
      <c r="AM20" s="89">
        <f t="shared" si="9"/>
        <v>0</v>
      </c>
      <c r="AN20" s="90"/>
      <c r="AO20" s="96"/>
      <c r="AP20" s="92"/>
      <c r="AR20" s="94">
        <f t="shared" si="10"/>
        <v>7.1643159599763852E-4</v>
      </c>
      <c r="AS20" s="95">
        <v>30050.715671449223</v>
      </c>
      <c r="AU20" s="141">
        <v>8.0240338751735507</v>
      </c>
    </row>
    <row r="21" spans="1:47">
      <c r="A21" s="78">
        <v>2006</v>
      </c>
      <c r="B21" s="78">
        <v>5</v>
      </c>
      <c r="C21" s="317">
        <v>196.50747279771809</v>
      </c>
      <c r="D21" s="318">
        <f t="shared" si="17"/>
        <v>0.1019863306760995</v>
      </c>
      <c r="E21" s="104">
        <f>$D21*'MWh Impact Summary'!B$12</f>
        <v>22307.963094680297</v>
      </c>
      <c r="F21" s="320">
        <f>$D21*'MWh Impact Summary'!N$12</f>
        <v>0</v>
      </c>
      <c r="G21" s="320">
        <f>$D21*'MWh Impact Summary'!C$12</f>
        <v>20258.691236410272</v>
      </c>
      <c r="H21" s="320">
        <f>$D21*'MWh Impact Summary'!D$12</f>
        <v>0</v>
      </c>
      <c r="I21" s="320">
        <f>$D21*'MWh Impact Summary'!E$12</f>
        <v>10873.673891338329</v>
      </c>
      <c r="J21" s="104">
        <f t="shared" si="11"/>
        <v>53440.3282224289</v>
      </c>
      <c r="K21" s="298">
        <f t="shared" si="18"/>
        <v>10.533333333333333</v>
      </c>
      <c r="L21" s="299">
        <f>K21/(SUM(K$17:K$28))</f>
        <v>7.4152293793265281E-2</v>
      </c>
      <c r="M21" s="297">
        <f t="shared" si="19"/>
        <v>8.4931506849315067E-2</v>
      </c>
      <c r="N21" s="304">
        <f>$M21*'MWh Impact Summary'!F$12</f>
        <v>0</v>
      </c>
      <c r="O21" s="304">
        <f>$M21*'MWh Impact Summary'!G$12</f>
        <v>0</v>
      </c>
      <c r="P21" s="304">
        <f>$M21*'MWh Impact Summary'!H$12</f>
        <v>0</v>
      </c>
      <c r="Q21" s="304">
        <f>$M21*'MWh Impact Summary'!I$12</f>
        <v>116.17109368516167</v>
      </c>
      <c r="R21" s="304">
        <f>$M21*'MWh Impact Summary'!J$12</f>
        <v>0</v>
      </c>
      <c r="S21" s="304">
        <f>$M21*'MWh Impact Summary'!K$12</f>
        <v>0</v>
      </c>
      <c r="T21" s="304">
        <f>$M21*'MWh Impact Summary'!L$12</f>
        <v>0</v>
      </c>
      <c r="U21" s="304">
        <f>$M21*'MWh Impact Summary'!M$12</f>
        <v>0</v>
      </c>
      <c r="V21" s="304">
        <f>$M21*'MWh Impact Summary'!O$12</f>
        <v>0</v>
      </c>
      <c r="W21" s="304">
        <f>$M21*'MWh Impact Summary'!P$12</f>
        <v>0</v>
      </c>
      <c r="X21" s="304">
        <f>$M21*'MWh Impact Summary'!Q$12</f>
        <v>0</v>
      </c>
      <c r="Y21" s="85">
        <f t="shared" si="2"/>
        <v>116.17109368516167</v>
      </c>
      <c r="Z21" s="81">
        <f t="shared" si="3"/>
        <v>53556.499316114059</v>
      </c>
      <c r="AA21" s="81"/>
      <c r="AB21" s="81">
        <v>4397210</v>
      </c>
      <c r="AC21" s="308">
        <f t="shared" si="12"/>
        <v>12.179654671055978</v>
      </c>
      <c r="AD21" s="309">
        <f t="shared" si="4"/>
        <v>12.153235397542739</v>
      </c>
      <c r="AE21" s="107">
        <f t="shared" si="5"/>
        <v>1.1537881706527918E-3</v>
      </c>
      <c r="AF21" s="309">
        <f t="shared" si="13"/>
        <v>2.641927351324173E-2</v>
      </c>
      <c r="AG21" s="107">
        <f t="shared" si="6"/>
        <v>2.5081588778394048E-6</v>
      </c>
      <c r="AH21" s="119">
        <f t="shared" si="14"/>
        <v>1.1562963295306313E-3</v>
      </c>
      <c r="AI21" s="122">
        <f t="shared" si="7"/>
        <v>1.1562963295306309E-3</v>
      </c>
      <c r="AJ21" s="87" t="b">
        <f t="shared" si="15"/>
        <v>1</v>
      </c>
      <c r="AK21" s="88">
        <f>AI21-AI9</f>
        <v>9.5320643317436515E-4</v>
      </c>
      <c r="AL21" s="312">
        <f>+AC21/'MWh by month-WgtbyCDH&amp;DayLtHrs'!AC21-1</f>
        <v>-3.8029193531609495E-2</v>
      </c>
      <c r="AM21" s="89">
        <f t="shared" si="9"/>
        <v>0</v>
      </c>
      <c r="AN21" s="90"/>
      <c r="AO21" s="96"/>
      <c r="AP21" s="92"/>
      <c r="AR21" s="94">
        <f t="shared" si="10"/>
        <v>1.1562963295306309E-3</v>
      </c>
      <c r="AS21" s="95">
        <v>51309.971910408989</v>
      </c>
      <c r="AU21" s="141">
        <v>12.179654671055978</v>
      </c>
    </row>
    <row r="22" spans="1:47">
      <c r="A22" s="78">
        <v>2006</v>
      </c>
      <c r="B22" s="78">
        <v>6</v>
      </c>
      <c r="C22" s="317">
        <v>277.02771058673886</v>
      </c>
      <c r="D22" s="318">
        <f t="shared" si="17"/>
        <v>0.14377590478416669</v>
      </c>
      <c r="E22" s="104">
        <f>$D22*'MWh Impact Summary'!B$12</f>
        <v>31448.798643572543</v>
      </c>
      <c r="F22" s="320">
        <f>$D22*'MWh Impact Summary'!N$12</f>
        <v>0</v>
      </c>
      <c r="G22" s="320">
        <f>$D22*'MWh Impact Summary'!C$12</f>
        <v>28559.824075919514</v>
      </c>
      <c r="H22" s="320">
        <f>$D22*'MWh Impact Summary'!D$12</f>
        <v>0</v>
      </c>
      <c r="I22" s="320">
        <f>$D22*'MWh Impact Summary'!E$12</f>
        <v>15329.233748199898</v>
      </c>
      <c r="J22" s="104">
        <f t="shared" si="11"/>
        <v>75337.856467691949</v>
      </c>
      <c r="K22" s="298">
        <f t="shared" si="18"/>
        <v>10.199999999999999</v>
      </c>
      <c r="L22" s="299">
        <f t="shared" ref="L22:L28" si="20">K22/(SUM(K$17:K$28))</f>
        <v>7.1805702217529022E-2</v>
      </c>
      <c r="M22" s="297">
        <f>(30/365)</f>
        <v>8.2191780821917804E-2</v>
      </c>
      <c r="N22" s="304">
        <f>$M22*'MWh Impact Summary'!F$12</f>
        <v>0</v>
      </c>
      <c r="O22" s="304">
        <f>$M22*'MWh Impact Summary'!G$12</f>
        <v>0</v>
      </c>
      <c r="P22" s="304">
        <f>$M22*'MWh Impact Summary'!H$12</f>
        <v>0</v>
      </c>
      <c r="Q22" s="304">
        <f>$M22*'MWh Impact Summary'!I$12</f>
        <v>112.42363905015645</v>
      </c>
      <c r="R22" s="304">
        <f>$M22*'MWh Impact Summary'!J$12</f>
        <v>0</v>
      </c>
      <c r="S22" s="304">
        <f>$M22*'MWh Impact Summary'!K$12</f>
        <v>0</v>
      </c>
      <c r="T22" s="304">
        <f>$M22*'MWh Impact Summary'!L$12</f>
        <v>0</v>
      </c>
      <c r="U22" s="304">
        <f>$M22*'MWh Impact Summary'!M$12</f>
        <v>0</v>
      </c>
      <c r="V22" s="304">
        <f>$M22*'MWh Impact Summary'!O$12</f>
        <v>0</v>
      </c>
      <c r="W22" s="304">
        <f>$M22*'MWh Impact Summary'!P$12</f>
        <v>0</v>
      </c>
      <c r="X22" s="304">
        <f>$M22*'MWh Impact Summary'!Q$12</f>
        <v>0</v>
      </c>
      <c r="Y22" s="85">
        <f t="shared" si="2"/>
        <v>112.42363905015645</v>
      </c>
      <c r="Z22" s="81">
        <f t="shared" si="3"/>
        <v>75450.28010674211</v>
      </c>
      <c r="AA22" s="81"/>
      <c r="AB22" s="81">
        <v>4403628</v>
      </c>
      <c r="AC22" s="308">
        <f t="shared" si="12"/>
        <v>17.133663449033868</v>
      </c>
      <c r="AD22" s="309">
        <f t="shared" si="4"/>
        <v>17.108133672438257</v>
      </c>
      <c r="AE22" s="107">
        <f t="shared" si="5"/>
        <v>1.6772680071017901E-3</v>
      </c>
      <c r="AF22" s="309">
        <f t="shared" si="13"/>
        <v>2.5529776595606273E-2</v>
      </c>
      <c r="AG22" s="107">
        <f t="shared" si="6"/>
        <v>2.5029192740790464E-6</v>
      </c>
      <c r="AH22" s="119">
        <f t="shared" si="14"/>
        <v>1.6797709263758692E-3</v>
      </c>
      <c r="AI22" s="122">
        <f t="shared" si="7"/>
        <v>1.6797709263758696E-3</v>
      </c>
      <c r="AJ22" s="87" t="b">
        <f t="shared" si="15"/>
        <v>1</v>
      </c>
      <c r="AK22" s="88">
        <f t="shared" ref="AK22:AK85" si="21">AI22-AI10</f>
        <v>1.3843736806469489E-3</v>
      </c>
      <c r="AL22" s="312">
        <f>+AC22/'MWh by month-WgtbyCDH&amp;DayLtHrs'!AC22-1</f>
        <v>4.0514979452185962E-2</v>
      </c>
      <c r="AM22" s="89">
        <f t="shared" si="9"/>
        <v>0</v>
      </c>
      <c r="AN22" s="90"/>
      <c r="AO22" s="96"/>
      <c r="AP22" s="92"/>
      <c r="AR22" s="94">
        <f t="shared" si="10"/>
        <v>1.6797709263758696E-3</v>
      </c>
      <c r="AS22" s="95">
        <v>74366.069194837764</v>
      </c>
      <c r="AU22" s="141">
        <v>17.133663449033868</v>
      </c>
    </row>
    <row r="23" spans="1:47">
      <c r="A23" s="78">
        <v>2006</v>
      </c>
      <c r="B23" s="78">
        <v>7</v>
      </c>
      <c r="C23" s="317">
        <v>300.35638346961628</v>
      </c>
      <c r="D23" s="318">
        <f t="shared" si="17"/>
        <v>0.15588336163043537</v>
      </c>
      <c r="E23" s="104">
        <f>$D23*'MWh Impact Summary'!B$12</f>
        <v>34097.121205100804</v>
      </c>
      <c r="F23" s="320">
        <f>$D23*'MWh Impact Summary'!N$12</f>
        <v>0</v>
      </c>
      <c r="G23" s="320">
        <f>$D23*'MWh Impact Summary'!C$12</f>
        <v>30964.864322790563</v>
      </c>
      <c r="H23" s="320">
        <f>$D23*'MWh Impact Summary'!D$12</f>
        <v>0</v>
      </c>
      <c r="I23" s="320">
        <f>$D23*'MWh Impact Summary'!E$12</f>
        <v>16620.11789440862</v>
      </c>
      <c r="J23" s="104">
        <f t="shared" si="11"/>
        <v>81682.103422299988</v>
      </c>
      <c r="K23" s="298">
        <f t="shared" si="18"/>
        <v>10.366666666666667</v>
      </c>
      <c r="L23" s="299">
        <f t="shared" si="20"/>
        <v>7.2978998005397158E-2</v>
      </c>
      <c r="M23" s="297">
        <f t="shared" si="19"/>
        <v>8.4931506849315067E-2</v>
      </c>
      <c r="N23" s="304">
        <f>$M23*'MWh Impact Summary'!F$12</f>
        <v>0</v>
      </c>
      <c r="O23" s="304">
        <f>$M23*'MWh Impact Summary'!G$12</f>
        <v>0</v>
      </c>
      <c r="P23" s="304">
        <f>$M23*'MWh Impact Summary'!H$12</f>
        <v>0</v>
      </c>
      <c r="Q23" s="304">
        <f>$M23*'MWh Impact Summary'!I$12</f>
        <v>116.17109368516167</v>
      </c>
      <c r="R23" s="304">
        <f>$M23*'MWh Impact Summary'!J$12</f>
        <v>0</v>
      </c>
      <c r="S23" s="304">
        <f>$M23*'MWh Impact Summary'!K$12</f>
        <v>0</v>
      </c>
      <c r="T23" s="304">
        <f>$M23*'MWh Impact Summary'!L$12</f>
        <v>0</v>
      </c>
      <c r="U23" s="304">
        <f>$M23*'MWh Impact Summary'!M$12</f>
        <v>0</v>
      </c>
      <c r="V23" s="304">
        <f>$M23*'MWh Impact Summary'!O$12</f>
        <v>0</v>
      </c>
      <c r="W23" s="304">
        <f>$M23*'MWh Impact Summary'!P$12</f>
        <v>0</v>
      </c>
      <c r="X23" s="304">
        <f>$M23*'MWh Impact Summary'!Q$12</f>
        <v>0</v>
      </c>
      <c r="Y23" s="85">
        <f t="shared" si="2"/>
        <v>116.17109368516167</v>
      </c>
      <c r="Z23" s="81">
        <f t="shared" si="3"/>
        <v>81798.274515985147</v>
      </c>
      <c r="AA23" s="81"/>
      <c r="AB23" s="81">
        <v>4406505</v>
      </c>
      <c r="AC23" s="308">
        <f t="shared" si="12"/>
        <v>18.563073119396243</v>
      </c>
      <c r="AD23" s="309">
        <f t="shared" si="4"/>
        <v>18.536709574209034</v>
      </c>
      <c r="AE23" s="107">
        <f t="shared" si="5"/>
        <v>1.7881070328819005E-3</v>
      </c>
      <c r="AF23" s="309">
        <f t="shared" si="13"/>
        <v>2.6363545187208837E-2</v>
      </c>
      <c r="AG23" s="107">
        <f t="shared" si="6"/>
        <v>2.5431072527854184E-6</v>
      </c>
      <c r="AH23" s="119">
        <f t="shared" si="14"/>
        <v>1.7906501401346859E-3</v>
      </c>
      <c r="AI23" s="122">
        <f t="shared" si="7"/>
        <v>1.7906501401346857E-3</v>
      </c>
      <c r="AJ23" s="87" t="b">
        <f t="shared" si="15"/>
        <v>1</v>
      </c>
      <c r="AK23" s="88">
        <f t="shared" si="21"/>
        <v>1.3450135924391777E-3</v>
      </c>
      <c r="AL23" s="312">
        <f>+AC23/'MWh by month-WgtbyCDH&amp;DayLtHrs'!AC23-1</f>
        <v>-4.8993043910256828E-2</v>
      </c>
      <c r="AM23" s="89">
        <f t="shared" si="9"/>
        <v>0</v>
      </c>
      <c r="AN23" s="90"/>
      <c r="AO23" s="96"/>
      <c r="AP23" s="92"/>
      <c r="AR23" s="94">
        <f t="shared" si="10"/>
        <v>1.7906501401346857E-3</v>
      </c>
      <c r="AS23" s="95">
        <v>83664.266541867051</v>
      </c>
      <c r="AU23" s="141">
        <v>18.563073119396243</v>
      </c>
    </row>
    <row r="24" spans="1:47">
      <c r="A24" s="78">
        <v>2006</v>
      </c>
      <c r="B24" s="78">
        <v>8</v>
      </c>
      <c r="C24" s="317">
        <v>324.00355894748566</v>
      </c>
      <c r="D24" s="318">
        <f t="shared" si="17"/>
        <v>0.16815611962536564</v>
      </c>
      <c r="E24" s="104">
        <f>$D24*'MWh Impact Summary'!B$12</f>
        <v>36781.600885915592</v>
      </c>
      <c r="F24" s="320">
        <f>$D24*'MWh Impact Summary'!N$12</f>
        <v>0</v>
      </c>
      <c r="G24" s="320">
        <f>$D24*'MWh Impact Summary'!C$12</f>
        <v>33402.740194882746</v>
      </c>
      <c r="H24" s="320">
        <f>$D24*'MWh Impact Summary'!D$12</f>
        <v>0</v>
      </c>
      <c r="I24" s="320">
        <f>$D24*'MWh Impact Summary'!E$12</f>
        <v>17928.626272928617</v>
      </c>
      <c r="J24" s="104">
        <f t="shared" si="11"/>
        <v>88112.967353726941</v>
      </c>
      <c r="K24" s="298">
        <f t="shared" si="18"/>
        <v>10.933333333333334</v>
      </c>
      <c r="L24" s="299">
        <f t="shared" si="20"/>
        <v>7.6968203684148764E-2</v>
      </c>
      <c r="M24" s="297">
        <f t="shared" si="19"/>
        <v>8.4931506849315067E-2</v>
      </c>
      <c r="N24" s="304">
        <f>$M24*'MWh Impact Summary'!F$12</f>
        <v>0</v>
      </c>
      <c r="O24" s="304">
        <f>$M24*'MWh Impact Summary'!G$12</f>
        <v>0</v>
      </c>
      <c r="P24" s="304">
        <f>$M24*'MWh Impact Summary'!H$12</f>
        <v>0</v>
      </c>
      <c r="Q24" s="304">
        <f>$M24*'MWh Impact Summary'!I$12</f>
        <v>116.17109368516167</v>
      </c>
      <c r="R24" s="304">
        <f>$M24*'MWh Impact Summary'!J$12</f>
        <v>0</v>
      </c>
      <c r="S24" s="304">
        <f>$M24*'MWh Impact Summary'!K$12</f>
        <v>0</v>
      </c>
      <c r="T24" s="304">
        <f>$M24*'MWh Impact Summary'!L$12</f>
        <v>0</v>
      </c>
      <c r="U24" s="304">
        <f>$M24*'MWh Impact Summary'!M$12</f>
        <v>0</v>
      </c>
      <c r="V24" s="304">
        <f>$M24*'MWh Impact Summary'!O$12</f>
        <v>0</v>
      </c>
      <c r="W24" s="304">
        <f>$M24*'MWh Impact Summary'!P$12</f>
        <v>0</v>
      </c>
      <c r="X24" s="304">
        <f>$M24*'MWh Impact Summary'!Q$12</f>
        <v>0</v>
      </c>
      <c r="Y24" s="85">
        <f t="shared" si="2"/>
        <v>116.17109368516167</v>
      </c>
      <c r="Z24" s="81">
        <f t="shared" si="3"/>
        <v>88229.138447412101</v>
      </c>
      <c r="AA24" s="81"/>
      <c r="AB24" s="81">
        <v>4416127</v>
      </c>
      <c r="AC24" s="308">
        <f t="shared" si="12"/>
        <v>19.978849894355868</v>
      </c>
      <c r="AD24" s="309">
        <f t="shared" si="4"/>
        <v>19.952543790911569</v>
      </c>
      <c r="AE24" s="107">
        <f t="shared" si="5"/>
        <v>1.8249277857541068E-3</v>
      </c>
      <c r="AF24" s="309">
        <f t="shared" si="13"/>
        <v>2.630610344429897E-2</v>
      </c>
      <c r="AG24" s="107">
        <f t="shared" si="6"/>
        <v>2.406046046734662E-6</v>
      </c>
      <c r="AH24" s="119">
        <f t="shared" si="14"/>
        <v>1.8273338318008415E-3</v>
      </c>
      <c r="AI24" s="122">
        <f t="shared" si="7"/>
        <v>1.8273338318008417E-3</v>
      </c>
      <c r="AJ24" s="87" t="b">
        <f t="shared" si="15"/>
        <v>1</v>
      </c>
      <c r="AK24" s="88">
        <f t="shared" si="21"/>
        <v>1.4050055576035753E-3</v>
      </c>
      <c r="AL24" s="312">
        <f>+AC24/'MWh by month-WgtbyCDH&amp;DayLtHrs'!AC24-1</f>
        <v>1.2797246148185115E-2</v>
      </c>
      <c r="AM24" s="89">
        <f t="shared" si="9"/>
        <v>0</v>
      </c>
      <c r="AN24" s="90"/>
      <c r="AO24" s="96"/>
      <c r="AP24" s="92"/>
      <c r="AR24" s="94">
        <f t="shared" si="10"/>
        <v>1.8273338318008417E-3</v>
      </c>
      <c r="AS24" s="95">
        <v>87376.815760398633</v>
      </c>
      <c r="AU24" s="141">
        <v>19.978849894355868</v>
      </c>
    </row>
    <row r="25" spans="1:47">
      <c r="A25" s="78">
        <v>2006</v>
      </c>
      <c r="B25" s="78">
        <v>9</v>
      </c>
      <c r="C25" s="317">
        <v>267.89810780857357</v>
      </c>
      <c r="D25" s="318">
        <f t="shared" si="17"/>
        <v>0.13903768961799914</v>
      </c>
      <c r="E25" s="104">
        <f>$D25*'MWh Impact Summary'!B$12</f>
        <v>30412.385936489136</v>
      </c>
      <c r="F25" s="320">
        <f>$D25*'MWh Impact Summary'!N$12</f>
        <v>0</v>
      </c>
      <c r="G25" s="320">
        <f>$D25*'MWh Impact Summary'!C$12</f>
        <v>27618.619137701651</v>
      </c>
      <c r="H25" s="320">
        <f>$D25*'MWh Impact Summary'!D$12</f>
        <v>0</v>
      </c>
      <c r="I25" s="320">
        <f>$D25*'MWh Impact Summary'!E$12</f>
        <v>14824.050296630016</v>
      </c>
      <c r="J25" s="104">
        <f t="shared" si="11"/>
        <v>72855.055370820803</v>
      </c>
      <c r="K25" s="298">
        <f t="shared" si="18"/>
        <v>11.683333333333334</v>
      </c>
      <c r="L25" s="299">
        <f t="shared" si="20"/>
        <v>8.2248034729555317E-2</v>
      </c>
      <c r="M25" s="297">
        <f>(30/365)</f>
        <v>8.2191780821917804E-2</v>
      </c>
      <c r="N25" s="304">
        <f>$M25*'MWh Impact Summary'!F$12</f>
        <v>0</v>
      </c>
      <c r="O25" s="304">
        <f>$M25*'MWh Impact Summary'!G$12</f>
        <v>0</v>
      </c>
      <c r="P25" s="304">
        <f>$M25*'MWh Impact Summary'!H$12</f>
        <v>0</v>
      </c>
      <c r="Q25" s="304">
        <f>$M25*'MWh Impact Summary'!I$12</f>
        <v>112.42363905015645</v>
      </c>
      <c r="R25" s="304">
        <f>$M25*'MWh Impact Summary'!J$12</f>
        <v>0</v>
      </c>
      <c r="S25" s="304">
        <f>$M25*'MWh Impact Summary'!K$12</f>
        <v>0</v>
      </c>
      <c r="T25" s="304">
        <f>$M25*'MWh Impact Summary'!L$12</f>
        <v>0</v>
      </c>
      <c r="U25" s="304">
        <f>$M25*'MWh Impact Summary'!M$12</f>
        <v>0</v>
      </c>
      <c r="V25" s="304">
        <f>$M25*'MWh Impact Summary'!O$12</f>
        <v>0</v>
      </c>
      <c r="W25" s="304">
        <f>$M25*'MWh Impact Summary'!P$12</f>
        <v>0</v>
      </c>
      <c r="X25" s="304">
        <f>$M25*'MWh Impact Summary'!Q$12</f>
        <v>0</v>
      </c>
      <c r="Y25" s="85">
        <f t="shared" si="2"/>
        <v>112.42363905015645</v>
      </c>
      <c r="Z25" s="81">
        <f t="shared" si="3"/>
        <v>72967.479009870964</v>
      </c>
      <c r="AA25" s="81"/>
      <c r="AB25" s="81">
        <v>4425222</v>
      </c>
      <c r="AC25" s="308">
        <f t="shared" si="12"/>
        <v>16.488998520271064</v>
      </c>
      <c r="AD25" s="309">
        <f t="shared" si="4"/>
        <v>16.463593322735179</v>
      </c>
      <c r="AE25" s="107">
        <f t="shared" si="5"/>
        <v>1.4091520675664918E-3</v>
      </c>
      <c r="AF25" s="309">
        <f t="shared" si="13"/>
        <v>2.5405197535887793E-2</v>
      </c>
      <c r="AG25" s="107">
        <f t="shared" si="6"/>
        <v>2.1744819574226357E-6</v>
      </c>
      <c r="AH25" s="119">
        <f t="shared" si="14"/>
        <v>1.4113265495239145E-3</v>
      </c>
      <c r="AI25" s="122">
        <f t="shared" si="7"/>
        <v>1.4113265495239143E-3</v>
      </c>
      <c r="AJ25" s="87" t="b">
        <f t="shared" si="15"/>
        <v>1</v>
      </c>
      <c r="AK25" s="88">
        <f t="shared" si="21"/>
        <v>1.0918244432241264E-3</v>
      </c>
      <c r="AL25" s="312">
        <f>+AC25/'MWh by month-WgtbyCDH&amp;DayLtHrs'!AC25-1</f>
        <v>-1.6190272555722918E-2</v>
      </c>
      <c r="AM25" s="89">
        <f t="shared" si="9"/>
        <v>0</v>
      </c>
      <c r="AN25" s="90"/>
      <c r="AO25" s="96"/>
      <c r="AP25" s="92"/>
      <c r="AR25" s="94">
        <f t="shared" si="10"/>
        <v>1.4113265495239143E-3</v>
      </c>
      <c r="AS25" s="95">
        <v>78946.516019981806</v>
      </c>
      <c r="AU25" s="141">
        <v>16.488998520271064</v>
      </c>
    </row>
    <row r="26" spans="1:47">
      <c r="A26" s="78">
        <v>2006</v>
      </c>
      <c r="B26" s="78">
        <v>10</v>
      </c>
      <c r="C26" s="317">
        <v>196.83669265698501</v>
      </c>
      <c r="D26" s="318">
        <f t="shared" si="17"/>
        <v>0.10215719402777924</v>
      </c>
      <c r="E26" s="104">
        <f>$D26*'MWh Impact Summary'!B$12</f>
        <v>22345.336861519801</v>
      </c>
      <c r="F26" s="320">
        <f>$D26*'MWh Impact Summary'!N$12</f>
        <v>0</v>
      </c>
      <c r="G26" s="320">
        <f>$D26*'MWh Impact Summary'!C$12</f>
        <v>20292.631744538674</v>
      </c>
      <c r="H26" s="320">
        <f>$D26*'MWh Impact Summary'!D$12</f>
        <v>0</v>
      </c>
      <c r="I26" s="320">
        <f>$D26*'MWh Impact Summary'!E$12</f>
        <v>10891.891159807839</v>
      </c>
      <c r="J26" s="104">
        <f t="shared" si="11"/>
        <v>53529.85976586632</v>
      </c>
      <c r="K26" s="298">
        <f t="shared" si="18"/>
        <v>12.466666666666667</v>
      </c>
      <c r="L26" s="299">
        <f t="shared" si="20"/>
        <v>8.7762524932535488E-2</v>
      </c>
      <c r="M26" s="297">
        <f t="shared" si="19"/>
        <v>8.4931506849315067E-2</v>
      </c>
      <c r="N26" s="304">
        <f>$M26*'MWh Impact Summary'!F$12</f>
        <v>0</v>
      </c>
      <c r="O26" s="304">
        <f>$M26*'MWh Impact Summary'!G$12</f>
        <v>0</v>
      </c>
      <c r="P26" s="304">
        <f>$M26*'MWh Impact Summary'!H$12</f>
        <v>0</v>
      </c>
      <c r="Q26" s="304">
        <f>$M26*'MWh Impact Summary'!I$12</f>
        <v>116.17109368516167</v>
      </c>
      <c r="R26" s="304">
        <f>$M26*'MWh Impact Summary'!J$12</f>
        <v>0</v>
      </c>
      <c r="S26" s="304">
        <f>$M26*'MWh Impact Summary'!K$12</f>
        <v>0</v>
      </c>
      <c r="T26" s="304">
        <f>$M26*'MWh Impact Summary'!L$12</f>
        <v>0</v>
      </c>
      <c r="U26" s="304">
        <f>$M26*'MWh Impact Summary'!M$12</f>
        <v>0</v>
      </c>
      <c r="V26" s="304">
        <f>$M26*'MWh Impact Summary'!O$12</f>
        <v>0</v>
      </c>
      <c r="W26" s="304">
        <f>$M26*'MWh Impact Summary'!P$12</f>
        <v>0</v>
      </c>
      <c r="X26" s="304">
        <f>$M26*'MWh Impact Summary'!Q$12</f>
        <v>0</v>
      </c>
      <c r="Y26" s="85">
        <f t="shared" si="2"/>
        <v>116.17109368516167</v>
      </c>
      <c r="Z26" s="81">
        <f t="shared" si="3"/>
        <v>53646.03085955148</v>
      </c>
      <c r="AA26" s="81"/>
      <c r="AB26" s="81">
        <v>4429977</v>
      </c>
      <c r="AC26" s="308">
        <f t="shared" si="12"/>
        <v>12.109776384742286</v>
      </c>
      <c r="AD26" s="309">
        <f t="shared" si="4"/>
        <v>12.083552525411829</v>
      </c>
      <c r="AE26" s="107">
        <f t="shared" si="5"/>
        <v>9.6926891915068147E-4</v>
      </c>
      <c r="AF26" s="309">
        <f t="shared" si="13"/>
        <v>2.6223859330457396E-2</v>
      </c>
      <c r="AG26" s="107">
        <f t="shared" si="6"/>
        <v>2.1035181281115555E-6</v>
      </c>
      <c r="AH26" s="119">
        <f t="shared" si="14"/>
        <v>9.7137243727879301E-4</v>
      </c>
      <c r="AI26" s="122">
        <f t="shared" si="7"/>
        <v>9.7137243727879301E-4</v>
      </c>
      <c r="AJ26" s="87" t="b">
        <f t="shared" si="15"/>
        <v>1</v>
      </c>
      <c r="AK26" s="88">
        <f t="shared" si="21"/>
        <v>7.6665914403539694E-4</v>
      </c>
      <c r="AL26" s="312">
        <f>+AC26/'MWh by month-WgtbyCDH&amp;DayLtHrs'!AC26-1</f>
        <v>9.9327175432093462E-3</v>
      </c>
      <c r="AM26" s="89">
        <f t="shared" si="9"/>
        <v>0</v>
      </c>
      <c r="AN26" s="90"/>
      <c r="AO26" s="96"/>
      <c r="AP26" s="92"/>
      <c r="AR26" s="94">
        <f t="shared" si="10"/>
        <v>9.7137243727879301E-4</v>
      </c>
      <c r="AS26" s="95">
        <v>53072.042749228778</v>
      </c>
      <c r="AU26" s="141">
        <v>12.109776384742286</v>
      </c>
    </row>
    <row r="27" spans="1:47">
      <c r="A27" s="78">
        <v>2006</v>
      </c>
      <c r="B27" s="78">
        <v>11</v>
      </c>
      <c r="C27" s="317">
        <v>67.052058810555579</v>
      </c>
      <c r="D27" s="318">
        <f t="shared" si="17"/>
        <v>3.4799661025644218E-2</v>
      </c>
      <c r="E27" s="104">
        <f>$D27*'MWh Impact Summary'!B$12</f>
        <v>7611.8980722323777</v>
      </c>
      <c r="F27" s="320">
        <f>$D27*'MWh Impact Summary'!N$12</f>
        <v>0</v>
      </c>
      <c r="G27" s="320">
        <f>$D27*'MWh Impact Summary'!C$12</f>
        <v>6912.6478340443164</v>
      </c>
      <c r="H27" s="320">
        <f>$D27*'MWh Impact Summary'!D$12</f>
        <v>0</v>
      </c>
      <c r="I27" s="320">
        <f>$D27*'MWh Impact Summary'!E$12</f>
        <v>3710.3027730622107</v>
      </c>
      <c r="J27" s="104">
        <f t="shared" si="11"/>
        <v>18234.848679338902</v>
      </c>
      <c r="K27" s="298">
        <f t="shared" si="18"/>
        <v>13.15</v>
      </c>
      <c r="L27" s="299">
        <f t="shared" si="20"/>
        <v>9.2573037662794788E-2</v>
      </c>
      <c r="M27" s="297">
        <f>(30/365)</f>
        <v>8.2191780821917804E-2</v>
      </c>
      <c r="N27" s="304">
        <f>$M27*'MWh Impact Summary'!F$12</f>
        <v>0</v>
      </c>
      <c r="O27" s="304">
        <f>$M27*'MWh Impact Summary'!G$12</f>
        <v>0</v>
      </c>
      <c r="P27" s="304">
        <f>$M27*'MWh Impact Summary'!H$12</f>
        <v>0</v>
      </c>
      <c r="Q27" s="304">
        <f>$M27*'MWh Impact Summary'!I$12</f>
        <v>112.42363905015645</v>
      </c>
      <c r="R27" s="304">
        <f>$M27*'MWh Impact Summary'!J$12</f>
        <v>0</v>
      </c>
      <c r="S27" s="304">
        <f>$M27*'MWh Impact Summary'!K$12</f>
        <v>0</v>
      </c>
      <c r="T27" s="304">
        <f>$M27*'MWh Impact Summary'!L$12</f>
        <v>0</v>
      </c>
      <c r="U27" s="304">
        <f>$M27*'MWh Impact Summary'!M$12</f>
        <v>0</v>
      </c>
      <c r="V27" s="304">
        <f>$M27*'MWh Impact Summary'!O$12</f>
        <v>0</v>
      </c>
      <c r="W27" s="304">
        <f>$M27*'MWh Impact Summary'!P$12</f>
        <v>0</v>
      </c>
      <c r="X27" s="304">
        <f>$M27*'MWh Impact Summary'!Q$12</f>
        <v>0</v>
      </c>
      <c r="Y27" s="85">
        <f t="shared" si="2"/>
        <v>112.42363905015645</v>
      </c>
      <c r="Z27" s="81">
        <f t="shared" si="3"/>
        <v>18347.272318389059</v>
      </c>
      <c r="AA27" s="81"/>
      <c r="AB27" s="81">
        <v>4443418</v>
      </c>
      <c r="AC27" s="308">
        <f t="shared" si="12"/>
        <v>4.1290898849464668</v>
      </c>
      <c r="AD27" s="309">
        <f t="shared" si="4"/>
        <v>4.1037887228567964</v>
      </c>
      <c r="AE27" s="107">
        <f t="shared" si="5"/>
        <v>3.1207518804994647E-4</v>
      </c>
      <c r="AF27" s="309">
        <f t="shared" si="13"/>
        <v>2.5301162089669812E-2</v>
      </c>
      <c r="AG27" s="107">
        <f t="shared" si="6"/>
        <v>1.9240427444615827E-6</v>
      </c>
      <c r="AH27" s="119">
        <f t="shared" si="14"/>
        <v>3.1399923079440808E-4</v>
      </c>
      <c r="AI27" s="122">
        <f t="shared" si="7"/>
        <v>3.1399923079440813E-4</v>
      </c>
      <c r="AJ27" s="87" t="b">
        <f t="shared" si="15"/>
        <v>1</v>
      </c>
      <c r="AK27" s="88">
        <f t="shared" si="21"/>
        <v>2.3426978706044417E-4</v>
      </c>
      <c r="AL27" s="312">
        <f>+AC27/'MWh by month-WgtbyCDH&amp;DayLtHrs'!AC27-1</f>
        <v>-0.12349455037889767</v>
      </c>
      <c r="AM27" s="89">
        <f t="shared" si="9"/>
        <v>0</v>
      </c>
      <c r="AN27" s="90"/>
      <c r="AO27" s="96"/>
      <c r="AP27" s="92"/>
      <c r="AR27" s="94">
        <f t="shared" si="10"/>
        <v>3.1399923079440813E-4</v>
      </c>
      <c r="AS27" s="95">
        <v>24510.91635790365</v>
      </c>
      <c r="AU27" s="141">
        <v>4.1290898849464668</v>
      </c>
    </row>
    <row r="28" spans="1:47">
      <c r="A28" s="78">
        <v>2006</v>
      </c>
      <c r="B28" s="78">
        <v>12</v>
      </c>
      <c r="C28" s="317">
        <v>63.596105846109133</v>
      </c>
      <c r="D28" s="318">
        <f t="shared" si="17"/>
        <v>3.3006039862972722E-2</v>
      </c>
      <c r="E28" s="104">
        <f>$D28*'MWh Impact Summary'!B$12</f>
        <v>7219.5706452383783</v>
      </c>
      <c r="F28" s="320">
        <f>$D28*'MWh Impact Summary'!N$12</f>
        <v>0</v>
      </c>
      <c r="G28" s="320">
        <f>$D28*'MWh Impact Summary'!C$12</f>
        <v>6556.3607013593037</v>
      </c>
      <c r="H28" s="320">
        <f>$D28*'MWh Impact Summary'!D$12</f>
        <v>0</v>
      </c>
      <c r="I28" s="320">
        <f>$D28*'MWh Impact Summary'!E$12</f>
        <v>3519.0687961341287</v>
      </c>
      <c r="J28" s="104">
        <f t="shared" si="11"/>
        <v>17295.000142731809</v>
      </c>
      <c r="K28" s="298">
        <f t="shared" si="18"/>
        <v>13.483333333333333</v>
      </c>
      <c r="L28" s="299">
        <f t="shared" si="20"/>
        <v>9.491962923853102E-2</v>
      </c>
      <c r="M28" s="297">
        <f t="shared" si="19"/>
        <v>8.4931506849315067E-2</v>
      </c>
      <c r="N28" s="304">
        <f>$M28*'MWh Impact Summary'!F$12</f>
        <v>0</v>
      </c>
      <c r="O28" s="304">
        <f>$M28*'MWh Impact Summary'!G$12</f>
        <v>0</v>
      </c>
      <c r="P28" s="304">
        <f>$M28*'MWh Impact Summary'!H$12</f>
        <v>0</v>
      </c>
      <c r="Q28" s="304">
        <f>$M28*'MWh Impact Summary'!I$12</f>
        <v>116.17109368516167</v>
      </c>
      <c r="R28" s="304">
        <f>$M28*'MWh Impact Summary'!J$12</f>
        <v>0</v>
      </c>
      <c r="S28" s="304">
        <f>$M28*'MWh Impact Summary'!K$12</f>
        <v>0</v>
      </c>
      <c r="T28" s="304">
        <f>$M28*'MWh Impact Summary'!L$12</f>
        <v>0</v>
      </c>
      <c r="U28" s="304">
        <f>$M28*'MWh Impact Summary'!M$12</f>
        <v>0</v>
      </c>
      <c r="V28" s="304">
        <f>$M28*'MWh Impact Summary'!O$12</f>
        <v>0</v>
      </c>
      <c r="W28" s="304">
        <f>$M28*'MWh Impact Summary'!P$12</f>
        <v>0</v>
      </c>
      <c r="X28" s="304">
        <f>$M28*'MWh Impact Summary'!Q$12</f>
        <v>0</v>
      </c>
      <c r="Y28" s="85">
        <f t="shared" si="2"/>
        <v>116.17109368516167</v>
      </c>
      <c r="Z28" s="81">
        <f t="shared" si="3"/>
        <v>17411.171236416973</v>
      </c>
      <c r="AA28" s="81">
        <f>SUM(Z17:Z28)</f>
        <v>525362.82956848352</v>
      </c>
      <c r="AB28" s="81">
        <v>4457161</v>
      </c>
      <c r="AC28" s="308">
        <f t="shared" si="12"/>
        <v>3.9063366201976937</v>
      </c>
      <c r="AD28" s="309">
        <f t="shared" si="4"/>
        <v>3.8802726988618557</v>
      </c>
      <c r="AE28" s="107">
        <f t="shared" si="5"/>
        <v>2.8778289484760367E-4</v>
      </c>
      <c r="AF28" s="309">
        <f t="shared" si="13"/>
        <v>2.6063921335837244E-2</v>
      </c>
      <c r="AG28" s="107">
        <f t="shared" si="6"/>
        <v>1.9330473178618475E-6</v>
      </c>
      <c r="AH28" s="119">
        <f t="shared" si="14"/>
        <v>2.897159421654655E-4</v>
      </c>
      <c r="AI28" s="122">
        <f t="shared" si="7"/>
        <v>2.8971594216546556E-4</v>
      </c>
      <c r="AJ28" s="87" t="b">
        <f t="shared" si="15"/>
        <v>1</v>
      </c>
      <c r="AK28" s="88">
        <f t="shared" si="21"/>
        <v>2.7187143448538102E-4</v>
      </c>
      <c r="AL28" s="312">
        <f>+AC28/'MWh by month-WgtbyCDH&amp;DayLtHrs'!AC28-1</f>
        <v>0.51719103065150418</v>
      </c>
      <c r="AM28" s="89">
        <f t="shared" si="9"/>
        <v>0</v>
      </c>
      <c r="AN28" s="90">
        <f>SUM(AM17:AM28)</f>
        <v>0</v>
      </c>
      <c r="AO28" s="96"/>
      <c r="AP28" s="92"/>
      <c r="AR28" s="94">
        <f t="shared" si="10"/>
        <v>2.8971594216546556E-4</v>
      </c>
      <c r="AS28" s="95">
        <v>10922.750444317473</v>
      </c>
      <c r="AU28" s="141">
        <v>3.9063366201976937</v>
      </c>
    </row>
    <row r="29" spans="1:47">
      <c r="A29" s="78">
        <v>2007</v>
      </c>
      <c r="B29" s="78">
        <v>1</v>
      </c>
      <c r="C29" s="317">
        <v>45.645661495421976</v>
      </c>
      <c r="D29" s="318">
        <f t="shared" ref="D29:D40" si="22">C29/(SUM(C$29:C$40))</f>
        <v>2.2497796944812961E-2</v>
      </c>
      <c r="E29" s="104">
        <f>$D29*'MWh Impact Summary'!B$13</f>
        <v>9533.776816733709</v>
      </c>
      <c r="F29" s="320">
        <f>$D29*'MWh Impact Summary'!N$13</f>
        <v>0</v>
      </c>
      <c r="G29" s="320">
        <f>$D29*'MWh Impact Summary'!C$13</f>
        <v>7785.2914775495647</v>
      </c>
      <c r="H29" s="320">
        <f>$D29*'MWh Impact Summary'!D$13</f>
        <v>0</v>
      </c>
      <c r="I29" s="320">
        <f>$D29*'MWh Impact Summary'!E$13</f>
        <v>3819.2860862705961</v>
      </c>
      <c r="J29" s="104">
        <f t="shared" si="11"/>
        <v>21138.354380553868</v>
      </c>
      <c r="K29" s="298">
        <f t="shared" si="18"/>
        <v>13.3</v>
      </c>
      <c r="L29" s="299">
        <f t="shared" ref="L29:L40" si="23">K29/(SUM(K$29:K$40))</f>
        <v>9.3629003871876101E-2</v>
      </c>
      <c r="M29" s="297">
        <f>(31/365)</f>
        <v>8.4931506849315067E-2</v>
      </c>
      <c r="N29" s="304">
        <f>$M29*'MWh Impact Summary'!F$13</f>
        <v>11323.155803004232</v>
      </c>
      <c r="O29" s="304">
        <f>$M29*'MWh Impact Summary'!G$13</f>
        <v>0</v>
      </c>
      <c r="P29" s="304">
        <f>$M29*'MWh Impact Summary'!H$13</f>
        <v>0</v>
      </c>
      <c r="Q29" s="304">
        <f>$M29*'MWh Impact Summary'!I$13</f>
        <v>232.34218737032333</v>
      </c>
      <c r="R29" s="304">
        <f>$M29*'MWh Impact Summary'!J$13</f>
        <v>0</v>
      </c>
      <c r="S29" s="304">
        <f>$M29*'MWh Impact Summary'!K$13</f>
        <v>0</v>
      </c>
      <c r="T29" s="304">
        <f>$M29*'MWh Impact Summary'!L$13</f>
        <v>0</v>
      </c>
      <c r="U29" s="304">
        <f>$M29*'MWh Impact Summary'!M$13</f>
        <v>0</v>
      </c>
      <c r="V29" s="304">
        <f>$M29*'MWh Impact Summary'!O$13</f>
        <v>0</v>
      </c>
      <c r="W29" s="304">
        <f>$M29*'MWh Impact Summary'!P$13</f>
        <v>0</v>
      </c>
      <c r="X29" s="304">
        <f>$M29*'MWh Impact Summary'!Q$13</f>
        <v>0</v>
      </c>
      <c r="Y29" s="85">
        <f t="shared" si="2"/>
        <v>11555.497990374555</v>
      </c>
      <c r="Z29" s="81">
        <f t="shared" si="3"/>
        <v>32693.852370928424</v>
      </c>
      <c r="AA29" s="81"/>
      <c r="AB29" s="81">
        <v>4465732</v>
      </c>
      <c r="AC29" s="308">
        <f>+Z29*1000/AB29</f>
        <v>7.3210511447906921</v>
      </c>
      <c r="AD29" s="309">
        <f t="shared" si="4"/>
        <v>4.7334578923575954</v>
      </c>
      <c r="AE29" s="107">
        <f t="shared" si="5"/>
        <v>3.55899089650947E-4</v>
      </c>
      <c r="AF29" s="309">
        <f t="shared" si="13"/>
        <v>2.5875932524330962</v>
      </c>
      <c r="AG29" s="107">
        <f t="shared" si="6"/>
        <v>1.9455588364158618E-4</v>
      </c>
      <c r="AH29" s="119">
        <f t="shared" si="14"/>
        <v>5.5045497329253318E-4</v>
      </c>
      <c r="AI29" s="122">
        <f t="shared" si="7"/>
        <v>5.5045497329253318E-4</v>
      </c>
      <c r="AJ29" s="87" t="b">
        <f t="shared" si="15"/>
        <v>1</v>
      </c>
      <c r="AK29" s="88">
        <f t="shared" si="21"/>
        <v>4.1374550307077837E-4</v>
      </c>
      <c r="AL29" s="312">
        <f>+AC29/'MWh by month-WgtbyCDH&amp;DayLtHrs'!AC29-1</f>
        <v>0.29794101180430799</v>
      </c>
      <c r="AM29" s="89">
        <f t="shared" si="9"/>
        <v>0</v>
      </c>
      <c r="AN29" s="90"/>
      <c r="AO29" s="96"/>
      <c r="AP29" s="92"/>
      <c r="AR29" s="94">
        <f t="shared" si="10"/>
        <v>5.5045497329253318E-4</v>
      </c>
      <c r="AS29" s="95">
        <v>23915.309480274562</v>
      </c>
      <c r="AU29" s="141">
        <v>7.3210511447906921</v>
      </c>
    </row>
    <row r="30" spans="1:47">
      <c r="A30" s="78">
        <v>2007</v>
      </c>
      <c r="B30" s="78">
        <v>2</v>
      </c>
      <c r="C30" s="317">
        <v>30.404747447438531</v>
      </c>
      <c r="D30" s="318">
        <f t="shared" si="22"/>
        <v>1.4985867480513957E-2</v>
      </c>
      <c r="E30" s="104">
        <f>$D30*'MWh Impact Summary'!B$13</f>
        <v>6350.4847303419083</v>
      </c>
      <c r="F30" s="320">
        <f>$D30*'MWh Impact Summary'!N$13</f>
        <v>0</v>
      </c>
      <c r="G30" s="320">
        <f>$D30*'MWh Impact Summary'!C$13</f>
        <v>5185.8120448825321</v>
      </c>
      <c r="H30" s="320">
        <f>$D30*'MWh Impact Summary'!D$13</f>
        <v>0</v>
      </c>
      <c r="I30" s="320">
        <f>$D30*'MWh Impact Summary'!E$13</f>
        <v>2544.0408809547012</v>
      </c>
      <c r="J30" s="104">
        <f t="shared" si="11"/>
        <v>14080.337656179141</v>
      </c>
      <c r="K30" s="298">
        <f t="shared" si="18"/>
        <v>12.733333333333333</v>
      </c>
      <c r="L30" s="299">
        <f t="shared" si="23"/>
        <v>8.9639798193124468E-2</v>
      </c>
      <c r="M30" s="297">
        <f>(28/365)</f>
        <v>7.6712328767123292E-2</v>
      </c>
      <c r="N30" s="304">
        <f>$M30*'MWh Impact Summary'!F$13</f>
        <v>10227.36653174576</v>
      </c>
      <c r="O30" s="304">
        <f>$M30*'MWh Impact Summary'!G$13</f>
        <v>0</v>
      </c>
      <c r="P30" s="304">
        <f>$M30*'MWh Impact Summary'!H$13</f>
        <v>0</v>
      </c>
      <c r="Q30" s="304">
        <f>$M30*'MWh Impact Summary'!I$13</f>
        <v>209.85745956029206</v>
      </c>
      <c r="R30" s="304">
        <f>$M30*'MWh Impact Summary'!J$13</f>
        <v>0</v>
      </c>
      <c r="S30" s="304">
        <f>$M30*'MWh Impact Summary'!K$13</f>
        <v>0</v>
      </c>
      <c r="T30" s="304">
        <f>$M30*'MWh Impact Summary'!L$13</f>
        <v>0</v>
      </c>
      <c r="U30" s="304">
        <f>$M30*'MWh Impact Summary'!M$13</f>
        <v>0</v>
      </c>
      <c r="V30" s="304">
        <f>$M30*'MWh Impact Summary'!O$13</f>
        <v>0</v>
      </c>
      <c r="W30" s="304">
        <f>$M30*'MWh Impact Summary'!P$13</f>
        <v>0</v>
      </c>
      <c r="X30" s="304">
        <f>$M30*'MWh Impact Summary'!Q$13</f>
        <v>0</v>
      </c>
      <c r="Y30" s="85">
        <f t="shared" si="2"/>
        <v>10437.223991306051</v>
      </c>
      <c r="Z30" s="81">
        <f t="shared" si="3"/>
        <v>24517.561647485192</v>
      </c>
      <c r="AA30" s="81"/>
      <c r="AB30" s="81">
        <v>4476835</v>
      </c>
      <c r="AC30" s="308">
        <f t="shared" si="12"/>
        <v>5.476539038737231</v>
      </c>
      <c r="AD30" s="309">
        <f t="shared" si="4"/>
        <v>3.1451544799348516</v>
      </c>
      <c r="AE30" s="107">
        <f t="shared" si="5"/>
        <v>2.4700166072786793E-4</v>
      </c>
      <c r="AF30" s="309">
        <f t="shared" si="13"/>
        <v>2.3313845588023798</v>
      </c>
      <c r="AG30" s="107">
        <f t="shared" si="6"/>
        <v>1.8309302817819738E-4</v>
      </c>
      <c r="AH30" s="119">
        <f t="shared" si="14"/>
        <v>4.3009468890606534E-4</v>
      </c>
      <c r="AI30" s="122">
        <f t="shared" si="7"/>
        <v>4.3009468890606528E-4</v>
      </c>
      <c r="AJ30" s="87" t="b">
        <f t="shared" si="15"/>
        <v>1</v>
      </c>
      <c r="AK30" s="88">
        <f t="shared" si="21"/>
        <v>3.2355006517825546E-4</v>
      </c>
      <c r="AL30" s="312">
        <f>+AC30/'MWh by month-WgtbyCDH&amp;DayLtHrs'!AC30-1</f>
        <v>-0.15235026796237994</v>
      </c>
      <c r="AM30" s="89">
        <f t="shared" si="9"/>
        <v>0</v>
      </c>
      <c r="AN30" s="90"/>
      <c r="AO30" s="96"/>
      <c r="AP30" s="92"/>
      <c r="AR30" s="94">
        <f t="shared" si="10"/>
        <v>4.3009468890606528E-4</v>
      </c>
      <c r="AS30" s="95">
        <v>24907.649804064211</v>
      </c>
      <c r="AU30" s="141">
        <v>5.476539038737231</v>
      </c>
    </row>
    <row r="31" spans="1:47">
      <c r="A31" s="78">
        <v>2007</v>
      </c>
      <c r="B31" s="78">
        <v>3</v>
      </c>
      <c r="C31" s="317">
        <v>62.904147733703908</v>
      </c>
      <c r="D31" s="318">
        <f t="shared" si="22"/>
        <v>3.1004145768406152E-2</v>
      </c>
      <c r="E31" s="104">
        <f>$D31*'MWh Impact Summary'!B$13</f>
        <v>13138.468929848388</v>
      </c>
      <c r="F31" s="320">
        <f>$D31*'MWh Impact Summary'!N$13</f>
        <v>0</v>
      </c>
      <c r="G31" s="320">
        <f>$D31*'MWh Impact Summary'!C$13</f>
        <v>10728.886584387454</v>
      </c>
      <c r="H31" s="320">
        <f>$D31*'MWh Impact Summary'!D$13</f>
        <v>0</v>
      </c>
      <c r="I31" s="320">
        <f>$D31*'MWh Impact Summary'!E$13</f>
        <v>5263.3465774647848</v>
      </c>
      <c r="J31" s="104">
        <f t="shared" si="11"/>
        <v>29130.702091700627</v>
      </c>
      <c r="K31" s="298">
        <f t="shared" si="18"/>
        <v>12</v>
      </c>
      <c r="L31" s="299">
        <f t="shared" si="23"/>
        <v>8.4477296726504739E-2</v>
      </c>
      <c r="M31" s="297">
        <f t="shared" ref="M31:M40" si="24">(31/365)</f>
        <v>8.4931506849315067E-2</v>
      </c>
      <c r="N31" s="304">
        <f>$M31*'MWh Impact Summary'!F$13</f>
        <v>11323.155803004232</v>
      </c>
      <c r="O31" s="304">
        <f>$M31*'MWh Impact Summary'!G$13</f>
        <v>0</v>
      </c>
      <c r="P31" s="304">
        <f>$M31*'MWh Impact Summary'!H$13</f>
        <v>0</v>
      </c>
      <c r="Q31" s="304">
        <f>$M31*'MWh Impact Summary'!I$13</f>
        <v>232.34218737032333</v>
      </c>
      <c r="R31" s="304">
        <f>$M31*'MWh Impact Summary'!J$13</f>
        <v>0</v>
      </c>
      <c r="S31" s="304">
        <f>$M31*'MWh Impact Summary'!K$13</f>
        <v>0</v>
      </c>
      <c r="T31" s="304">
        <f>$M31*'MWh Impact Summary'!L$13</f>
        <v>0</v>
      </c>
      <c r="U31" s="304">
        <f>$M31*'MWh Impact Summary'!M$13</f>
        <v>0</v>
      </c>
      <c r="V31" s="304">
        <f>$M31*'MWh Impact Summary'!O$13</f>
        <v>0</v>
      </c>
      <c r="W31" s="304">
        <f>$M31*'MWh Impact Summary'!P$13</f>
        <v>0</v>
      </c>
      <c r="X31" s="304">
        <f>$M31*'MWh Impact Summary'!Q$13</f>
        <v>0</v>
      </c>
      <c r="Y31" s="85">
        <f t="shared" si="2"/>
        <v>11555.497990374555</v>
      </c>
      <c r="Z31" s="81">
        <f t="shared" si="3"/>
        <v>40686.200082075185</v>
      </c>
      <c r="AA31" s="81"/>
      <c r="AB31" s="81">
        <v>4488392</v>
      </c>
      <c r="AC31" s="308">
        <f t="shared" si="12"/>
        <v>9.064760850227696</v>
      </c>
      <c r="AD31" s="309">
        <f t="shared" si="4"/>
        <v>6.4902312658298627</v>
      </c>
      <c r="AE31" s="107">
        <f t="shared" si="5"/>
        <v>5.4085260548582194E-4</v>
      </c>
      <c r="AF31" s="309">
        <f t="shared" si="13"/>
        <v>2.5745295843978324</v>
      </c>
      <c r="AG31" s="107">
        <f t="shared" si="6"/>
        <v>2.1454413203315269E-4</v>
      </c>
      <c r="AH31" s="119">
        <f t="shared" si="14"/>
        <v>7.5539673751897469E-4</v>
      </c>
      <c r="AI31" s="122">
        <f t="shared" si="7"/>
        <v>7.5539673751897458E-4</v>
      </c>
      <c r="AJ31" s="87" t="b">
        <f t="shared" si="15"/>
        <v>1</v>
      </c>
      <c r="AK31" s="88">
        <f t="shared" si="21"/>
        <v>4.7481196055353824E-4</v>
      </c>
      <c r="AL31" s="312">
        <f>+AC31/'MWh by month-WgtbyCDH&amp;DayLtHrs'!AC31-1</f>
        <v>-3.9331778203090639E-2</v>
      </c>
      <c r="AM31" s="89">
        <f t="shared" si="9"/>
        <v>0</v>
      </c>
      <c r="AN31" s="90"/>
      <c r="AO31" s="96"/>
      <c r="AP31" s="92"/>
      <c r="AR31" s="94">
        <f t="shared" si="10"/>
        <v>7.5539673751897458E-4</v>
      </c>
      <c r="AS31" s="95">
        <v>39962.531076133993</v>
      </c>
      <c r="AU31" s="141">
        <v>9.064760850227696</v>
      </c>
    </row>
    <row r="32" spans="1:47">
      <c r="A32" s="78">
        <v>2007</v>
      </c>
      <c r="B32" s="78">
        <v>4</v>
      </c>
      <c r="C32" s="317">
        <v>101.96136613292563</v>
      </c>
      <c r="D32" s="318">
        <f t="shared" si="22"/>
        <v>5.0254636176197312E-2</v>
      </c>
      <c r="E32" s="104">
        <f>$D32*'MWh Impact Summary'!B$13</f>
        <v>21296.1511958388</v>
      </c>
      <c r="F32" s="320">
        <f>$D32*'MWh Impact Summary'!N$13</f>
        <v>0</v>
      </c>
      <c r="G32" s="320">
        <f>$D32*'MWh Impact Summary'!C$13</f>
        <v>17390.45790526205</v>
      </c>
      <c r="H32" s="320">
        <f>$D32*'MWh Impact Summary'!D$13</f>
        <v>0</v>
      </c>
      <c r="I32" s="320">
        <f>$D32*'MWh Impact Summary'!E$13</f>
        <v>8531.3612345760739</v>
      </c>
      <c r="J32" s="104">
        <f t="shared" si="11"/>
        <v>47217.970335676931</v>
      </c>
      <c r="K32" s="298">
        <f t="shared" si="18"/>
        <v>11.2</v>
      </c>
      <c r="L32" s="299">
        <f t="shared" si="23"/>
        <v>7.8845476944737758E-2</v>
      </c>
      <c r="M32" s="297">
        <f>(30/365)</f>
        <v>8.2191780821917804E-2</v>
      </c>
      <c r="N32" s="304">
        <f>$M32*'MWh Impact Summary'!F$13</f>
        <v>10957.892712584742</v>
      </c>
      <c r="O32" s="304">
        <f>$M32*'MWh Impact Summary'!G$13</f>
        <v>0</v>
      </c>
      <c r="P32" s="304">
        <f>$M32*'MWh Impact Summary'!H$13</f>
        <v>0</v>
      </c>
      <c r="Q32" s="304">
        <f>$M32*'MWh Impact Summary'!I$13</f>
        <v>224.84727810031291</v>
      </c>
      <c r="R32" s="304">
        <f>$M32*'MWh Impact Summary'!J$13</f>
        <v>0</v>
      </c>
      <c r="S32" s="304">
        <f>$M32*'MWh Impact Summary'!K$13</f>
        <v>0</v>
      </c>
      <c r="T32" s="304">
        <f>$M32*'MWh Impact Summary'!L$13</f>
        <v>0</v>
      </c>
      <c r="U32" s="304">
        <f>$M32*'MWh Impact Summary'!M$13</f>
        <v>0</v>
      </c>
      <c r="V32" s="304">
        <f>$M32*'MWh Impact Summary'!O$13</f>
        <v>0</v>
      </c>
      <c r="W32" s="304">
        <f>$M32*'MWh Impact Summary'!P$13</f>
        <v>0</v>
      </c>
      <c r="X32" s="304">
        <f>$M32*'MWh Impact Summary'!Q$13</f>
        <v>0</v>
      </c>
      <c r="Y32" s="85">
        <f t="shared" si="2"/>
        <v>11182.739990685055</v>
      </c>
      <c r="Z32" s="81">
        <f t="shared" si="3"/>
        <v>58400.710326361987</v>
      </c>
      <c r="AA32" s="81"/>
      <c r="AB32" s="81">
        <v>4493310</v>
      </c>
      <c r="AC32" s="308">
        <f t="shared" si="12"/>
        <v>12.99725821863214</v>
      </c>
      <c r="AD32" s="309">
        <f t="shared" si="4"/>
        <v>10.508504940829129</v>
      </c>
      <c r="AE32" s="107">
        <f t="shared" si="5"/>
        <v>9.3825936971688654E-4</v>
      </c>
      <c r="AF32" s="309">
        <f t="shared" si="13"/>
        <v>2.4887532778030126</v>
      </c>
      <c r="AG32" s="107">
        <f t="shared" si="6"/>
        <v>2.222101140895547E-4</v>
      </c>
      <c r="AH32" s="119">
        <f t="shared" si="14"/>
        <v>1.1604694838064412E-3</v>
      </c>
      <c r="AI32" s="122">
        <f t="shared" si="7"/>
        <v>1.160469483806441E-3</v>
      </c>
      <c r="AJ32" s="87" t="b">
        <f t="shared" si="15"/>
        <v>1</v>
      </c>
      <c r="AK32" s="88">
        <f t="shared" si="21"/>
        <v>4.4403788780880249E-4</v>
      </c>
      <c r="AL32" s="312">
        <f>+AC32/'MWh by month-WgtbyCDH&amp;DayLtHrs'!AC32-1</f>
        <v>-0.10472577696370799</v>
      </c>
      <c r="AM32" s="89">
        <f t="shared" si="9"/>
        <v>0</v>
      </c>
      <c r="AN32" s="90"/>
      <c r="AO32" s="96"/>
      <c r="AP32" s="92"/>
      <c r="AR32" s="94">
        <f t="shared" si="10"/>
        <v>1.160469483806441E-3</v>
      </c>
      <c r="AS32" s="95">
        <v>65231.07069002543</v>
      </c>
      <c r="AU32" s="141">
        <v>12.99725821863214</v>
      </c>
    </row>
    <row r="33" spans="1:47">
      <c r="A33" s="78">
        <v>2007</v>
      </c>
      <c r="B33" s="78">
        <v>5</v>
      </c>
      <c r="C33" s="317">
        <v>167.18600773431663</v>
      </c>
      <c r="D33" s="318">
        <f t="shared" si="22"/>
        <v>8.2402505096740145E-2</v>
      </c>
      <c r="E33" s="104">
        <f>$D33*'MWh Impact Summary'!B$13</f>
        <v>34919.28986021052</v>
      </c>
      <c r="F33" s="320">
        <f>$D33*'MWh Impact Summary'!N$13</f>
        <v>0</v>
      </c>
      <c r="G33" s="320">
        <f>$D33*'MWh Impact Summary'!C$13</f>
        <v>28515.126269120974</v>
      </c>
      <c r="H33" s="320">
        <f>$D33*'MWh Impact Summary'!D$13</f>
        <v>0</v>
      </c>
      <c r="I33" s="320">
        <f>$D33*'MWh Impact Summary'!E$13</f>
        <v>13988.869308484995</v>
      </c>
      <c r="J33" s="104">
        <f t="shared" si="11"/>
        <v>77423.285437816492</v>
      </c>
      <c r="K33" s="298">
        <f t="shared" si="18"/>
        <v>10.533333333333333</v>
      </c>
      <c r="L33" s="299">
        <f t="shared" si="23"/>
        <v>7.4152293793265281E-2</v>
      </c>
      <c r="M33" s="297">
        <f t="shared" si="24"/>
        <v>8.4931506849315067E-2</v>
      </c>
      <c r="N33" s="304">
        <f>$M33*'MWh Impact Summary'!F$13</f>
        <v>11323.155803004232</v>
      </c>
      <c r="O33" s="304">
        <f>$M33*'MWh Impact Summary'!G$13</f>
        <v>0</v>
      </c>
      <c r="P33" s="304">
        <f>$M33*'MWh Impact Summary'!H$13</f>
        <v>0</v>
      </c>
      <c r="Q33" s="304">
        <f>$M33*'MWh Impact Summary'!I$13</f>
        <v>232.34218737032333</v>
      </c>
      <c r="R33" s="304">
        <f>$M33*'MWh Impact Summary'!J$13</f>
        <v>0</v>
      </c>
      <c r="S33" s="304">
        <f>$M33*'MWh Impact Summary'!K$13</f>
        <v>0</v>
      </c>
      <c r="T33" s="304">
        <f>$M33*'MWh Impact Summary'!L$13</f>
        <v>0</v>
      </c>
      <c r="U33" s="304">
        <f>$M33*'MWh Impact Summary'!M$13</f>
        <v>0</v>
      </c>
      <c r="V33" s="304">
        <f>$M33*'MWh Impact Summary'!O$13</f>
        <v>0</v>
      </c>
      <c r="W33" s="304">
        <f>$M33*'MWh Impact Summary'!P$13</f>
        <v>0</v>
      </c>
      <c r="X33" s="304">
        <f>$M33*'MWh Impact Summary'!Q$13</f>
        <v>0</v>
      </c>
      <c r="Y33" s="85">
        <f t="shared" si="2"/>
        <v>11555.497990374555</v>
      </c>
      <c r="Z33" s="81">
        <f t="shared" si="3"/>
        <v>88978.783428191047</v>
      </c>
      <c r="AA33" s="81"/>
      <c r="AB33" s="81">
        <v>4494060</v>
      </c>
      <c r="AC33" s="308">
        <f t="shared" si="12"/>
        <v>19.799197925303858</v>
      </c>
      <c r="AD33" s="309">
        <f t="shared" si="4"/>
        <v>17.227915390051866</v>
      </c>
      <c r="AE33" s="107">
        <f t="shared" si="5"/>
        <v>1.6355615876631517E-3</v>
      </c>
      <c r="AF33" s="309">
        <f t="shared" si="13"/>
        <v>2.5712825352519895</v>
      </c>
      <c r="AG33" s="107">
        <f t="shared" si="6"/>
        <v>2.4410910144797367E-4</v>
      </c>
      <c r="AH33" s="119">
        <f t="shared" si="14"/>
        <v>1.8796706891111253E-3</v>
      </c>
      <c r="AI33" s="122">
        <f t="shared" si="7"/>
        <v>1.8796706891111258E-3</v>
      </c>
      <c r="AJ33" s="87" t="b">
        <f t="shared" si="15"/>
        <v>1</v>
      </c>
      <c r="AK33" s="88">
        <f t="shared" si="21"/>
        <v>7.2337435958049487E-4</v>
      </c>
      <c r="AL33" s="312">
        <f>+AC33/'MWh by month-WgtbyCDH&amp;DayLtHrs'!AC33-1</f>
        <v>-0.18917140215353012</v>
      </c>
      <c r="AM33" s="89">
        <f t="shared" si="9"/>
        <v>0</v>
      </c>
      <c r="AN33" s="90"/>
      <c r="AO33" s="96"/>
      <c r="AP33" s="92"/>
      <c r="AR33" s="94">
        <f t="shared" si="10"/>
        <v>1.8796706891111258E-3</v>
      </c>
      <c r="AS33" s="95">
        <v>102984.96257484006</v>
      </c>
      <c r="AU33" s="141">
        <v>19.799197925303858</v>
      </c>
    </row>
    <row r="34" spans="1:47">
      <c r="A34" s="78">
        <v>2007</v>
      </c>
      <c r="B34" s="78">
        <v>6</v>
      </c>
      <c r="C34" s="317">
        <v>252.06000455953384</v>
      </c>
      <c r="D34" s="318">
        <f t="shared" si="22"/>
        <v>0.12423513242453003</v>
      </c>
      <c r="E34" s="104">
        <f>$D34*'MWh Impact Summary'!B$13</f>
        <v>52646.489264625801</v>
      </c>
      <c r="F34" s="320">
        <f>$D34*'MWh Impact Summary'!N$13</f>
        <v>0</v>
      </c>
      <c r="G34" s="320">
        <f>$D34*'MWh Impact Summary'!C$13</f>
        <v>42991.174649210807</v>
      </c>
      <c r="H34" s="320">
        <f>$D34*'MWh Impact Summary'!D$13</f>
        <v>0</v>
      </c>
      <c r="I34" s="320">
        <f>$D34*'MWh Impact Summary'!E$13</f>
        <v>21090.487831271395</v>
      </c>
      <c r="J34" s="104">
        <f t="shared" si="11"/>
        <v>116728.15174510801</v>
      </c>
      <c r="K34" s="298">
        <f t="shared" si="18"/>
        <v>10.199999999999999</v>
      </c>
      <c r="L34" s="299">
        <f t="shared" si="23"/>
        <v>7.1805702217529022E-2</v>
      </c>
      <c r="M34" s="297">
        <f>(30/365)</f>
        <v>8.2191780821917804E-2</v>
      </c>
      <c r="N34" s="304">
        <f>$M34*'MWh Impact Summary'!F$13</f>
        <v>10957.892712584742</v>
      </c>
      <c r="O34" s="304">
        <f>$M34*'MWh Impact Summary'!G$13</f>
        <v>0</v>
      </c>
      <c r="P34" s="304">
        <f>$M34*'MWh Impact Summary'!H$13</f>
        <v>0</v>
      </c>
      <c r="Q34" s="304">
        <f>$M34*'MWh Impact Summary'!I$13</f>
        <v>224.84727810031291</v>
      </c>
      <c r="R34" s="304">
        <f>$M34*'MWh Impact Summary'!J$13</f>
        <v>0</v>
      </c>
      <c r="S34" s="304">
        <f>$M34*'MWh Impact Summary'!K$13</f>
        <v>0</v>
      </c>
      <c r="T34" s="304">
        <f>$M34*'MWh Impact Summary'!L$13</f>
        <v>0</v>
      </c>
      <c r="U34" s="304">
        <f>$M34*'MWh Impact Summary'!M$13</f>
        <v>0</v>
      </c>
      <c r="V34" s="304">
        <f>$M34*'MWh Impact Summary'!O$13</f>
        <v>0</v>
      </c>
      <c r="W34" s="304">
        <f>$M34*'MWh Impact Summary'!P$13</f>
        <v>0</v>
      </c>
      <c r="X34" s="304">
        <f>$M34*'MWh Impact Summary'!Q$13</f>
        <v>0</v>
      </c>
      <c r="Y34" s="85">
        <f t="shared" si="2"/>
        <v>11182.739990685055</v>
      </c>
      <c r="Z34" s="81">
        <f t="shared" si="3"/>
        <v>127910.89173579306</v>
      </c>
      <c r="AA34" s="81"/>
      <c r="AB34" s="81">
        <v>4497400</v>
      </c>
      <c r="AC34" s="308">
        <f t="shared" si="12"/>
        <v>28.441075229197551</v>
      </c>
      <c r="AD34" s="309">
        <f t="shared" si="4"/>
        <v>25.954585259284922</v>
      </c>
      <c r="AE34" s="107">
        <f t="shared" si="5"/>
        <v>2.5445671822828357E-3</v>
      </c>
      <c r="AF34" s="309">
        <f t="shared" si="13"/>
        <v>2.4864899699126286</v>
      </c>
      <c r="AG34" s="107">
        <f t="shared" si="6"/>
        <v>2.4377352646202244E-4</v>
      </c>
      <c r="AH34" s="119">
        <f t="shared" si="14"/>
        <v>2.7883407087448582E-3</v>
      </c>
      <c r="AI34" s="122">
        <f t="shared" si="7"/>
        <v>2.7883407087448582E-3</v>
      </c>
      <c r="AJ34" s="87" t="b">
        <f t="shared" si="15"/>
        <v>1</v>
      </c>
      <c r="AK34" s="88">
        <f t="shared" si="21"/>
        <v>1.1085697823689886E-3</v>
      </c>
      <c r="AL34" s="312">
        <f>+AC34/'MWh by month-WgtbyCDH&amp;DayLtHrs'!AC34-1</f>
        <v>-8.3855632741051345E-2</v>
      </c>
      <c r="AM34" s="89">
        <f t="shared" si="9"/>
        <v>0</v>
      </c>
      <c r="AN34" s="90"/>
      <c r="AO34" s="96"/>
      <c r="AP34" s="92"/>
      <c r="AR34" s="94">
        <f t="shared" si="10"/>
        <v>2.7883407087448582E-3</v>
      </c>
      <c r="AS34" s="95">
        <v>144692.84347818667</v>
      </c>
      <c r="AU34" s="141">
        <v>28.441075229197551</v>
      </c>
    </row>
    <row r="35" spans="1:47">
      <c r="A35" s="78">
        <v>2007</v>
      </c>
      <c r="B35" s="78">
        <v>7</v>
      </c>
      <c r="C35" s="317">
        <v>317.68883259272025</v>
      </c>
      <c r="D35" s="318">
        <f t="shared" si="22"/>
        <v>0.15658221642866396</v>
      </c>
      <c r="E35" s="104">
        <f>$D35*'MWh Impact Summary'!B$13</f>
        <v>66354.048290250808</v>
      </c>
      <c r="F35" s="320">
        <f>$D35*'MWh Impact Summary'!N$13</f>
        <v>0</v>
      </c>
      <c r="G35" s="320">
        <f>$D35*'MWh Impact Summary'!C$13</f>
        <v>54184.780762676302</v>
      </c>
      <c r="H35" s="320">
        <f>$D35*'MWh Impact Summary'!D$13</f>
        <v>0</v>
      </c>
      <c r="I35" s="320">
        <f>$D35*'MWh Impact Summary'!E$13</f>
        <v>26581.815189744091</v>
      </c>
      <c r="J35" s="104">
        <f t="shared" si="11"/>
        <v>147120.6442426712</v>
      </c>
      <c r="K35" s="298">
        <f t="shared" si="18"/>
        <v>10.366666666666667</v>
      </c>
      <c r="L35" s="299">
        <f t="shared" si="23"/>
        <v>7.2978998005397158E-2</v>
      </c>
      <c r="M35" s="297">
        <f t="shared" si="24"/>
        <v>8.4931506849315067E-2</v>
      </c>
      <c r="N35" s="304">
        <f>$M35*'MWh Impact Summary'!F$13</f>
        <v>11323.155803004232</v>
      </c>
      <c r="O35" s="304">
        <f>$M35*'MWh Impact Summary'!G$13</f>
        <v>0</v>
      </c>
      <c r="P35" s="304">
        <f>$M35*'MWh Impact Summary'!H$13</f>
        <v>0</v>
      </c>
      <c r="Q35" s="304">
        <f>$M35*'MWh Impact Summary'!I$13</f>
        <v>232.34218737032333</v>
      </c>
      <c r="R35" s="304">
        <f>$M35*'MWh Impact Summary'!J$13</f>
        <v>0</v>
      </c>
      <c r="S35" s="304">
        <f>$M35*'MWh Impact Summary'!K$13</f>
        <v>0</v>
      </c>
      <c r="T35" s="304">
        <f>$M35*'MWh Impact Summary'!L$13</f>
        <v>0</v>
      </c>
      <c r="U35" s="304">
        <f>$M35*'MWh Impact Summary'!M$13</f>
        <v>0</v>
      </c>
      <c r="V35" s="304">
        <f>$M35*'MWh Impact Summary'!O$13</f>
        <v>0</v>
      </c>
      <c r="W35" s="304">
        <f>$M35*'MWh Impact Summary'!P$13</f>
        <v>0</v>
      </c>
      <c r="X35" s="304">
        <f>$M35*'MWh Impact Summary'!Q$13</f>
        <v>0</v>
      </c>
      <c r="Y35" s="85">
        <f t="shared" si="2"/>
        <v>11555.497990374555</v>
      </c>
      <c r="Z35" s="81">
        <f t="shared" si="3"/>
        <v>158676.14223304577</v>
      </c>
      <c r="AA35" s="81"/>
      <c r="AB35" s="81">
        <v>4502735</v>
      </c>
      <c r="AC35" s="308">
        <f t="shared" si="12"/>
        <v>35.239946884070626</v>
      </c>
      <c r="AD35" s="309">
        <f t="shared" si="4"/>
        <v>32.673618199310241</v>
      </c>
      <c r="AE35" s="107">
        <f t="shared" si="5"/>
        <v>3.1517959677791227E-3</v>
      </c>
      <c r="AF35" s="309">
        <f t="shared" si="13"/>
        <v>2.5663286847603857</v>
      </c>
      <c r="AG35" s="107">
        <f t="shared" si="6"/>
        <v>2.4755582168106612E-4</v>
      </c>
      <c r="AH35" s="119">
        <f t="shared" si="14"/>
        <v>3.3993517894601887E-3</v>
      </c>
      <c r="AI35" s="122">
        <f t="shared" si="7"/>
        <v>3.3993517894601892E-3</v>
      </c>
      <c r="AJ35" s="87" t="b">
        <f t="shared" si="15"/>
        <v>1</v>
      </c>
      <c r="AK35" s="88">
        <f t="shared" si="21"/>
        <v>1.6087016493255034E-3</v>
      </c>
      <c r="AL35" s="312">
        <f>+AC35/'MWh by month-WgtbyCDH&amp;DayLtHrs'!AC35-1</f>
        <v>-3.2354360337614407E-2</v>
      </c>
      <c r="AM35" s="89">
        <f t="shared" si="9"/>
        <v>0</v>
      </c>
      <c r="AN35" s="90"/>
      <c r="AO35" s="96"/>
      <c r="AP35" s="92"/>
      <c r="AR35" s="94">
        <f t="shared" si="10"/>
        <v>3.3993517894601892E-3</v>
      </c>
      <c r="AS35" s="95">
        <v>160999.38431175053</v>
      </c>
      <c r="AU35" s="141">
        <v>35.239946884070626</v>
      </c>
    </row>
    <row r="36" spans="1:47">
      <c r="A36" s="78">
        <v>2007</v>
      </c>
      <c r="B36" s="78">
        <v>8</v>
      </c>
      <c r="C36" s="317">
        <v>363.99549307537717</v>
      </c>
      <c r="D36" s="318">
        <f t="shared" si="22"/>
        <v>0.17940580602294989</v>
      </c>
      <c r="E36" s="104">
        <f>$D36*'MWh Impact Summary'!B$13</f>
        <v>76025.884598597273</v>
      </c>
      <c r="F36" s="320">
        <f>$D36*'MWh Impact Summary'!N$13</f>
        <v>0</v>
      </c>
      <c r="G36" s="320">
        <f>$D36*'MWh Impact Summary'!C$13</f>
        <v>62082.811756171002</v>
      </c>
      <c r="H36" s="320">
        <f>$D36*'MWh Impact Summary'!D$13</f>
        <v>0</v>
      </c>
      <c r="I36" s="320">
        <f>$D36*'MWh Impact Summary'!E$13</f>
        <v>30456.408706168564</v>
      </c>
      <c r="J36" s="104">
        <f t="shared" si="11"/>
        <v>168565.10506093682</v>
      </c>
      <c r="K36" s="298">
        <f t="shared" si="18"/>
        <v>10.933333333333334</v>
      </c>
      <c r="L36" s="299">
        <f t="shared" si="23"/>
        <v>7.6968203684148764E-2</v>
      </c>
      <c r="M36" s="297">
        <f t="shared" si="24"/>
        <v>8.4931506849315067E-2</v>
      </c>
      <c r="N36" s="304">
        <f>$M36*'MWh Impact Summary'!F$13</f>
        <v>11323.155803004232</v>
      </c>
      <c r="O36" s="304">
        <f>$M36*'MWh Impact Summary'!G$13</f>
        <v>0</v>
      </c>
      <c r="P36" s="304">
        <f>$M36*'MWh Impact Summary'!H$13</f>
        <v>0</v>
      </c>
      <c r="Q36" s="304">
        <f>$M36*'MWh Impact Summary'!I$13</f>
        <v>232.34218737032333</v>
      </c>
      <c r="R36" s="304">
        <f>$M36*'MWh Impact Summary'!J$13</f>
        <v>0</v>
      </c>
      <c r="S36" s="304">
        <f>$M36*'MWh Impact Summary'!K$13</f>
        <v>0</v>
      </c>
      <c r="T36" s="304">
        <f>$M36*'MWh Impact Summary'!L$13</f>
        <v>0</v>
      </c>
      <c r="U36" s="304">
        <f>$M36*'MWh Impact Summary'!M$13</f>
        <v>0</v>
      </c>
      <c r="V36" s="304">
        <f>$M36*'MWh Impact Summary'!O$13</f>
        <v>0</v>
      </c>
      <c r="W36" s="304">
        <f>$M36*'MWh Impact Summary'!P$13</f>
        <v>0</v>
      </c>
      <c r="X36" s="304">
        <f>$M36*'MWh Impact Summary'!Q$13</f>
        <v>0</v>
      </c>
      <c r="Y36" s="85">
        <f t="shared" si="2"/>
        <v>11555.497990374555</v>
      </c>
      <c r="Z36" s="81">
        <f t="shared" si="3"/>
        <v>180120.60305131139</v>
      </c>
      <c r="AA36" s="81"/>
      <c r="AB36" s="81">
        <v>4508215</v>
      </c>
      <c r="AC36" s="308">
        <f t="shared" si="12"/>
        <v>39.953862682084015</v>
      </c>
      <c r="AD36" s="309">
        <f t="shared" si="4"/>
        <v>37.390653520503534</v>
      </c>
      <c r="AE36" s="107">
        <f t="shared" si="5"/>
        <v>3.4198768463875183E-3</v>
      </c>
      <c r="AF36" s="309">
        <f t="shared" si="13"/>
        <v>2.5632091615804828</v>
      </c>
      <c r="AG36" s="107">
        <f t="shared" si="6"/>
        <v>2.3443986233967831E-4</v>
      </c>
      <c r="AH36" s="119">
        <f t="shared" si="14"/>
        <v>3.6543167087271966E-3</v>
      </c>
      <c r="AI36" s="122">
        <f t="shared" si="7"/>
        <v>3.6543167087271966E-3</v>
      </c>
      <c r="AJ36" s="87" t="b">
        <f t="shared" si="15"/>
        <v>1</v>
      </c>
      <c r="AK36" s="88">
        <f t="shared" si="21"/>
        <v>1.8269828769263549E-3</v>
      </c>
      <c r="AL36" s="312">
        <f>+AC36/'MWh by month-WgtbyCDH&amp;DayLtHrs'!AC36-1</f>
        <v>8.1873195281817468E-2</v>
      </c>
      <c r="AM36" s="89">
        <f t="shared" si="9"/>
        <v>0</v>
      </c>
      <c r="AN36" s="90"/>
      <c r="AO36" s="96"/>
      <c r="AP36" s="92"/>
      <c r="AR36" s="94">
        <f t="shared" si="10"/>
        <v>3.6543167087271966E-3</v>
      </c>
      <c r="AS36" s="95">
        <v>168022.38742171641</v>
      </c>
      <c r="AU36" s="141">
        <v>39.953862682084015</v>
      </c>
    </row>
    <row r="37" spans="1:47">
      <c r="A37" s="78">
        <v>2007</v>
      </c>
      <c r="B37" s="78">
        <v>9</v>
      </c>
      <c r="C37" s="317">
        <v>282.71295608659966</v>
      </c>
      <c r="D37" s="318">
        <f t="shared" si="22"/>
        <v>0.13934333453228759</v>
      </c>
      <c r="E37" s="104">
        <f>$D37*'MWh Impact Summary'!B$13</f>
        <v>59048.815116832207</v>
      </c>
      <c r="F37" s="320">
        <f>$D37*'MWh Impact Summary'!N$13</f>
        <v>0</v>
      </c>
      <c r="G37" s="320">
        <f>$D37*'MWh Impact Summary'!C$13</f>
        <v>48219.320204935531</v>
      </c>
      <c r="H37" s="320">
        <f>$D37*'MWh Impact Summary'!D$13</f>
        <v>0</v>
      </c>
      <c r="I37" s="320">
        <f>$D37*'MWh Impact Summary'!E$13</f>
        <v>23655.296565222845</v>
      </c>
      <c r="J37" s="104">
        <f t="shared" si="11"/>
        <v>130923.43188699058</v>
      </c>
      <c r="K37" s="298">
        <f t="shared" si="18"/>
        <v>11.683333333333334</v>
      </c>
      <c r="L37" s="299">
        <f t="shared" si="23"/>
        <v>8.2248034729555317E-2</v>
      </c>
      <c r="M37" s="297">
        <f>(30/365)</f>
        <v>8.2191780821917804E-2</v>
      </c>
      <c r="N37" s="304">
        <f>$M37*'MWh Impact Summary'!F$13</f>
        <v>10957.892712584742</v>
      </c>
      <c r="O37" s="304">
        <f>$M37*'MWh Impact Summary'!G$13</f>
        <v>0</v>
      </c>
      <c r="P37" s="304">
        <f>$M37*'MWh Impact Summary'!H$13</f>
        <v>0</v>
      </c>
      <c r="Q37" s="304">
        <f>$M37*'MWh Impact Summary'!I$13</f>
        <v>224.84727810031291</v>
      </c>
      <c r="R37" s="304">
        <f>$M37*'MWh Impact Summary'!J$13</f>
        <v>0</v>
      </c>
      <c r="S37" s="304">
        <f>$M37*'MWh Impact Summary'!K$13</f>
        <v>0</v>
      </c>
      <c r="T37" s="304">
        <f>$M37*'MWh Impact Summary'!L$13</f>
        <v>0</v>
      </c>
      <c r="U37" s="304">
        <f>$M37*'MWh Impact Summary'!M$13</f>
        <v>0</v>
      </c>
      <c r="V37" s="304">
        <f>$M37*'MWh Impact Summary'!O$13</f>
        <v>0</v>
      </c>
      <c r="W37" s="304">
        <f>$M37*'MWh Impact Summary'!P$13</f>
        <v>0</v>
      </c>
      <c r="X37" s="304">
        <f>$M37*'MWh Impact Summary'!Q$13</f>
        <v>0</v>
      </c>
      <c r="Y37" s="85">
        <f t="shared" si="2"/>
        <v>11182.739990685055</v>
      </c>
      <c r="Z37" s="81">
        <f t="shared" si="3"/>
        <v>142106.17187767563</v>
      </c>
      <c r="AA37" s="81"/>
      <c r="AB37" s="81">
        <v>4507674</v>
      </c>
      <c r="AC37" s="308">
        <f t="shared" si="12"/>
        <v>31.525388011128495</v>
      </c>
      <c r="AD37" s="309">
        <f t="shared" si="4"/>
        <v>29.044565309512308</v>
      </c>
      <c r="AE37" s="107">
        <f t="shared" si="5"/>
        <v>2.4859827654361458E-3</v>
      </c>
      <c r="AF37" s="309">
        <f t="shared" si="13"/>
        <v>2.4808227016161895</v>
      </c>
      <c r="AG37" s="107">
        <f t="shared" si="6"/>
        <v>2.1233860498854688E-4</v>
      </c>
      <c r="AH37" s="119">
        <f t="shared" si="14"/>
        <v>2.6983213704246927E-3</v>
      </c>
      <c r="AI37" s="122">
        <f t="shared" si="7"/>
        <v>2.6983213704246927E-3</v>
      </c>
      <c r="AJ37" s="87" t="b">
        <f t="shared" si="15"/>
        <v>1</v>
      </c>
      <c r="AK37" s="88">
        <f t="shared" si="21"/>
        <v>1.2869948209007784E-3</v>
      </c>
      <c r="AL37" s="312">
        <f>+AC37/'MWh by month-WgtbyCDH&amp;DayLtHrs'!AC37-1</f>
        <v>-1.3014360383090118E-2</v>
      </c>
      <c r="AM37" s="89">
        <f t="shared" si="9"/>
        <v>0</v>
      </c>
      <c r="AN37" s="90"/>
      <c r="AO37" s="96"/>
      <c r="AP37" s="92"/>
      <c r="AR37" s="94">
        <f t="shared" si="10"/>
        <v>2.6983213704246927E-3</v>
      </c>
      <c r="AS37" s="95">
        <v>152906.03362448115</v>
      </c>
      <c r="AU37" s="141">
        <v>31.525388011128495</v>
      </c>
    </row>
    <row r="38" spans="1:47">
      <c r="A38" s="78">
        <v>2007</v>
      </c>
      <c r="B38" s="78">
        <v>10</v>
      </c>
      <c r="C38" s="317">
        <v>252.26314149058356</v>
      </c>
      <c r="D38" s="318">
        <f t="shared" si="22"/>
        <v>0.12433525439181072</v>
      </c>
      <c r="E38" s="104">
        <f>$D38*'MWh Impact Summary'!B$13</f>
        <v>52688.917440720012</v>
      </c>
      <c r="F38" s="320">
        <f>$D38*'MWh Impact Summary'!N$13</f>
        <v>0</v>
      </c>
      <c r="G38" s="320">
        <f>$D38*'MWh Impact Summary'!C$13</f>
        <v>43025.821539326214</v>
      </c>
      <c r="H38" s="320">
        <f>$D38*'MWh Impact Summary'!D$13</f>
        <v>0</v>
      </c>
      <c r="I38" s="320">
        <f>$D38*'MWh Impact Summary'!E$13</f>
        <v>21107.484803797335</v>
      </c>
      <c r="J38" s="104">
        <f t="shared" si="11"/>
        <v>116822.22378384357</v>
      </c>
      <c r="K38" s="298">
        <f t="shared" si="18"/>
        <v>12.466666666666667</v>
      </c>
      <c r="L38" s="299">
        <f t="shared" si="23"/>
        <v>8.7762524932535488E-2</v>
      </c>
      <c r="M38" s="297">
        <f t="shared" si="24"/>
        <v>8.4931506849315067E-2</v>
      </c>
      <c r="N38" s="304">
        <f>$M38*'MWh Impact Summary'!F$13</f>
        <v>11323.155803004232</v>
      </c>
      <c r="O38" s="304">
        <f>$M38*'MWh Impact Summary'!G$13</f>
        <v>0</v>
      </c>
      <c r="P38" s="304">
        <f>$M38*'MWh Impact Summary'!H$13</f>
        <v>0</v>
      </c>
      <c r="Q38" s="304">
        <f>$M38*'MWh Impact Summary'!I$13</f>
        <v>232.34218737032333</v>
      </c>
      <c r="R38" s="304">
        <f>$M38*'MWh Impact Summary'!J$13</f>
        <v>0</v>
      </c>
      <c r="S38" s="304">
        <f>$M38*'MWh Impact Summary'!K$13</f>
        <v>0</v>
      </c>
      <c r="T38" s="304">
        <f>$M38*'MWh Impact Summary'!L$13</f>
        <v>0</v>
      </c>
      <c r="U38" s="304">
        <f>$M38*'MWh Impact Summary'!M$13</f>
        <v>0</v>
      </c>
      <c r="V38" s="304">
        <f>$M38*'MWh Impact Summary'!O$13</f>
        <v>0</v>
      </c>
      <c r="W38" s="304">
        <f>$M38*'MWh Impact Summary'!P$13</f>
        <v>0</v>
      </c>
      <c r="X38" s="304">
        <f>$M38*'MWh Impact Summary'!Q$13</f>
        <v>0</v>
      </c>
      <c r="Y38" s="85">
        <f t="shared" si="2"/>
        <v>11555.497990374555</v>
      </c>
      <c r="Z38" s="81">
        <f t="shared" si="3"/>
        <v>128377.72177421812</v>
      </c>
      <c r="AA38" s="81"/>
      <c r="AB38" s="81">
        <v>4507737</v>
      </c>
      <c r="AC38" s="308">
        <f t="shared" si="12"/>
        <v>28.479417005521423</v>
      </c>
      <c r="AD38" s="309">
        <f t="shared" si="4"/>
        <v>25.915936041486795</v>
      </c>
      <c r="AE38" s="107">
        <f t="shared" si="5"/>
        <v>2.078818399049743E-3</v>
      </c>
      <c r="AF38" s="309">
        <f t="shared" si="13"/>
        <v>2.5634809640346266</v>
      </c>
      <c r="AG38" s="107">
        <f t="shared" si="6"/>
        <v>2.0562681529689517E-4</v>
      </c>
      <c r="AH38" s="119">
        <f t="shared" si="14"/>
        <v>2.2844452143466381E-3</v>
      </c>
      <c r="AI38" s="122">
        <f t="shared" si="7"/>
        <v>2.2844452143466381E-3</v>
      </c>
      <c r="AJ38" s="87" t="b">
        <f t="shared" si="15"/>
        <v>1</v>
      </c>
      <c r="AK38" s="88">
        <f t="shared" si="21"/>
        <v>1.3130727770678452E-3</v>
      </c>
      <c r="AL38" s="312">
        <f>+AC38/'MWh by month-WgtbyCDH&amp;DayLtHrs'!AC38-1</f>
        <v>0.20012032549179914</v>
      </c>
      <c r="AM38" s="89">
        <f t="shared" si="9"/>
        <v>0</v>
      </c>
      <c r="AN38" s="90"/>
      <c r="AO38" s="96"/>
      <c r="AP38" s="92"/>
      <c r="AR38" s="94">
        <f t="shared" si="10"/>
        <v>2.2844452143466381E-3</v>
      </c>
      <c r="AS38" s="95">
        <v>106144.52831218758</v>
      </c>
      <c r="AU38" s="141">
        <v>28.479417005521423</v>
      </c>
    </row>
    <row r="39" spans="1:47">
      <c r="A39" s="78">
        <v>2007</v>
      </c>
      <c r="B39" s="78">
        <v>11</v>
      </c>
      <c r="C39" s="317">
        <v>74.999636464394925</v>
      </c>
      <c r="D39" s="318">
        <f t="shared" si="22"/>
        <v>3.6965760530822345E-2</v>
      </c>
      <c r="E39" s="104">
        <f>$D39*'MWh Impact Summary'!B$13</f>
        <v>15664.792051691884</v>
      </c>
      <c r="F39" s="320">
        <f>$D39*'MWh Impact Summary'!N$13</f>
        <v>0</v>
      </c>
      <c r="G39" s="320">
        <f>$D39*'MWh Impact Summary'!C$13</f>
        <v>12791.884517746137</v>
      </c>
      <c r="H39" s="320">
        <f>$D39*'MWh Impact Summary'!D$13</f>
        <v>0</v>
      </c>
      <c r="I39" s="320">
        <f>$D39*'MWh Impact Summary'!E$13</f>
        <v>6275.4062191112143</v>
      </c>
      <c r="J39" s="104">
        <f t="shared" si="11"/>
        <v>34732.08278854924</v>
      </c>
      <c r="K39" s="298">
        <f t="shared" si="18"/>
        <v>13.15</v>
      </c>
      <c r="L39" s="299">
        <f t="shared" si="23"/>
        <v>9.2573037662794788E-2</v>
      </c>
      <c r="M39" s="297">
        <f>(30/365)</f>
        <v>8.2191780821917804E-2</v>
      </c>
      <c r="N39" s="304">
        <f>$M39*'MWh Impact Summary'!F$13</f>
        <v>10957.892712584742</v>
      </c>
      <c r="O39" s="304">
        <f>$M39*'MWh Impact Summary'!G$13</f>
        <v>0</v>
      </c>
      <c r="P39" s="304">
        <f>$M39*'MWh Impact Summary'!H$13</f>
        <v>0</v>
      </c>
      <c r="Q39" s="304">
        <f>$M39*'MWh Impact Summary'!I$13</f>
        <v>224.84727810031291</v>
      </c>
      <c r="R39" s="304">
        <f>$M39*'MWh Impact Summary'!J$13</f>
        <v>0</v>
      </c>
      <c r="S39" s="304">
        <f>$M39*'MWh Impact Summary'!K$13</f>
        <v>0</v>
      </c>
      <c r="T39" s="304">
        <f>$M39*'MWh Impact Summary'!L$13</f>
        <v>0</v>
      </c>
      <c r="U39" s="304">
        <f>$M39*'MWh Impact Summary'!M$13</f>
        <v>0</v>
      </c>
      <c r="V39" s="304">
        <f>$M39*'MWh Impact Summary'!O$13</f>
        <v>0</v>
      </c>
      <c r="W39" s="304">
        <f>$M39*'MWh Impact Summary'!P$13</f>
        <v>0</v>
      </c>
      <c r="X39" s="304">
        <f>$M39*'MWh Impact Summary'!Q$13</f>
        <v>0</v>
      </c>
      <c r="Y39" s="85">
        <f t="shared" si="2"/>
        <v>11182.739990685055</v>
      </c>
      <c r="Z39" s="81">
        <f t="shared" si="3"/>
        <v>45914.822779234295</v>
      </c>
      <c r="AA39" s="81"/>
      <c r="AB39" s="81">
        <v>4507950</v>
      </c>
      <c r="AC39" s="308">
        <f t="shared" si="12"/>
        <v>10.185299921080381</v>
      </c>
      <c r="AD39" s="309">
        <f t="shared" si="4"/>
        <v>7.7046291082530276</v>
      </c>
      <c r="AE39" s="107">
        <f t="shared" si="5"/>
        <v>5.8590335423977394E-4</v>
      </c>
      <c r="AF39" s="309">
        <f t="shared" si="13"/>
        <v>2.4806708128273507</v>
      </c>
      <c r="AG39" s="107">
        <f t="shared" si="6"/>
        <v>1.8864416827584415E-4</v>
      </c>
      <c r="AH39" s="119">
        <f t="shared" si="14"/>
        <v>7.7454752251561812E-4</v>
      </c>
      <c r="AI39" s="122">
        <f t="shared" si="7"/>
        <v>7.7454752251561833E-4</v>
      </c>
      <c r="AJ39" s="87" t="b">
        <f t="shared" si="15"/>
        <v>1</v>
      </c>
      <c r="AK39" s="88">
        <f t="shared" si="21"/>
        <v>4.605482917212102E-4</v>
      </c>
      <c r="AL39" s="312">
        <f>+AC39/'MWh by month-WgtbyCDH&amp;DayLtHrs'!AC39-1</f>
        <v>-7.9848085627184262E-2</v>
      </c>
      <c r="AM39" s="89">
        <f t="shared" si="9"/>
        <v>0</v>
      </c>
      <c r="AN39" s="90"/>
      <c r="AO39" s="96"/>
      <c r="AP39" s="92"/>
      <c r="AR39" s="94">
        <f t="shared" si="10"/>
        <v>7.7454752251561833E-4</v>
      </c>
      <c r="AS39" s="95">
        <v>55297.667493486748</v>
      </c>
      <c r="AU39" s="141">
        <v>10.185299921080381</v>
      </c>
    </row>
    <row r="40" spans="1:47">
      <c r="A40" s="78">
        <v>2007</v>
      </c>
      <c r="B40" s="78">
        <v>12</v>
      </c>
      <c r="C40" s="317">
        <v>77.072727963203803</v>
      </c>
      <c r="D40" s="318">
        <f t="shared" si="22"/>
        <v>3.7987544202264981E-2</v>
      </c>
      <c r="E40" s="104">
        <f>$D40*'MWh Impact Summary'!B$13</f>
        <v>16097.788113591305</v>
      </c>
      <c r="F40" s="320">
        <f>$D40*'MWh Impact Summary'!N$13</f>
        <v>0</v>
      </c>
      <c r="G40" s="320">
        <f>$D40*'MWh Impact Summary'!C$13</f>
        <v>13145.469525589126</v>
      </c>
      <c r="H40" s="320">
        <f>$D40*'MWh Impact Summary'!D$13</f>
        <v>0</v>
      </c>
      <c r="I40" s="320">
        <f>$D40*'MWh Impact Summary'!E$13</f>
        <v>6448.8669436920318</v>
      </c>
      <c r="J40" s="104">
        <f t="shared" si="11"/>
        <v>35692.124582872464</v>
      </c>
      <c r="K40" s="298">
        <f t="shared" si="18"/>
        <v>13.483333333333333</v>
      </c>
      <c r="L40" s="299">
        <f t="shared" si="23"/>
        <v>9.491962923853102E-2</v>
      </c>
      <c r="M40" s="297">
        <f t="shared" si="24"/>
        <v>8.4931506849315067E-2</v>
      </c>
      <c r="N40" s="304">
        <f>$M40*'MWh Impact Summary'!F$13</f>
        <v>11323.155803004232</v>
      </c>
      <c r="O40" s="304">
        <f>$M40*'MWh Impact Summary'!G$13</f>
        <v>0</v>
      </c>
      <c r="P40" s="304">
        <f>$M40*'MWh Impact Summary'!H$13</f>
        <v>0</v>
      </c>
      <c r="Q40" s="304">
        <f>$M40*'MWh Impact Summary'!I$13</f>
        <v>232.34218737032333</v>
      </c>
      <c r="R40" s="304">
        <f>$M40*'MWh Impact Summary'!J$13</f>
        <v>0</v>
      </c>
      <c r="S40" s="304">
        <f>$M40*'MWh Impact Summary'!K$13</f>
        <v>0</v>
      </c>
      <c r="T40" s="304">
        <f>$M40*'MWh Impact Summary'!L$13</f>
        <v>0</v>
      </c>
      <c r="U40" s="304">
        <f>$M40*'MWh Impact Summary'!M$13</f>
        <v>0</v>
      </c>
      <c r="V40" s="304">
        <f>$M40*'MWh Impact Summary'!O$13</f>
        <v>0</v>
      </c>
      <c r="W40" s="304">
        <f>$M40*'MWh Impact Summary'!P$13</f>
        <v>0</v>
      </c>
      <c r="X40" s="304">
        <f>$M40*'MWh Impact Summary'!Q$13</f>
        <v>0</v>
      </c>
      <c r="Y40" s="85">
        <f t="shared" si="2"/>
        <v>11555.497990374555</v>
      </c>
      <c r="Z40" s="81">
        <f t="shared" si="3"/>
        <v>47247.622573247019</v>
      </c>
      <c r="AA40" s="81">
        <f>SUM(Z29:Z40)</f>
        <v>1075631.0838795672</v>
      </c>
      <c r="AB40" s="81">
        <v>4509032</v>
      </c>
      <c r="AC40" s="308">
        <f t="shared" si="12"/>
        <v>10.478440289012591</v>
      </c>
      <c r="AD40" s="309">
        <f t="shared" si="4"/>
        <v>7.9156955601274213</v>
      </c>
      <c r="AE40" s="107">
        <f t="shared" si="5"/>
        <v>5.8707260025666903E-4</v>
      </c>
      <c r="AF40" s="309">
        <f t="shared" si="13"/>
        <v>2.5627447288851699</v>
      </c>
      <c r="AG40" s="107">
        <f t="shared" si="6"/>
        <v>1.900675942312858E-4</v>
      </c>
      <c r="AH40" s="119">
        <f t="shared" si="14"/>
        <v>7.7714019448795477E-4</v>
      </c>
      <c r="AI40" s="122">
        <f t="shared" si="7"/>
        <v>7.7714019448795488E-4</v>
      </c>
      <c r="AJ40" s="87" t="b">
        <f t="shared" si="15"/>
        <v>1</v>
      </c>
      <c r="AK40" s="88">
        <f t="shared" si="21"/>
        <v>4.8742425232248932E-4</v>
      </c>
      <c r="AL40" s="312">
        <f>+AC40/'MWh by month-WgtbyCDH&amp;DayLtHrs'!AC40-1</f>
        <v>0.42073220874700379</v>
      </c>
      <c r="AM40" s="89">
        <f t="shared" si="9"/>
        <v>0</v>
      </c>
      <c r="AN40" s="90">
        <f>SUM(AM29:AM40)</f>
        <v>0</v>
      </c>
      <c r="AO40" s="96"/>
      <c r="AP40" s="92"/>
      <c r="AR40" s="94">
        <f t="shared" si="10"/>
        <v>7.7714019448795488E-4</v>
      </c>
      <c r="AS40" s="95">
        <v>30566.715612419801</v>
      </c>
      <c r="AU40" s="141">
        <v>10.478440289012591</v>
      </c>
    </row>
    <row r="41" spans="1:47">
      <c r="A41" s="78">
        <v>2008</v>
      </c>
      <c r="B41" s="78">
        <v>1</v>
      </c>
      <c r="C41" s="317">
        <v>29.213367712153897</v>
      </c>
      <c r="D41" s="318">
        <f t="shared" ref="D41:D52" si="25">C41/(SUM(C$41:C$52))</f>
        <v>1.4974224324520009E-2</v>
      </c>
      <c r="E41" s="104">
        <f>$D41*'MWh Impact Summary'!B$14</f>
        <v>8639.5375545710522</v>
      </c>
      <c r="F41" s="320">
        <f>$D41*'MWh Impact Summary'!N$14</f>
        <v>0</v>
      </c>
      <c r="G41" s="320">
        <f>$D41*'MWh Impact Summary'!C$14</f>
        <v>6916.5385257100543</v>
      </c>
      <c r="H41" s="320">
        <f>$D41*'MWh Impact Summary'!D$14</f>
        <v>0</v>
      </c>
      <c r="I41" s="320">
        <f>$D41*'MWh Impact Summary'!E$14</f>
        <v>3285.176845117694</v>
      </c>
      <c r="J41" s="104">
        <f t="shared" si="11"/>
        <v>18841.2529253988</v>
      </c>
      <c r="K41" s="298">
        <f t="shared" si="18"/>
        <v>13.3</v>
      </c>
      <c r="L41" s="299">
        <f t="shared" ref="L41:L52" si="26">K41/(SUM(K$41:K$52))</f>
        <v>9.3629003871876101E-2</v>
      </c>
      <c r="M41" s="297">
        <f>(31/366)</f>
        <v>8.4699453551912565E-2</v>
      </c>
      <c r="N41" s="304">
        <f>$M41*'MWh Impact Summary'!F$14</f>
        <v>19160.258394397697</v>
      </c>
      <c r="O41" s="304">
        <f>$M41*'MWh Impact Summary'!G$14</f>
        <v>0</v>
      </c>
      <c r="P41" s="304">
        <f>$M41*'MWh Impact Summary'!H$14</f>
        <v>0</v>
      </c>
      <c r="Q41" s="304">
        <f>$M41*'MWh Impact Summary'!I$14</f>
        <v>347.56105897609848</v>
      </c>
      <c r="R41" s="304">
        <f>$M41*'MWh Impact Summary'!J$14</f>
        <v>0</v>
      </c>
      <c r="S41" s="304">
        <f>$M41*'MWh Impact Summary'!K$14</f>
        <v>0</v>
      </c>
      <c r="T41" s="304">
        <f>$M41*'MWh Impact Summary'!L$14</f>
        <v>0</v>
      </c>
      <c r="U41" s="304">
        <f>$M41*'MWh Impact Summary'!M$14</f>
        <v>0</v>
      </c>
      <c r="V41" s="304">
        <f>$M41*'LED Impact Forecast'!$H$15+$D41*'LED Impact Forecast'!$J$15</f>
        <v>0</v>
      </c>
      <c r="W41" s="304">
        <f>$M41*'CFL Impact Forecast'!$H$15+$D41*'CFL Impact Forecast'!$J$15</f>
        <v>113928.00291151139</v>
      </c>
      <c r="X41" s="304">
        <f>$M41*'EISA Incand Impact Forecast'!$G$15+$D41*'EISA Incand Impact Forecast'!$I$15</f>
        <v>0</v>
      </c>
      <c r="Y41" s="85">
        <f t="shared" si="2"/>
        <v>133435.82236488519</v>
      </c>
      <c r="Z41" s="81">
        <f t="shared" si="3"/>
        <v>152277.07529028397</v>
      </c>
      <c r="AA41" s="81"/>
      <c r="AB41" s="81">
        <v>4512537</v>
      </c>
      <c r="AC41" s="308">
        <f t="shared" si="12"/>
        <v>33.745335559638399</v>
      </c>
      <c r="AD41" s="309">
        <f t="shared" si="4"/>
        <v>4.1753126734249051</v>
      </c>
      <c r="AE41" s="107">
        <f t="shared" si="5"/>
        <v>3.1393328371615828E-4</v>
      </c>
      <c r="AF41" s="309">
        <f t="shared" si="13"/>
        <v>29.570022886213494</v>
      </c>
      <c r="AG41" s="107">
        <f t="shared" si="6"/>
        <v>2.2233099914446232E-3</v>
      </c>
      <c r="AH41" s="119">
        <f t="shared" si="14"/>
        <v>2.5372432751607815E-3</v>
      </c>
      <c r="AI41" s="122">
        <f t="shared" si="7"/>
        <v>2.537243275160782E-3</v>
      </c>
      <c r="AJ41" s="87" t="b">
        <f t="shared" si="15"/>
        <v>1</v>
      </c>
      <c r="AK41" s="88">
        <f t="shared" si="21"/>
        <v>1.9867883018682489E-3</v>
      </c>
      <c r="AL41" s="312">
        <f>+AC41/'MWh by month-WgtbyCDH&amp;DayLtHrs'!AC41-1</f>
        <v>-0.15858840759579718</v>
      </c>
      <c r="AM41" s="89">
        <f t="shared" si="9"/>
        <v>113928.00291151139</v>
      </c>
      <c r="AN41" s="93"/>
      <c r="AO41" s="96">
        <f>+AM41*1000/AB41</f>
        <v>25.246995849898049</v>
      </c>
      <c r="AP41" s="92">
        <f t="shared" ref="AP41:AP104" si="27">+AO41/K41/1000</f>
        <v>1.8982703646539885E-3</v>
      </c>
      <c r="AQ41" s="98"/>
      <c r="AR41" s="94">
        <f t="shared" si="10"/>
        <v>2.537243275160782E-3</v>
      </c>
      <c r="AS41" s="95">
        <v>166053.03297524751</v>
      </c>
      <c r="AU41" s="141">
        <v>33.745335559638399</v>
      </c>
    </row>
    <row r="42" spans="1:47">
      <c r="A42" s="78">
        <v>2008</v>
      </c>
      <c r="B42" s="78">
        <v>2</v>
      </c>
      <c r="C42" s="317">
        <v>59.290055405678828</v>
      </c>
      <c r="D42" s="318">
        <f t="shared" si="25"/>
        <v>3.0390970277914459E-2</v>
      </c>
      <c r="E42" s="104">
        <f>$D42*'MWh Impact Summary'!B$14</f>
        <v>17534.39265671686</v>
      </c>
      <c r="F42" s="320">
        <f>$D42*'MWh Impact Summary'!N$14</f>
        <v>0</v>
      </c>
      <c r="G42" s="320">
        <f>$D42*'MWh Impact Summary'!C$14</f>
        <v>14037.476146040201</v>
      </c>
      <c r="H42" s="320">
        <f>$D42*'MWh Impact Summary'!D$14</f>
        <v>0</v>
      </c>
      <c r="I42" s="320">
        <f>$D42*'MWh Impact Summary'!E$14</f>
        <v>6667.4379716736967</v>
      </c>
      <c r="J42" s="104">
        <f t="shared" si="11"/>
        <v>38239.306774430755</v>
      </c>
      <c r="K42" s="298">
        <f t="shared" si="18"/>
        <v>12.733333333333333</v>
      </c>
      <c r="L42" s="299">
        <f t="shared" si="26"/>
        <v>8.9639798193124468E-2</v>
      </c>
      <c r="M42" s="297">
        <f>(29/366)</f>
        <v>7.9234972677595633E-2</v>
      </c>
      <c r="N42" s="304">
        <f>$M42*'MWh Impact Summary'!F$14</f>
        <v>17924.11269153333</v>
      </c>
      <c r="O42" s="304">
        <f>$M42*'MWh Impact Summary'!G$14</f>
        <v>0</v>
      </c>
      <c r="P42" s="304">
        <f>$M42*'MWh Impact Summary'!H$14</f>
        <v>0</v>
      </c>
      <c r="Q42" s="304">
        <f>$M42*'MWh Impact Summary'!I$14</f>
        <v>325.13776484860824</v>
      </c>
      <c r="R42" s="304">
        <f>$M42*'MWh Impact Summary'!J$14</f>
        <v>0</v>
      </c>
      <c r="S42" s="304">
        <f>$M42*'MWh Impact Summary'!K$14</f>
        <v>0</v>
      </c>
      <c r="T42" s="304">
        <f>$M42*'MWh Impact Summary'!L$14</f>
        <v>0</v>
      </c>
      <c r="U42" s="304">
        <f>$M42*'MWh Impact Summary'!M$14</f>
        <v>0</v>
      </c>
      <c r="V42" s="304">
        <f>$M42*'LED Impact Forecast'!$H$15+$D42*'LED Impact Forecast'!$J$15</f>
        <v>0</v>
      </c>
      <c r="W42" s="304">
        <f>$M42*'CFL Impact Forecast'!$H$15+$D42*'CFL Impact Forecast'!$J$15</f>
        <v>110150.06178666293</v>
      </c>
      <c r="X42" s="304">
        <f>$M42*'EISA Incand Impact Forecast'!$G$15+$D42*'EISA Incand Impact Forecast'!$I$15</f>
        <v>0</v>
      </c>
      <c r="Y42" s="85">
        <f t="shared" si="2"/>
        <v>128399.31224304487</v>
      </c>
      <c r="Z42" s="81">
        <f t="shared" si="3"/>
        <v>166638.61901747563</v>
      </c>
      <c r="AA42" s="81"/>
      <c r="AB42" s="81">
        <v>4519123</v>
      </c>
      <c r="AC42" s="308">
        <f t="shared" si="12"/>
        <v>36.874105665518648</v>
      </c>
      <c r="AD42" s="309">
        <f t="shared" si="4"/>
        <v>8.4616654103972717</v>
      </c>
      <c r="AE42" s="107">
        <f t="shared" si="5"/>
        <v>6.6452869715161818E-4</v>
      </c>
      <c r="AF42" s="309">
        <f t="shared" si="13"/>
        <v>28.412440255121375</v>
      </c>
      <c r="AG42" s="107">
        <f t="shared" si="6"/>
        <v>2.2313434755330923E-3</v>
      </c>
      <c r="AH42" s="119">
        <f t="shared" si="14"/>
        <v>2.8958721726847106E-3</v>
      </c>
      <c r="AI42" s="122">
        <f t="shared" si="7"/>
        <v>2.8958721726847106E-3</v>
      </c>
      <c r="AJ42" s="87" t="b">
        <f t="shared" si="15"/>
        <v>1</v>
      </c>
      <c r="AK42" s="88">
        <f t="shared" si="21"/>
        <v>2.4657774837786453E-3</v>
      </c>
      <c r="AL42" s="312">
        <f>+AC42/'MWh by month-WgtbyCDH&amp;DayLtHrs'!AC42-1</f>
        <v>-7.2725769442251287E-2</v>
      </c>
      <c r="AM42" s="89">
        <f t="shared" si="9"/>
        <v>110150.06178666293</v>
      </c>
      <c r="AN42" s="93"/>
      <c r="AO42" s="96">
        <f>+AM42*1000/AB42</f>
        <v>24.374211940383773</v>
      </c>
      <c r="AP42" s="92">
        <f t="shared" si="27"/>
        <v>1.9142051262081498E-3</v>
      </c>
      <c r="AQ42" s="98"/>
      <c r="AR42" s="94">
        <f t="shared" si="10"/>
        <v>2.8958721726847106E-3</v>
      </c>
      <c r="AS42" s="95">
        <v>159234.2562554724</v>
      </c>
      <c r="AU42" s="141">
        <v>36.874105665518648</v>
      </c>
    </row>
    <row r="43" spans="1:47">
      <c r="A43" s="78">
        <v>2008</v>
      </c>
      <c r="B43" s="78">
        <v>3</v>
      </c>
      <c r="C43" s="317">
        <v>65.686542145850154</v>
      </c>
      <c r="D43" s="318">
        <f t="shared" si="25"/>
        <v>3.3669689399924277E-2</v>
      </c>
      <c r="E43" s="104">
        <f>$D43*'MWh Impact Summary'!B$14</f>
        <v>19426.084431302454</v>
      </c>
      <c r="F43" s="320">
        <f>$D43*'MWh Impact Summary'!N$14</f>
        <v>0</v>
      </c>
      <c r="G43" s="320">
        <f>$D43*'MWh Impact Summary'!C$14</f>
        <v>15551.904314798789</v>
      </c>
      <c r="H43" s="320">
        <f>$D43*'MWh Impact Summary'!D$14</f>
        <v>0</v>
      </c>
      <c r="I43" s="320">
        <f>$D43*'MWh Impact Summary'!E$14</f>
        <v>7386.7521683786099</v>
      </c>
      <c r="J43" s="104">
        <f t="shared" si="11"/>
        <v>42364.740914479851</v>
      </c>
      <c r="K43" s="298">
        <f t="shared" si="18"/>
        <v>12</v>
      </c>
      <c r="L43" s="299">
        <f t="shared" si="26"/>
        <v>8.4477296726504739E-2</v>
      </c>
      <c r="M43" s="297">
        <f>(31/366)</f>
        <v>8.4699453551912565E-2</v>
      </c>
      <c r="N43" s="304">
        <f>$M43*'MWh Impact Summary'!F$14</f>
        <v>19160.258394397697</v>
      </c>
      <c r="O43" s="304">
        <f>$M43*'MWh Impact Summary'!G$14</f>
        <v>0</v>
      </c>
      <c r="P43" s="304">
        <f>$M43*'MWh Impact Summary'!H$14</f>
        <v>0</v>
      </c>
      <c r="Q43" s="304">
        <f>$M43*'MWh Impact Summary'!I$14</f>
        <v>347.56105897609848</v>
      </c>
      <c r="R43" s="304">
        <f>$M43*'MWh Impact Summary'!J$14</f>
        <v>0</v>
      </c>
      <c r="S43" s="304">
        <f>$M43*'MWh Impact Summary'!K$14</f>
        <v>0</v>
      </c>
      <c r="T43" s="304">
        <f>$M43*'MWh Impact Summary'!L$14</f>
        <v>0</v>
      </c>
      <c r="U43" s="304">
        <f>$M43*'MWh Impact Summary'!M$14</f>
        <v>0</v>
      </c>
      <c r="V43" s="304">
        <f>$M43*'LED Impact Forecast'!$H$15+$D43*'LED Impact Forecast'!$J$15</f>
        <v>0</v>
      </c>
      <c r="W43" s="304">
        <f>$M43*'CFL Impact Forecast'!$H$15+$D43*'CFL Impact Forecast'!$J$15</f>
        <v>118004.52354654721</v>
      </c>
      <c r="X43" s="304">
        <f>$M43*'EISA Incand Impact Forecast'!$G$15+$D43*'EISA Incand Impact Forecast'!$I$15</f>
        <v>0</v>
      </c>
      <c r="Y43" s="85">
        <f t="shared" si="2"/>
        <v>137512.34299992101</v>
      </c>
      <c r="Z43" s="81">
        <f t="shared" si="3"/>
        <v>179877.08391440086</v>
      </c>
      <c r="AA43" s="81"/>
      <c r="AB43" s="81">
        <v>4519652</v>
      </c>
      <c r="AC43" s="308">
        <f t="shared" si="12"/>
        <v>39.798879186804839</v>
      </c>
      <c r="AD43" s="309">
        <f t="shared" si="4"/>
        <v>9.3734519636644258</v>
      </c>
      <c r="AE43" s="107">
        <f t="shared" si="5"/>
        <v>7.8112099697203547E-4</v>
      </c>
      <c r="AF43" s="309">
        <f t="shared" si="13"/>
        <v>30.42542722314041</v>
      </c>
      <c r="AG43" s="107">
        <f t="shared" si="6"/>
        <v>2.5354522685950339E-3</v>
      </c>
      <c r="AH43" s="119">
        <f t="shared" si="14"/>
        <v>3.3165732655670694E-3</v>
      </c>
      <c r="AI43" s="122">
        <f t="shared" si="7"/>
        <v>3.3165732655670702E-3</v>
      </c>
      <c r="AJ43" s="87" t="b">
        <f t="shared" si="15"/>
        <v>1</v>
      </c>
      <c r="AK43" s="88">
        <f t="shared" si="21"/>
        <v>2.5611765280480958E-3</v>
      </c>
      <c r="AL43" s="312">
        <f>+AC43/'MWh by month-WgtbyCDH&amp;DayLtHrs'!AC43-1</f>
        <v>-5.1147533462262973E-2</v>
      </c>
      <c r="AM43" s="89">
        <f t="shared" si="9"/>
        <v>118004.52354654721</v>
      </c>
      <c r="AN43" s="93"/>
      <c r="AO43" s="96">
        <f t="shared" ref="AO43:AO106" si="28">+AM43*1000/AB43</f>
        <v>26.109205652680163</v>
      </c>
      <c r="AP43" s="92">
        <f t="shared" si="27"/>
        <v>2.1757671377233469E-3</v>
      </c>
      <c r="AQ43" s="98"/>
      <c r="AR43" s="94">
        <f t="shared" si="10"/>
        <v>3.3165732655670702E-3</v>
      </c>
      <c r="AS43" s="95">
        <v>187542.91902984036</v>
      </c>
      <c r="AU43" s="141">
        <v>39.798879186804839</v>
      </c>
    </row>
    <row r="44" spans="1:47">
      <c r="A44" s="78">
        <v>2008</v>
      </c>
      <c r="B44" s="78">
        <v>4</v>
      </c>
      <c r="C44" s="317">
        <v>109.06085505519766</v>
      </c>
      <c r="D44" s="318">
        <f t="shared" si="25"/>
        <v>5.5902548611027073E-2</v>
      </c>
      <c r="E44" s="104">
        <f>$D44*'MWh Impact Summary'!B$14</f>
        <v>32253.568375514744</v>
      </c>
      <c r="F44" s="320">
        <f>$D44*'MWh Impact Summary'!N$14</f>
        <v>0</v>
      </c>
      <c r="G44" s="320">
        <f>$D44*'MWh Impact Summary'!C$14</f>
        <v>25821.179299445401</v>
      </c>
      <c r="H44" s="320">
        <f>$D44*'MWh Impact Summary'!D$14</f>
        <v>0</v>
      </c>
      <c r="I44" s="320">
        <f>$D44*'MWh Impact Summary'!E$14</f>
        <v>12264.392084689785</v>
      </c>
      <c r="J44" s="104">
        <f t="shared" si="11"/>
        <v>70339.13975964993</v>
      </c>
      <c r="K44" s="298">
        <f t="shared" si="18"/>
        <v>11.2</v>
      </c>
      <c r="L44" s="299">
        <f t="shared" si="26"/>
        <v>7.8845476944737758E-2</v>
      </c>
      <c r="M44" s="297">
        <f>(30/366)</f>
        <v>8.1967213114754092E-2</v>
      </c>
      <c r="N44" s="304">
        <f>$M44*'MWh Impact Summary'!F$14</f>
        <v>18542.185542965512</v>
      </c>
      <c r="O44" s="304">
        <f>$M44*'MWh Impact Summary'!G$14</f>
        <v>0</v>
      </c>
      <c r="P44" s="304">
        <f>$M44*'MWh Impact Summary'!H$14</f>
        <v>0</v>
      </c>
      <c r="Q44" s="304">
        <f>$M44*'MWh Impact Summary'!I$14</f>
        <v>336.34941191235333</v>
      </c>
      <c r="R44" s="304">
        <f>$M44*'MWh Impact Summary'!J$14</f>
        <v>0</v>
      </c>
      <c r="S44" s="304">
        <f>$M44*'MWh Impact Summary'!K$14</f>
        <v>0</v>
      </c>
      <c r="T44" s="304">
        <f>$M44*'MWh Impact Summary'!L$14</f>
        <v>0</v>
      </c>
      <c r="U44" s="304">
        <f>$M44*'MWh Impact Summary'!M$14</f>
        <v>0</v>
      </c>
      <c r="V44" s="304">
        <f>$M44*'LED Impact Forecast'!$H$15+$D44*'LED Impact Forecast'!$J$15</f>
        <v>0</v>
      </c>
      <c r="W44" s="304">
        <f>$M44*'CFL Impact Forecast'!$H$15+$D44*'CFL Impact Forecast'!$J$15</f>
        <v>119282.5973774579</v>
      </c>
      <c r="X44" s="304">
        <f>$M44*'EISA Incand Impact Forecast'!$G$15+$D44*'EISA Incand Impact Forecast'!$I$15</f>
        <v>0</v>
      </c>
      <c r="Y44" s="85">
        <f t="shared" si="2"/>
        <v>138161.13233233578</v>
      </c>
      <c r="Z44" s="81">
        <f t="shared" si="3"/>
        <v>208500.27209198571</v>
      </c>
      <c r="AA44" s="81"/>
      <c r="AB44" s="81">
        <v>4518324</v>
      </c>
      <c r="AC44" s="308">
        <f t="shared" si="12"/>
        <v>46.145489365522636</v>
      </c>
      <c r="AD44" s="309">
        <f t="shared" si="4"/>
        <v>15.567528968628618</v>
      </c>
      <c r="AE44" s="107">
        <f t="shared" si="5"/>
        <v>1.3899579436275553E-3</v>
      </c>
      <c r="AF44" s="309">
        <f t="shared" si="13"/>
        <v>30.577960396894017</v>
      </c>
      <c r="AG44" s="107">
        <f t="shared" si="6"/>
        <v>2.7301750354369659E-3</v>
      </c>
      <c r="AH44" s="119">
        <f t="shared" si="14"/>
        <v>4.1201329790645207E-3</v>
      </c>
      <c r="AI44" s="122">
        <f t="shared" si="7"/>
        <v>4.1201329790645207E-3</v>
      </c>
      <c r="AJ44" s="87" t="b">
        <f t="shared" si="15"/>
        <v>1</v>
      </c>
      <c r="AK44" s="88">
        <f t="shared" si="21"/>
        <v>2.9596634952580797E-3</v>
      </c>
      <c r="AL44" s="312">
        <f>+AC44/'MWh by month-WgtbyCDH&amp;DayLtHrs'!AC44-1</f>
        <v>-1.3525511947472091E-2</v>
      </c>
      <c r="AM44" s="89">
        <f t="shared" si="9"/>
        <v>119282.5973774579</v>
      </c>
      <c r="AN44" s="93"/>
      <c r="AO44" s="96">
        <f t="shared" si="28"/>
        <v>26.399744103667178</v>
      </c>
      <c r="AP44" s="92">
        <f t="shared" si="27"/>
        <v>2.3571200092559982E-3</v>
      </c>
      <c r="AQ44" s="98"/>
      <c r="AR44" s="94">
        <f t="shared" si="10"/>
        <v>4.1201329790645207E-3</v>
      </c>
      <c r="AS44" s="95">
        <v>221381.67633899365</v>
      </c>
      <c r="AU44" s="141">
        <v>46.145489365522636</v>
      </c>
    </row>
    <row r="45" spans="1:47">
      <c r="A45" s="78">
        <v>2008</v>
      </c>
      <c r="B45" s="78">
        <v>5</v>
      </c>
      <c r="C45" s="317">
        <v>237.1304063366201</v>
      </c>
      <c r="D45" s="318">
        <f t="shared" si="25"/>
        <v>0.12154859835526054</v>
      </c>
      <c r="E45" s="104">
        <f>$D45*'MWh Impact Summary'!B$14</f>
        <v>70128.753078460897</v>
      </c>
      <c r="F45" s="320">
        <f>$D45*'MWh Impact Summary'!N$14</f>
        <v>0</v>
      </c>
      <c r="G45" s="320">
        <f>$D45*'MWh Impact Summary'!C$14</f>
        <v>56142.845535818116</v>
      </c>
      <c r="H45" s="320">
        <f>$D45*'MWh Impact Summary'!D$14</f>
        <v>0</v>
      </c>
      <c r="I45" s="320">
        <f>$D45*'MWh Impact Summary'!E$14</f>
        <v>26666.399021373829</v>
      </c>
      <c r="J45" s="104">
        <f t="shared" si="11"/>
        <v>152937.99763565284</v>
      </c>
      <c r="K45" s="298">
        <f t="shared" si="18"/>
        <v>10.533333333333333</v>
      </c>
      <c r="L45" s="299">
        <f t="shared" si="26"/>
        <v>7.4152293793265281E-2</v>
      </c>
      <c r="M45" s="297">
        <f>(31/366)</f>
        <v>8.4699453551912565E-2</v>
      </c>
      <c r="N45" s="304">
        <f>$M45*'MWh Impact Summary'!F$14</f>
        <v>19160.258394397697</v>
      </c>
      <c r="O45" s="304">
        <f>$M45*'MWh Impact Summary'!G$14</f>
        <v>0</v>
      </c>
      <c r="P45" s="304">
        <f>$M45*'MWh Impact Summary'!H$14</f>
        <v>0</v>
      </c>
      <c r="Q45" s="304">
        <f>$M45*'MWh Impact Summary'!I$14</f>
        <v>347.56105897609848</v>
      </c>
      <c r="R45" s="304">
        <f>$M45*'MWh Impact Summary'!J$14</f>
        <v>0</v>
      </c>
      <c r="S45" s="304">
        <f>$M45*'MWh Impact Summary'!K$14</f>
        <v>0</v>
      </c>
      <c r="T45" s="304">
        <f>$M45*'MWh Impact Summary'!L$14</f>
        <v>0</v>
      </c>
      <c r="U45" s="304">
        <f>$M45*'MWh Impact Summary'!M$14</f>
        <v>0</v>
      </c>
      <c r="V45" s="304">
        <f>$M45*'LED Impact Forecast'!$H$15+$D45*'LED Impact Forecast'!$J$15</f>
        <v>0</v>
      </c>
      <c r="W45" s="304">
        <f>$M45*'CFL Impact Forecast'!$H$15+$D45*'CFL Impact Forecast'!$J$15</f>
        <v>137166.39966441723</v>
      </c>
      <c r="X45" s="304">
        <f>$M45*'EISA Incand Impact Forecast'!$G$15+$D45*'EISA Incand Impact Forecast'!$I$15</f>
        <v>0</v>
      </c>
      <c r="Y45" s="85">
        <f t="shared" si="2"/>
        <v>156674.21911779101</v>
      </c>
      <c r="Z45" s="81">
        <f t="shared" si="3"/>
        <v>309612.21675344382</v>
      </c>
      <c r="AA45" s="81"/>
      <c r="AB45" s="81">
        <v>4514164</v>
      </c>
      <c r="AC45" s="308">
        <f t="shared" si="12"/>
        <v>68.586833963817853</v>
      </c>
      <c r="AD45" s="309">
        <f t="shared" si="4"/>
        <v>33.87958382452495</v>
      </c>
      <c r="AE45" s="107">
        <f t="shared" si="5"/>
        <v>3.2164161858726217E-3</v>
      </c>
      <c r="AF45" s="309">
        <f t="shared" si="13"/>
        <v>34.70725013929291</v>
      </c>
      <c r="AG45" s="107">
        <f t="shared" si="6"/>
        <v>3.2949921018316057E-3</v>
      </c>
      <c r="AH45" s="119">
        <f t="shared" si="14"/>
        <v>6.5114082877042274E-3</v>
      </c>
      <c r="AI45" s="122">
        <f t="shared" si="7"/>
        <v>6.5114082877042265E-3</v>
      </c>
      <c r="AJ45" s="87" t="b">
        <f t="shared" si="15"/>
        <v>1</v>
      </c>
      <c r="AK45" s="88">
        <f t="shared" si="21"/>
        <v>4.6317375985931008E-3</v>
      </c>
      <c r="AL45" s="312">
        <f>+AC45/'MWh by month-WgtbyCDH&amp;DayLtHrs'!AC45-1</f>
        <v>0.17463847969744717</v>
      </c>
      <c r="AM45" s="89">
        <f t="shared" si="9"/>
        <v>137166.39966441723</v>
      </c>
      <c r="AN45" s="93"/>
      <c r="AO45" s="96">
        <f t="shared" si="28"/>
        <v>30.385781213180831</v>
      </c>
      <c r="AP45" s="92">
        <f t="shared" si="27"/>
        <v>2.884726064542484E-3</v>
      </c>
      <c r="AQ45" s="98"/>
      <c r="AR45" s="94">
        <f t="shared" si="10"/>
        <v>6.5114082877042265E-3</v>
      </c>
      <c r="AS45" s="95">
        <v>267616.95239971823</v>
      </c>
      <c r="AU45" s="141">
        <v>68.586833963817853</v>
      </c>
    </row>
    <row r="46" spans="1:47">
      <c r="A46" s="78">
        <v>2008</v>
      </c>
      <c r="B46" s="78">
        <v>6</v>
      </c>
      <c r="C46" s="317">
        <v>279.15273616670316</v>
      </c>
      <c r="D46" s="318">
        <f t="shared" si="25"/>
        <v>0.14308845639952292</v>
      </c>
      <c r="E46" s="104">
        <f>$D46*'MWh Impact Summary'!B$14</f>
        <v>82556.402648850199</v>
      </c>
      <c r="F46" s="320">
        <f>$D46*'MWh Impact Summary'!N$14</f>
        <v>0</v>
      </c>
      <c r="G46" s="320">
        <f>$D46*'MWh Impact Summary'!C$14</f>
        <v>66092.025858802357</v>
      </c>
      <c r="H46" s="320">
        <f>$D46*'MWh Impact Summary'!D$14</f>
        <v>0</v>
      </c>
      <c r="I46" s="320">
        <f>$D46*'MWh Impact Summary'!E$14</f>
        <v>31392.002255343083</v>
      </c>
      <c r="J46" s="104">
        <f t="shared" si="11"/>
        <v>180040.43076299562</v>
      </c>
      <c r="K46" s="298">
        <f t="shared" si="18"/>
        <v>10.199999999999999</v>
      </c>
      <c r="L46" s="299">
        <f t="shared" si="26"/>
        <v>7.1805702217529022E-2</v>
      </c>
      <c r="M46" s="297">
        <f>(30/366)</f>
        <v>8.1967213114754092E-2</v>
      </c>
      <c r="N46" s="304">
        <f>$M46*'MWh Impact Summary'!F$14</f>
        <v>18542.185542965512</v>
      </c>
      <c r="O46" s="304">
        <f>$M46*'MWh Impact Summary'!G$14</f>
        <v>0</v>
      </c>
      <c r="P46" s="304">
        <f>$M46*'MWh Impact Summary'!H$14</f>
        <v>0</v>
      </c>
      <c r="Q46" s="304">
        <f>$M46*'MWh Impact Summary'!I$14</f>
        <v>336.34941191235333</v>
      </c>
      <c r="R46" s="304">
        <f>$M46*'MWh Impact Summary'!J$14</f>
        <v>0</v>
      </c>
      <c r="S46" s="304">
        <f>$M46*'MWh Impact Summary'!K$14</f>
        <v>0</v>
      </c>
      <c r="T46" s="304">
        <f>$M46*'MWh Impact Summary'!L$14</f>
        <v>0</v>
      </c>
      <c r="U46" s="304">
        <f>$M46*'MWh Impact Summary'!M$14</f>
        <v>0</v>
      </c>
      <c r="V46" s="304">
        <f>$M46*'LED Impact Forecast'!$H$15+$D46*'LED Impact Forecast'!$J$15</f>
        <v>0</v>
      </c>
      <c r="W46" s="304">
        <f>$M46*'CFL Impact Forecast'!$H$15+$D46*'CFL Impact Forecast'!$J$15</f>
        <v>138293.36553704314</v>
      </c>
      <c r="X46" s="304">
        <f>$M46*'EISA Incand Impact Forecast'!$G$15+$D46*'EISA Incand Impact Forecast'!$I$15</f>
        <v>0</v>
      </c>
      <c r="Y46" s="85">
        <f t="shared" si="2"/>
        <v>157171.900491921</v>
      </c>
      <c r="Z46" s="81">
        <f t="shared" si="3"/>
        <v>337212.33125491661</v>
      </c>
      <c r="AA46" s="81"/>
      <c r="AB46" s="81">
        <v>4514262</v>
      </c>
      <c r="AC46" s="308">
        <f t="shared" si="12"/>
        <v>74.699326546601995</v>
      </c>
      <c r="AD46" s="309">
        <f t="shared" si="4"/>
        <v>39.882583412968863</v>
      </c>
      <c r="AE46" s="107">
        <f t="shared" si="5"/>
        <v>3.9100571973498888E-3</v>
      </c>
      <c r="AF46" s="309">
        <f t="shared" si="13"/>
        <v>34.816743133633139</v>
      </c>
      <c r="AG46" s="107">
        <f t="shared" si="6"/>
        <v>3.4134061895718768E-3</v>
      </c>
      <c r="AH46" s="119">
        <f t="shared" si="14"/>
        <v>7.323463386921766E-3</v>
      </c>
      <c r="AI46" s="122">
        <f t="shared" si="7"/>
        <v>7.3234633869217651E-3</v>
      </c>
      <c r="AJ46" s="87" t="b">
        <f t="shared" si="15"/>
        <v>1</v>
      </c>
      <c r="AK46" s="88">
        <f t="shared" si="21"/>
        <v>4.5351226781769069E-3</v>
      </c>
      <c r="AL46" s="312">
        <f>+AC46/'MWh by month-WgtbyCDH&amp;DayLtHrs'!AC46-1</f>
        <v>0.12439156744125457</v>
      </c>
      <c r="AM46" s="89">
        <f t="shared" si="9"/>
        <v>138293.36553704314</v>
      </c>
      <c r="AN46" s="93"/>
      <c r="AO46" s="96">
        <f t="shared" si="28"/>
        <v>30.634767219324694</v>
      </c>
      <c r="AP46" s="92">
        <f t="shared" si="27"/>
        <v>3.0034085509141857E-3</v>
      </c>
      <c r="AQ46" s="98"/>
      <c r="AR46" s="94">
        <f t="shared" si="10"/>
        <v>7.3234633869217651E-3</v>
      </c>
      <c r="AS46" s="95">
        <v>327794.14361333713</v>
      </c>
      <c r="AU46" s="141">
        <v>74.699326546601995</v>
      </c>
    </row>
    <row r="47" spans="1:47">
      <c r="A47" s="78">
        <v>2008</v>
      </c>
      <c r="B47" s="78">
        <v>7</v>
      </c>
      <c r="C47" s="317">
        <v>286.59632428968291</v>
      </c>
      <c r="D47" s="318">
        <f t="shared" si="25"/>
        <v>0.14690390004953588</v>
      </c>
      <c r="E47" s="104">
        <f>$D47*'MWh Impact Summary'!B$14</f>
        <v>84757.763332866351</v>
      </c>
      <c r="F47" s="320">
        <f>$D47*'MWh Impact Summary'!N$14</f>
        <v>0</v>
      </c>
      <c r="G47" s="320">
        <f>$D47*'MWh Impact Summary'!C$14</f>
        <v>67854.365090943946</v>
      </c>
      <c r="H47" s="320">
        <f>$D47*'MWh Impact Summary'!D$14</f>
        <v>0</v>
      </c>
      <c r="I47" s="320">
        <f>$D47*'MWh Impact Summary'!E$14</f>
        <v>32229.067792844686</v>
      </c>
      <c r="J47" s="104">
        <f t="shared" si="11"/>
        <v>184841.19621665499</v>
      </c>
      <c r="K47" s="298">
        <f t="shared" si="18"/>
        <v>10.366666666666667</v>
      </c>
      <c r="L47" s="299">
        <f t="shared" si="26"/>
        <v>7.2978998005397158E-2</v>
      </c>
      <c r="M47" s="297">
        <f>(31/366)</f>
        <v>8.4699453551912565E-2</v>
      </c>
      <c r="N47" s="304">
        <f>$M47*'MWh Impact Summary'!F$14</f>
        <v>19160.258394397697</v>
      </c>
      <c r="O47" s="304">
        <f>$M47*'MWh Impact Summary'!G$14</f>
        <v>0</v>
      </c>
      <c r="P47" s="304">
        <f>$M47*'MWh Impact Summary'!H$14</f>
        <v>0</v>
      </c>
      <c r="Q47" s="304">
        <f>$M47*'MWh Impact Summary'!I$14</f>
        <v>347.56105897609848</v>
      </c>
      <c r="R47" s="304">
        <f>$M47*'MWh Impact Summary'!J$14</f>
        <v>0</v>
      </c>
      <c r="S47" s="304">
        <f>$M47*'MWh Impact Summary'!K$14</f>
        <v>0</v>
      </c>
      <c r="T47" s="304">
        <f>$M47*'MWh Impact Summary'!L$14</f>
        <v>0</v>
      </c>
      <c r="U47" s="304">
        <f>$M47*'MWh Impact Summary'!M$14</f>
        <v>0</v>
      </c>
      <c r="V47" s="304">
        <f>$M47*'LED Impact Forecast'!$H$15+$D47*'LED Impact Forecast'!$J$15</f>
        <v>0</v>
      </c>
      <c r="W47" s="304">
        <f>$M47*'CFL Impact Forecast'!$H$15+$D47*'CFL Impact Forecast'!$J$15</f>
        <v>142695.08858161641</v>
      </c>
      <c r="X47" s="304">
        <f>$M47*'EISA Incand Impact Forecast'!$G$15+$D47*'EISA Incand Impact Forecast'!$I$15</f>
        <v>0</v>
      </c>
      <c r="Y47" s="85">
        <f t="shared" si="2"/>
        <v>162202.90803499019</v>
      </c>
      <c r="Z47" s="81">
        <f t="shared" si="3"/>
        <v>347044.10425164516</v>
      </c>
      <c r="AA47" s="81"/>
      <c r="AB47" s="81">
        <v>4509574</v>
      </c>
      <c r="AC47" s="308">
        <f t="shared" si="12"/>
        <v>76.957181377142305</v>
      </c>
      <c r="AD47" s="309">
        <f t="shared" si="4"/>
        <v>40.988615824167645</v>
      </c>
      <c r="AE47" s="107">
        <f t="shared" si="5"/>
        <v>3.9538857708200301E-3</v>
      </c>
      <c r="AF47" s="309">
        <f t="shared" si="13"/>
        <v>35.968565552974667</v>
      </c>
      <c r="AG47" s="107">
        <f t="shared" si="6"/>
        <v>3.4696365485184563E-3</v>
      </c>
      <c r="AH47" s="119">
        <f t="shared" si="14"/>
        <v>7.4235223193384863E-3</v>
      </c>
      <c r="AI47" s="122">
        <f t="shared" si="7"/>
        <v>7.4235223193384854E-3</v>
      </c>
      <c r="AJ47" s="87" t="b">
        <f t="shared" si="15"/>
        <v>1</v>
      </c>
      <c r="AK47" s="88">
        <f t="shared" si="21"/>
        <v>4.0241705298782963E-3</v>
      </c>
      <c r="AL47" s="312">
        <f>+AC47/'MWh by month-WgtbyCDH&amp;DayLtHrs'!AC47-1</f>
        <v>3.7881920119984036E-2</v>
      </c>
      <c r="AM47" s="89">
        <f t="shared" si="9"/>
        <v>142695.08858161641</v>
      </c>
      <c r="AN47" s="93"/>
      <c r="AO47" s="96">
        <f t="shared" si="28"/>
        <v>31.642698086696527</v>
      </c>
      <c r="AP47" s="92">
        <f t="shared" si="27"/>
        <v>3.0523502977520766E-3</v>
      </c>
      <c r="AQ47" s="98"/>
      <c r="AR47" s="94">
        <f t="shared" si="10"/>
        <v>7.4235223193384854E-3</v>
      </c>
      <c r="AS47" s="95">
        <v>345307.86638142471</v>
      </c>
      <c r="AU47" s="141">
        <v>76.957181377142305</v>
      </c>
    </row>
    <row r="48" spans="1:47">
      <c r="A48" s="78">
        <v>2008</v>
      </c>
      <c r="B48" s="78">
        <v>8</v>
      </c>
      <c r="C48" s="317">
        <v>325.17191015162445</v>
      </c>
      <c r="D48" s="318">
        <f t="shared" si="25"/>
        <v>0.16667702178743721</v>
      </c>
      <c r="E48" s="104">
        <f>$D48*'MWh Impact Summary'!B$14</f>
        <v>96166.075651653504</v>
      </c>
      <c r="F48" s="320">
        <f>$D48*'MWh Impact Summary'!N$14</f>
        <v>0</v>
      </c>
      <c r="G48" s="320">
        <f>$D48*'MWh Impact Summary'!C$14</f>
        <v>76987.496484588482</v>
      </c>
      <c r="H48" s="320">
        <f>$D48*'MWh Impact Summary'!D$14</f>
        <v>0</v>
      </c>
      <c r="I48" s="320">
        <f>$D48*'MWh Impact Summary'!E$14</f>
        <v>36567.068899364705</v>
      </c>
      <c r="J48" s="104">
        <f t="shared" si="11"/>
        <v>209720.64103560671</v>
      </c>
      <c r="K48" s="298">
        <f t="shared" si="18"/>
        <v>10.933333333333334</v>
      </c>
      <c r="L48" s="299">
        <f t="shared" si="26"/>
        <v>7.6968203684148764E-2</v>
      </c>
      <c r="M48" s="297">
        <f>(31/366)</f>
        <v>8.4699453551912565E-2</v>
      </c>
      <c r="N48" s="304">
        <f>$M48*'MWh Impact Summary'!F$14</f>
        <v>19160.258394397697</v>
      </c>
      <c r="O48" s="304">
        <f>$M48*'MWh Impact Summary'!G$14</f>
        <v>0</v>
      </c>
      <c r="P48" s="304">
        <f>$M48*'MWh Impact Summary'!H$14</f>
        <v>0</v>
      </c>
      <c r="Q48" s="304">
        <f>$M48*'MWh Impact Summary'!I$14</f>
        <v>347.56105897609848</v>
      </c>
      <c r="R48" s="304">
        <f>$M48*'MWh Impact Summary'!J$14</f>
        <v>0</v>
      </c>
      <c r="S48" s="304">
        <f>$M48*'MWh Impact Summary'!K$14</f>
        <v>0</v>
      </c>
      <c r="T48" s="304">
        <f>$M48*'MWh Impact Summary'!L$14</f>
        <v>0</v>
      </c>
      <c r="U48" s="304">
        <f>$M48*'MWh Impact Summary'!M$14</f>
        <v>0</v>
      </c>
      <c r="V48" s="304">
        <f>$M48*'LED Impact Forecast'!$H$15+$D48*'LED Impact Forecast'!$J$15</f>
        <v>0</v>
      </c>
      <c r="W48" s="304">
        <f>$M48*'CFL Impact Forecast'!$H$15+$D48*'CFL Impact Forecast'!$J$15</f>
        <v>147006.59078060021</v>
      </c>
      <c r="X48" s="304">
        <f>$M48*'EISA Incand Impact Forecast'!$G$15+$D48*'EISA Incand Impact Forecast'!$I$15</f>
        <v>0</v>
      </c>
      <c r="Y48" s="85">
        <f t="shared" si="2"/>
        <v>166514.41023397399</v>
      </c>
      <c r="Z48" s="81">
        <f t="shared" si="3"/>
        <v>376235.05126958073</v>
      </c>
      <c r="AA48" s="81"/>
      <c r="AB48" s="81">
        <v>4507318</v>
      </c>
      <c r="AC48" s="308">
        <f t="shared" si="12"/>
        <v>83.472045076380397</v>
      </c>
      <c r="AD48" s="309">
        <f t="shared" si="4"/>
        <v>46.528920532255924</v>
      </c>
      <c r="AE48" s="107">
        <f t="shared" si="5"/>
        <v>4.2556939511209689E-3</v>
      </c>
      <c r="AF48" s="309">
        <f t="shared" si="13"/>
        <v>36.943124544124458</v>
      </c>
      <c r="AG48" s="107">
        <f t="shared" si="6"/>
        <v>3.3789443180601638E-3</v>
      </c>
      <c r="AH48" s="119">
        <f t="shared" si="14"/>
        <v>7.6346382691811331E-3</v>
      </c>
      <c r="AI48" s="122">
        <f t="shared" si="7"/>
        <v>7.634638269181134E-3</v>
      </c>
      <c r="AJ48" s="87" t="b">
        <f t="shared" si="15"/>
        <v>1</v>
      </c>
      <c r="AK48" s="88">
        <f t="shared" si="21"/>
        <v>3.9803215604539369E-3</v>
      </c>
      <c r="AL48" s="312">
        <f>+AC48/'MWh by month-WgtbyCDH&amp;DayLtHrs'!AC48-1</f>
        <v>9.3681671249352672E-2</v>
      </c>
      <c r="AM48" s="89">
        <f t="shared" si="9"/>
        <v>147006.59078060021</v>
      </c>
      <c r="AN48" s="93"/>
      <c r="AO48" s="96">
        <f t="shared" si="28"/>
        <v>32.615091897354532</v>
      </c>
      <c r="AP48" s="92">
        <f t="shared" si="27"/>
        <v>2.9830876735385242E-3</v>
      </c>
      <c r="AQ48" s="98"/>
      <c r="AR48" s="94">
        <f t="shared" si="10"/>
        <v>7.634638269181134E-3</v>
      </c>
      <c r="AS48" s="95">
        <v>359036.26475295093</v>
      </c>
      <c r="AU48" s="141">
        <v>83.472045076380397</v>
      </c>
    </row>
    <row r="49" spans="1:47">
      <c r="A49" s="78">
        <v>2008</v>
      </c>
      <c r="B49" s="78">
        <v>9</v>
      </c>
      <c r="C49" s="317">
        <v>294.55016644585379</v>
      </c>
      <c r="D49" s="318">
        <f t="shared" si="25"/>
        <v>0.15098089034596018</v>
      </c>
      <c r="E49" s="104">
        <f>$D49*'MWh Impact Summary'!B$14</f>
        <v>87110.026128736325</v>
      </c>
      <c r="F49" s="320">
        <f>$D49*'MWh Impact Summary'!N$14</f>
        <v>0</v>
      </c>
      <c r="G49" s="320">
        <f>$D49*'MWh Impact Summary'!C$14</f>
        <v>69737.511746359669</v>
      </c>
      <c r="H49" s="320">
        <f>$D49*'MWh Impact Summary'!D$14</f>
        <v>0</v>
      </c>
      <c r="I49" s="320">
        <f>$D49*'MWh Impact Summary'!E$14</f>
        <v>33123.513730698767</v>
      </c>
      <c r="J49" s="104">
        <f t="shared" si="11"/>
        <v>189971.05160579475</v>
      </c>
      <c r="K49" s="298">
        <f t="shared" si="18"/>
        <v>11.683333333333334</v>
      </c>
      <c r="L49" s="299">
        <f t="shared" si="26"/>
        <v>8.2248034729555317E-2</v>
      </c>
      <c r="M49" s="297">
        <f>(30/366)</f>
        <v>8.1967213114754092E-2</v>
      </c>
      <c r="N49" s="304">
        <f>$M49*'MWh Impact Summary'!F$14</f>
        <v>18542.185542965512</v>
      </c>
      <c r="O49" s="304">
        <f>$M49*'MWh Impact Summary'!G$14</f>
        <v>0</v>
      </c>
      <c r="P49" s="304">
        <f>$M49*'MWh Impact Summary'!H$14</f>
        <v>0</v>
      </c>
      <c r="Q49" s="304">
        <f>$M49*'MWh Impact Summary'!I$14</f>
        <v>336.34941191235333</v>
      </c>
      <c r="R49" s="304">
        <f>$M49*'MWh Impact Summary'!J$14</f>
        <v>0</v>
      </c>
      <c r="S49" s="304">
        <f>$M49*'MWh Impact Summary'!K$14</f>
        <v>0</v>
      </c>
      <c r="T49" s="304">
        <f>$M49*'MWh Impact Summary'!L$14</f>
        <v>0</v>
      </c>
      <c r="U49" s="304">
        <f>$M49*'MWh Impact Summary'!M$14</f>
        <v>0</v>
      </c>
      <c r="V49" s="304">
        <f>$M49*'LED Impact Forecast'!$H$15+$D49*'LED Impact Forecast'!$J$15</f>
        <v>0</v>
      </c>
      <c r="W49" s="304">
        <f>$M49*'CFL Impact Forecast'!$H$15+$D49*'CFL Impact Forecast'!$J$15</f>
        <v>140014.2999836345</v>
      </c>
      <c r="X49" s="304">
        <f>$M49*'EISA Incand Impact Forecast'!$G$15+$D49*'EISA Incand Impact Forecast'!$I$15</f>
        <v>0</v>
      </c>
      <c r="Y49" s="85">
        <f t="shared" si="2"/>
        <v>158892.83493851236</v>
      </c>
      <c r="Z49" s="81">
        <f t="shared" si="3"/>
        <v>348863.88654430711</v>
      </c>
      <c r="AA49" s="81"/>
      <c r="AB49" s="81">
        <v>4503137</v>
      </c>
      <c r="AC49" s="308">
        <f t="shared" si="12"/>
        <v>77.471302015529872</v>
      </c>
      <c r="AD49" s="309">
        <f t="shared" si="4"/>
        <v>42.186380651042761</v>
      </c>
      <c r="AE49" s="107">
        <f t="shared" si="5"/>
        <v>3.6108171741263419E-3</v>
      </c>
      <c r="AF49" s="309">
        <f t="shared" si="13"/>
        <v>35.284921364487104</v>
      </c>
      <c r="AG49" s="107">
        <f t="shared" si="6"/>
        <v>3.0201073921101661E-3</v>
      </c>
      <c r="AH49" s="119">
        <f t="shared" si="14"/>
        <v>6.630924566236508E-3</v>
      </c>
      <c r="AI49" s="122">
        <f t="shared" si="7"/>
        <v>6.6309245662365089E-3</v>
      </c>
      <c r="AJ49" s="87" t="b">
        <f t="shared" si="15"/>
        <v>1</v>
      </c>
      <c r="AK49" s="88">
        <f t="shared" si="21"/>
        <v>3.9326031958118162E-3</v>
      </c>
      <c r="AL49" s="312">
        <f>+AC49/'MWh by month-WgtbyCDH&amp;DayLtHrs'!AC49-1</f>
        <v>8.2873246527415567E-2</v>
      </c>
      <c r="AM49" s="89">
        <f t="shared" si="9"/>
        <v>140014.2999836345</v>
      </c>
      <c r="AN49" s="93"/>
      <c r="AO49" s="96">
        <f t="shared" si="28"/>
        <v>31.092613878643821</v>
      </c>
      <c r="AP49" s="92">
        <f t="shared" si="27"/>
        <v>2.66127936193813E-3</v>
      </c>
      <c r="AR49" s="94">
        <f t="shared" si="10"/>
        <v>6.6309245662365089E-3</v>
      </c>
      <c r="AS49" s="95">
        <v>338792.96476964944</v>
      </c>
      <c r="AU49" s="141">
        <v>77.471302015529872</v>
      </c>
    </row>
    <row r="50" spans="1:47">
      <c r="A50" s="78">
        <v>2008</v>
      </c>
      <c r="B50" s="78">
        <v>10</v>
      </c>
      <c r="C50" s="317">
        <v>173.3138637202282</v>
      </c>
      <c r="D50" s="318">
        <f t="shared" si="25"/>
        <v>8.88374356379414E-2</v>
      </c>
      <c r="E50" s="104">
        <f>$D50*'MWh Impact Summary'!B$14</f>
        <v>51255.700783712266</v>
      </c>
      <c r="F50" s="320">
        <f>$D50*'MWh Impact Summary'!N$14</f>
        <v>0</v>
      </c>
      <c r="G50" s="320">
        <f>$D50*'MWh Impact Summary'!C$14</f>
        <v>41033.681130912591</v>
      </c>
      <c r="H50" s="320">
        <f>$D50*'MWh Impact Summary'!D$14</f>
        <v>0</v>
      </c>
      <c r="I50" s="320">
        <f>$D50*'MWh Impact Summary'!E$14</f>
        <v>19489.936854993222</v>
      </c>
      <c r="J50" s="104">
        <f t="shared" si="11"/>
        <v>111779.31876961808</v>
      </c>
      <c r="K50" s="298">
        <f t="shared" si="18"/>
        <v>12.466666666666667</v>
      </c>
      <c r="L50" s="299">
        <f t="shared" si="26"/>
        <v>8.7762524932535488E-2</v>
      </c>
      <c r="M50" s="297">
        <f>(31/366)</f>
        <v>8.4699453551912565E-2</v>
      </c>
      <c r="N50" s="304">
        <f>$M50*'MWh Impact Summary'!F$14</f>
        <v>19160.258394397697</v>
      </c>
      <c r="O50" s="304">
        <f>$M50*'MWh Impact Summary'!G$14</f>
        <v>0</v>
      </c>
      <c r="P50" s="304">
        <f>$M50*'MWh Impact Summary'!H$14</f>
        <v>0</v>
      </c>
      <c r="Q50" s="304">
        <f>$M50*'MWh Impact Summary'!I$14</f>
        <v>347.56105897609848</v>
      </c>
      <c r="R50" s="304">
        <f>$M50*'MWh Impact Summary'!J$14</f>
        <v>0</v>
      </c>
      <c r="S50" s="304">
        <f>$M50*'MWh Impact Summary'!K$14</f>
        <v>0</v>
      </c>
      <c r="T50" s="304">
        <f>$M50*'MWh Impact Summary'!L$14</f>
        <v>0</v>
      </c>
      <c r="U50" s="304">
        <f>$M50*'MWh Impact Summary'!M$14</f>
        <v>0</v>
      </c>
      <c r="V50" s="304">
        <f>$M50*'LED Impact Forecast'!$H$15+$D50*'LED Impact Forecast'!$J$15</f>
        <v>0</v>
      </c>
      <c r="W50" s="304">
        <f>$M50*'CFL Impact Forecast'!$H$15+$D50*'CFL Impact Forecast'!$J$15</f>
        <v>130033.77529399717</v>
      </c>
      <c r="X50" s="304">
        <f>$M50*'EISA Incand Impact Forecast'!$G$15+$D50*'EISA Incand Impact Forecast'!$I$15</f>
        <v>0</v>
      </c>
      <c r="Y50" s="85">
        <f t="shared" si="2"/>
        <v>149541.59474737095</v>
      </c>
      <c r="Z50" s="81">
        <f t="shared" si="3"/>
        <v>261320.91351698904</v>
      </c>
      <c r="AA50" s="81"/>
      <c r="AB50" s="81">
        <v>4501918</v>
      </c>
      <c r="AC50" s="308">
        <f t="shared" si="12"/>
        <v>58.046573375390004</v>
      </c>
      <c r="AD50" s="309">
        <f t="shared" si="4"/>
        <v>24.829265830612215</v>
      </c>
      <c r="AE50" s="107">
        <f t="shared" si="5"/>
        <v>1.9916523393539208E-3</v>
      </c>
      <c r="AF50" s="309">
        <f t="shared" si="13"/>
        <v>33.217307544777796</v>
      </c>
      <c r="AG50" s="107">
        <f t="shared" si="6"/>
        <v>2.6644899100089141E-3</v>
      </c>
      <c r="AH50" s="119">
        <f t="shared" si="14"/>
        <v>4.6561422493628345E-3</v>
      </c>
      <c r="AI50" s="122">
        <f t="shared" si="7"/>
        <v>4.6561422493628345E-3</v>
      </c>
      <c r="AJ50" s="87" t="b">
        <f t="shared" si="15"/>
        <v>1</v>
      </c>
      <c r="AK50" s="88">
        <f t="shared" si="21"/>
        <v>2.3716970350161964E-3</v>
      </c>
      <c r="AL50" s="312">
        <f>+AC50/'MWh by month-WgtbyCDH&amp;DayLtHrs'!AC50-1</f>
        <v>-7.0937265018044537E-2</v>
      </c>
      <c r="AM50" s="89">
        <f t="shared" si="9"/>
        <v>130033.77529399717</v>
      </c>
      <c r="AN50" s="93"/>
      <c r="AO50" s="96">
        <f t="shared" si="28"/>
        <v>28.88408347153306</v>
      </c>
      <c r="AP50" s="92">
        <f t="shared" si="27"/>
        <v>2.3169050912994434E-3</v>
      </c>
      <c r="AR50" s="94">
        <f t="shared" si="10"/>
        <v>4.6561422493628345E-3</v>
      </c>
      <c r="AS50" s="95">
        <v>271848.13393304445</v>
      </c>
      <c r="AU50" s="141">
        <v>58.046573375390004</v>
      </c>
    </row>
    <row r="51" spans="1:47">
      <c r="A51" s="78">
        <v>2008</v>
      </c>
      <c r="B51" s="78">
        <v>11</v>
      </c>
      <c r="C51" s="317">
        <v>54.144529694587938</v>
      </c>
      <c r="D51" s="318">
        <f t="shared" si="25"/>
        <v>2.7753470314724509E-2</v>
      </c>
      <c r="E51" s="104">
        <f>$D51*'MWh Impact Summary'!B$14</f>
        <v>16012.65907717869</v>
      </c>
      <c r="F51" s="320">
        <f>$D51*'MWh Impact Summary'!N$14</f>
        <v>0</v>
      </c>
      <c r="G51" s="320">
        <f>$D51*'MWh Impact Summary'!C$14</f>
        <v>12819.224722018816</v>
      </c>
      <c r="H51" s="320">
        <f>$D51*'MWh Impact Summary'!D$14</f>
        <v>0</v>
      </c>
      <c r="I51" s="320">
        <f>$D51*'MWh Impact Summary'!E$14</f>
        <v>6088.8000656098629</v>
      </c>
      <c r="J51" s="104">
        <f t="shared" si="11"/>
        <v>34920.683864807375</v>
      </c>
      <c r="K51" s="298">
        <f t="shared" si="18"/>
        <v>13.15</v>
      </c>
      <c r="L51" s="299">
        <f t="shared" si="26"/>
        <v>9.2573037662794788E-2</v>
      </c>
      <c r="M51" s="297">
        <f>(30/366)</f>
        <v>8.1967213114754092E-2</v>
      </c>
      <c r="N51" s="304">
        <f>$M51*'MWh Impact Summary'!F$14</f>
        <v>18542.185542965512</v>
      </c>
      <c r="O51" s="304">
        <f>$M51*'MWh Impact Summary'!G$14</f>
        <v>0</v>
      </c>
      <c r="P51" s="304">
        <f>$M51*'MWh Impact Summary'!H$14</f>
        <v>0</v>
      </c>
      <c r="Q51" s="304">
        <f>$M51*'MWh Impact Summary'!I$14</f>
        <v>336.34941191235333</v>
      </c>
      <c r="R51" s="304">
        <f>$M51*'MWh Impact Summary'!J$14</f>
        <v>0</v>
      </c>
      <c r="S51" s="304">
        <f>$M51*'MWh Impact Summary'!K$14</f>
        <v>0</v>
      </c>
      <c r="T51" s="304">
        <f>$M51*'MWh Impact Summary'!L$14</f>
        <v>0</v>
      </c>
      <c r="U51" s="304">
        <f>$M51*'MWh Impact Summary'!M$14</f>
        <v>0</v>
      </c>
      <c r="V51" s="304">
        <f>$M51*'LED Impact Forecast'!$H$15+$D51*'LED Impact Forecast'!$J$15</f>
        <v>0</v>
      </c>
      <c r="W51" s="304">
        <f>$M51*'CFL Impact Forecast'!$H$15+$D51*'CFL Impact Forecast'!$J$15</f>
        <v>113144.72928649066</v>
      </c>
      <c r="X51" s="304">
        <f>$M51*'EISA Incand Impact Forecast'!$G$15+$D51*'EISA Incand Impact Forecast'!$I$15</f>
        <v>0</v>
      </c>
      <c r="Y51" s="85">
        <f t="shared" si="2"/>
        <v>132023.26424136854</v>
      </c>
      <c r="Z51" s="81">
        <f t="shared" si="3"/>
        <v>166943.94810617593</v>
      </c>
      <c r="AA51" s="81"/>
      <c r="AB51" s="81">
        <v>4498960</v>
      </c>
      <c r="AC51" s="308">
        <f t="shared" si="12"/>
        <v>37.107231028098923</v>
      </c>
      <c r="AD51" s="309">
        <f t="shared" si="4"/>
        <v>7.7619458418850966</v>
      </c>
      <c r="AE51" s="107">
        <f t="shared" si="5"/>
        <v>5.9026204120799213E-4</v>
      </c>
      <c r="AF51" s="309">
        <f t="shared" si="13"/>
        <v>29.345285186213822</v>
      </c>
      <c r="AG51" s="107">
        <f t="shared" si="6"/>
        <v>2.2315806225257657E-3</v>
      </c>
      <c r="AH51" s="119">
        <f t="shared" si="14"/>
        <v>2.8218426637337578E-3</v>
      </c>
      <c r="AI51" s="122">
        <f t="shared" si="7"/>
        <v>2.8218426637337582E-3</v>
      </c>
      <c r="AJ51" s="87" t="b">
        <f t="shared" si="15"/>
        <v>1</v>
      </c>
      <c r="AK51" s="88">
        <f t="shared" si="21"/>
        <v>2.0472951412181398E-3</v>
      </c>
      <c r="AL51" s="312">
        <f>+AC51/'MWh by month-WgtbyCDH&amp;DayLtHrs'!AC51-1</f>
        <v>-0.21404429459598084</v>
      </c>
      <c r="AM51" s="89">
        <f t="shared" si="9"/>
        <v>113144.72928649066</v>
      </c>
      <c r="AN51" s="93"/>
      <c r="AO51" s="96">
        <f t="shared" si="28"/>
        <v>25.149085407847739</v>
      </c>
      <c r="AP51" s="92">
        <f t="shared" si="27"/>
        <v>1.9124779777830981E-3</v>
      </c>
      <c r="AR51" s="94">
        <f t="shared" si="10"/>
        <v>2.8218426637337582E-3</v>
      </c>
      <c r="AS51" s="95">
        <v>208079.20515712729</v>
      </c>
      <c r="AU51" s="141">
        <v>37.107231028098923</v>
      </c>
    </row>
    <row r="52" spans="1:47">
      <c r="A52" s="78">
        <v>2008</v>
      </c>
      <c r="B52" s="78">
        <v>12</v>
      </c>
      <c r="C52" s="317">
        <v>37.599492318092651</v>
      </c>
      <c r="D52" s="318">
        <f t="shared" si="25"/>
        <v>1.9272794496231486E-2</v>
      </c>
      <c r="E52" s="104">
        <f>$D52*'MWh Impact Summary'!B$14</f>
        <v>11119.643209770034</v>
      </c>
      <c r="F52" s="320">
        <f>$D52*'MWh Impact Summary'!N$14</f>
        <v>0</v>
      </c>
      <c r="G52" s="320">
        <f>$D52*'MWh Impact Summary'!C$14</f>
        <v>8902.0321014558249</v>
      </c>
      <c r="H52" s="320">
        <f>$D52*'MWh Impact Summary'!D$14</f>
        <v>0</v>
      </c>
      <c r="I52" s="320">
        <f>$D52*'MWh Impact Summary'!E$14</f>
        <v>4228.2349220623764</v>
      </c>
      <c r="J52" s="104">
        <f t="shared" si="11"/>
        <v>24249.910233288236</v>
      </c>
      <c r="K52" s="298">
        <f t="shared" si="18"/>
        <v>13.483333333333333</v>
      </c>
      <c r="L52" s="299">
        <f t="shared" si="26"/>
        <v>9.491962923853102E-2</v>
      </c>
      <c r="M52" s="297">
        <f>(31/366)</f>
        <v>8.4699453551912565E-2</v>
      </c>
      <c r="N52" s="304">
        <f>$M52*'MWh Impact Summary'!F$14</f>
        <v>19160.258394397697</v>
      </c>
      <c r="O52" s="304">
        <f>$M52*'MWh Impact Summary'!G$14</f>
        <v>0</v>
      </c>
      <c r="P52" s="304">
        <f>$M52*'MWh Impact Summary'!H$14</f>
        <v>0</v>
      </c>
      <c r="Q52" s="304">
        <f>$M52*'MWh Impact Summary'!I$14</f>
        <v>347.56105897609848</v>
      </c>
      <c r="R52" s="304">
        <f>$M52*'MWh Impact Summary'!J$14</f>
        <v>0</v>
      </c>
      <c r="S52" s="304">
        <f>$M52*'MWh Impact Summary'!K$14</f>
        <v>0</v>
      </c>
      <c r="T52" s="304">
        <f>$M52*'MWh Impact Summary'!L$14</f>
        <v>0</v>
      </c>
      <c r="U52" s="304">
        <f>$M52*'MWh Impact Summary'!M$14</f>
        <v>0</v>
      </c>
      <c r="V52" s="304">
        <f>$M52*'LED Impact Forecast'!$H$15+$D52*'LED Impact Forecast'!$J$15</f>
        <v>0</v>
      </c>
      <c r="W52" s="304">
        <f>$M52*'CFL Impact Forecast'!$H$15+$D52*'CFL Impact Forecast'!$J$15</f>
        <v>114865.30026867555</v>
      </c>
      <c r="X52" s="304">
        <f>$M52*'EISA Incand Impact Forecast'!$G$15+$D52*'EISA Incand Impact Forecast'!$I$15</f>
        <v>0</v>
      </c>
      <c r="Y52" s="85">
        <f t="shared" si="2"/>
        <v>134373.11972204933</v>
      </c>
      <c r="Z52" s="81">
        <f t="shared" si="3"/>
        <v>158623.02995533758</v>
      </c>
      <c r="AA52" s="81">
        <f>SUM(Z41:Z52)</f>
        <v>3013148.5319665419</v>
      </c>
      <c r="AB52" s="81">
        <v>4497793</v>
      </c>
      <c r="AC52" s="308">
        <f t="shared" si="12"/>
        <v>35.266858647193764</v>
      </c>
      <c r="AD52" s="309">
        <f t="shared" si="4"/>
        <v>5.391513178416222</v>
      </c>
      <c r="AE52" s="107">
        <f t="shared" si="5"/>
        <v>3.9986500705188301E-4</v>
      </c>
      <c r="AF52" s="309">
        <f t="shared" si="13"/>
        <v>29.875345468777539</v>
      </c>
      <c r="AG52" s="107">
        <f t="shared" si="6"/>
        <v>2.2157240149896819E-3</v>
      </c>
      <c r="AH52" s="119">
        <f t="shared" si="14"/>
        <v>2.6155890220415649E-3</v>
      </c>
      <c r="AI52" s="122">
        <f t="shared" si="7"/>
        <v>2.6155890220415649E-3</v>
      </c>
      <c r="AJ52" s="87" t="b">
        <f t="shared" si="15"/>
        <v>1</v>
      </c>
      <c r="AK52" s="88">
        <f t="shared" si="21"/>
        <v>1.8384488275536102E-3</v>
      </c>
      <c r="AL52" s="312">
        <f>+AC52/'MWh by month-WgtbyCDH&amp;DayLtHrs'!AC52-1</f>
        <v>-0.18155437577966138</v>
      </c>
      <c r="AM52" s="89">
        <f t="shared" si="9"/>
        <v>114865.30026867555</v>
      </c>
      <c r="AN52" s="90">
        <f>SUM(AM41:AM52)</f>
        <v>1524584.7350186543</v>
      </c>
      <c r="AO52" s="96">
        <f t="shared" si="28"/>
        <v>25.538147324404559</v>
      </c>
      <c r="AP52" s="92">
        <f t="shared" si="27"/>
        <v>1.8940529536023161E-3</v>
      </c>
      <c r="AR52" s="94">
        <f t="shared" si="10"/>
        <v>2.6155890220415649E-3</v>
      </c>
      <c r="AS52" s="95">
        <v>170636.93213893208</v>
      </c>
      <c r="AU52" s="141">
        <v>35.266858647193764</v>
      </c>
    </row>
    <row r="53" spans="1:47">
      <c r="A53" s="78">
        <v>2009</v>
      </c>
      <c r="B53" s="78">
        <v>1</v>
      </c>
      <c r="C53" s="317">
        <v>22.665730684856467</v>
      </c>
      <c r="D53" s="318">
        <f t="shared" ref="D53:D64" si="29">C53/(SUM(C$53:C$64))</f>
        <v>1.064954643867755E-2</v>
      </c>
      <c r="E53" s="104">
        <f>$D53*'MWh Impact Summary'!B$15</f>
        <v>7554.7779672503084</v>
      </c>
      <c r="F53" s="320">
        <f>$D53*'MWh Impact Summary'!N$15</f>
        <v>181.78853659731908</v>
      </c>
      <c r="G53" s="320">
        <f>$D53*'MWh Impact Summary'!C$15</f>
        <v>5967.4434808750048</v>
      </c>
      <c r="H53" s="320">
        <f>$D53*'MWh Impact Summary'!D$15</f>
        <v>0</v>
      </c>
      <c r="I53" s="320">
        <f>$D53*'MWh Impact Summary'!E$15</f>
        <v>2785.5159638640453</v>
      </c>
      <c r="J53" s="104">
        <f t="shared" si="11"/>
        <v>16489.525948586677</v>
      </c>
      <c r="K53" s="298">
        <f t="shared" si="18"/>
        <v>13.3</v>
      </c>
      <c r="L53" s="299">
        <f t="shared" ref="L53:L64" si="30">K53/(SUM(K$53:K$64))</f>
        <v>9.3629003871876101E-2</v>
      </c>
      <c r="M53" s="297">
        <f>(31/365)</f>
        <v>8.4931506849315067E-2</v>
      </c>
      <c r="N53" s="304">
        <f>$M53*'MWh Impact Summary'!F$15</f>
        <v>25209.25095135537</v>
      </c>
      <c r="O53" s="304">
        <f>$M53*'MWh Impact Summary'!G$15</f>
        <v>0</v>
      </c>
      <c r="P53" s="304">
        <f>$M53*'MWh Impact Summary'!H$15</f>
        <v>0</v>
      </c>
      <c r="Q53" s="304">
        <f>$M53*'MWh Impact Summary'!I$15</f>
        <v>464.68437474064666</v>
      </c>
      <c r="R53" s="304">
        <f>$M53*'MWh Impact Summary'!J$15</f>
        <v>2901.5041676750739</v>
      </c>
      <c r="S53" s="304">
        <f>$M53*'MWh Impact Summary'!K$15</f>
        <v>0</v>
      </c>
      <c r="T53" s="304">
        <f>$M53*'MWh Impact Summary'!L$15</f>
        <v>0</v>
      </c>
      <c r="U53" s="304">
        <f>$M53*'MWh Impact Summary'!M$15</f>
        <v>0</v>
      </c>
      <c r="V53" s="304">
        <f>$M53*'LED Impact Forecast'!$H$16+$D53*'LED Impact Forecast'!$J$16</f>
        <v>0</v>
      </c>
      <c r="W53" s="304">
        <f>$M53*'CFL Impact Forecast'!$H$16+$D53*'CFL Impact Forecast'!$J$16</f>
        <v>136820.75317694564</v>
      </c>
      <c r="X53" s="304">
        <f>$M53*'EISA Incand Impact Forecast'!$G$16+$D53*'EISA Incand Impact Forecast'!$I$16</f>
        <v>0</v>
      </c>
      <c r="Y53" s="85">
        <f t="shared" si="2"/>
        <v>165396.19267071673</v>
      </c>
      <c r="Z53" s="81">
        <f t="shared" si="3"/>
        <v>181885.7186193034</v>
      </c>
      <c r="AA53" s="81"/>
      <c r="AB53" s="81">
        <v>4497781</v>
      </c>
      <c r="AC53" s="308">
        <f t="shared" si="12"/>
        <v>40.438989497110555</v>
      </c>
      <c r="AD53" s="309">
        <f t="shared" si="4"/>
        <v>3.6661469174658965</v>
      </c>
      <c r="AE53" s="107">
        <f t="shared" si="5"/>
        <v>2.7565014417036814E-4</v>
      </c>
      <c r="AF53" s="309">
        <f t="shared" si="13"/>
        <v>36.77284257964466</v>
      </c>
      <c r="AG53" s="107">
        <f t="shared" si="6"/>
        <v>2.7648753819281701E-3</v>
      </c>
      <c r="AH53" s="119">
        <f t="shared" si="14"/>
        <v>3.0405255260985381E-3</v>
      </c>
      <c r="AI53" s="122">
        <f t="shared" si="7"/>
        <v>3.0405255260985376E-3</v>
      </c>
      <c r="AJ53" s="87" t="b">
        <f t="shared" si="15"/>
        <v>1</v>
      </c>
      <c r="AK53" s="88">
        <f t="shared" si="21"/>
        <v>5.0328225093775568E-4</v>
      </c>
      <c r="AL53" s="312">
        <f>+AC53/'MWh by month-WgtbyCDH&amp;DayLtHrs'!AC53-1</f>
        <v>-0.18837345626606583</v>
      </c>
      <c r="AM53" s="89">
        <f t="shared" si="9"/>
        <v>136820.75317694564</v>
      </c>
      <c r="AN53" s="90"/>
      <c r="AO53" s="96">
        <f t="shared" si="28"/>
        <v>30.419612065804365</v>
      </c>
      <c r="AP53" s="92">
        <f t="shared" si="27"/>
        <v>2.2871888771281474E-3</v>
      </c>
      <c r="AR53" s="94">
        <f t="shared" si="10"/>
        <v>3.0405255260985376E-3</v>
      </c>
      <c r="AS53" s="95">
        <v>211653.90202135124</v>
      </c>
      <c r="AU53" s="141">
        <v>40.438989497110555</v>
      </c>
    </row>
    <row r="54" spans="1:47">
      <c r="A54" s="78">
        <v>2009</v>
      </c>
      <c r="B54" s="78">
        <v>2</v>
      </c>
      <c r="C54" s="317">
        <v>19.407634307921253</v>
      </c>
      <c r="D54" s="318">
        <f t="shared" si="29"/>
        <v>9.1187222552312729E-3</v>
      </c>
      <c r="E54" s="104">
        <f>$D54*'MWh Impact Summary'!B$15</f>
        <v>6468.8127686920479</v>
      </c>
      <c r="F54" s="320">
        <f>$D54*'MWh Impact Summary'!N$15</f>
        <v>155.65725582410315</v>
      </c>
      <c r="G54" s="320">
        <f>$D54*'MWh Impact Summary'!C$15</f>
        <v>5109.6504427888985</v>
      </c>
      <c r="H54" s="320">
        <f>$D54*'MWh Impact Summary'!D$15</f>
        <v>0</v>
      </c>
      <c r="I54" s="320">
        <f>$D54*'MWh Impact Summary'!E$15</f>
        <v>2385.1106296638909</v>
      </c>
      <c r="J54" s="104">
        <f t="shared" si="11"/>
        <v>14119.231096968939</v>
      </c>
      <c r="K54" s="298">
        <f t="shared" si="18"/>
        <v>12.733333333333333</v>
      </c>
      <c r="L54" s="299">
        <f t="shared" si="30"/>
        <v>8.9639798193124468E-2</v>
      </c>
      <c r="M54" s="297">
        <f>(28/365)</f>
        <v>7.6712328767123292E-2</v>
      </c>
      <c r="N54" s="304">
        <f>$M54*'MWh Impact Summary'!F$15</f>
        <v>22769.646020579046</v>
      </c>
      <c r="O54" s="304">
        <f>$M54*'MWh Impact Summary'!G$15</f>
        <v>0</v>
      </c>
      <c r="P54" s="304">
        <f>$M54*'MWh Impact Summary'!H$15</f>
        <v>0</v>
      </c>
      <c r="Q54" s="304">
        <f>$M54*'MWh Impact Summary'!I$15</f>
        <v>419.71491912058411</v>
      </c>
      <c r="R54" s="304">
        <f>$M54*'MWh Impact Summary'!J$15</f>
        <v>2620.7134417710345</v>
      </c>
      <c r="S54" s="304">
        <f>$M54*'MWh Impact Summary'!K$15</f>
        <v>0</v>
      </c>
      <c r="T54" s="304">
        <f>$M54*'MWh Impact Summary'!L$15</f>
        <v>0</v>
      </c>
      <c r="U54" s="304">
        <f>$M54*'MWh Impact Summary'!M$15</f>
        <v>0</v>
      </c>
      <c r="V54" s="304">
        <f>$M54*'LED Impact Forecast'!$H$16+$D54*'LED Impact Forecast'!$J$16</f>
        <v>0</v>
      </c>
      <c r="W54" s="304">
        <f>$M54*'CFL Impact Forecast'!$H$16+$D54*'CFL Impact Forecast'!$J$16</f>
        <v>123448.02422641619</v>
      </c>
      <c r="X54" s="304">
        <f>$M54*'EISA Incand Impact Forecast'!$G$16+$D54*'EISA Incand Impact Forecast'!$I$16</f>
        <v>0</v>
      </c>
      <c r="Y54" s="85">
        <f t="shared" si="2"/>
        <v>149258.09860788684</v>
      </c>
      <c r="Z54" s="81">
        <f t="shared" si="3"/>
        <v>163377.32970485577</v>
      </c>
      <c r="AA54" s="81"/>
      <c r="AB54" s="81">
        <v>4502684</v>
      </c>
      <c r="AC54" s="308">
        <f t="shared" si="12"/>
        <v>36.284431620086103</v>
      </c>
      <c r="AD54" s="309">
        <f t="shared" si="4"/>
        <v>3.1357366177526425</v>
      </c>
      <c r="AE54" s="107">
        <f t="shared" si="5"/>
        <v>2.4626203804340124E-4</v>
      </c>
      <c r="AF54" s="309">
        <f t="shared" si="13"/>
        <v>33.148695002333461</v>
      </c>
      <c r="AG54" s="107">
        <f t="shared" si="6"/>
        <v>2.6033006546335182E-3</v>
      </c>
      <c r="AH54" s="119">
        <f t="shared" si="14"/>
        <v>2.8495626926769192E-3</v>
      </c>
      <c r="AI54" s="122">
        <f t="shared" si="7"/>
        <v>2.8495626926769192E-3</v>
      </c>
      <c r="AJ54" s="87" t="b">
        <f t="shared" si="15"/>
        <v>1</v>
      </c>
      <c r="AK54" s="88">
        <f t="shared" si="21"/>
        <v>-4.6309480007791348E-5</v>
      </c>
      <c r="AL54" s="312">
        <f>+AC54/'MWh by month-WgtbyCDH&amp;DayLtHrs'!AC54-1</f>
        <v>-0.26605246924972592</v>
      </c>
      <c r="AM54" s="89">
        <f t="shared" si="9"/>
        <v>123448.02422641619</v>
      </c>
      <c r="AN54" s="99"/>
      <c r="AO54" s="96">
        <f t="shared" si="28"/>
        <v>27.41654182847746</v>
      </c>
      <c r="AP54" s="92">
        <f t="shared" si="27"/>
        <v>2.1531315572102718E-3</v>
      </c>
      <c r="AR54" s="94">
        <f t="shared" si="10"/>
        <v>2.8495626926769192E-3</v>
      </c>
      <c r="AS54" s="95">
        <v>196612.42709287113</v>
      </c>
      <c r="AU54" s="141">
        <v>36.284431620086103</v>
      </c>
    </row>
    <row r="55" spans="1:47">
      <c r="A55" s="78">
        <v>2009</v>
      </c>
      <c r="B55" s="78">
        <v>3</v>
      </c>
      <c r="C55" s="317">
        <v>58.110139740637223</v>
      </c>
      <c r="D55" s="318">
        <f t="shared" si="29"/>
        <v>2.7303184721039001E-2</v>
      </c>
      <c r="E55" s="104">
        <f>$D55*'MWh Impact Summary'!B$15</f>
        <v>19368.852894723379</v>
      </c>
      <c r="F55" s="320">
        <f>$D55*'MWh Impact Summary'!N$15</f>
        <v>466.06736009503817</v>
      </c>
      <c r="G55" s="320">
        <f>$D55*'MWh Impact Summary'!C$15</f>
        <v>15299.262988229453</v>
      </c>
      <c r="H55" s="320">
        <f>$D55*'MWh Impact Summary'!D$15</f>
        <v>0</v>
      </c>
      <c r="I55" s="320">
        <f>$D55*'MWh Impact Summary'!E$15</f>
        <v>7141.4738029188093</v>
      </c>
      <c r="J55" s="104">
        <f>SUM(E55:I55)</f>
        <v>42275.657045966676</v>
      </c>
      <c r="K55" s="298">
        <f t="shared" si="18"/>
        <v>12</v>
      </c>
      <c r="L55" s="299">
        <f>K55/(SUM(K$53:K$64))</f>
        <v>8.4477296726504739E-2</v>
      </c>
      <c r="M55" s="297">
        <f t="shared" ref="M55:M64" si="31">(31/365)</f>
        <v>8.4931506849315067E-2</v>
      </c>
      <c r="N55" s="304">
        <f>$M55*'MWh Impact Summary'!F$15</f>
        <v>25209.25095135537</v>
      </c>
      <c r="O55" s="304">
        <f>$M55*'MWh Impact Summary'!G$15</f>
        <v>0</v>
      </c>
      <c r="P55" s="304">
        <f>$M55*'MWh Impact Summary'!H$15</f>
        <v>0</v>
      </c>
      <c r="Q55" s="304">
        <f>$M55*'MWh Impact Summary'!I$15</f>
        <v>464.68437474064666</v>
      </c>
      <c r="R55" s="304">
        <f>$M55*'MWh Impact Summary'!J$15</f>
        <v>2901.5041676750739</v>
      </c>
      <c r="S55" s="304">
        <f>$M55*'MWh Impact Summary'!K$15</f>
        <v>0</v>
      </c>
      <c r="T55" s="304">
        <f>$M55*'MWh Impact Summary'!L$15</f>
        <v>0</v>
      </c>
      <c r="U55" s="304">
        <f>$M55*'MWh Impact Summary'!M$15</f>
        <v>0</v>
      </c>
      <c r="V55" s="304">
        <f>$M55*'LED Impact Forecast'!$H$16+$D55*'LED Impact Forecast'!$J$16</f>
        <v>0</v>
      </c>
      <c r="W55" s="304">
        <f>$M55*'CFL Impact Forecast'!$H$16+$D55*'CFL Impact Forecast'!$J$16</f>
        <v>141215.71736249953</v>
      </c>
      <c r="X55" s="304">
        <f>$M55*'EISA Incand Impact Forecast'!$G$16+$D55*'EISA Incand Impact Forecast'!$I$16</f>
        <v>0</v>
      </c>
      <c r="Y55" s="85">
        <f t="shared" si="2"/>
        <v>169791.15685627062</v>
      </c>
      <c r="Z55" s="81">
        <f t="shared" si="3"/>
        <v>212066.81390223731</v>
      </c>
      <c r="AA55" s="81"/>
      <c r="AB55" s="81">
        <v>4502987</v>
      </c>
      <c r="AC55" s="308">
        <f t="shared" si="12"/>
        <v>47.094698230804866</v>
      </c>
      <c r="AD55" s="309">
        <f t="shared" si="4"/>
        <v>9.3883586708037754</v>
      </c>
      <c r="AE55" s="107">
        <f t="shared" si="5"/>
        <v>7.8236322256698134E-4</v>
      </c>
      <c r="AF55" s="309">
        <f t="shared" si="13"/>
        <v>37.706339560001084</v>
      </c>
      <c r="AG55" s="107">
        <f t="shared" si="6"/>
        <v>3.1421949633334235E-3</v>
      </c>
      <c r="AH55" s="119">
        <f t="shared" si="14"/>
        <v>3.9245581859004052E-3</v>
      </c>
      <c r="AI55" s="122">
        <f t="shared" si="7"/>
        <v>3.9245581859004052E-3</v>
      </c>
      <c r="AJ55" s="87" t="b">
        <f t="shared" si="15"/>
        <v>1</v>
      </c>
      <c r="AK55" s="88">
        <f t="shared" si="21"/>
        <v>6.0798492033333493E-4</v>
      </c>
      <c r="AL55" s="312">
        <f>+AC55/'MWh by month-WgtbyCDH&amp;DayLtHrs'!AC55-1</f>
        <v>-9.6908112029921778E-2</v>
      </c>
      <c r="AM55" s="89">
        <f t="shared" si="9"/>
        <v>141215.71736249953</v>
      </c>
      <c r="AN55" s="93"/>
      <c r="AO55" s="96">
        <f t="shared" si="28"/>
        <v>31.360454152432492</v>
      </c>
      <c r="AP55" s="92">
        <f t="shared" si="27"/>
        <v>2.6133711793693741E-3</v>
      </c>
      <c r="AR55" s="94">
        <f t="shared" si="10"/>
        <v>3.9245581859004052E-3</v>
      </c>
      <c r="AS55" s="95">
        <v>238059.33620390375</v>
      </c>
      <c r="AU55" s="141">
        <v>47.094698230804866</v>
      </c>
    </row>
    <row r="56" spans="1:47">
      <c r="A56" s="78">
        <v>2009</v>
      </c>
      <c r="B56" s="78">
        <v>4</v>
      </c>
      <c r="C56" s="317">
        <v>123.06823193915518</v>
      </c>
      <c r="D56" s="318">
        <f t="shared" si="29"/>
        <v>5.7823895879854911E-2</v>
      </c>
      <c r="E56" s="104">
        <f>$D56*'MWh Impact Summary'!B$15</f>
        <v>41020.215939633104</v>
      </c>
      <c r="F56" s="320">
        <f>$D56*'MWh Impact Summary'!N$15</f>
        <v>987.05813180715199</v>
      </c>
      <c r="G56" s="320">
        <f>$D56*'MWh Impact Summary'!C$15</f>
        <v>32401.457892500119</v>
      </c>
      <c r="H56" s="320">
        <f>$D56*'MWh Impact Summary'!D$15</f>
        <v>0</v>
      </c>
      <c r="I56" s="320">
        <f>$D56*'MWh Impact Summary'!E$15</f>
        <v>15124.530043943325</v>
      </c>
      <c r="J56" s="104">
        <f t="shared" si="11"/>
        <v>89533.262007883692</v>
      </c>
      <c r="K56" s="298">
        <f t="shared" si="18"/>
        <v>11.2</v>
      </c>
      <c r="L56" s="299">
        <f>K56/(SUM(K$53:K$64))</f>
        <v>7.8845476944737758E-2</v>
      </c>
      <c r="M56" s="297">
        <f>(30/365)</f>
        <v>8.2191780821917804E-2</v>
      </c>
      <c r="N56" s="304">
        <f>$M56*'MWh Impact Summary'!F$15</f>
        <v>24396.04930776326</v>
      </c>
      <c r="O56" s="304">
        <f>$M56*'MWh Impact Summary'!G$15</f>
        <v>0</v>
      </c>
      <c r="P56" s="304">
        <f>$M56*'MWh Impact Summary'!H$15</f>
        <v>0</v>
      </c>
      <c r="Q56" s="304">
        <f>$M56*'MWh Impact Summary'!I$15</f>
        <v>449.69455620062581</v>
      </c>
      <c r="R56" s="304">
        <f>$M56*'MWh Impact Summary'!J$15</f>
        <v>2807.9072590403939</v>
      </c>
      <c r="S56" s="304">
        <f>$M56*'MWh Impact Summary'!K$15</f>
        <v>0</v>
      </c>
      <c r="T56" s="304">
        <f>$M56*'MWh Impact Summary'!L$15</f>
        <v>0</v>
      </c>
      <c r="U56" s="304">
        <f>$M56*'MWh Impact Summary'!M$15</f>
        <v>0</v>
      </c>
      <c r="V56" s="304">
        <f>$M56*'LED Impact Forecast'!$H$16+$D56*'LED Impact Forecast'!$J$16</f>
        <v>0</v>
      </c>
      <c r="W56" s="304">
        <f>$M56*'CFL Impact Forecast'!$H$16+$D56*'CFL Impact Forecast'!$J$16</f>
        <v>144947.34686974459</v>
      </c>
      <c r="X56" s="304">
        <f>$M56*'EISA Incand Impact Forecast'!$G$16+$D56*'EISA Incand Impact Forecast'!$I$16</f>
        <v>0</v>
      </c>
      <c r="Y56" s="85">
        <f t="shared" si="2"/>
        <v>172600.99799274886</v>
      </c>
      <c r="Z56" s="81">
        <f t="shared" si="3"/>
        <v>262134.26000063255</v>
      </c>
      <c r="AA56" s="81"/>
      <c r="AB56" s="81">
        <v>4502465</v>
      </c>
      <c r="AC56" s="308">
        <f t="shared" si="12"/>
        <v>58.220166064729554</v>
      </c>
      <c r="AD56" s="309">
        <f t="shared" si="4"/>
        <v>19.885387672726761</v>
      </c>
      <c r="AE56" s="107">
        <f t="shared" si="5"/>
        <v>1.7754810422077468E-3</v>
      </c>
      <c r="AF56" s="309">
        <f t="shared" si="13"/>
        <v>38.334778392002796</v>
      </c>
      <c r="AG56" s="107">
        <f t="shared" si="6"/>
        <v>3.4227480707145356E-3</v>
      </c>
      <c r="AH56" s="119">
        <f t="shared" si="14"/>
        <v>5.1982291129222822E-3</v>
      </c>
      <c r="AI56" s="122">
        <f t="shared" si="7"/>
        <v>5.1982291129222822E-3</v>
      </c>
      <c r="AJ56" s="87" t="b">
        <f t="shared" si="15"/>
        <v>1</v>
      </c>
      <c r="AK56" s="88">
        <f t="shared" si="21"/>
        <v>1.0780961338577614E-3</v>
      </c>
      <c r="AL56" s="312">
        <f>+AC56/'MWh by month-WgtbyCDH&amp;DayLtHrs'!AC56-1</f>
        <v>1.5754764686717326E-3</v>
      </c>
      <c r="AM56" s="89">
        <f t="shared" si="9"/>
        <v>144947.34686974459</v>
      </c>
      <c r="AN56" s="93"/>
      <c r="AO56" s="96">
        <f t="shared" si="28"/>
        <v>32.192886978520569</v>
      </c>
      <c r="AP56" s="92">
        <f t="shared" si="27"/>
        <v>2.8743649087964798E-3</v>
      </c>
      <c r="AR56" s="94">
        <f t="shared" si="10"/>
        <v>5.1982291129222822E-3</v>
      </c>
      <c r="AS56" s="95">
        <v>279638.2946346883</v>
      </c>
      <c r="AU56" s="141">
        <v>58.220166064729554</v>
      </c>
    </row>
    <row r="57" spans="1:47">
      <c r="A57" s="78">
        <v>2009</v>
      </c>
      <c r="B57" s="78">
        <v>5</v>
      </c>
      <c r="C57" s="317">
        <v>205.55904412801459</v>
      </c>
      <c r="D57" s="318">
        <f t="shared" si="29"/>
        <v>9.6582396427839751E-2</v>
      </c>
      <c r="E57" s="104">
        <f>$D57*'MWh Impact Summary'!B$15</f>
        <v>68515.458828112023</v>
      </c>
      <c r="F57" s="320">
        <f>$D57*'MWh Impact Summary'!N$15</f>
        <v>1648.6685708898046</v>
      </c>
      <c r="G57" s="320">
        <f>$D57*'MWh Impact Summary'!C$15</f>
        <v>54119.674978586998</v>
      </c>
      <c r="H57" s="320">
        <f>$D57*'MWh Impact Summary'!D$15</f>
        <v>0</v>
      </c>
      <c r="I57" s="320">
        <f>$D57*'MWh Impact Summary'!E$15</f>
        <v>25262.278410365943</v>
      </c>
      <c r="J57" s="104">
        <f t="shared" si="11"/>
        <v>149546.08078795476</v>
      </c>
      <c r="K57" s="298">
        <f t="shared" si="18"/>
        <v>10.533333333333333</v>
      </c>
      <c r="L57" s="299">
        <f>K57/(SUM(K$53:K$64))</f>
        <v>7.4152293793265281E-2</v>
      </c>
      <c r="M57" s="297">
        <f t="shared" si="31"/>
        <v>8.4931506849315067E-2</v>
      </c>
      <c r="N57" s="304">
        <f>$M57*'MWh Impact Summary'!F$15</f>
        <v>25209.25095135537</v>
      </c>
      <c r="O57" s="304">
        <f>$M57*'MWh Impact Summary'!G$15</f>
        <v>0</v>
      </c>
      <c r="P57" s="304">
        <f>$M57*'MWh Impact Summary'!H$15</f>
        <v>0</v>
      </c>
      <c r="Q57" s="304">
        <f>$M57*'MWh Impact Summary'!I$15</f>
        <v>464.68437474064666</v>
      </c>
      <c r="R57" s="304">
        <f>$M57*'MWh Impact Summary'!J$15</f>
        <v>2901.5041676750739</v>
      </c>
      <c r="S57" s="304">
        <f>$M57*'MWh Impact Summary'!K$15</f>
        <v>0</v>
      </c>
      <c r="T57" s="304">
        <f>$M57*'MWh Impact Summary'!L$15</f>
        <v>0</v>
      </c>
      <c r="U57" s="304">
        <f>$M57*'MWh Impact Summary'!M$15</f>
        <v>0</v>
      </c>
      <c r="V57" s="304">
        <f>$M57*'LED Impact Forecast'!$H$16+$D57*'LED Impact Forecast'!$J$16</f>
        <v>0</v>
      </c>
      <c r="W57" s="304">
        <f>$M57*'CFL Impact Forecast'!$H$16+$D57*'CFL Impact Forecast'!$J$16</f>
        <v>159498.78855045023</v>
      </c>
      <c r="X57" s="304">
        <f>$M57*'EISA Incand Impact Forecast'!$G$16+$D57*'EISA Incand Impact Forecast'!$I$16</f>
        <v>0</v>
      </c>
      <c r="Y57" s="85">
        <f t="shared" si="2"/>
        <v>188074.22804422132</v>
      </c>
      <c r="Z57" s="81">
        <f t="shared" si="3"/>
        <v>337620.30883217609</v>
      </c>
      <c r="AA57" s="81"/>
      <c r="AB57" s="81">
        <v>4499097</v>
      </c>
      <c r="AC57" s="308">
        <f t="shared" si="12"/>
        <v>75.041793682638115</v>
      </c>
      <c r="AD57" s="309">
        <f t="shared" si="4"/>
        <v>33.239132383221516</v>
      </c>
      <c r="AE57" s="107">
        <f t="shared" si="5"/>
        <v>3.1556138338501437E-3</v>
      </c>
      <c r="AF57" s="309">
        <f t="shared" si="13"/>
        <v>41.802661299416599</v>
      </c>
      <c r="AG57" s="107">
        <f t="shared" si="6"/>
        <v>3.9686070853876517E-3</v>
      </c>
      <c r="AH57" s="119">
        <f t="shared" si="14"/>
        <v>7.1242209192377958E-3</v>
      </c>
      <c r="AI57" s="122">
        <f t="shared" si="7"/>
        <v>7.1242209192377958E-3</v>
      </c>
      <c r="AJ57" s="87" t="b">
        <f t="shared" si="15"/>
        <v>1</v>
      </c>
      <c r="AK57" s="88">
        <f t="shared" si="21"/>
        <v>6.1281263153356927E-4</v>
      </c>
      <c r="AL57" s="312">
        <f>+AC57/'MWh by month-WgtbyCDH&amp;DayLtHrs'!AC57-1</f>
        <v>3.545433576813628E-2</v>
      </c>
      <c r="AM57" s="89">
        <f t="shared" si="9"/>
        <v>159498.78855045023</v>
      </c>
      <c r="AN57" s="93"/>
      <c r="AO57" s="96">
        <f t="shared" si="28"/>
        <v>35.451289125451225</v>
      </c>
      <c r="AP57" s="92">
        <f t="shared" si="27"/>
        <v>3.3656287144415722E-3</v>
      </c>
      <c r="AR57" s="94">
        <f t="shared" si="10"/>
        <v>7.1242209192377958E-3</v>
      </c>
      <c r="AS57" s="95">
        <v>336203.57287137385</v>
      </c>
      <c r="AU57" s="141">
        <v>75.041793682638115</v>
      </c>
    </row>
    <row r="58" spans="1:47">
      <c r="A58" s="78">
        <v>2009</v>
      </c>
      <c r="B58" s="78">
        <v>6</v>
      </c>
      <c r="C58" s="317">
        <v>286.28501498299062</v>
      </c>
      <c r="D58" s="318">
        <f t="shared" si="29"/>
        <v>0.13451168215793893</v>
      </c>
      <c r="E58" s="104">
        <f>$D58*'MWh Impact Summary'!B$15</f>
        <v>95422.45752493896</v>
      </c>
      <c r="F58" s="320">
        <f>$D58*'MWh Impact Summary'!N$15</f>
        <v>2296.1242523838359</v>
      </c>
      <c r="G58" s="320">
        <f>$D58*'MWh Impact Summary'!C$15</f>
        <v>75373.24386695672</v>
      </c>
      <c r="H58" s="320">
        <f>$D58*'MWh Impact Summary'!D$15</f>
        <v>0</v>
      </c>
      <c r="I58" s="320">
        <f>$D58*'MWh Impact Summary'!E$15</f>
        <v>35183.135745232103</v>
      </c>
      <c r="J58" s="104">
        <f t="shared" si="11"/>
        <v>208274.96138951162</v>
      </c>
      <c r="K58" s="298">
        <f t="shared" si="18"/>
        <v>10.199999999999999</v>
      </c>
      <c r="L58" s="299">
        <f t="shared" si="30"/>
        <v>7.1805702217529022E-2</v>
      </c>
      <c r="M58" s="297">
        <f>(30/365)</f>
        <v>8.2191780821917804E-2</v>
      </c>
      <c r="N58" s="304">
        <f>$M58*'MWh Impact Summary'!F$15</f>
        <v>24396.04930776326</v>
      </c>
      <c r="O58" s="304">
        <f>$M58*'MWh Impact Summary'!G$15</f>
        <v>0</v>
      </c>
      <c r="P58" s="304">
        <f>$M58*'MWh Impact Summary'!H$15</f>
        <v>0</v>
      </c>
      <c r="Q58" s="304">
        <f>$M58*'MWh Impact Summary'!I$15</f>
        <v>449.69455620062581</v>
      </c>
      <c r="R58" s="304">
        <f>$M58*'MWh Impact Summary'!J$15</f>
        <v>2807.9072590403939</v>
      </c>
      <c r="S58" s="304">
        <f>$M58*'MWh Impact Summary'!K$15</f>
        <v>0</v>
      </c>
      <c r="T58" s="304">
        <f>$M58*'MWh Impact Summary'!L$15</f>
        <v>0</v>
      </c>
      <c r="U58" s="304">
        <f>$M58*'MWh Impact Summary'!M$15</f>
        <v>0</v>
      </c>
      <c r="V58" s="304">
        <f>$M58*'LED Impact Forecast'!$H$16+$D58*'LED Impact Forecast'!$J$16</f>
        <v>0</v>
      </c>
      <c r="W58" s="304">
        <f>$M58*'CFL Impact Forecast'!$H$16+$D58*'CFL Impact Forecast'!$J$16</f>
        <v>165185.57160160775</v>
      </c>
      <c r="X58" s="304">
        <f>$M58*'EISA Incand Impact Forecast'!$G$16+$D58*'EISA Incand Impact Forecast'!$I$16</f>
        <v>0</v>
      </c>
      <c r="Y58" s="85">
        <f t="shared" si="2"/>
        <v>192839.22272461205</v>
      </c>
      <c r="Z58" s="81">
        <f t="shared" si="3"/>
        <v>401114.18411412369</v>
      </c>
      <c r="AA58" s="81"/>
      <c r="AB58" s="81">
        <v>4497918</v>
      </c>
      <c r="AC58" s="308">
        <f t="shared" si="12"/>
        <v>89.177744928681165</v>
      </c>
      <c r="AD58" s="309">
        <f t="shared" si="4"/>
        <v>46.304748416825653</v>
      </c>
      <c r="AE58" s="107">
        <f t="shared" si="5"/>
        <v>4.5396812173358484E-3</v>
      </c>
      <c r="AF58" s="309">
        <f t="shared" si="13"/>
        <v>42.872996511855497</v>
      </c>
      <c r="AG58" s="107">
        <f t="shared" si="6"/>
        <v>4.2032349521426964E-3</v>
      </c>
      <c r="AH58" s="119">
        <f t="shared" si="14"/>
        <v>8.7429161694785457E-3</v>
      </c>
      <c r="AI58" s="122">
        <f t="shared" si="7"/>
        <v>8.7429161694785457E-3</v>
      </c>
      <c r="AJ58" s="87" t="b">
        <f t="shared" si="15"/>
        <v>1</v>
      </c>
      <c r="AK58" s="88">
        <f t="shared" si="21"/>
        <v>1.4194527825567805E-3</v>
      </c>
      <c r="AL58" s="312">
        <f>+AC58/'MWh by month-WgtbyCDH&amp;DayLtHrs'!AC58-1</f>
        <v>8.1755769063693418E-2</v>
      </c>
      <c r="AM58" s="89">
        <f t="shared" si="9"/>
        <v>165185.57160160775</v>
      </c>
      <c r="AN58" s="93"/>
      <c r="AO58" s="96">
        <f t="shared" si="28"/>
        <v>36.724896185659176</v>
      </c>
      <c r="AP58" s="92">
        <f t="shared" si="27"/>
        <v>3.6004800182018802E-3</v>
      </c>
      <c r="AR58" s="94">
        <f t="shared" si="10"/>
        <v>8.7429161694785457E-3</v>
      </c>
      <c r="AS58" s="95">
        <v>410391.3099683905</v>
      </c>
      <c r="AU58" s="141">
        <v>89.177744928681165</v>
      </c>
    </row>
    <row r="59" spans="1:47">
      <c r="A59" s="78">
        <v>2009</v>
      </c>
      <c r="B59" s="78">
        <v>7</v>
      </c>
      <c r="C59" s="317">
        <v>333.19100931503795</v>
      </c>
      <c r="D59" s="318">
        <f t="shared" si="29"/>
        <v>0.15655057302084108</v>
      </c>
      <c r="E59" s="104">
        <f>$D59*'MWh Impact Summary'!B$15</f>
        <v>111056.82543651389</v>
      </c>
      <c r="F59" s="320">
        <f>$D59*'MWh Impact Summary'!N$15</f>
        <v>2672.3297312992854</v>
      </c>
      <c r="G59" s="320">
        <f>$D59*'MWh Impact Summary'!C$15</f>
        <v>87722.674555187288</v>
      </c>
      <c r="H59" s="320">
        <f>$D59*'MWh Impact Summary'!D$15</f>
        <v>0</v>
      </c>
      <c r="I59" s="320">
        <f>$D59*'MWh Impact Summary'!E$15</f>
        <v>40947.67066490843</v>
      </c>
      <c r="J59" s="104">
        <f t="shared" si="11"/>
        <v>242399.50038790889</v>
      </c>
      <c r="K59" s="298">
        <f t="shared" si="18"/>
        <v>10.366666666666667</v>
      </c>
      <c r="L59" s="299">
        <f t="shared" si="30"/>
        <v>7.2978998005397158E-2</v>
      </c>
      <c r="M59" s="297">
        <f t="shared" si="31"/>
        <v>8.4931506849315067E-2</v>
      </c>
      <c r="N59" s="304">
        <f>$M59*'MWh Impact Summary'!F$15</f>
        <v>25209.25095135537</v>
      </c>
      <c r="O59" s="304">
        <f>$M59*'MWh Impact Summary'!G$15</f>
        <v>0</v>
      </c>
      <c r="P59" s="304">
        <f>$M59*'MWh Impact Summary'!H$15</f>
        <v>0</v>
      </c>
      <c r="Q59" s="304">
        <f>$M59*'MWh Impact Summary'!I$15</f>
        <v>464.68437474064666</v>
      </c>
      <c r="R59" s="304">
        <f>$M59*'MWh Impact Summary'!J$15</f>
        <v>2901.5041676750739</v>
      </c>
      <c r="S59" s="304">
        <f>$M59*'MWh Impact Summary'!K$15</f>
        <v>0</v>
      </c>
      <c r="T59" s="304">
        <f>$M59*'MWh Impact Summary'!L$15</f>
        <v>0</v>
      </c>
      <c r="U59" s="304">
        <f>$M59*'MWh Impact Summary'!M$15</f>
        <v>0</v>
      </c>
      <c r="V59" s="304">
        <f>$M59*'LED Impact Forecast'!$H$16+$D59*'LED Impact Forecast'!$J$16</f>
        <v>0</v>
      </c>
      <c r="W59" s="304">
        <f>$M59*'CFL Impact Forecast'!$H$16+$D59*'CFL Impact Forecast'!$J$16</f>
        <v>175324.63897007637</v>
      </c>
      <c r="X59" s="304">
        <f>$M59*'EISA Incand Impact Forecast'!$G$16+$D59*'EISA Incand Impact Forecast'!$I$16</f>
        <v>0</v>
      </c>
      <c r="Y59" s="85">
        <f t="shared" si="2"/>
        <v>203900.07846384746</v>
      </c>
      <c r="Z59" s="81">
        <f t="shared" si="3"/>
        <v>446299.57885175635</v>
      </c>
      <c r="AA59" s="81"/>
      <c r="AB59" s="81">
        <v>4498393</v>
      </c>
      <c r="AC59" s="308">
        <f t="shared" si="12"/>
        <v>99.21311429476178</v>
      </c>
      <c r="AD59" s="309">
        <f t="shared" si="4"/>
        <v>53.885798859261271</v>
      </c>
      <c r="AE59" s="107">
        <f t="shared" si="5"/>
        <v>5.1979870282245601E-3</v>
      </c>
      <c r="AF59" s="309">
        <f t="shared" si="13"/>
        <v>45.327315435500516</v>
      </c>
      <c r="AG59" s="107">
        <f t="shared" si="6"/>
        <v>4.3724098490836505E-3</v>
      </c>
      <c r="AH59" s="119">
        <f t="shared" si="14"/>
        <v>9.5703968773082106E-3</v>
      </c>
      <c r="AI59" s="122">
        <f t="shared" si="7"/>
        <v>9.5703968773082106E-3</v>
      </c>
      <c r="AJ59" s="87" t="b">
        <f t="shared" si="15"/>
        <v>1</v>
      </c>
      <c r="AK59" s="88">
        <f t="shared" si="21"/>
        <v>2.1468745579697251E-3</v>
      </c>
      <c r="AL59" s="312">
        <f>+AC59/'MWh by month-WgtbyCDH&amp;DayLtHrs'!AC59-1</f>
        <v>8.0106177887899532E-2</v>
      </c>
      <c r="AM59" s="89">
        <f t="shared" si="9"/>
        <v>175324.63897007637</v>
      </c>
      <c r="AN59" s="93"/>
      <c r="AO59" s="96">
        <f t="shared" si="28"/>
        <v>38.97494926967839</v>
      </c>
      <c r="AP59" s="92">
        <f t="shared" si="27"/>
        <v>3.7596414086506482E-3</v>
      </c>
      <c r="AR59" s="94">
        <f t="shared" si="10"/>
        <v>9.5703968773082106E-3</v>
      </c>
      <c r="AS59" s="95">
        <v>431665.33151051996</v>
      </c>
      <c r="AU59" s="141">
        <v>99.21311429476178</v>
      </c>
    </row>
    <row r="60" spans="1:47">
      <c r="A60" s="78">
        <v>2009</v>
      </c>
      <c r="B60" s="78">
        <v>8</v>
      </c>
      <c r="C60" s="317">
        <v>358.89720244871319</v>
      </c>
      <c r="D60" s="318">
        <f t="shared" si="29"/>
        <v>0.16862868783412588</v>
      </c>
      <c r="E60" s="104">
        <f>$D60*'MWh Impact Summary'!B$15</f>
        <v>119625.02843020445</v>
      </c>
      <c r="F60" s="320">
        <f>$D60*'MWh Impact Summary'!N$15</f>
        <v>2878.5040345341281</v>
      </c>
      <c r="G60" s="320">
        <f>$D60*'MWh Impact Summary'!C$15</f>
        <v>94490.61231843596</v>
      </c>
      <c r="H60" s="320">
        <f>$D60*'MWh Impact Summary'!D$15</f>
        <v>0</v>
      </c>
      <c r="I60" s="320">
        <f>$D60*'MWh Impact Summary'!E$15</f>
        <v>44106.845735839008</v>
      </c>
      <c r="J60" s="104">
        <f t="shared" si="11"/>
        <v>261100.99051901355</v>
      </c>
      <c r="K60" s="298">
        <f t="shared" si="18"/>
        <v>10.933333333333334</v>
      </c>
      <c r="L60" s="299">
        <f t="shared" si="30"/>
        <v>7.6968203684148764E-2</v>
      </c>
      <c r="M60" s="297">
        <f t="shared" si="31"/>
        <v>8.4931506849315067E-2</v>
      </c>
      <c r="N60" s="304">
        <f>$M60*'MWh Impact Summary'!F$15</f>
        <v>25209.25095135537</v>
      </c>
      <c r="O60" s="304">
        <f>$M60*'MWh Impact Summary'!G$15</f>
        <v>0</v>
      </c>
      <c r="P60" s="304">
        <f>$M60*'MWh Impact Summary'!H$15</f>
        <v>0</v>
      </c>
      <c r="Q60" s="304">
        <f>$M60*'MWh Impact Summary'!I$15</f>
        <v>464.68437474064666</v>
      </c>
      <c r="R60" s="304">
        <f>$M60*'MWh Impact Summary'!J$15</f>
        <v>2901.5041676750739</v>
      </c>
      <c r="S60" s="304">
        <f>$M60*'MWh Impact Summary'!K$15</f>
        <v>0</v>
      </c>
      <c r="T60" s="304">
        <f>$M60*'MWh Impact Summary'!L$15</f>
        <v>0</v>
      </c>
      <c r="U60" s="304">
        <f>$M60*'MWh Impact Summary'!M$15</f>
        <v>0</v>
      </c>
      <c r="V60" s="304">
        <f>$M60*'LED Impact Forecast'!$H$16+$D60*'LED Impact Forecast'!$J$16</f>
        <v>0</v>
      </c>
      <c r="W60" s="304">
        <f>$M60*'CFL Impact Forecast'!$H$16+$D60*'CFL Impact Forecast'!$J$16</f>
        <v>178512.10354288487</v>
      </c>
      <c r="X60" s="304">
        <f>$M60*'EISA Incand Impact Forecast'!$G$16+$D60*'EISA Incand Impact Forecast'!$I$16</f>
        <v>0</v>
      </c>
      <c r="Y60" s="85">
        <f t="shared" si="2"/>
        <v>207087.54303665596</v>
      </c>
      <c r="Z60" s="81">
        <f t="shared" si="3"/>
        <v>468188.53355566948</v>
      </c>
      <c r="AA60" s="81"/>
      <c r="AB60" s="81">
        <v>4498960</v>
      </c>
      <c r="AC60" s="308">
        <f t="shared" si="12"/>
        <v>104.06594714237724</v>
      </c>
      <c r="AD60" s="309">
        <f t="shared" si="4"/>
        <v>58.035855068507736</v>
      </c>
      <c r="AE60" s="107">
        <f t="shared" si="5"/>
        <v>5.308157475778146E-3</v>
      </c>
      <c r="AF60" s="309">
        <f t="shared" si="13"/>
        <v>46.030092073869511</v>
      </c>
      <c r="AG60" s="107">
        <f t="shared" si="6"/>
        <v>4.2100693970002602E-3</v>
      </c>
      <c r="AH60" s="119">
        <f t="shared" si="14"/>
        <v>9.5182268727784063E-3</v>
      </c>
      <c r="AI60" s="122">
        <f t="shared" si="7"/>
        <v>9.5182268727784063E-3</v>
      </c>
      <c r="AJ60" s="87" t="b">
        <f t="shared" si="15"/>
        <v>1</v>
      </c>
      <c r="AK60" s="88">
        <f t="shared" si="21"/>
        <v>1.8835886035972723E-3</v>
      </c>
      <c r="AL60" s="312">
        <f>+AC60/'MWh by month-WgtbyCDH&amp;DayLtHrs'!AC60-1</f>
        <v>0.10165260939105281</v>
      </c>
      <c r="AM60" s="89">
        <f t="shared" si="9"/>
        <v>178512.10354288487</v>
      </c>
      <c r="AN60" s="93"/>
      <c r="AO60" s="96">
        <f t="shared" si="28"/>
        <v>39.678526491207933</v>
      </c>
      <c r="AP60" s="92">
        <f t="shared" si="27"/>
        <v>3.6291335205373108E-3</v>
      </c>
      <c r="AR60" s="94">
        <f t="shared" si="10"/>
        <v>9.5182268727784063E-3</v>
      </c>
      <c r="AS60" s="95">
        <v>448779.68352140411</v>
      </c>
      <c r="AU60" s="141">
        <v>104.06594714237724</v>
      </c>
    </row>
    <row r="61" spans="1:47">
      <c r="A61" s="78">
        <v>2009</v>
      </c>
      <c r="B61" s="78">
        <v>9</v>
      </c>
      <c r="C61" s="317">
        <v>293.17953447835237</v>
      </c>
      <c r="D61" s="318">
        <f t="shared" si="29"/>
        <v>0.13775108822691154</v>
      </c>
      <c r="E61" s="104">
        <f>$D61*'MWh Impact Summary'!B$15</f>
        <v>97720.489064382651</v>
      </c>
      <c r="F61" s="320">
        <f>$D61*'MWh Impact Summary'!N$15</f>
        <v>2351.4211509056599</v>
      </c>
      <c r="G61" s="320">
        <f>$D61*'MWh Impact Summary'!C$15</f>
        <v>77188.435972978274</v>
      </c>
      <c r="H61" s="320">
        <f>$D61*'MWh Impact Summary'!D$15</f>
        <v>0</v>
      </c>
      <c r="I61" s="320">
        <f>$D61*'MWh Impact Summary'!E$15</f>
        <v>36030.44106199091</v>
      </c>
      <c r="J61" s="104">
        <f t="shared" si="11"/>
        <v>213290.7872502575</v>
      </c>
      <c r="K61" s="298">
        <f t="shared" si="18"/>
        <v>11.683333333333334</v>
      </c>
      <c r="L61" s="299">
        <f t="shared" si="30"/>
        <v>8.2248034729555317E-2</v>
      </c>
      <c r="M61" s="297">
        <f>(30/365)</f>
        <v>8.2191780821917804E-2</v>
      </c>
      <c r="N61" s="304">
        <f>$M61*'MWh Impact Summary'!F$15</f>
        <v>24396.04930776326</v>
      </c>
      <c r="O61" s="304">
        <f>$M61*'MWh Impact Summary'!G$15</f>
        <v>0</v>
      </c>
      <c r="P61" s="304">
        <f>$M61*'MWh Impact Summary'!H$15</f>
        <v>0</v>
      </c>
      <c r="Q61" s="304">
        <f>$M61*'MWh Impact Summary'!I$15</f>
        <v>449.69455620062581</v>
      </c>
      <c r="R61" s="304">
        <f>$M61*'MWh Impact Summary'!J$15</f>
        <v>2807.9072590403939</v>
      </c>
      <c r="S61" s="304">
        <f>$M61*'MWh Impact Summary'!K$15</f>
        <v>0</v>
      </c>
      <c r="T61" s="304">
        <f>$M61*'MWh Impact Summary'!L$15</f>
        <v>0</v>
      </c>
      <c r="U61" s="304">
        <f>$M61*'MWh Impact Summary'!M$15</f>
        <v>0</v>
      </c>
      <c r="V61" s="304">
        <f>$M61*'LED Impact Forecast'!$H$16+$D61*'LED Impact Forecast'!$J$16</f>
        <v>0</v>
      </c>
      <c r="W61" s="304">
        <f>$M61*'CFL Impact Forecast'!$H$16+$D61*'CFL Impact Forecast'!$J$16</f>
        <v>166040.46429317529</v>
      </c>
      <c r="X61" s="304">
        <f>$M61*'EISA Incand Impact Forecast'!$G$16+$D61*'EISA Incand Impact Forecast'!$I$16</f>
        <v>0</v>
      </c>
      <c r="Y61" s="85">
        <f t="shared" si="2"/>
        <v>193694.11541617959</v>
      </c>
      <c r="Z61" s="81">
        <f t="shared" si="3"/>
        <v>406984.90266643709</v>
      </c>
      <c r="AA61" s="81"/>
      <c r="AB61" s="81">
        <v>4495923</v>
      </c>
      <c r="AC61" s="308">
        <f t="shared" si="12"/>
        <v>90.523103413122755</v>
      </c>
      <c r="AD61" s="309">
        <f t="shared" si="4"/>
        <v>47.440934208672502</v>
      </c>
      <c r="AE61" s="107">
        <f t="shared" si="5"/>
        <v>4.0605649821973608E-3</v>
      </c>
      <c r="AF61" s="309">
        <f t="shared" si="13"/>
        <v>43.082169204450253</v>
      </c>
      <c r="AG61" s="107">
        <f t="shared" si="6"/>
        <v>3.6874895182125748E-3</v>
      </c>
      <c r="AH61" s="119">
        <f t="shared" si="14"/>
        <v>7.7480545004099356E-3</v>
      </c>
      <c r="AI61" s="122">
        <f t="shared" si="7"/>
        <v>7.7480545004099365E-3</v>
      </c>
      <c r="AJ61" s="87" t="b">
        <f t="shared" si="15"/>
        <v>1</v>
      </c>
      <c r="AK61" s="88">
        <f t="shared" si="21"/>
        <v>1.1171299341734275E-3</v>
      </c>
      <c r="AL61" s="312">
        <f>+AC61/'MWh by month-WgtbyCDH&amp;DayLtHrs'!AC61-1</f>
        <v>2.2513557799194617E-2</v>
      </c>
      <c r="AM61" s="89">
        <f t="shared" si="9"/>
        <v>166040.46429317529</v>
      </c>
      <c r="AN61" s="93"/>
      <c r="AO61" s="96">
        <f t="shared" si="28"/>
        <v>36.931340748757329</v>
      </c>
      <c r="AP61" s="92">
        <f t="shared" si="27"/>
        <v>3.1610277388380028E-3</v>
      </c>
      <c r="AR61" s="94">
        <f t="shared" si="10"/>
        <v>7.7480545004099365E-3</v>
      </c>
      <c r="AS61" s="95">
        <v>424214.99137736217</v>
      </c>
      <c r="AU61" s="141">
        <v>90.523103413122755</v>
      </c>
    </row>
    <row r="62" spans="1:47">
      <c r="A62" s="78">
        <v>2009</v>
      </c>
      <c r="B62" s="78">
        <v>10</v>
      </c>
      <c r="C62" s="317">
        <v>264.36692505127553</v>
      </c>
      <c r="D62" s="318">
        <f t="shared" si="29"/>
        <v>0.12421341647127998</v>
      </c>
      <c r="E62" s="104">
        <f>$D62*'MWh Impact Summary'!B$15</f>
        <v>88116.877784200056</v>
      </c>
      <c r="F62" s="320">
        <f>$D62*'MWh Impact Summary'!N$15</f>
        <v>2120.3321039155308</v>
      </c>
      <c r="G62" s="320">
        <f>$D62*'MWh Impact Summary'!C$15</f>
        <v>69602.639570328756</v>
      </c>
      <c r="H62" s="320">
        <f>$D62*'MWh Impact Summary'!D$15</f>
        <v>0</v>
      </c>
      <c r="I62" s="320">
        <f>$D62*'MWh Impact Summary'!E$15</f>
        <v>32489.501454280646</v>
      </c>
      <c r="J62" s="104">
        <f t="shared" si="11"/>
        <v>192329.35091272497</v>
      </c>
      <c r="K62" s="298">
        <f t="shared" si="18"/>
        <v>12.466666666666667</v>
      </c>
      <c r="L62" s="299">
        <f t="shared" si="30"/>
        <v>8.7762524932535488E-2</v>
      </c>
      <c r="M62" s="297">
        <f t="shared" si="31"/>
        <v>8.4931506849315067E-2</v>
      </c>
      <c r="N62" s="304">
        <f>$M62*'MWh Impact Summary'!F$15</f>
        <v>25209.25095135537</v>
      </c>
      <c r="O62" s="304">
        <f>$M62*'MWh Impact Summary'!G$15</f>
        <v>0</v>
      </c>
      <c r="P62" s="304">
        <f>$M62*'MWh Impact Summary'!H$15</f>
        <v>0</v>
      </c>
      <c r="Q62" s="304">
        <f>$M62*'MWh Impact Summary'!I$15</f>
        <v>464.68437474064666</v>
      </c>
      <c r="R62" s="304">
        <f>$M62*'MWh Impact Summary'!J$15</f>
        <v>2901.5041676750739</v>
      </c>
      <c r="S62" s="304">
        <f>$M62*'MWh Impact Summary'!K$15</f>
        <v>0</v>
      </c>
      <c r="T62" s="304">
        <f>$M62*'MWh Impact Summary'!L$15</f>
        <v>0</v>
      </c>
      <c r="U62" s="304">
        <f>$M62*'MWh Impact Summary'!M$15</f>
        <v>0</v>
      </c>
      <c r="V62" s="304">
        <f>$M62*'LED Impact Forecast'!$H$16+$D62*'LED Impact Forecast'!$J$16</f>
        <v>0</v>
      </c>
      <c r="W62" s="304">
        <f>$M62*'CFL Impact Forecast'!$H$16+$D62*'CFL Impact Forecast'!$J$16</f>
        <v>166790.72929290414</v>
      </c>
      <c r="X62" s="304">
        <f>$M62*'EISA Incand Impact Forecast'!$G$16+$D62*'EISA Incand Impact Forecast'!$I$16</f>
        <v>0</v>
      </c>
      <c r="Y62" s="85">
        <f t="shared" si="2"/>
        <v>195366.16878667523</v>
      </c>
      <c r="Z62" s="81">
        <f t="shared" si="3"/>
        <v>387695.51969940017</v>
      </c>
      <c r="AA62" s="81"/>
      <c r="AB62" s="81">
        <v>4495215</v>
      </c>
      <c r="AC62" s="308">
        <f t="shared" si="12"/>
        <v>86.24626846533485</v>
      </c>
      <c r="AD62" s="309">
        <f t="shared" si="4"/>
        <v>42.78535084811849</v>
      </c>
      <c r="AE62" s="107">
        <f t="shared" si="5"/>
        <v>3.4319800145549591E-3</v>
      </c>
      <c r="AF62" s="309">
        <f t="shared" si="13"/>
        <v>43.46091761721636</v>
      </c>
      <c r="AG62" s="107">
        <f t="shared" si="6"/>
        <v>3.486169862343558E-3</v>
      </c>
      <c r="AH62" s="119">
        <f t="shared" si="14"/>
        <v>6.9181498768985175E-3</v>
      </c>
      <c r="AI62" s="122">
        <f t="shared" si="7"/>
        <v>6.9181498768985166E-3</v>
      </c>
      <c r="AJ62" s="87" t="b">
        <f t="shared" si="15"/>
        <v>1</v>
      </c>
      <c r="AK62" s="88">
        <f t="shared" si="21"/>
        <v>2.2620076275356822E-3</v>
      </c>
      <c r="AL62" s="312">
        <f>+AC62/'MWh by month-WgtbyCDH&amp;DayLtHrs'!AC62-1</f>
        <v>0.11529852391918838</v>
      </c>
      <c r="AM62" s="89">
        <f t="shared" si="9"/>
        <v>166790.72929290414</v>
      </c>
      <c r="AN62" s="93"/>
      <c r="AO62" s="96">
        <f t="shared" si="28"/>
        <v>37.104060493859393</v>
      </c>
      <c r="AP62" s="92">
        <f t="shared" si="27"/>
        <v>2.9762615369405931E-3</v>
      </c>
      <c r="AR62" s="94">
        <f t="shared" si="10"/>
        <v>6.9181498768985166E-3</v>
      </c>
      <c r="AS62" s="95">
        <v>341701.86044827267</v>
      </c>
      <c r="AU62" s="141">
        <v>86.24626846533485</v>
      </c>
    </row>
    <row r="63" spans="1:47">
      <c r="A63" s="78">
        <v>2009</v>
      </c>
      <c r="B63" s="78">
        <v>11</v>
      </c>
      <c r="C63" s="317">
        <v>100.30513597769693</v>
      </c>
      <c r="D63" s="318">
        <f t="shared" si="29"/>
        <v>4.7128602138824645E-2</v>
      </c>
      <c r="E63" s="104">
        <f>$D63*'MWh Impact Summary'!B$15</f>
        <v>33432.984880237927</v>
      </c>
      <c r="F63" s="320">
        <f>$D63*'MWh Impact Summary'!N$15</f>
        <v>804.48868541279489</v>
      </c>
      <c r="G63" s="320">
        <f>$D63*'MWh Impact Summary'!C$15</f>
        <v>26408.380039047435</v>
      </c>
      <c r="H63" s="320">
        <f>$D63*'MWh Impact Summary'!D$15</f>
        <v>0</v>
      </c>
      <c r="I63" s="320">
        <f>$D63*'MWh Impact Summary'!E$15</f>
        <v>12327.04832719572</v>
      </c>
      <c r="J63" s="104">
        <f t="shared" si="11"/>
        <v>72972.901931893881</v>
      </c>
      <c r="K63" s="298">
        <f t="shared" si="18"/>
        <v>13.15</v>
      </c>
      <c r="L63" s="299">
        <f t="shared" si="30"/>
        <v>9.2573037662794788E-2</v>
      </c>
      <c r="M63" s="297">
        <f>(30/365)</f>
        <v>8.2191780821917804E-2</v>
      </c>
      <c r="N63" s="304">
        <f>$M63*'MWh Impact Summary'!F$15</f>
        <v>24396.04930776326</v>
      </c>
      <c r="O63" s="304">
        <f>$M63*'MWh Impact Summary'!G$15</f>
        <v>0</v>
      </c>
      <c r="P63" s="304">
        <f>$M63*'MWh Impact Summary'!H$15</f>
        <v>0</v>
      </c>
      <c r="Q63" s="304">
        <f>$M63*'MWh Impact Summary'!I$15</f>
        <v>449.69455620062581</v>
      </c>
      <c r="R63" s="304">
        <f>$M63*'MWh Impact Summary'!J$15</f>
        <v>2807.9072590403939</v>
      </c>
      <c r="S63" s="304">
        <f>$M63*'MWh Impact Summary'!K$15</f>
        <v>0</v>
      </c>
      <c r="T63" s="304">
        <f>$M63*'MWh Impact Summary'!L$15</f>
        <v>0</v>
      </c>
      <c r="U63" s="304">
        <f>$M63*'MWh Impact Summary'!M$15</f>
        <v>0</v>
      </c>
      <c r="V63" s="304">
        <f>$M63*'LED Impact Forecast'!$H$16+$D63*'LED Impact Forecast'!$J$16</f>
        <v>0</v>
      </c>
      <c r="W63" s="304">
        <f>$M63*'CFL Impact Forecast'!$H$16+$D63*'CFL Impact Forecast'!$J$16</f>
        <v>142124.81451081901</v>
      </c>
      <c r="X63" s="304">
        <f>$M63*'EISA Incand Impact Forecast'!$G$16+$D63*'EISA Incand Impact Forecast'!$I$16</f>
        <v>0</v>
      </c>
      <c r="Y63" s="85">
        <f t="shared" si="2"/>
        <v>169778.4656338233</v>
      </c>
      <c r="Z63" s="81">
        <f t="shared" si="3"/>
        <v>242751.3675657172</v>
      </c>
      <c r="AA63" s="81"/>
      <c r="AB63" s="81">
        <v>4498782</v>
      </c>
      <c r="AC63" s="308">
        <f t="shared" si="12"/>
        <v>53.959353346242871</v>
      </c>
      <c r="AD63" s="309">
        <f t="shared" si="4"/>
        <v>16.220590802553644</v>
      </c>
      <c r="AE63" s="107">
        <f t="shared" si="5"/>
        <v>1.2335050039964748E-3</v>
      </c>
      <c r="AF63" s="309">
        <f t="shared" si="13"/>
        <v>37.738762543689226</v>
      </c>
      <c r="AG63" s="107">
        <f t="shared" si="6"/>
        <v>2.8698678740448078E-3</v>
      </c>
      <c r="AH63" s="119">
        <f t="shared" si="14"/>
        <v>4.103372878041283E-3</v>
      </c>
      <c r="AI63" s="122">
        <f t="shared" si="7"/>
        <v>4.103372878041283E-3</v>
      </c>
      <c r="AJ63" s="87" t="b">
        <f t="shared" si="15"/>
        <v>1</v>
      </c>
      <c r="AK63" s="88">
        <f t="shared" si="21"/>
        <v>1.2815302143075248E-3</v>
      </c>
      <c r="AL63" s="312">
        <f>+AC63/'MWh by month-WgtbyCDH&amp;DayLtHrs'!AC63-1</f>
        <v>-7.6271950717297421E-2</v>
      </c>
      <c r="AM63" s="89">
        <f t="shared" si="9"/>
        <v>142124.81451081901</v>
      </c>
      <c r="AN63" s="93"/>
      <c r="AO63" s="96">
        <f t="shared" si="28"/>
        <v>31.59184297234652</v>
      </c>
      <c r="AP63" s="92">
        <f t="shared" si="27"/>
        <v>2.4024215188096212E-3</v>
      </c>
      <c r="AR63" s="94">
        <f t="shared" si="10"/>
        <v>4.103372878041283E-3</v>
      </c>
      <c r="AS63" s="95">
        <v>263250.27865551104</v>
      </c>
      <c r="AU63" s="141">
        <v>53.959353346242871</v>
      </c>
    </row>
    <row r="64" spans="1:47">
      <c r="A64" s="78">
        <v>2009</v>
      </c>
      <c r="B64" s="78">
        <v>12</v>
      </c>
      <c r="C64" s="317">
        <v>63.292661005303621</v>
      </c>
      <c r="D64" s="318">
        <f t="shared" si="29"/>
        <v>2.9738204427435386E-2</v>
      </c>
      <c r="E64" s="104">
        <f>$D64*'MWh Impact Summary'!B$15</f>
        <v>21096.253524753225</v>
      </c>
      <c r="F64" s="320">
        <f>$D64*'MWh Impact Summary'!N$15</f>
        <v>507.63332457628246</v>
      </c>
      <c r="G64" s="320">
        <f>$D64*'MWh Impact Summary'!C$15</f>
        <v>16663.719451836525</v>
      </c>
      <c r="H64" s="320">
        <f>$D64*'MWh Impact Summary'!D$15</f>
        <v>0</v>
      </c>
      <c r="I64" s="320">
        <f>$D64*'MWh Impact Summary'!E$15</f>
        <v>7778.3822669127894</v>
      </c>
      <c r="J64" s="104">
        <f t="shared" si="11"/>
        <v>46045.988568078821</v>
      </c>
      <c r="K64" s="298">
        <f t="shared" si="18"/>
        <v>13.483333333333333</v>
      </c>
      <c r="L64" s="299">
        <f t="shared" si="30"/>
        <v>9.491962923853102E-2</v>
      </c>
      <c r="M64" s="297">
        <f t="shared" si="31"/>
        <v>8.4931506849315067E-2</v>
      </c>
      <c r="N64" s="304">
        <f>$M64*'MWh Impact Summary'!F$15</f>
        <v>25209.25095135537</v>
      </c>
      <c r="O64" s="304">
        <f>$M64*'MWh Impact Summary'!G$15</f>
        <v>0</v>
      </c>
      <c r="P64" s="304">
        <f>$M64*'MWh Impact Summary'!H$15</f>
        <v>0</v>
      </c>
      <c r="Q64" s="304">
        <f>$M64*'MWh Impact Summary'!I$15</f>
        <v>464.68437474064666</v>
      </c>
      <c r="R64" s="304">
        <f>$M64*'MWh Impact Summary'!J$15</f>
        <v>2901.5041676750739</v>
      </c>
      <c r="S64" s="304">
        <f>$M64*'MWh Impact Summary'!K$15</f>
        <v>0</v>
      </c>
      <c r="T64" s="304">
        <f>$M64*'MWh Impact Summary'!L$15</f>
        <v>0</v>
      </c>
      <c r="U64" s="304">
        <f>$M64*'MWh Impact Summary'!M$15</f>
        <v>0</v>
      </c>
      <c r="V64" s="304">
        <f>$M64*'LED Impact Forecast'!$H$16+$D64*'LED Impact Forecast'!$J$16</f>
        <v>0</v>
      </c>
      <c r="W64" s="304">
        <f>$M64*'CFL Impact Forecast'!$H$16+$D64*'CFL Impact Forecast'!$J$16</f>
        <v>141858.32915814931</v>
      </c>
      <c r="X64" s="304">
        <f>$M64*'EISA Incand Impact Forecast'!$G$16+$D64*'EISA Incand Impact Forecast'!$I$16</f>
        <v>0</v>
      </c>
      <c r="Y64" s="85">
        <f t="shared" si="2"/>
        <v>170433.7686519204</v>
      </c>
      <c r="Z64" s="81">
        <f t="shared" si="3"/>
        <v>216479.75721999921</v>
      </c>
      <c r="AA64" s="81">
        <f>SUM(Z53:Z64)</f>
        <v>3726598.274732308</v>
      </c>
      <c r="AB64" s="81">
        <v>4498596</v>
      </c>
      <c r="AC64" s="308">
        <f t="shared" si="12"/>
        <v>48.12162666307426</v>
      </c>
      <c r="AD64" s="309">
        <f t="shared" si="4"/>
        <v>10.235635422269265</v>
      </c>
      <c r="AE64" s="107">
        <f t="shared" si="5"/>
        <v>7.5913241697917919E-4</v>
      </c>
      <c r="AF64" s="309">
        <f t="shared" si="13"/>
        <v>37.885991240804998</v>
      </c>
      <c r="AG64" s="107">
        <f t="shared" si="6"/>
        <v>2.8098386581561184E-3</v>
      </c>
      <c r="AH64" s="119">
        <f t="shared" si="14"/>
        <v>3.5689710751352975E-3</v>
      </c>
      <c r="AI64" s="122">
        <f t="shared" si="7"/>
        <v>3.5689710751352975E-3</v>
      </c>
      <c r="AJ64" s="87" t="b">
        <f t="shared" si="15"/>
        <v>1</v>
      </c>
      <c r="AK64" s="88">
        <f t="shared" si="21"/>
        <v>9.5338205309373255E-4</v>
      </c>
      <c r="AL64" s="312">
        <f>+AC64/'MWh by month-WgtbyCDH&amp;DayLtHrs'!AC64-1</f>
        <v>-9.7514321624731171E-2</v>
      </c>
      <c r="AM64" s="89">
        <f t="shared" si="9"/>
        <v>141858.32915814931</v>
      </c>
      <c r="AN64" s="90">
        <f>SUM(AM53:AM64)</f>
        <v>1841767.2815556731</v>
      </c>
      <c r="AO64" s="96">
        <f t="shared" si="28"/>
        <v>31.533911726714134</v>
      </c>
      <c r="AP64" s="92">
        <f t="shared" si="27"/>
        <v>2.3387326373335579E-3</v>
      </c>
      <c r="AR64" s="94">
        <f t="shared" si="10"/>
        <v>3.5689710751352975E-3</v>
      </c>
      <c r="AS64" s="95">
        <v>217032.35405401044</v>
      </c>
      <c r="AU64" s="141">
        <v>48.12162666307426</v>
      </c>
    </row>
    <row r="65" spans="1:47">
      <c r="A65" s="78">
        <v>2010</v>
      </c>
      <c r="B65" s="78">
        <v>1</v>
      </c>
      <c r="C65" s="317">
        <v>19.03365586925597</v>
      </c>
      <c r="D65" s="318">
        <f t="shared" ref="D65:D76" si="32">C65/(SUM(C$65:C$76))</f>
        <v>9.3337587400849908E-3</v>
      </c>
      <c r="E65" s="321">
        <f>$D65*'MWh Impact Summary'!B$16</f>
        <v>7925.3543711088932</v>
      </c>
      <c r="F65" s="319">
        <f>$D65*'MWh Impact Summary'!N$16</f>
        <v>254.31737654139854</v>
      </c>
      <c r="G65" s="319">
        <f>$D65*'MWh Impact Summary'!C$16</f>
        <v>6496.2188220308835</v>
      </c>
      <c r="H65" s="319">
        <f>$D65*'MWh Impact Summary'!D$16</f>
        <v>6.6260148135908432</v>
      </c>
      <c r="I65" s="319">
        <f>$D65*'MWh Impact Summary'!E$16</f>
        <v>2891.805931076251</v>
      </c>
      <c r="J65" s="104">
        <f t="shared" si="11"/>
        <v>17574.322515571017</v>
      </c>
      <c r="K65" s="298">
        <f t="shared" si="18"/>
        <v>13.3</v>
      </c>
      <c r="L65" s="299">
        <f t="shared" ref="L65:L76" si="33">K65/(SUM(K$65:K$76))</f>
        <v>9.3629003871876101E-2</v>
      </c>
      <c r="M65" s="297">
        <f>(31/365)</f>
        <v>8.4931506849315067E-2</v>
      </c>
      <c r="N65" s="304">
        <f>$M65*'MWh Impact Summary'!F$16</f>
        <v>32751.921227896411</v>
      </c>
      <c r="O65" s="304">
        <f>$M65*'MWh Impact Summary'!G$16</f>
        <v>0</v>
      </c>
      <c r="P65" s="304">
        <f>$M65*'MWh Impact Summary'!H$16</f>
        <v>629.02008129806632</v>
      </c>
      <c r="Q65" s="304">
        <f>$M65*'MWh Impact Summary'!I$16</f>
        <v>580.85546842580834</v>
      </c>
      <c r="R65" s="304">
        <f>$M65*'MWh Impact Summary'!J$16</f>
        <v>5891.6079990401058</v>
      </c>
      <c r="S65" s="304">
        <f>$M65*'MWh Impact Summary'!K$16</f>
        <v>0</v>
      </c>
      <c r="T65" s="304">
        <f>$M65*'MWh Impact Summary'!L$16</f>
        <v>0</v>
      </c>
      <c r="U65" s="304">
        <f>$M65*'MWh Impact Summary'!M$16</f>
        <v>0</v>
      </c>
      <c r="V65" s="304">
        <f>$M65*'LED Impact Forecast'!$H$17+$D65*'LED Impact Forecast'!$J$17</f>
        <v>0</v>
      </c>
      <c r="W65" s="304">
        <f>$M65*'CFL Impact Forecast'!$H$17+$D65*'CFL Impact Forecast'!$J$17</f>
        <v>158663.42744487897</v>
      </c>
      <c r="X65" s="304">
        <f>$M65*'EISA Incand Impact Forecast'!$G$17+$D65*'EISA Incand Impact Forecast'!$I$17</f>
        <v>0</v>
      </c>
      <c r="Y65" s="85">
        <f t="shared" si="2"/>
        <v>198516.83222153934</v>
      </c>
      <c r="Z65" s="81">
        <f t="shared" si="3"/>
        <v>216091.15473711037</v>
      </c>
      <c r="AA65" s="81"/>
      <c r="AB65" s="81">
        <v>4502130</v>
      </c>
      <c r="AC65" s="308">
        <f t="shared" si="12"/>
        <v>47.997537773700529</v>
      </c>
      <c r="AD65" s="309">
        <f t="shared" si="4"/>
        <v>3.9035573196622524</v>
      </c>
      <c r="AE65" s="107">
        <f t="shared" si="5"/>
        <v>2.9350055035054528E-4</v>
      </c>
      <c r="AF65" s="309">
        <f t="shared" si="13"/>
        <v>44.093980454038274</v>
      </c>
      <c r="AG65" s="107">
        <f t="shared" si="6"/>
        <v>3.3153368762434791E-3</v>
      </c>
      <c r="AH65" s="119">
        <f t="shared" si="14"/>
        <v>3.6088374265940246E-3</v>
      </c>
      <c r="AI65" s="122">
        <f t="shared" si="7"/>
        <v>3.6088374265940246E-3</v>
      </c>
      <c r="AJ65" s="87" t="b">
        <f t="shared" si="15"/>
        <v>1</v>
      </c>
      <c r="AK65" s="88">
        <f t="shared" si="21"/>
        <v>5.6831190049548693E-4</v>
      </c>
      <c r="AL65" s="312">
        <f>+AC65/'MWh by month-WgtbyCDH&amp;DayLtHrs'!AC65-1</f>
        <v>-0.1955587992013329</v>
      </c>
      <c r="AM65" s="89">
        <f t="shared" si="9"/>
        <v>158663.42744487897</v>
      </c>
      <c r="AN65" s="93"/>
      <c r="AO65" s="96">
        <f t="shared" si="28"/>
        <v>35.241858285939983</v>
      </c>
      <c r="AP65" s="92">
        <f t="shared" si="27"/>
        <v>2.649763780897743E-3</v>
      </c>
      <c r="AR65" s="94">
        <f t="shared" si="10"/>
        <v>3.6088374265940246E-3</v>
      </c>
      <c r="AS65" s="95">
        <v>252377.30894529319</v>
      </c>
      <c r="AU65" s="141">
        <v>47.997537773700529</v>
      </c>
    </row>
    <row r="66" spans="1:47">
      <c r="A66" s="78">
        <v>2010</v>
      </c>
      <c r="B66" s="78">
        <v>2</v>
      </c>
      <c r="C66" s="317">
        <v>7.1720930852976759</v>
      </c>
      <c r="D66" s="318">
        <f t="shared" si="32"/>
        <v>3.5170640353821376E-3</v>
      </c>
      <c r="E66" s="321">
        <f>$D66*'MWh Impact Summary'!B$16</f>
        <v>2986.3616151312581</v>
      </c>
      <c r="F66" s="319">
        <f>$D66*'MWh Impact Summary'!N$16</f>
        <v>95.829614147316718</v>
      </c>
      <c r="G66" s="319">
        <f>$D66*'MWh Impact Summary'!C$16</f>
        <v>2447.8474557967083</v>
      </c>
      <c r="H66" s="319">
        <f>$D66*'MWh Impact Summary'!D$16</f>
        <v>2.4967560280626486</v>
      </c>
      <c r="I66" s="319">
        <f>$D66*'MWh Impact Summary'!E$16</f>
        <v>1089.6646164437316</v>
      </c>
      <c r="J66" s="104">
        <f t="shared" si="11"/>
        <v>6622.2000575470774</v>
      </c>
      <c r="K66" s="298">
        <f t="shared" si="18"/>
        <v>12.733333333333333</v>
      </c>
      <c r="L66" s="299">
        <f t="shared" si="33"/>
        <v>8.9639798193124468E-2</v>
      </c>
      <c r="M66" s="297">
        <f>(28/365)</f>
        <v>7.6712328767123292E-2</v>
      </c>
      <c r="N66" s="304">
        <f>$M66*'MWh Impact Summary'!F$16</f>
        <v>29582.38046390644</v>
      </c>
      <c r="O66" s="304">
        <f>$M66*'MWh Impact Summary'!G$16</f>
        <v>0</v>
      </c>
      <c r="P66" s="304">
        <f>$M66*'MWh Impact Summary'!H$16</f>
        <v>568.14717020470505</v>
      </c>
      <c r="Q66" s="304">
        <f>$M66*'MWh Impact Summary'!I$16</f>
        <v>524.64364890073023</v>
      </c>
      <c r="R66" s="304">
        <f>$M66*'MWh Impact Summary'!J$16</f>
        <v>5321.4523862297738</v>
      </c>
      <c r="S66" s="304">
        <f>$M66*'MWh Impact Summary'!K$16</f>
        <v>0</v>
      </c>
      <c r="T66" s="304">
        <f>$M66*'MWh Impact Summary'!L$16</f>
        <v>0</v>
      </c>
      <c r="U66" s="304">
        <f>$M66*'MWh Impact Summary'!M$16</f>
        <v>0</v>
      </c>
      <c r="V66" s="304">
        <f>$M66*'LED Impact Forecast'!$H$17+$D66*'LED Impact Forecast'!$J$17</f>
        <v>0</v>
      </c>
      <c r="W66" s="304">
        <f>$M66*'CFL Impact Forecast'!$H$17+$D66*'CFL Impact Forecast'!$J$17</f>
        <v>141797.76622878629</v>
      </c>
      <c r="X66" s="304">
        <f>$M66*'EISA Incand Impact Forecast'!$G$17+$D66*'EISA Incand Impact Forecast'!$I$17</f>
        <v>0</v>
      </c>
      <c r="Y66" s="85">
        <f t="shared" si="2"/>
        <v>177794.38989802793</v>
      </c>
      <c r="Z66" s="81">
        <f t="shared" si="3"/>
        <v>184416.58995557501</v>
      </c>
      <c r="AA66" s="81"/>
      <c r="AB66" s="81">
        <v>4510659</v>
      </c>
      <c r="AC66" s="308">
        <f t="shared" si="12"/>
        <v>40.884622392332254</v>
      </c>
      <c r="AD66" s="309">
        <f t="shared" si="4"/>
        <v>1.4681225199127395</v>
      </c>
      <c r="AE66" s="107">
        <f t="shared" si="5"/>
        <v>1.1529758009785912E-4</v>
      </c>
      <c r="AF66" s="309">
        <f t="shared" si="13"/>
        <v>39.416499872419514</v>
      </c>
      <c r="AG66" s="107">
        <f t="shared" si="6"/>
        <v>3.09553663919525E-3</v>
      </c>
      <c r="AH66" s="119">
        <f t="shared" si="14"/>
        <v>3.2108342192931089E-3</v>
      </c>
      <c r="AI66" s="122">
        <f t="shared" si="7"/>
        <v>3.2108342192931094E-3</v>
      </c>
      <c r="AJ66" s="87" t="b">
        <f t="shared" si="15"/>
        <v>1</v>
      </c>
      <c r="AK66" s="88">
        <f t="shared" si="21"/>
        <v>3.6127152661619014E-4</v>
      </c>
      <c r="AL66" s="312">
        <f>+AC66/'MWh by month-WgtbyCDH&amp;DayLtHrs'!AC66-1</f>
        <v>-0.3095360719455108</v>
      </c>
      <c r="AM66" s="89">
        <f t="shared" si="9"/>
        <v>141797.76622878629</v>
      </c>
      <c r="AN66" s="93"/>
      <c r="AO66" s="96">
        <f t="shared" si="28"/>
        <v>31.436152949887433</v>
      </c>
      <c r="AP66" s="92">
        <f t="shared" si="27"/>
        <v>2.4688078232895888E-3</v>
      </c>
      <c r="AR66" s="94">
        <f t="shared" si="10"/>
        <v>3.2108342192931094E-3</v>
      </c>
      <c r="AS66" s="95">
        <v>234507.32757270089</v>
      </c>
      <c r="AU66" s="141">
        <v>40.884622392332254</v>
      </c>
    </row>
    <row r="67" spans="1:47">
      <c r="A67" s="78">
        <v>2010</v>
      </c>
      <c r="B67" s="78">
        <v>3</v>
      </c>
      <c r="C67" s="317">
        <v>15.393895535335714</v>
      </c>
      <c r="D67" s="318">
        <f t="shared" si="32"/>
        <v>7.5488864558583427E-3</v>
      </c>
      <c r="E67" s="321">
        <f>$D67*'MWh Impact Summary'!B$16</f>
        <v>6409.8078743994683</v>
      </c>
      <c r="F67" s="319">
        <f>$D67*'MWh Impact Summary'!N$16</f>
        <v>205.68487494945776</v>
      </c>
      <c r="G67" s="319">
        <f>$D67*'MWh Impact Summary'!C$16</f>
        <v>5253.962486657806</v>
      </c>
      <c r="H67" s="319">
        <f>$D67*'MWh Impact Summary'!D$16</f>
        <v>5.3589379022429284</v>
      </c>
      <c r="I67" s="319">
        <f>$D67*'MWh Impact Summary'!E$16</f>
        <v>2338.8128227828565</v>
      </c>
      <c r="J67" s="104">
        <f t="shared" si="11"/>
        <v>14213.626996691832</v>
      </c>
      <c r="K67" s="298">
        <f t="shared" si="18"/>
        <v>12</v>
      </c>
      <c r="L67" s="299">
        <f t="shared" si="33"/>
        <v>8.4477296726504739E-2</v>
      </c>
      <c r="M67" s="297">
        <f t="shared" ref="M67:M76" si="34">(31/365)</f>
        <v>8.4931506849315067E-2</v>
      </c>
      <c r="N67" s="304">
        <f>$M67*'MWh Impact Summary'!F$16</f>
        <v>32751.921227896411</v>
      </c>
      <c r="O67" s="304">
        <f>$M67*'MWh Impact Summary'!G$16</f>
        <v>0</v>
      </c>
      <c r="P67" s="304">
        <f>$M67*'MWh Impact Summary'!H$16</f>
        <v>629.02008129806632</v>
      </c>
      <c r="Q67" s="304">
        <f>$M67*'MWh Impact Summary'!I$16</f>
        <v>580.85546842580834</v>
      </c>
      <c r="R67" s="304">
        <f>$M67*'MWh Impact Summary'!J$16</f>
        <v>5891.6079990401058</v>
      </c>
      <c r="S67" s="304">
        <f>$M67*'MWh Impact Summary'!K$16</f>
        <v>0</v>
      </c>
      <c r="T67" s="304">
        <f>$M67*'MWh Impact Summary'!L$16</f>
        <v>0</v>
      </c>
      <c r="U67" s="304">
        <f>$M67*'MWh Impact Summary'!M$16</f>
        <v>0</v>
      </c>
      <c r="V67" s="304">
        <f>$M67*'LED Impact Forecast'!$H$17+$D67*'LED Impact Forecast'!$J$17</f>
        <v>0</v>
      </c>
      <c r="W67" s="304">
        <f>$M67*'CFL Impact Forecast'!$H$17+$D67*'CFL Impact Forecast'!$J$17</f>
        <v>158114.48587581856</v>
      </c>
      <c r="X67" s="304">
        <f>$M67*'EISA Incand Impact Forecast'!$G$17+$D67*'EISA Incand Impact Forecast'!$I$17</f>
        <v>0</v>
      </c>
      <c r="Y67" s="85">
        <f t="shared" si="2"/>
        <v>197967.89065247896</v>
      </c>
      <c r="Z67" s="81">
        <f t="shared" si="3"/>
        <v>212181.5176491708</v>
      </c>
      <c r="AA67" s="81"/>
      <c r="AB67" s="81">
        <v>4516712</v>
      </c>
      <c r="AC67" s="308">
        <f t="shared" si="12"/>
        <v>46.976986278773317</v>
      </c>
      <c r="AD67" s="309">
        <f t="shared" si="4"/>
        <v>3.1468969012617656</v>
      </c>
      <c r="AE67" s="107">
        <f t="shared" si="5"/>
        <v>2.6224140843848049E-4</v>
      </c>
      <c r="AF67" s="309">
        <f t="shared" si="13"/>
        <v>43.830089377511555</v>
      </c>
      <c r="AG67" s="107">
        <f t="shared" si="6"/>
        <v>3.6525074481259631E-3</v>
      </c>
      <c r="AH67" s="119">
        <f t="shared" si="14"/>
        <v>3.9147488565644435E-3</v>
      </c>
      <c r="AI67" s="122">
        <f t="shared" si="7"/>
        <v>3.9147488565644435E-3</v>
      </c>
      <c r="AJ67" s="87" t="b">
        <f t="shared" si="15"/>
        <v>1</v>
      </c>
      <c r="AK67" s="88">
        <f t="shared" si="21"/>
        <v>-9.8093293359616598E-6</v>
      </c>
      <c r="AL67" s="312">
        <f>+AC67/'MWh by month-WgtbyCDH&amp;DayLtHrs'!AC67-1</f>
        <v>-0.24846465576818855</v>
      </c>
      <c r="AM67" s="89">
        <f t="shared" si="9"/>
        <v>158114.48587581856</v>
      </c>
      <c r="AN67" s="93"/>
      <c r="AO67" s="96">
        <f t="shared" si="28"/>
        <v>35.006545884665336</v>
      </c>
      <c r="AP67" s="92">
        <f t="shared" si="27"/>
        <v>2.9172121570554448E-3</v>
      </c>
      <c r="AR67" s="94">
        <f t="shared" si="10"/>
        <v>3.9147488565644435E-3</v>
      </c>
      <c r="AS67" s="95">
        <v>284181.446267744</v>
      </c>
      <c r="AU67" s="141">
        <v>46.976986278773317</v>
      </c>
    </row>
    <row r="68" spans="1:47">
      <c r="A68" s="78">
        <v>2010</v>
      </c>
      <c r="B68" s="78">
        <v>4</v>
      </c>
      <c r="C68" s="317">
        <v>89.075753220245673</v>
      </c>
      <c r="D68" s="318">
        <f t="shared" si="32"/>
        <v>4.3681129671575905E-2</v>
      </c>
      <c r="E68" s="321">
        <f>$D68*'MWh Impact Summary'!B$16</f>
        <v>37089.927179159786</v>
      </c>
      <c r="F68" s="319">
        <f>$D68*'MWh Impact Summary'!N$16</f>
        <v>1190.1818561831255</v>
      </c>
      <c r="G68" s="319">
        <f>$D68*'MWh Impact Summary'!C$16</f>
        <v>30401.704676746253</v>
      </c>
      <c r="H68" s="319">
        <f>$D68*'MWh Impact Summary'!D$16</f>
        <v>31.009137940885857</v>
      </c>
      <c r="I68" s="319">
        <f>$D68*'MWh Impact Summary'!E$16</f>
        <v>13533.384928612779</v>
      </c>
      <c r="J68" s="104">
        <f t="shared" si="11"/>
        <v>82246.207778642827</v>
      </c>
      <c r="K68" s="298">
        <f t="shared" si="18"/>
        <v>11.2</v>
      </c>
      <c r="L68" s="299">
        <f t="shared" si="33"/>
        <v>7.8845476944737758E-2</v>
      </c>
      <c r="M68" s="297">
        <f>(30/365)</f>
        <v>8.2191780821917804E-2</v>
      </c>
      <c r="N68" s="304">
        <f>$M68*'MWh Impact Summary'!F$16</f>
        <v>31695.407639899753</v>
      </c>
      <c r="O68" s="304">
        <f>$M68*'MWh Impact Summary'!G$16</f>
        <v>0</v>
      </c>
      <c r="P68" s="304">
        <f>$M68*'MWh Impact Summary'!H$16</f>
        <v>608.72911093361256</v>
      </c>
      <c r="Q68" s="304">
        <f>$M68*'MWh Impact Summary'!I$16</f>
        <v>562.11819525078226</v>
      </c>
      <c r="R68" s="304">
        <f>$M68*'MWh Impact Summary'!J$16</f>
        <v>5701.5561281033288</v>
      </c>
      <c r="S68" s="304">
        <f>$M68*'MWh Impact Summary'!K$16</f>
        <v>0</v>
      </c>
      <c r="T68" s="304">
        <f>$M68*'MWh Impact Summary'!L$16</f>
        <v>0</v>
      </c>
      <c r="U68" s="304">
        <f>$M68*'MWh Impact Summary'!M$16</f>
        <v>0</v>
      </c>
      <c r="V68" s="304">
        <f>$M68*'LED Impact Forecast'!$H$17+$D68*'LED Impact Forecast'!$J$17</f>
        <v>0</v>
      </c>
      <c r="W68" s="304">
        <f>$M68*'CFL Impact Forecast'!$H$17+$D68*'CFL Impact Forecast'!$J$17</f>
        <v>164201.46576783404</v>
      </c>
      <c r="X68" s="304">
        <f>$M68*'EISA Incand Impact Forecast'!$G$17+$D68*'EISA Incand Impact Forecast'!$I$17</f>
        <v>0</v>
      </c>
      <c r="Y68" s="85">
        <f t="shared" si="2"/>
        <v>202769.27684202153</v>
      </c>
      <c r="Z68" s="81">
        <f t="shared" si="3"/>
        <v>285015.48462066439</v>
      </c>
      <c r="AA68" s="81"/>
      <c r="AB68" s="81">
        <v>4520229</v>
      </c>
      <c r="AC68" s="308">
        <f t="shared" si="12"/>
        <v>63.053328630178768</v>
      </c>
      <c r="AD68" s="309">
        <f t="shared" si="4"/>
        <v>18.195141834328048</v>
      </c>
      <c r="AE68" s="107">
        <f t="shared" si="5"/>
        <v>1.6245662352078617E-3</v>
      </c>
      <c r="AF68" s="309">
        <f t="shared" si="13"/>
        <v>44.858186795850727</v>
      </c>
      <c r="AG68" s="107">
        <f t="shared" si="6"/>
        <v>4.0051952496295293E-3</v>
      </c>
      <c r="AH68" s="119">
        <f t="shared" si="14"/>
        <v>5.6297614848373912E-3</v>
      </c>
      <c r="AI68" s="122">
        <f t="shared" si="7"/>
        <v>5.6297614848373903E-3</v>
      </c>
      <c r="AJ68" s="87" t="b">
        <f t="shared" si="15"/>
        <v>1</v>
      </c>
      <c r="AK68" s="88">
        <f t="shared" si="21"/>
        <v>4.3153237191510818E-4</v>
      </c>
      <c r="AL68" s="312">
        <f>+AC68/'MWh by month-WgtbyCDH&amp;DayLtHrs'!AC68-1</f>
        <v>-9.6485758404629474E-2</v>
      </c>
      <c r="AM68" s="89">
        <f t="shared" si="9"/>
        <v>164201.46576783404</v>
      </c>
      <c r="AN68" s="93"/>
      <c r="AO68" s="96">
        <f t="shared" si="28"/>
        <v>36.325917507240021</v>
      </c>
      <c r="AP68" s="92">
        <f t="shared" si="27"/>
        <v>3.2433854917178592E-3</v>
      </c>
      <c r="AR68" s="94">
        <f t="shared" si="10"/>
        <v>5.6297614848373903E-3</v>
      </c>
      <c r="AS68" s="95">
        <v>334261.39929994685</v>
      </c>
      <c r="AU68" s="141">
        <v>63.053328630178768</v>
      </c>
    </row>
    <row r="69" spans="1:47">
      <c r="A69" s="78">
        <v>2010</v>
      </c>
      <c r="B69" s="78">
        <v>5</v>
      </c>
      <c r="C69" s="317">
        <v>255.19546441188365</v>
      </c>
      <c r="D69" s="318">
        <f t="shared" si="32"/>
        <v>0.12514321540465981</v>
      </c>
      <c r="E69" s="321">
        <f>$D69*'MWh Impact Summary'!B$16</f>
        <v>106259.90630789663</v>
      </c>
      <c r="F69" s="319">
        <f>$D69*'MWh Impact Summary'!N$16</f>
        <v>3409.7832523768893</v>
      </c>
      <c r="G69" s="319">
        <f>$D69*'MWh Impact Summary'!C$16</f>
        <v>87098.642036875026</v>
      </c>
      <c r="H69" s="319">
        <f>$D69*'MWh Impact Summary'!D$16</f>
        <v>88.838893545700884</v>
      </c>
      <c r="I69" s="319">
        <f>$D69*'MWh Impact Summary'!E$16</f>
        <v>38772.149850731286</v>
      </c>
      <c r="J69" s="104">
        <f t="shared" si="11"/>
        <v>235629.32034142554</v>
      </c>
      <c r="K69" s="298">
        <f t="shared" si="18"/>
        <v>10.533333333333333</v>
      </c>
      <c r="L69" s="299">
        <f t="shared" si="33"/>
        <v>7.4152293793265281E-2</v>
      </c>
      <c r="M69" s="297">
        <f t="shared" si="34"/>
        <v>8.4931506849315067E-2</v>
      </c>
      <c r="N69" s="304">
        <f>$M69*'MWh Impact Summary'!F$16</f>
        <v>32751.921227896411</v>
      </c>
      <c r="O69" s="304">
        <f>$M69*'MWh Impact Summary'!G$16</f>
        <v>0</v>
      </c>
      <c r="P69" s="304">
        <f>$M69*'MWh Impact Summary'!H$16</f>
        <v>629.02008129806632</v>
      </c>
      <c r="Q69" s="304">
        <f>$M69*'MWh Impact Summary'!I$16</f>
        <v>580.85546842580834</v>
      </c>
      <c r="R69" s="304">
        <f>$M69*'MWh Impact Summary'!J$16</f>
        <v>5891.6079990401058</v>
      </c>
      <c r="S69" s="304">
        <f>$M69*'MWh Impact Summary'!K$16</f>
        <v>0</v>
      </c>
      <c r="T69" s="304">
        <f>$M69*'MWh Impact Summary'!L$16</f>
        <v>0</v>
      </c>
      <c r="U69" s="304">
        <f>$M69*'MWh Impact Summary'!M$16</f>
        <v>0</v>
      </c>
      <c r="V69" s="304">
        <f>$M69*'LED Impact Forecast'!$H$17+$D69*'LED Impact Forecast'!$J$17</f>
        <v>0</v>
      </c>
      <c r="W69" s="304">
        <f>$M69*'CFL Impact Forecast'!$H$17+$D69*'CFL Impact Forecast'!$J$17</f>
        <v>194280.89173926701</v>
      </c>
      <c r="X69" s="304">
        <f>$M69*'EISA Incand Impact Forecast'!$G$17+$D69*'EISA Incand Impact Forecast'!$I$17</f>
        <v>0</v>
      </c>
      <c r="Y69" s="85">
        <f t="shared" ref="Y69:Y132" si="35">SUM(N69:X69)</f>
        <v>234134.29651592742</v>
      </c>
      <c r="Z69" s="81">
        <f t="shared" ref="Z69:Z132" si="36">Y69+J69</f>
        <v>469763.61685735296</v>
      </c>
      <c r="AA69" s="81"/>
      <c r="AB69" s="81">
        <v>4521728</v>
      </c>
      <c r="AC69" s="308">
        <f t="shared" si="12"/>
        <v>103.89028638108108</v>
      </c>
      <c r="AD69" s="309">
        <f t="shared" ref="AD69:AD132" si="37">+J69*1000/AB69</f>
        <v>52.110458732021371</v>
      </c>
      <c r="AE69" s="107">
        <f t="shared" ref="AE69:AE132" si="38">+AD69/K69/1000</f>
        <v>4.9471954492425353E-3</v>
      </c>
      <c r="AF69" s="309">
        <f t="shared" si="13"/>
        <v>51.779827649059698</v>
      </c>
      <c r="AG69" s="107">
        <f t="shared" ref="AG69:AG132" si="39">+AF69/K69/1000</f>
        <v>4.9158064223790857E-3</v>
      </c>
      <c r="AH69" s="119">
        <f t="shared" si="14"/>
        <v>9.8630018716216218E-3</v>
      </c>
      <c r="AI69" s="122">
        <f t="shared" ref="AI69:AI132" si="40">+AC69/K69/1000</f>
        <v>9.8630018716216218E-3</v>
      </c>
      <c r="AJ69" s="87" t="b">
        <f t="shared" si="15"/>
        <v>1</v>
      </c>
      <c r="AK69" s="88">
        <f t="shared" si="21"/>
        <v>2.738780952383826E-3</v>
      </c>
      <c r="AL69" s="312">
        <f>+AC69/'MWh by month-WgtbyCDH&amp;DayLtHrs'!AC69-1</f>
        <v>0.19219569270575554</v>
      </c>
      <c r="AM69" s="89">
        <f t="shared" ref="AM69:AM132" si="41">+W69</f>
        <v>194280.89173926701</v>
      </c>
      <c r="AN69" s="93"/>
      <c r="AO69" s="96">
        <f t="shared" si="28"/>
        <v>42.966072204977173</v>
      </c>
      <c r="AP69" s="92">
        <f t="shared" si="27"/>
        <v>4.0790574878142886E-3</v>
      </c>
      <c r="AR69" s="94">
        <f t="shared" ref="AR69:AR132" si="42">AI69</f>
        <v>9.8630018716216218E-3</v>
      </c>
      <c r="AS69" s="95">
        <v>402473.95118086669</v>
      </c>
      <c r="AU69" s="141">
        <v>103.89028638108108</v>
      </c>
    </row>
    <row r="70" spans="1:47">
      <c r="A70" s="78">
        <v>2010</v>
      </c>
      <c r="B70" s="78">
        <v>6</v>
      </c>
      <c r="C70" s="317">
        <v>357.76280800516599</v>
      </c>
      <c r="D70" s="318">
        <f t="shared" si="32"/>
        <v>0.17544037567104021</v>
      </c>
      <c r="E70" s="321">
        <f>$D70*'MWh Impact Summary'!B$16</f>
        <v>148967.54747067782</v>
      </c>
      <c r="F70" s="319">
        <f>$D70*'MWh Impact Summary'!N$16</f>
        <v>4780.2324146734991</v>
      </c>
      <c r="G70" s="319">
        <f>$D70*'MWh Impact Summary'!C$16</f>
        <v>122105.04924278797</v>
      </c>
      <c r="H70" s="319">
        <f>$D70*'MWh Impact Summary'!D$16</f>
        <v>124.54473706352408</v>
      </c>
      <c r="I70" s="319">
        <f>$D70*'MWh Impact Summary'!E$16</f>
        <v>54355.328120591636</v>
      </c>
      <c r="J70" s="104">
        <f t="shared" ref="J70:J133" si="43">SUM(E70:I70)</f>
        <v>330332.70198579447</v>
      </c>
      <c r="K70" s="298">
        <f t="shared" si="18"/>
        <v>10.199999999999999</v>
      </c>
      <c r="L70" s="299">
        <f t="shared" si="33"/>
        <v>7.1805702217529022E-2</v>
      </c>
      <c r="M70" s="297">
        <f>(30/365)</f>
        <v>8.2191780821917804E-2</v>
      </c>
      <c r="N70" s="304">
        <f>$M70*'MWh Impact Summary'!F$16</f>
        <v>31695.407639899753</v>
      </c>
      <c r="O70" s="304">
        <f>$M70*'MWh Impact Summary'!G$16</f>
        <v>0</v>
      </c>
      <c r="P70" s="304">
        <f>$M70*'MWh Impact Summary'!H$16</f>
        <v>608.72911093361256</v>
      </c>
      <c r="Q70" s="304">
        <f>$M70*'MWh Impact Summary'!I$16</f>
        <v>562.11819525078226</v>
      </c>
      <c r="R70" s="304">
        <f>$M70*'MWh Impact Summary'!J$16</f>
        <v>5701.5561281033288</v>
      </c>
      <c r="S70" s="304">
        <f>$M70*'MWh Impact Summary'!K$16</f>
        <v>0</v>
      </c>
      <c r="T70" s="304">
        <f>$M70*'MWh Impact Summary'!L$16</f>
        <v>0</v>
      </c>
      <c r="U70" s="304">
        <f>$M70*'MWh Impact Summary'!M$16</f>
        <v>0</v>
      </c>
      <c r="V70" s="304">
        <f>$M70*'LED Impact Forecast'!$H$17+$D70*'LED Impact Forecast'!$J$17</f>
        <v>0</v>
      </c>
      <c r="W70" s="304">
        <f>$M70*'CFL Impact Forecast'!$H$17+$D70*'CFL Impact Forecast'!$J$17</f>
        <v>204724.32439270261</v>
      </c>
      <c r="X70" s="304">
        <f>$M70*'EISA Incand Impact Forecast'!$G$17+$D70*'EISA Incand Impact Forecast'!$I$17</f>
        <v>0</v>
      </c>
      <c r="Y70" s="85">
        <f t="shared" si="35"/>
        <v>243292.13546689009</v>
      </c>
      <c r="Z70" s="81">
        <f t="shared" si="36"/>
        <v>573624.83745268453</v>
      </c>
      <c r="AA70" s="81"/>
      <c r="AB70" s="81">
        <v>4521918</v>
      </c>
      <c r="AC70" s="308">
        <f t="shared" ref="AC70:AC133" si="44">+Z70*1000/AB70</f>
        <v>126.85432098783846</v>
      </c>
      <c r="AD70" s="309">
        <f t="shared" si="37"/>
        <v>73.051457807460125</v>
      </c>
      <c r="AE70" s="107">
        <f t="shared" si="38"/>
        <v>7.1619076281823658E-3</v>
      </c>
      <c r="AF70" s="309">
        <f t="shared" ref="AF70:AF133" si="45">+Y70*1000/AB70</f>
        <v>53.802863180378345</v>
      </c>
      <c r="AG70" s="107">
        <f t="shared" si="39"/>
        <v>5.2747905078802306E-3</v>
      </c>
      <c r="AH70" s="119">
        <f t="shared" ref="AH70:AH133" si="46">AE70+AG70</f>
        <v>1.2436698136062596E-2</v>
      </c>
      <c r="AI70" s="122">
        <f t="shared" si="40"/>
        <v>1.2436698136062596E-2</v>
      </c>
      <c r="AJ70" s="87" t="b">
        <f t="shared" ref="AJ70:AJ133" si="47">AH70=AI70</f>
        <v>1</v>
      </c>
      <c r="AK70" s="88">
        <f t="shared" si="21"/>
        <v>3.6937819665840508E-3</v>
      </c>
      <c r="AL70" s="312">
        <f>+AC70/'MWh by month-WgtbyCDH&amp;DayLtHrs'!AC70-1</f>
        <v>0.27867721986246896</v>
      </c>
      <c r="AM70" s="89">
        <f t="shared" si="41"/>
        <v>204724.32439270261</v>
      </c>
      <c r="AN70" s="93"/>
      <c r="AO70" s="96">
        <f t="shared" si="28"/>
        <v>45.273780814402784</v>
      </c>
      <c r="AP70" s="92">
        <f t="shared" si="27"/>
        <v>4.4386059621963521E-3</v>
      </c>
      <c r="AR70" s="94">
        <f t="shared" si="42"/>
        <v>1.2436698136062596E-2</v>
      </c>
      <c r="AS70" s="95">
        <v>491747.42381475423</v>
      </c>
      <c r="AU70" s="141">
        <v>126.85432098783846</v>
      </c>
    </row>
    <row r="71" spans="1:47">
      <c r="A71" s="78">
        <v>2010</v>
      </c>
      <c r="B71" s="78">
        <v>7</v>
      </c>
      <c r="C71" s="317">
        <v>367.3022325447152</v>
      </c>
      <c r="D71" s="318">
        <f t="shared" si="32"/>
        <v>0.18011833600525104</v>
      </c>
      <c r="E71" s="321">
        <f>$D71*'MWh Impact Summary'!B$16</f>
        <v>152939.63357393123</v>
      </c>
      <c r="F71" s="319">
        <f>$D71*'MWh Impact Summary'!N$16</f>
        <v>4907.6930265116816</v>
      </c>
      <c r="G71" s="319">
        <f>$D71*'MWh Impact Summary'!C$16</f>
        <v>125360.87091314085</v>
      </c>
      <c r="H71" s="319">
        <f>$D71*'MWh Impact Summary'!D$16</f>
        <v>127.86561082242618</v>
      </c>
      <c r="I71" s="319">
        <f>$D71*'MWh Impact Summary'!E$16</f>
        <v>55804.664215139885</v>
      </c>
      <c r="J71" s="104">
        <f t="shared" si="43"/>
        <v>339140.72733954608</v>
      </c>
      <c r="K71" s="298">
        <f t="shared" si="18"/>
        <v>10.366666666666667</v>
      </c>
      <c r="L71" s="299">
        <f t="shared" si="33"/>
        <v>7.2978998005397158E-2</v>
      </c>
      <c r="M71" s="297">
        <f t="shared" si="34"/>
        <v>8.4931506849315067E-2</v>
      </c>
      <c r="N71" s="304">
        <f>$M71*'MWh Impact Summary'!F$16</f>
        <v>32751.921227896411</v>
      </c>
      <c r="O71" s="304">
        <f>$M71*'MWh Impact Summary'!G$16</f>
        <v>0</v>
      </c>
      <c r="P71" s="304">
        <f>$M71*'MWh Impact Summary'!H$16</f>
        <v>629.02008129806632</v>
      </c>
      <c r="Q71" s="304">
        <f>$M71*'MWh Impact Summary'!I$16</f>
        <v>580.85546842580834</v>
      </c>
      <c r="R71" s="304">
        <f>$M71*'MWh Impact Summary'!J$16</f>
        <v>5891.6079990401058</v>
      </c>
      <c r="S71" s="304">
        <f>$M71*'MWh Impact Summary'!K$16</f>
        <v>0</v>
      </c>
      <c r="T71" s="304">
        <f>$M71*'MWh Impact Summary'!L$16</f>
        <v>0</v>
      </c>
      <c r="U71" s="304">
        <f>$M71*'MWh Impact Summary'!M$16</f>
        <v>0</v>
      </c>
      <c r="V71" s="304">
        <f>$M71*'LED Impact Forecast'!$H$17+$D71*'LED Impact Forecast'!$J$17</f>
        <v>0</v>
      </c>
      <c r="W71" s="304">
        <f>$M71*'CFL Impact Forecast'!$H$17+$D71*'CFL Impact Forecast'!$J$17</f>
        <v>211188.61630223179</v>
      </c>
      <c r="X71" s="304">
        <f>$M71*'EISA Incand Impact Forecast'!$G$17+$D71*'EISA Incand Impact Forecast'!$I$17</f>
        <v>0</v>
      </c>
      <c r="Y71" s="85">
        <f t="shared" si="35"/>
        <v>251042.02107889217</v>
      </c>
      <c r="Z71" s="81">
        <f t="shared" si="36"/>
        <v>590182.74841843825</v>
      </c>
      <c r="AA71" s="81"/>
      <c r="AB71" s="81">
        <v>4522790</v>
      </c>
      <c r="AC71" s="308">
        <f t="shared" si="44"/>
        <v>130.49085816905895</v>
      </c>
      <c r="AD71" s="309">
        <f t="shared" si="37"/>
        <v>74.984849471133103</v>
      </c>
      <c r="AE71" s="107">
        <f t="shared" si="38"/>
        <v>7.2332652222957972E-3</v>
      </c>
      <c r="AF71" s="309">
        <f t="shared" si="45"/>
        <v>55.506008697925878</v>
      </c>
      <c r="AG71" s="107">
        <f t="shared" si="39"/>
        <v>5.3542773663594091E-3</v>
      </c>
      <c r="AH71" s="119">
        <f t="shared" si="46"/>
        <v>1.2587542588655206E-2</v>
      </c>
      <c r="AI71" s="122">
        <f t="shared" si="40"/>
        <v>1.2587542588655203E-2</v>
      </c>
      <c r="AJ71" s="87" t="b">
        <f t="shared" si="47"/>
        <v>1</v>
      </c>
      <c r="AK71" s="88">
        <f t="shared" si="21"/>
        <v>3.0171457113469923E-3</v>
      </c>
      <c r="AL71" s="312">
        <f>+AC71/'MWh by month-WgtbyCDH&amp;DayLtHrs'!AC71-1</f>
        <v>0.18017041404274892</v>
      </c>
      <c r="AM71" s="89">
        <f t="shared" si="41"/>
        <v>211188.61630223179</v>
      </c>
      <c r="AN71" s="93"/>
      <c r="AO71" s="96">
        <f t="shared" si="28"/>
        <v>46.694322818930743</v>
      </c>
      <c r="AP71" s="92">
        <f t="shared" si="27"/>
        <v>4.5042755130801351E-3</v>
      </c>
      <c r="AR71" s="94">
        <f t="shared" si="42"/>
        <v>1.2587542588655203E-2</v>
      </c>
      <c r="AS71" s="95">
        <v>517453.27171815862</v>
      </c>
      <c r="AU71" s="141">
        <v>130.49085816905895</v>
      </c>
    </row>
    <row r="72" spans="1:47">
      <c r="A72" s="78">
        <v>2010</v>
      </c>
      <c r="B72" s="78">
        <v>8</v>
      </c>
      <c r="C72" s="317">
        <v>354.6581128382694</v>
      </c>
      <c r="D72" s="318">
        <f t="shared" si="32"/>
        <v>0.17391788961537247</v>
      </c>
      <c r="E72" s="321">
        <f>$D72*'MWh Impact Summary'!B$16</f>
        <v>147674.79480240724</v>
      </c>
      <c r="F72" s="319">
        <f>$D72*'MWh Impact Summary'!N$16</f>
        <v>4738.7491633617392</v>
      </c>
      <c r="G72" s="319">
        <f>$D72*'MWh Impact Summary'!C$16</f>
        <v>121045.41155056514</v>
      </c>
      <c r="H72" s="319">
        <f>$D72*'MWh Impact Summary'!D$16</f>
        <v>123.46392755909413</v>
      </c>
      <c r="I72" s="319">
        <f>$D72*'MWh Impact Summary'!E$16</f>
        <v>53883.628098300214</v>
      </c>
      <c r="J72" s="104">
        <f t="shared" si="43"/>
        <v>327466.04754219338</v>
      </c>
      <c r="K72" s="298">
        <f t="shared" si="18"/>
        <v>10.933333333333334</v>
      </c>
      <c r="L72" s="299">
        <f t="shared" si="33"/>
        <v>7.6968203684148764E-2</v>
      </c>
      <c r="M72" s="297">
        <f t="shared" si="34"/>
        <v>8.4931506849315067E-2</v>
      </c>
      <c r="N72" s="304">
        <f>$M72*'MWh Impact Summary'!F$16</f>
        <v>32751.921227896411</v>
      </c>
      <c r="O72" s="304">
        <f>$M72*'MWh Impact Summary'!G$16</f>
        <v>0</v>
      </c>
      <c r="P72" s="304">
        <f>$M72*'MWh Impact Summary'!H$16</f>
        <v>629.02008129806632</v>
      </c>
      <c r="Q72" s="304">
        <f>$M72*'MWh Impact Summary'!I$16</f>
        <v>580.85546842580834</v>
      </c>
      <c r="R72" s="304">
        <f>$M72*'MWh Impact Summary'!J$16</f>
        <v>5891.6079990401058</v>
      </c>
      <c r="S72" s="304">
        <f>$M72*'MWh Impact Summary'!K$16</f>
        <v>0</v>
      </c>
      <c r="T72" s="304">
        <f>$M72*'MWh Impact Summary'!L$16</f>
        <v>0</v>
      </c>
      <c r="U72" s="304">
        <f>$M72*'MWh Impact Summary'!M$16</f>
        <v>0</v>
      </c>
      <c r="V72" s="304">
        <f>$M72*'LED Impact Forecast'!$H$17+$D72*'LED Impact Forecast'!$J$17</f>
        <v>0</v>
      </c>
      <c r="W72" s="304">
        <f>$M72*'CFL Impact Forecast'!$H$17+$D72*'CFL Impact Forecast'!$J$17</f>
        <v>209281.65477887008</v>
      </c>
      <c r="X72" s="304">
        <f>$M72*'EISA Incand Impact Forecast'!$G$17+$D72*'EISA Incand Impact Forecast'!$I$17</f>
        <v>0</v>
      </c>
      <c r="Y72" s="85">
        <f t="shared" si="35"/>
        <v>249135.05955553049</v>
      </c>
      <c r="Z72" s="81">
        <f t="shared" si="36"/>
        <v>576601.10709772387</v>
      </c>
      <c r="AA72" s="81"/>
      <c r="AB72" s="81">
        <v>4526766</v>
      </c>
      <c r="AC72" s="308">
        <f t="shared" si="44"/>
        <v>127.37594722097936</v>
      </c>
      <c r="AD72" s="309">
        <f t="shared" si="37"/>
        <v>72.339954736382083</v>
      </c>
      <c r="AE72" s="107">
        <f t="shared" si="38"/>
        <v>6.6164592746690929E-3</v>
      </c>
      <c r="AF72" s="309">
        <f t="shared" si="45"/>
        <v>55.03599248459728</v>
      </c>
      <c r="AG72" s="107">
        <f t="shared" si="39"/>
        <v>5.0337798004204829E-3</v>
      </c>
      <c r="AH72" s="119">
        <f t="shared" si="46"/>
        <v>1.1650239075089577E-2</v>
      </c>
      <c r="AI72" s="122">
        <f t="shared" si="40"/>
        <v>1.1650239075089575E-2</v>
      </c>
      <c r="AJ72" s="87" t="b">
        <f t="shared" si="47"/>
        <v>1</v>
      </c>
      <c r="AK72" s="88">
        <f t="shared" si="21"/>
        <v>2.1320122023111687E-3</v>
      </c>
      <c r="AL72" s="312">
        <f>+AC72/'MWh by month-WgtbyCDH&amp;DayLtHrs'!AC72-1</f>
        <v>0.12151844660764999</v>
      </c>
      <c r="AM72" s="89">
        <f t="shared" si="41"/>
        <v>209281.65477887008</v>
      </c>
      <c r="AN72" s="93"/>
      <c r="AO72" s="96">
        <f t="shared" si="28"/>
        <v>46.232046184598467</v>
      </c>
      <c r="AP72" s="92">
        <f t="shared" si="27"/>
        <v>4.2285408095669328E-3</v>
      </c>
      <c r="AR72" s="94">
        <f t="shared" si="42"/>
        <v>1.1650239075089575E-2</v>
      </c>
      <c r="AS72" s="95">
        <v>537984.46334324288</v>
      </c>
      <c r="AU72" s="141">
        <v>127.37594722097936</v>
      </c>
    </row>
    <row r="73" spans="1:47">
      <c r="A73" s="78">
        <v>2010</v>
      </c>
      <c r="B73" s="78">
        <v>9</v>
      </c>
      <c r="C73" s="317">
        <v>310.20753392323581</v>
      </c>
      <c r="D73" s="318">
        <f t="shared" si="32"/>
        <v>0.15212013398187993</v>
      </c>
      <c r="E73" s="321">
        <f>$D73*'MWh Impact Summary'!B$16</f>
        <v>129166.18078088277</v>
      </c>
      <c r="F73" s="319">
        <f>$D73*'MWh Impact Summary'!N$16</f>
        <v>4144.8246596789022</v>
      </c>
      <c r="G73" s="319">
        <f>$D73*'MWh Impact Summary'!C$16</f>
        <v>105874.35406263241</v>
      </c>
      <c r="H73" s="319">
        <f>$D73*'MWh Impact Summary'!D$16</f>
        <v>107.98974874726429</v>
      </c>
      <c r="I73" s="319">
        <f>$D73*'MWh Impact Summary'!E$16</f>
        <v>47130.198876439856</v>
      </c>
      <c r="J73" s="104">
        <f t="shared" si="43"/>
        <v>286423.54812838126</v>
      </c>
      <c r="K73" s="298">
        <f t="shared" si="18"/>
        <v>11.683333333333334</v>
      </c>
      <c r="L73" s="299">
        <f t="shared" si="33"/>
        <v>8.2248034729555317E-2</v>
      </c>
      <c r="M73" s="297">
        <f>(30/365)</f>
        <v>8.2191780821917804E-2</v>
      </c>
      <c r="N73" s="304">
        <f>$M73*'MWh Impact Summary'!F$16</f>
        <v>31695.407639899753</v>
      </c>
      <c r="O73" s="304">
        <f>$M73*'MWh Impact Summary'!G$16</f>
        <v>0</v>
      </c>
      <c r="P73" s="304">
        <f>$M73*'MWh Impact Summary'!H$16</f>
        <v>608.72911093361256</v>
      </c>
      <c r="Q73" s="304">
        <f>$M73*'MWh Impact Summary'!I$16</f>
        <v>562.11819525078226</v>
      </c>
      <c r="R73" s="304">
        <f>$M73*'MWh Impact Summary'!J$16</f>
        <v>5701.5561281033288</v>
      </c>
      <c r="S73" s="304">
        <f>$M73*'MWh Impact Summary'!K$16</f>
        <v>0</v>
      </c>
      <c r="T73" s="304">
        <f>$M73*'MWh Impact Summary'!L$16</f>
        <v>0</v>
      </c>
      <c r="U73" s="304">
        <f>$M73*'MWh Impact Summary'!M$16</f>
        <v>0</v>
      </c>
      <c r="V73" s="304">
        <f>$M73*'LED Impact Forecast'!$H$17+$D73*'LED Impact Forecast'!$J$17</f>
        <v>0</v>
      </c>
      <c r="W73" s="304">
        <f>$M73*'CFL Impact Forecast'!$H$17+$D73*'CFL Impact Forecast'!$J$17</f>
        <v>197552.13051819114</v>
      </c>
      <c r="X73" s="304">
        <f>$M73*'EISA Incand Impact Forecast'!$G$17+$D73*'EISA Incand Impact Forecast'!$I$17</f>
        <v>0</v>
      </c>
      <c r="Y73" s="85">
        <f t="shared" si="35"/>
        <v>236119.94159237863</v>
      </c>
      <c r="Z73" s="81">
        <f t="shared" si="36"/>
        <v>522543.48972075991</v>
      </c>
      <c r="AA73" s="81"/>
      <c r="AB73" s="81">
        <v>4524923</v>
      </c>
      <c r="AC73" s="308">
        <f t="shared" si="44"/>
        <v>115.48118934195342</v>
      </c>
      <c r="AD73" s="309">
        <f t="shared" si="37"/>
        <v>63.299098819666376</v>
      </c>
      <c r="AE73" s="107">
        <f t="shared" si="38"/>
        <v>5.4178971885591766E-3</v>
      </c>
      <c r="AF73" s="309">
        <f t="shared" si="45"/>
        <v>52.182090522287034</v>
      </c>
      <c r="AG73" s="107">
        <f t="shared" si="39"/>
        <v>4.4663700874996038E-3</v>
      </c>
      <c r="AH73" s="119">
        <f t="shared" si="46"/>
        <v>9.8842672760587804E-3</v>
      </c>
      <c r="AI73" s="122">
        <f t="shared" si="40"/>
        <v>9.8842672760587804E-3</v>
      </c>
      <c r="AJ73" s="87" t="b">
        <f>AH73=AI73</f>
        <v>1</v>
      </c>
      <c r="AK73" s="88">
        <f t="shared" si="21"/>
        <v>2.1362127756488439E-3</v>
      </c>
      <c r="AL73" s="312">
        <f>+AC73/'MWh by month-WgtbyCDH&amp;DayLtHrs'!AC73-1</f>
        <v>8.6479425085426387E-2</v>
      </c>
      <c r="AM73" s="89">
        <f t="shared" si="41"/>
        <v>197552.13051819114</v>
      </c>
      <c r="AN73" s="93"/>
      <c r="AO73" s="96">
        <f t="shared" si="28"/>
        <v>43.658672317339139</v>
      </c>
      <c r="AP73" s="92">
        <f t="shared" si="27"/>
        <v>3.7368335792301688E-3</v>
      </c>
      <c r="AR73" s="94">
        <f t="shared" si="42"/>
        <v>9.8842672760587804E-3</v>
      </c>
      <c r="AS73" s="95">
        <v>508025.22154489503</v>
      </c>
      <c r="AU73" s="141">
        <v>115.48118934195342</v>
      </c>
    </row>
    <row r="74" spans="1:47">
      <c r="A74" s="78">
        <v>2010</v>
      </c>
      <c r="B74" s="78">
        <v>10</v>
      </c>
      <c r="C74" s="317">
        <v>181.64747294989201</v>
      </c>
      <c r="D74" s="318">
        <f>C74/(SUM(C$65:C$76))</f>
        <v>8.9076617750506917E-2</v>
      </c>
      <c r="E74" s="321">
        <f>$D74*'MWh Impact Summary'!B$16</f>
        <v>75635.527070217344</v>
      </c>
      <c r="F74" s="319">
        <f>$D74*'MWh Impact Summary'!N$16</f>
        <v>2427.0749189392068</v>
      </c>
      <c r="G74" s="319">
        <f>$D74*'MWh Impact Summary'!C$16</f>
        <v>61996.588614248256</v>
      </c>
      <c r="H74" s="319">
        <f>$D74*'MWh Impact Summary'!D$16</f>
        <v>63.235295146921004</v>
      </c>
      <c r="I74" s="319">
        <f>$D74*'MWh Impact Summary'!E$16</f>
        <v>27597.916199061987</v>
      </c>
      <c r="J74" s="104">
        <f t="shared" si="43"/>
        <v>167720.3420976137</v>
      </c>
      <c r="K74" s="298">
        <f t="shared" si="18"/>
        <v>12.466666666666667</v>
      </c>
      <c r="L74" s="299">
        <f t="shared" si="33"/>
        <v>8.7762524932535488E-2</v>
      </c>
      <c r="M74" s="297">
        <f t="shared" si="34"/>
        <v>8.4931506849315067E-2</v>
      </c>
      <c r="N74" s="304">
        <f>$M74*'MWh Impact Summary'!F$16</f>
        <v>32751.921227896411</v>
      </c>
      <c r="O74" s="304">
        <f>$M74*'MWh Impact Summary'!G$16</f>
        <v>0</v>
      </c>
      <c r="P74" s="304">
        <f>$M74*'MWh Impact Summary'!H$16</f>
        <v>629.02008129806632</v>
      </c>
      <c r="Q74" s="304">
        <f>$M74*'MWh Impact Summary'!I$16</f>
        <v>580.85546842580834</v>
      </c>
      <c r="R74" s="304">
        <f>$M74*'MWh Impact Summary'!J$16</f>
        <v>5891.6079990401058</v>
      </c>
      <c r="S74" s="304">
        <f>$M74*'MWh Impact Summary'!K$16</f>
        <v>0</v>
      </c>
      <c r="T74" s="304">
        <f>$M74*'MWh Impact Summary'!L$16</f>
        <v>0</v>
      </c>
      <c r="U74" s="304">
        <f>$M74*'MWh Impact Summary'!M$16</f>
        <v>0</v>
      </c>
      <c r="V74" s="304">
        <f>$M74*'LED Impact Forecast'!$H$17+$D74*'LED Impact Forecast'!$J$17</f>
        <v>0</v>
      </c>
      <c r="W74" s="304">
        <f>$M74*'CFL Impact Forecast'!$H$17+$D74*'CFL Impact Forecast'!$J$17</f>
        <v>183188.52682223343</v>
      </c>
      <c r="X74" s="304">
        <f>$M74*'EISA Incand Impact Forecast'!$G$17+$D74*'EISA Incand Impact Forecast'!$I$17</f>
        <v>0</v>
      </c>
      <c r="Y74" s="85">
        <f t="shared" si="35"/>
        <v>223041.93159889383</v>
      </c>
      <c r="Z74" s="81">
        <f t="shared" si="36"/>
        <v>390762.27369650756</v>
      </c>
      <c r="AA74" s="81"/>
      <c r="AB74" s="81">
        <v>4524001</v>
      </c>
      <c r="AC74" s="308">
        <f t="shared" si="44"/>
        <v>86.375372971073077</v>
      </c>
      <c r="AD74" s="309">
        <f t="shared" si="37"/>
        <v>37.07345380728556</v>
      </c>
      <c r="AE74" s="107">
        <f t="shared" si="38"/>
        <v>2.9738064551298577E-3</v>
      </c>
      <c r="AF74" s="309">
        <f t="shared" si="45"/>
        <v>49.301919163787502</v>
      </c>
      <c r="AG74" s="107">
        <f t="shared" si="39"/>
        <v>3.9546993981647727E-3</v>
      </c>
      <c r="AH74" s="119">
        <f t="shared" si="46"/>
        <v>6.9285058532946309E-3</v>
      </c>
      <c r="AI74" s="122">
        <f t="shared" si="40"/>
        <v>6.9285058532946317E-3</v>
      </c>
      <c r="AJ74" s="87" t="b">
        <f t="shared" si="47"/>
        <v>1</v>
      </c>
      <c r="AK74" s="88">
        <f t="shared" si="21"/>
        <v>1.0355976396115088E-5</v>
      </c>
      <c r="AL74" s="312">
        <f>+AC74/'MWh by month-WgtbyCDH&amp;DayLtHrs'!AC74-1</f>
        <v>-6.7950039233478865E-2</v>
      </c>
      <c r="AM74" s="89">
        <f t="shared" si="41"/>
        <v>183188.52682223343</v>
      </c>
      <c r="AN74" s="93"/>
      <c r="AO74" s="96">
        <f t="shared" si="28"/>
        <v>40.492592026888019</v>
      </c>
      <c r="AP74" s="92">
        <f t="shared" si="27"/>
        <v>3.2480688791621404E-3</v>
      </c>
      <c r="AR74" s="94">
        <f t="shared" si="42"/>
        <v>6.9285058532946317E-3</v>
      </c>
      <c r="AS74" s="95">
        <v>408735.92382140399</v>
      </c>
      <c r="AU74" s="141">
        <v>86.375372971073077</v>
      </c>
    </row>
    <row r="75" spans="1:47">
      <c r="A75" s="78">
        <v>2010</v>
      </c>
      <c r="B75" s="78">
        <v>11</v>
      </c>
      <c r="C75" s="317">
        <v>78.039164038250874</v>
      </c>
      <c r="D75" s="318">
        <f t="shared" si="32"/>
        <v>3.8268987020380743E-2</v>
      </c>
      <c r="E75" s="321">
        <f>$D75*'MWh Impact Summary'!B$16</f>
        <v>32494.442164799548</v>
      </c>
      <c r="F75" s="319">
        <f>$D75*'MWh Impact Summary'!N$16</f>
        <v>1042.7169431884674</v>
      </c>
      <c r="G75" s="319">
        <f>$D75*'MWh Impact Summary'!C$16</f>
        <v>26634.898191035652</v>
      </c>
      <c r="H75" s="319">
        <f>$D75*'MWh Impact Summary'!D$16</f>
        <v>27.167069768920292</v>
      </c>
      <c r="I75" s="319">
        <f>$D75*'MWh Impact Summary'!E$16</f>
        <v>11856.582832653054</v>
      </c>
      <c r="J75" s="104">
        <f t="shared" si="43"/>
        <v>72055.807201445641</v>
      </c>
      <c r="K75" s="298">
        <f t="shared" si="18"/>
        <v>13.15</v>
      </c>
      <c r="L75" s="299">
        <f t="shared" si="33"/>
        <v>9.2573037662794788E-2</v>
      </c>
      <c r="M75" s="297">
        <f>(30/365)</f>
        <v>8.2191780821917804E-2</v>
      </c>
      <c r="N75" s="304">
        <f>$M75*'MWh Impact Summary'!F$16</f>
        <v>31695.407639899753</v>
      </c>
      <c r="O75" s="304">
        <f>$M75*'MWh Impact Summary'!G$16</f>
        <v>0</v>
      </c>
      <c r="P75" s="304">
        <f>$M75*'MWh Impact Summary'!H$16</f>
        <v>608.72911093361256</v>
      </c>
      <c r="Q75" s="304">
        <f>$M75*'MWh Impact Summary'!I$16</f>
        <v>562.11819525078226</v>
      </c>
      <c r="R75" s="304">
        <f>$M75*'MWh Impact Summary'!J$16</f>
        <v>5701.5561281033288</v>
      </c>
      <c r="S75" s="304">
        <f>$M75*'MWh Impact Summary'!K$16</f>
        <v>0</v>
      </c>
      <c r="T75" s="304">
        <f>$M75*'MWh Impact Summary'!L$16</f>
        <v>0</v>
      </c>
      <c r="U75" s="304">
        <f>$M75*'MWh Impact Summary'!M$16</f>
        <v>0</v>
      </c>
      <c r="V75" s="304">
        <f>$M75*'LED Impact Forecast'!$H$17+$D75*'LED Impact Forecast'!$J$17</f>
        <v>0</v>
      </c>
      <c r="W75" s="304">
        <f>$M75*'CFL Impact Forecast'!$H$17+$D75*'CFL Impact Forecast'!$J$17</f>
        <v>162536.94886924085</v>
      </c>
      <c r="X75" s="304">
        <f>$M75*'EISA Incand Impact Forecast'!$G$17+$D75*'EISA Incand Impact Forecast'!$I$17</f>
        <v>0</v>
      </c>
      <c r="Y75" s="85">
        <f t="shared" si="35"/>
        <v>201104.75994342833</v>
      </c>
      <c r="Z75" s="81">
        <f t="shared" si="36"/>
        <v>273160.56714487396</v>
      </c>
      <c r="AA75" s="81"/>
      <c r="AB75" s="81">
        <v>4525048</v>
      </c>
      <c r="AC75" s="308">
        <f t="shared" si="44"/>
        <v>60.366335814531467</v>
      </c>
      <c r="AD75" s="309">
        <f t="shared" si="37"/>
        <v>15.923766378046297</v>
      </c>
      <c r="AE75" s="107">
        <f t="shared" si="38"/>
        <v>1.2109328044141669E-3</v>
      </c>
      <c r="AF75" s="309">
        <f t="shared" si="45"/>
        <v>44.442569436485165</v>
      </c>
      <c r="AG75" s="107">
        <f t="shared" si="39"/>
        <v>3.3796630750178832E-3</v>
      </c>
      <c r="AH75" s="119">
        <f t="shared" si="46"/>
        <v>4.59059587943205E-3</v>
      </c>
      <c r="AI75" s="122">
        <f t="shared" si="40"/>
        <v>4.59059587943205E-3</v>
      </c>
      <c r="AJ75" s="87" t="b">
        <f t="shared" si="47"/>
        <v>1</v>
      </c>
      <c r="AK75" s="88">
        <f t="shared" si="21"/>
        <v>4.8722300139076701E-4</v>
      </c>
      <c r="AL75" s="312">
        <f>+AC75/'MWh by month-WgtbyCDH&amp;DayLtHrs'!AC75-1</f>
        <v>-0.13489496697625103</v>
      </c>
      <c r="AM75" s="89">
        <f t="shared" si="41"/>
        <v>162536.94886924085</v>
      </c>
      <c r="AN75" s="93"/>
      <c r="AO75" s="96">
        <f t="shared" si="28"/>
        <v>35.919386682581234</v>
      </c>
      <c r="AP75" s="92">
        <f t="shared" si="27"/>
        <v>2.7315122952533259E-3</v>
      </c>
      <c r="AR75" s="94">
        <f t="shared" si="42"/>
        <v>4.59059587943205E-3</v>
      </c>
      <c r="AS75" s="95">
        <v>314574.29537016101</v>
      </c>
      <c r="AU75" s="141">
        <v>60.366335814531467</v>
      </c>
    </row>
    <row r="76" spans="1:47">
      <c r="A76" s="78">
        <v>2010</v>
      </c>
      <c r="B76" s="78">
        <v>12</v>
      </c>
      <c r="C76" s="317">
        <v>3.7391387409890919</v>
      </c>
      <c r="D76" s="318">
        <f t="shared" si="32"/>
        <v>1.8336056480074199E-3</v>
      </c>
      <c r="E76" s="321">
        <f>$D76*'MWh Impact Summary'!B$16</f>
        <v>1556.9263082530924</v>
      </c>
      <c r="F76" s="319">
        <f>$D76*'MWh Impact Summary'!N$16</f>
        <v>49.960341915639866</v>
      </c>
      <c r="G76" s="319">
        <f>$D76*'MWh Impact Summary'!C$16</f>
        <v>1276.1743531694792</v>
      </c>
      <c r="H76" s="319">
        <f>$D76*'MWh Impact Summary'!D$16</f>
        <v>1.3016726191778953</v>
      </c>
      <c r="I76" s="319">
        <f>$D76*'MWh Impact Summary'!E$16</f>
        <v>568.09178765150807</v>
      </c>
      <c r="J76" s="104">
        <f t="shared" si="43"/>
        <v>3452.4544636088976</v>
      </c>
      <c r="K76" s="298">
        <f t="shared" si="18"/>
        <v>13.483333333333333</v>
      </c>
      <c r="L76" s="299">
        <f t="shared" si="33"/>
        <v>9.491962923853102E-2</v>
      </c>
      <c r="M76" s="297">
        <f t="shared" si="34"/>
        <v>8.4931506849315067E-2</v>
      </c>
      <c r="N76" s="304">
        <f>$M76*'MWh Impact Summary'!F$16</f>
        <v>32751.921227896411</v>
      </c>
      <c r="O76" s="304">
        <f>$M76*'MWh Impact Summary'!G$16</f>
        <v>0</v>
      </c>
      <c r="P76" s="304">
        <f>$M76*'MWh Impact Summary'!H$16</f>
        <v>629.02008129806632</v>
      </c>
      <c r="Q76" s="304">
        <f>$M76*'MWh Impact Summary'!I$16</f>
        <v>580.85546842580834</v>
      </c>
      <c r="R76" s="304">
        <f>$M76*'MWh Impact Summary'!J$16</f>
        <v>5891.6079990401058</v>
      </c>
      <c r="S76" s="304">
        <f>$M76*'MWh Impact Summary'!K$16</f>
        <v>0</v>
      </c>
      <c r="T76" s="304">
        <f>$M76*'MWh Impact Summary'!L$16</f>
        <v>0</v>
      </c>
      <c r="U76" s="304">
        <f>$M76*'MWh Impact Summary'!M$16</f>
        <v>0</v>
      </c>
      <c r="V76" s="304">
        <f>$M76*'LED Impact Forecast'!$H$17+$D76*'LED Impact Forecast'!$J$17</f>
        <v>0</v>
      </c>
      <c r="W76" s="304">
        <f>$M76*'CFL Impact Forecast'!$H$17+$D76*'CFL Impact Forecast'!$J$17</f>
        <v>156356.73814114413</v>
      </c>
      <c r="X76" s="304">
        <f>$M76*'EISA Incand Impact Forecast'!$G$17+$D76*'EISA Incand Impact Forecast'!$I$17</f>
        <v>0</v>
      </c>
      <c r="Y76" s="85">
        <f t="shared" si="35"/>
        <v>196210.14291780454</v>
      </c>
      <c r="Z76" s="81">
        <f t="shared" si="36"/>
        <v>199662.59738141345</v>
      </c>
      <c r="AA76" s="81">
        <f>SUM(Z65:Z76)</f>
        <v>4494005.984732274</v>
      </c>
      <c r="AB76" s="81">
        <v>4527028</v>
      </c>
      <c r="AC76" s="308">
        <f t="shared" si="44"/>
        <v>44.104564270734237</v>
      </c>
      <c r="AD76" s="309">
        <f t="shared" si="37"/>
        <v>0.76263156835100154</v>
      </c>
      <c r="AE76" s="107">
        <f t="shared" si="38"/>
        <v>5.6561055749147218E-5</v>
      </c>
      <c r="AF76" s="309">
        <f t="shared" si="45"/>
        <v>43.341932702383225</v>
      </c>
      <c r="AG76" s="107">
        <f t="shared" si="39"/>
        <v>3.2144820298430085E-3</v>
      </c>
      <c r="AH76" s="119">
        <f t="shared" si="46"/>
        <v>3.2710430855921557E-3</v>
      </c>
      <c r="AI76" s="122">
        <f t="shared" si="40"/>
        <v>3.2710430855921561E-3</v>
      </c>
      <c r="AJ76" s="87" t="b">
        <f t="shared" si="47"/>
        <v>1</v>
      </c>
      <c r="AK76" s="88">
        <f t="shared" si="21"/>
        <v>-2.9792798954314135E-4</v>
      </c>
      <c r="AL76" s="312">
        <f>+AC76/'MWh by month-WgtbyCDH&amp;DayLtHrs'!AC76-1</f>
        <v>-0.30601763573470309</v>
      </c>
      <c r="AM76" s="89">
        <f t="shared" si="41"/>
        <v>156356.73814114413</v>
      </c>
      <c r="AN76" s="90">
        <f>SUM(AM65:AM76)</f>
        <v>2141886.9768811986</v>
      </c>
      <c r="AO76" s="96">
        <f t="shared" si="28"/>
        <v>34.538495927381966</v>
      </c>
      <c r="AP76" s="92">
        <f t="shared" si="27"/>
        <v>2.5615695372594787E-3</v>
      </c>
      <c r="AR76" s="94">
        <f t="shared" si="42"/>
        <v>3.2710430855921561E-3</v>
      </c>
      <c r="AS76" s="95">
        <v>258947.55583039363</v>
      </c>
      <c r="AU76" s="141">
        <v>44.104564270734237</v>
      </c>
    </row>
    <row r="77" spans="1:47">
      <c r="A77" s="78">
        <v>2011</v>
      </c>
      <c r="B77" s="78">
        <v>1</v>
      </c>
      <c r="C77" s="317">
        <v>13.491678757813682</v>
      </c>
      <c r="D77" s="318">
        <f t="shared" ref="D77:D86" si="48">C77/(SUM(C$77:C$88))</f>
        <v>6.2471758822971154E-3</v>
      </c>
      <c r="E77" s="321">
        <f>$D77*'MWh Impact Summary'!B$17</f>
        <v>6318.6456783116882</v>
      </c>
      <c r="F77" s="319">
        <f>$D77*'MWh Impact Summary'!N$17</f>
        <v>230.51576023345285</v>
      </c>
      <c r="G77" s="319">
        <f>$D77*'MWh Impact Summary'!C$17</f>
        <v>5269.0654111792892</v>
      </c>
      <c r="H77" s="319">
        <f>$D77*'MWh Impact Summary'!D$17</f>
        <v>9.2403118369477788</v>
      </c>
      <c r="I77" s="319">
        <f>$D77*'MWh Impact Summary'!E$17</f>
        <v>2263.2214058352865</v>
      </c>
      <c r="J77" s="104">
        <f t="shared" si="43"/>
        <v>14090.688567396664</v>
      </c>
      <c r="K77" s="298">
        <f t="shared" si="18"/>
        <v>13.3</v>
      </c>
      <c r="L77" s="299">
        <f t="shared" ref="L77:L87" si="49">K77/(SUM(K$77:K$88))</f>
        <v>9.3629003871876101E-2</v>
      </c>
      <c r="M77" s="297">
        <f>(31/365)</f>
        <v>8.4931506849315067E-2</v>
      </c>
      <c r="N77" s="304">
        <f>$M77*'MWh Impact Summary'!F$17</f>
        <v>41360.554028076185</v>
      </c>
      <c r="O77" s="304">
        <f>$M77*'MWh Impact Summary'!G$17</f>
        <v>0</v>
      </c>
      <c r="P77" s="304">
        <f>$M77*'MWh Impact Summary'!H$17</f>
        <v>1310.2888089999105</v>
      </c>
      <c r="Q77" s="304">
        <f>$M77*'MWh Impact Summary'!I$17</f>
        <v>673.45338262313226</v>
      </c>
      <c r="R77" s="304">
        <f>$M77*'MWh Impact Summary'!J$17</f>
        <v>9083.059220915311</v>
      </c>
      <c r="S77" s="304">
        <f>$M77*'MWh Impact Summary'!K$17</f>
        <v>0</v>
      </c>
      <c r="T77" s="304">
        <f>$M77*'MWh Impact Summary'!L$17</f>
        <v>0</v>
      </c>
      <c r="U77" s="304">
        <f>$M77*'MWh Impact Summary'!M$17</f>
        <v>0</v>
      </c>
      <c r="V77" s="304">
        <f>$M77*'LED Impact Forecast'!$H$18+$D77*'LED Impact Forecast'!$J$18</f>
        <v>0</v>
      </c>
      <c r="W77" s="304">
        <f>$M77*'CFL Impact Forecast'!$H$18+$D77*'CFL Impact Forecast'!$J$18</f>
        <v>178004.98915928006</v>
      </c>
      <c r="X77" s="304">
        <f>$M77*'EISA Incand Impact Forecast'!$G$18+$D77*'EISA Incand Impact Forecast'!$I$18</f>
        <v>0</v>
      </c>
      <c r="Y77" s="85">
        <f t="shared" si="35"/>
        <v>230432.3445998946</v>
      </c>
      <c r="Z77" s="81">
        <f t="shared" si="36"/>
        <v>244523.03316729126</v>
      </c>
      <c r="AA77" s="81"/>
      <c r="AB77" s="81">
        <v>4533029</v>
      </c>
      <c r="AC77" s="308">
        <f t="shared" si="44"/>
        <v>53.942525663809178</v>
      </c>
      <c r="AD77" s="309">
        <f t="shared" si="37"/>
        <v>3.1084488026431476</v>
      </c>
      <c r="AE77" s="107">
        <f t="shared" si="38"/>
        <v>2.3371795508595096E-4</v>
      </c>
      <c r="AF77" s="309">
        <f t="shared" si="45"/>
        <v>50.834076861166032</v>
      </c>
      <c r="AG77" s="107">
        <f t="shared" si="39"/>
        <v>3.8221110421929345E-3</v>
      </c>
      <c r="AH77" s="119">
        <f t="shared" si="46"/>
        <v>4.0558289972788854E-3</v>
      </c>
      <c r="AI77" s="122">
        <f t="shared" si="40"/>
        <v>4.0558289972788854E-3</v>
      </c>
      <c r="AJ77" s="87" t="b">
        <f t="shared" si="47"/>
        <v>1</v>
      </c>
      <c r="AK77" s="88">
        <f t="shared" si="21"/>
        <v>4.4699157068486079E-4</v>
      </c>
      <c r="AL77" s="312">
        <f>+AC77/'MWh by month-WgtbyCDH&amp;DayLtHrs'!AC77-1</f>
        <v>-0.218335162447993</v>
      </c>
      <c r="AM77" s="89">
        <f t="shared" si="41"/>
        <v>178004.98915928006</v>
      </c>
      <c r="AN77" s="93"/>
      <c r="AO77" s="96">
        <f t="shared" si="28"/>
        <v>39.268442615143222</v>
      </c>
      <c r="AP77" s="92">
        <f t="shared" si="27"/>
        <v>2.9525144823415953E-3</v>
      </c>
      <c r="AR77" s="94">
        <f t="shared" si="42"/>
        <v>4.0558289972788854E-3</v>
      </c>
      <c r="AS77" s="95">
        <v>291644.66337637795</v>
      </c>
      <c r="AU77" s="141">
        <v>53.942525663809178</v>
      </c>
    </row>
    <row r="78" spans="1:47">
      <c r="A78" s="78">
        <v>2011</v>
      </c>
      <c r="B78" s="78">
        <v>2</v>
      </c>
      <c r="C78" s="317">
        <v>42.232191903339995</v>
      </c>
      <c r="D78" s="318">
        <f t="shared" si="48"/>
        <v>1.9555159550644602E-2</v>
      </c>
      <c r="E78" s="321">
        <f>$D78*'MWh Impact Summary'!B$17</f>
        <v>19778.877161681845</v>
      </c>
      <c r="F78" s="319">
        <f>$D78*'MWh Impact Summary'!N$17</f>
        <v>721.56964286489369</v>
      </c>
      <c r="G78" s="319">
        <f>$D78*'MWh Impact Summary'!C$17</f>
        <v>16493.439073866204</v>
      </c>
      <c r="H78" s="319">
        <f>$D78*'MWh Impact Summary'!D$17</f>
        <v>28.924393305664552</v>
      </c>
      <c r="I78" s="319">
        <f>$D78*'MWh Impact Summary'!E$17</f>
        <v>7084.4260708199336</v>
      </c>
      <c r="J78" s="104">
        <f t="shared" si="43"/>
        <v>44107.236342538541</v>
      </c>
      <c r="K78" s="298">
        <f t="shared" si="18"/>
        <v>12.733333333333333</v>
      </c>
      <c r="L78" s="299">
        <f t="shared" si="49"/>
        <v>8.9639798193124468E-2</v>
      </c>
      <c r="M78" s="297">
        <f>(28/365)</f>
        <v>7.6712328767123292E-2</v>
      </c>
      <c r="N78" s="304">
        <f>$M78*'MWh Impact Summary'!F$17</f>
        <v>37357.919767294625</v>
      </c>
      <c r="O78" s="304">
        <f>$M78*'MWh Impact Summary'!G$17</f>
        <v>0</v>
      </c>
      <c r="P78" s="304">
        <f>$M78*'MWh Impact Summary'!H$17</f>
        <v>1183.4866661934677</v>
      </c>
      <c r="Q78" s="304">
        <f>$M78*'MWh Impact Summary'!I$17</f>
        <v>608.28047462734526</v>
      </c>
      <c r="R78" s="304">
        <f>$M78*'MWh Impact Summary'!J$17</f>
        <v>8204.0534898589904</v>
      </c>
      <c r="S78" s="304">
        <f>$M78*'MWh Impact Summary'!K$17</f>
        <v>0</v>
      </c>
      <c r="T78" s="304">
        <f>$M78*'MWh Impact Summary'!L$17</f>
        <v>0</v>
      </c>
      <c r="U78" s="304">
        <f>$M78*'MWh Impact Summary'!M$17</f>
        <v>0</v>
      </c>
      <c r="V78" s="304">
        <f>$M78*'LED Impact Forecast'!$H$18+$D78*'LED Impact Forecast'!$J$18</f>
        <v>0</v>
      </c>
      <c r="W78" s="304">
        <f>$M78*'CFL Impact Forecast'!$H$18+$D78*'CFL Impact Forecast'!$J$18</f>
        <v>165619.20564980348</v>
      </c>
      <c r="X78" s="304">
        <f>$M78*'EISA Incand Impact Forecast'!$G$18+$D78*'EISA Incand Impact Forecast'!$I$18</f>
        <v>0</v>
      </c>
      <c r="Y78" s="85">
        <f t="shared" si="35"/>
        <v>212972.94604777789</v>
      </c>
      <c r="Z78" s="81">
        <f t="shared" si="36"/>
        <v>257080.18239031645</v>
      </c>
      <c r="AA78" s="81"/>
      <c r="AB78" s="81">
        <v>4539389</v>
      </c>
      <c r="AC78" s="308">
        <f t="shared" si="44"/>
        <v>56.633212617450596</v>
      </c>
      <c r="AD78" s="309">
        <f t="shared" si="37"/>
        <v>9.7165579646376514</v>
      </c>
      <c r="AE78" s="107">
        <f t="shared" si="38"/>
        <v>7.6308046842704072E-4</v>
      </c>
      <c r="AF78" s="309">
        <f t="shared" si="45"/>
        <v>46.916654652812944</v>
      </c>
      <c r="AG78" s="107">
        <f t="shared" si="39"/>
        <v>3.684554030325624E-3</v>
      </c>
      <c r="AH78" s="119">
        <f t="shared" si="46"/>
        <v>4.4476344987526648E-3</v>
      </c>
      <c r="AI78" s="122">
        <f t="shared" si="40"/>
        <v>4.4476344987526648E-3</v>
      </c>
      <c r="AJ78" s="87" t="b">
        <f t="shared" si="47"/>
        <v>1</v>
      </c>
      <c r="AK78" s="88">
        <f t="shared" si="21"/>
        <v>1.2368002794595555E-3</v>
      </c>
      <c r="AL78" s="312">
        <f>+AC78/'MWh by month-WgtbyCDH&amp;DayLtHrs'!AC78-1</f>
        <v>-0.17464230594333685</v>
      </c>
      <c r="AM78" s="89">
        <f t="shared" si="41"/>
        <v>165619.20564980348</v>
      </c>
      <c r="AN78" s="93"/>
      <c r="AO78" s="96">
        <f t="shared" si="28"/>
        <v>36.484911438478505</v>
      </c>
      <c r="AP78" s="92">
        <f t="shared" si="27"/>
        <v>2.8653071810323433E-3</v>
      </c>
      <c r="AR78" s="94">
        <f t="shared" si="42"/>
        <v>4.4476344987526648E-3</v>
      </c>
      <c r="AS78" s="95">
        <v>271269.7836528655</v>
      </c>
      <c r="AU78" s="141">
        <v>56.633212617450596</v>
      </c>
    </row>
    <row r="79" spans="1:47">
      <c r="A79" s="78">
        <v>2011</v>
      </c>
      <c r="B79" s="78">
        <v>3</v>
      </c>
      <c r="C79" s="317">
        <v>79.005671513658825</v>
      </c>
      <c r="D79" s="318">
        <f t="shared" si="48"/>
        <v>3.6582721431828627E-2</v>
      </c>
      <c r="E79" s="321">
        <f>$D79*'MWh Impact Summary'!B$17</f>
        <v>37001.240085321275</v>
      </c>
      <c r="F79" s="319">
        <f>$D79*'MWh Impact Summary'!N$17</f>
        <v>1349.8729667853997</v>
      </c>
      <c r="G79" s="319">
        <f>$D79*'MWh Impact Summary'!C$17</f>
        <v>30855.022457344032</v>
      </c>
      <c r="H79" s="319">
        <f>$D79*'MWh Impact Summary'!D$17</f>
        <v>54.11017077847854</v>
      </c>
      <c r="I79" s="319">
        <f>$D79*'MWh Impact Summary'!E$17</f>
        <v>13253.156272235419</v>
      </c>
      <c r="J79" s="104">
        <f t="shared" si="43"/>
        <v>82513.401952464599</v>
      </c>
      <c r="K79" s="298">
        <f t="shared" si="18"/>
        <v>12</v>
      </c>
      <c r="L79" s="299">
        <f t="shared" si="49"/>
        <v>8.4477296726504739E-2</v>
      </c>
      <c r="M79" s="297">
        <f t="shared" ref="M79:M88" si="50">(31/365)</f>
        <v>8.4931506849315067E-2</v>
      </c>
      <c r="N79" s="304">
        <f>$M79*'MWh Impact Summary'!F$17</f>
        <v>41360.554028076185</v>
      </c>
      <c r="O79" s="304">
        <f>$M79*'MWh Impact Summary'!G$17</f>
        <v>0</v>
      </c>
      <c r="P79" s="304">
        <f>$M79*'MWh Impact Summary'!H$17</f>
        <v>1310.2888089999105</v>
      </c>
      <c r="Q79" s="304">
        <f>$M79*'MWh Impact Summary'!I$17</f>
        <v>673.45338262313226</v>
      </c>
      <c r="R79" s="304">
        <f>$M79*'MWh Impact Summary'!J$17</f>
        <v>9083.059220915311</v>
      </c>
      <c r="S79" s="304">
        <f>$M79*'MWh Impact Summary'!K$17</f>
        <v>0</v>
      </c>
      <c r="T79" s="304">
        <f>$M79*'MWh Impact Summary'!L$17</f>
        <v>0</v>
      </c>
      <c r="U79" s="304">
        <f>$M79*'MWh Impact Summary'!M$17</f>
        <v>0</v>
      </c>
      <c r="V79" s="304">
        <f>$M79*'LED Impact Forecast'!$H$18+$D79*'LED Impact Forecast'!$J$18</f>
        <v>0</v>
      </c>
      <c r="W79" s="304">
        <f>$M79*'CFL Impact Forecast'!$H$18+$D79*'CFL Impact Forecast'!$J$18</f>
        <v>188559.44487269587</v>
      </c>
      <c r="X79" s="304">
        <f>$M79*'EISA Incand Impact Forecast'!$G$18+$D79*'EISA Incand Impact Forecast'!$I$18</f>
        <v>0</v>
      </c>
      <c r="Y79" s="85">
        <f t="shared" si="35"/>
        <v>240986.80031331041</v>
      </c>
      <c r="Z79" s="81">
        <f t="shared" si="36"/>
        <v>323500.20226577501</v>
      </c>
      <c r="AA79" s="81"/>
      <c r="AB79" s="81">
        <v>4546574</v>
      </c>
      <c r="AC79" s="308">
        <f t="shared" si="44"/>
        <v>71.152521055584941</v>
      </c>
      <c r="AD79" s="309">
        <f t="shared" si="37"/>
        <v>18.148478822177886</v>
      </c>
      <c r="AE79" s="107">
        <f t="shared" si="38"/>
        <v>1.5123732351814904E-3</v>
      </c>
      <c r="AF79" s="309">
        <f t="shared" si="45"/>
        <v>53.004042233407048</v>
      </c>
      <c r="AG79" s="107">
        <f t="shared" si="39"/>
        <v>4.4170035194505877E-3</v>
      </c>
      <c r="AH79" s="119">
        <f t="shared" si="46"/>
        <v>5.9293767546320783E-3</v>
      </c>
      <c r="AI79" s="122">
        <f t="shared" si="40"/>
        <v>5.9293767546320783E-3</v>
      </c>
      <c r="AJ79" s="87" t="b">
        <f t="shared" si="47"/>
        <v>1</v>
      </c>
      <c r="AK79" s="88">
        <f t="shared" si="21"/>
        <v>2.0146278980676348E-3</v>
      </c>
      <c r="AL79" s="312">
        <f>+AC79/'MWh by month-WgtbyCDH&amp;DayLtHrs'!AC79-1</f>
        <v>-2.0782841732606361E-2</v>
      </c>
      <c r="AM79" s="89">
        <f t="shared" si="41"/>
        <v>188559.44487269587</v>
      </c>
      <c r="AN79" s="93"/>
      <c r="AO79" s="96">
        <f t="shared" si="28"/>
        <v>41.47286393506316</v>
      </c>
      <c r="AP79" s="92">
        <f t="shared" si="27"/>
        <v>3.4560719945885966E-3</v>
      </c>
      <c r="AR79" s="94">
        <f t="shared" si="42"/>
        <v>5.9293767546320783E-3</v>
      </c>
      <c r="AS79" s="95">
        <v>329734.12848243071</v>
      </c>
      <c r="AU79" s="141">
        <v>71.152521055584941</v>
      </c>
    </row>
    <row r="80" spans="1:47">
      <c r="A80" s="78">
        <v>2011</v>
      </c>
      <c r="B80" s="78">
        <v>4</v>
      </c>
      <c r="C80" s="317">
        <v>190.37241736512024</v>
      </c>
      <c r="D80" s="318">
        <f t="shared" ref="D80:D85" si="51">C80/(SUM(C$77:C$88))</f>
        <v>8.814988822122706E-2</v>
      </c>
      <c r="E80" s="321">
        <f>$D80*'MWh Impact Summary'!B$17</f>
        <v>89158.352629557747</v>
      </c>
      <c r="F80" s="319">
        <f>$D80*'MWh Impact Summary'!N$17</f>
        <v>3252.6599027556613</v>
      </c>
      <c r="G80" s="319">
        <f>$D80*'MWh Impact Summary'!C$17</f>
        <v>74348.39930503146</v>
      </c>
      <c r="H80" s="319">
        <f>$D80*'MWh Impact Summary'!D$17</f>
        <v>130.38410809985402</v>
      </c>
      <c r="I80" s="319">
        <f>$D80*'MWh Impact Summary'!E$17</f>
        <v>31934.864281572107</v>
      </c>
      <c r="J80" s="104">
        <f t="shared" si="43"/>
        <v>198824.66022701684</v>
      </c>
      <c r="K80" s="298">
        <f t="shared" si="18"/>
        <v>11.2</v>
      </c>
      <c r="L80" s="299">
        <f t="shared" si="49"/>
        <v>7.8845476944737758E-2</v>
      </c>
      <c r="M80" s="297">
        <f>(30/365)</f>
        <v>8.2191780821917804E-2</v>
      </c>
      <c r="N80" s="304">
        <f>$M80*'MWh Impact Summary'!F$17</f>
        <v>40026.342607815663</v>
      </c>
      <c r="O80" s="304">
        <f>$M80*'MWh Impact Summary'!G$17</f>
        <v>0</v>
      </c>
      <c r="P80" s="304">
        <f>$M80*'MWh Impact Summary'!H$17</f>
        <v>1268.0214280644295</v>
      </c>
      <c r="Q80" s="304">
        <f>$M80*'MWh Impact Summary'!I$17</f>
        <v>651.72907995786989</v>
      </c>
      <c r="R80" s="304">
        <f>$M80*'MWh Impact Summary'!J$17</f>
        <v>8790.0573105632047</v>
      </c>
      <c r="S80" s="304">
        <f>$M80*'MWh Impact Summary'!K$17</f>
        <v>0</v>
      </c>
      <c r="T80" s="304">
        <f>$M80*'MWh Impact Summary'!L$17</f>
        <v>0</v>
      </c>
      <c r="U80" s="304">
        <f>$M80*'MWh Impact Summary'!M$17</f>
        <v>0</v>
      </c>
      <c r="V80" s="304">
        <f>$M80*'LED Impact Forecast'!$H$18+$D80*'LED Impact Forecast'!$J$18</f>
        <v>0</v>
      </c>
      <c r="W80" s="304">
        <f>$M80*'CFL Impact Forecast'!$H$18+$D80*'CFL Impact Forecast'!$J$18</f>
        <v>200828.9029196497</v>
      </c>
      <c r="X80" s="304">
        <f>$M80*'EISA Incand Impact Forecast'!$G$18+$D80*'EISA Incand Impact Forecast'!$I$18</f>
        <v>0</v>
      </c>
      <c r="Y80" s="85">
        <f t="shared" si="35"/>
        <v>251565.05334605087</v>
      </c>
      <c r="Z80" s="81">
        <f t="shared" si="36"/>
        <v>450389.71357306768</v>
      </c>
      <c r="AA80" s="81"/>
      <c r="AB80" s="81">
        <v>4550254</v>
      </c>
      <c r="AC80" s="308">
        <f t="shared" si="44"/>
        <v>98.981224690548629</v>
      </c>
      <c r="AD80" s="309">
        <f t="shared" si="37"/>
        <v>43.695288268966266</v>
      </c>
      <c r="AE80" s="107">
        <f t="shared" si="38"/>
        <v>3.9013650240148456E-3</v>
      </c>
      <c r="AF80" s="309">
        <f t="shared" si="45"/>
        <v>55.285936421582377</v>
      </c>
      <c r="AG80" s="107">
        <f t="shared" si="39"/>
        <v>4.9362443233555691E-3</v>
      </c>
      <c r="AH80" s="119">
        <f t="shared" si="46"/>
        <v>8.8376093473704152E-3</v>
      </c>
      <c r="AI80" s="122">
        <f t="shared" si="40"/>
        <v>8.8376093473704134E-3</v>
      </c>
      <c r="AJ80" s="87" t="b">
        <f t="shared" si="47"/>
        <v>0</v>
      </c>
      <c r="AK80" s="88">
        <f t="shared" si="21"/>
        <v>3.2078478625330231E-3</v>
      </c>
      <c r="AL80" s="312">
        <f>+AC80/'MWh by month-WgtbyCDH&amp;DayLtHrs'!AC80-1</f>
        <v>0.21486248480060932</v>
      </c>
      <c r="AM80" s="89">
        <f t="shared" si="41"/>
        <v>200828.9029196497</v>
      </c>
      <c r="AN80" s="93"/>
      <c r="AO80" s="96">
        <f t="shared" si="28"/>
        <v>44.135756579665596</v>
      </c>
      <c r="AP80" s="92">
        <f t="shared" si="27"/>
        <v>3.9406925517558571E-3</v>
      </c>
      <c r="AR80" s="94">
        <f t="shared" si="42"/>
        <v>8.8376093473704134E-3</v>
      </c>
      <c r="AS80" s="95">
        <v>389711.18757361744</v>
      </c>
      <c r="AU80" s="141">
        <v>98.981224690548629</v>
      </c>
    </row>
    <row r="81" spans="1:47">
      <c r="A81" s="78">
        <v>2011</v>
      </c>
      <c r="B81" s="78">
        <v>5</v>
      </c>
      <c r="C81" s="317">
        <v>242.30649337743392</v>
      </c>
      <c r="D81" s="318">
        <f t="shared" si="51"/>
        <v>0.11219740024382185</v>
      </c>
      <c r="E81" s="321">
        <f>$D81*'MWh Impact Summary'!B$17</f>
        <v>113480.97628840135</v>
      </c>
      <c r="F81" s="319">
        <f>$D81*'MWh Impact Summary'!N$17</f>
        <v>4139.9937348828953</v>
      </c>
      <c r="G81" s="319">
        <f>$D81*'MWh Impact Summary'!C$17</f>
        <v>94630.830312333477</v>
      </c>
      <c r="H81" s="319">
        <f>$D81*'MWh Impact Summary'!D$17</f>
        <v>165.95322191673927</v>
      </c>
      <c r="I81" s="319">
        <f>$D81*'MWh Impact Summary'!E$17</f>
        <v>40646.775870430029</v>
      </c>
      <c r="J81" s="104">
        <f t="shared" si="43"/>
        <v>253064.5294279645</v>
      </c>
      <c r="K81" s="298">
        <f t="shared" si="18"/>
        <v>10.533333333333333</v>
      </c>
      <c r="L81" s="299">
        <f t="shared" si="49"/>
        <v>7.4152293793265281E-2</v>
      </c>
      <c r="M81" s="297">
        <f t="shared" si="50"/>
        <v>8.4931506849315067E-2</v>
      </c>
      <c r="N81" s="304">
        <f>$M81*'MWh Impact Summary'!F$17</f>
        <v>41360.554028076185</v>
      </c>
      <c r="O81" s="304">
        <f>$M81*'MWh Impact Summary'!G$17</f>
        <v>0</v>
      </c>
      <c r="P81" s="304">
        <f>$M81*'MWh Impact Summary'!H$17</f>
        <v>1310.2888089999105</v>
      </c>
      <c r="Q81" s="304">
        <f>$M81*'MWh Impact Summary'!I$17</f>
        <v>673.45338262313226</v>
      </c>
      <c r="R81" s="304">
        <f>$M81*'MWh Impact Summary'!J$17</f>
        <v>9083.059220915311</v>
      </c>
      <c r="S81" s="304">
        <f>$M81*'MWh Impact Summary'!K$17</f>
        <v>0</v>
      </c>
      <c r="T81" s="304">
        <f>$M81*'MWh Impact Summary'!L$17</f>
        <v>0</v>
      </c>
      <c r="U81" s="304">
        <f>$M81*'MWh Impact Summary'!M$17</f>
        <v>0</v>
      </c>
      <c r="V81" s="304">
        <f>$M81*'LED Impact Forecast'!$H$18+$D81*'LED Impact Forecast'!$J$18</f>
        <v>0</v>
      </c>
      <c r="W81" s="304">
        <f>$M81*'CFL Impact Forecast'!$H$18+$D81*'CFL Impact Forecast'!$J$18</f>
        <v>214867.58485660562</v>
      </c>
      <c r="X81" s="304">
        <f>$M81*'EISA Incand Impact Forecast'!$G$18+$D81*'EISA Incand Impact Forecast'!$I$18</f>
        <v>0</v>
      </c>
      <c r="Y81" s="85">
        <f t="shared" si="35"/>
        <v>267294.94029722014</v>
      </c>
      <c r="Z81" s="81">
        <f t="shared" si="36"/>
        <v>520359.46972518461</v>
      </c>
      <c r="AA81" s="81"/>
      <c r="AB81" s="81">
        <v>4549811</v>
      </c>
      <c r="AC81" s="308">
        <f t="shared" si="44"/>
        <v>114.36946935272358</v>
      </c>
      <c r="AD81" s="309">
        <f t="shared" si="37"/>
        <v>55.620888302385417</v>
      </c>
      <c r="AE81" s="107">
        <f t="shared" si="38"/>
        <v>5.2804640793403879E-3</v>
      </c>
      <c r="AF81" s="309">
        <f t="shared" si="45"/>
        <v>58.748581050338167</v>
      </c>
      <c r="AG81" s="107">
        <f t="shared" si="39"/>
        <v>5.5773969351586867E-3</v>
      </c>
      <c r="AH81" s="119">
        <f t="shared" si="46"/>
        <v>1.0857861014499075E-2</v>
      </c>
      <c r="AI81" s="122">
        <f t="shared" si="40"/>
        <v>1.0857861014499074E-2</v>
      </c>
      <c r="AJ81" s="87" t="b">
        <f t="shared" si="47"/>
        <v>1</v>
      </c>
      <c r="AK81" s="88">
        <f t="shared" si="21"/>
        <v>9.948591428774519E-4</v>
      </c>
      <c r="AL81" s="312">
        <f>+AC81/'MWh by month-WgtbyCDH&amp;DayLtHrs'!AC81-1</f>
        <v>0.11799284312582703</v>
      </c>
      <c r="AM81" s="89">
        <f t="shared" si="41"/>
        <v>214867.58485660562</v>
      </c>
      <c r="AN81" s="93"/>
      <c r="AO81" s="96">
        <f t="shared" si="28"/>
        <v>47.22560670247745</v>
      </c>
      <c r="AP81" s="92">
        <f t="shared" si="27"/>
        <v>4.4834436742858339E-3</v>
      </c>
      <c r="AR81" s="94">
        <f t="shared" si="42"/>
        <v>1.0857861014499074E-2</v>
      </c>
      <c r="AS81" s="95">
        <v>471746.54588684964</v>
      </c>
      <c r="AU81" s="141">
        <v>114.36946935272358</v>
      </c>
    </row>
    <row r="82" spans="1:47">
      <c r="A82" s="78">
        <v>2011</v>
      </c>
      <c r="B82" s="78">
        <v>6</v>
      </c>
      <c r="C82" s="317">
        <v>304.55790465228421</v>
      </c>
      <c r="D82" s="318">
        <f t="shared" si="51"/>
        <v>0.14102224273645644</v>
      </c>
      <c r="E82" s="321">
        <f>$D82*'MWh Impact Summary'!B$17</f>
        <v>142635.5846867692</v>
      </c>
      <c r="F82" s="319">
        <f>$D82*'MWh Impact Summary'!N$17</f>
        <v>5203.6072149560632</v>
      </c>
      <c r="G82" s="319">
        <f>$D82*'MWh Impact Summary'!C$17</f>
        <v>118942.61269563736</v>
      </c>
      <c r="H82" s="319">
        <f>$D82*'MWh Impact Summary'!D$17</f>
        <v>208.58857240168646</v>
      </c>
      <c r="I82" s="319">
        <f>$D82*'MWh Impact Summary'!E$17</f>
        <v>51089.414556820462</v>
      </c>
      <c r="J82" s="104">
        <f t="shared" si="43"/>
        <v>318079.80772658478</v>
      </c>
      <c r="K82" s="298">
        <f t="shared" ref="K82:K145" si="52">+K70</f>
        <v>10.199999999999999</v>
      </c>
      <c r="L82" s="299">
        <f t="shared" si="49"/>
        <v>7.1805702217529022E-2</v>
      </c>
      <c r="M82" s="297">
        <f>(30/365)</f>
        <v>8.2191780821917804E-2</v>
      </c>
      <c r="N82" s="304">
        <f>$M82*'MWh Impact Summary'!F$17</f>
        <v>40026.342607815663</v>
      </c>
      <c r="O82" s="304">
        <f>$M82*'MWh Impact Summary'!G$17</f>
        <v>0</v>
      </c>
      <c r="P82" s="304">
        <f>$M82*'MWh Impact Summary'!H$17</f>
        <v>1268.0214280644295</v>
      </c>
      <c r="Q82" s="304">
        <f>$M82*'MWh Impact Summary'!I$17</f>
        <v>651.72907995786989</v>
      </c>
      <c r="R82" s="304">
        <f>$M82*'MWh Impact Summary'!J$17</f>
        <v>8790.0573105632047</v>
      </c>
      <c r="S82" s="304">
        <f>$M82*'MWh Impact Summary'!K$17</f>
        <v>0</v>
      </c>
      <c r="T82" s="304">
        <f>$M82*'MWh Impact Summary'!L$17</f>
        <v>0</v>
      </c>
      <c r="U82" s="304">
        <f>$M82*'MWh Impact Summary'!M$17</f>
        <v>0</v>
      </c>
      <c r="V82" s="304">
        <f>$M82*'LED Impact Forecast'!$H$18+$D82*'LED Impact Forecast'!$J$18</f>
        <v>0</v>
      </c>
      <c r="W82" s="304">
        <f>$M82*'CFL Impact Forecast'!$H$18+$D82*'CFL Impact Forecast'!$J$18</f>
        <v>219224.44893954412</v>
      </c>
      <c r="X82" s="304">
        <f>$M82*'EISA Incand Impact Forecast'!$G$18+$D82*'EISA Incand Impact Forecast'!$I$18</f>
        <v>0</v>
      </c>
      <c r="Y82" s="85">
        <f t="shared" si="35"/>
        <v>269960.59936594527</v>
      </c>
      <c r="Z82" s="81">
        <f t="shared" si="36"/>
        <v>588040.40709253005</v>
      </c>
      <c r="AA82" s="81"/>
      <c r="AB82" s="81">
        <v>4549338</v>
      </c>
      <c r="AC82" s="308">
        <f t="shared" si="44"/>
        <v>129.25845630562733</v>
      </c>
      <c r="AD82" s="309">
        <f t="shared" si="37"/>
        <v>69.917822708839125</v>
      </c>
      <c r="AE82" s="107">
        <f t="shared" si="38"/>
        <v>6.8546885008665811E-3</v>
      </c>
      <c r="AF82" s="309">
        <f t="shared" si="45"/>
        <v>59.340633596788209</v>
      </c>
      <c r="AG82" s="107">
        <f t="shared" si="39"/>
        <v>5.8177091761557071E-3</v>
      </c>
      <c r="AH82" s="119">
        <f t="shared" si="46"/>
        <v>1.2672397677022287E-2</v>
      </c>
      <c r="AI82" s="122">
        <f t="shared" si="40"/>
        <v>1.2672397677022289E-2</v>
      </c>
      <c r="AJ82" s="87" t="b">
        <f t="shared" si="47"/>
        <v>1</v>
      </c>
      <c r="AK82" s="88">
        <f t="shared" si="21"/>
        <v>2.3569954095969264E-4</v>
      </c>
      <c r="AL82" s="312">
        <f>+AC82/'MWh by month-WgtbyCDH&amp;DayLtHrs'!AC82-1</f>
        <v>0.10720070616019495</v>
      </c>
      <c r="AM82" s="89">
        <f t="shared" si="41"/>
        <v>219224.44893954412</v>
      </c>
      <c r="AN82" s="93"/>
      <c r="AO82" s="96">
        <f t="shared" si="28"/>
        <v>48.188208688724409</v>
      </c>
      <c r="AP82" s="92">
        <f t="shared" si="27"/>
        <v>4.7243341851690599E-3</v>
      </c>
      <c r="AR82" s="94">
        <f t="shared" si="42"/>
        <v>1.2672397677022289E-2</v>
      </c>
      <c r="AS82" s="95">
        <v>578320.56171354384</v>
      </c>
      <c r="AU82" s="141">
        <v>129.25845630562733</v>
      </c>
    </row>
    <row r="83" spans="1:47">
      <c r="A83" s="78">
        <v>2011</v>
      </c>
      <c r="B83" s="78">
        <v>7</v>
      </c>
      <c r="C83" s="317">
        <v>355.81307292026935</v>
      </c>
      <c r="D83" s="318">
        <f t="shared" si="51"/>
        <v>0.16475539387314461</v>
      </c>
      <c r="E83" s="321">
        <f>$D83*'MWh Impact Summary'!B$17</f>
        <v>166640.2510653011</v>
      </c>
      <c r="F83" s="319">
        <f>$D83*'MWh Impact Summary'!N$17</f>
        <v>6079.341383496464</v>
      </c>
      <c r="G83" s="319">
        <f>$D83*'MWh Impact Summary'!C$17</f>
        <v>138959.90180494159</v>
      </c>
      <c r="H83" s="319">
        <f>$D83*'MWh Impact Summary'!D$17</f>
        <v>243.69270929622385</v>
      </c>
      <c r="I83" s="319">
        <f>$D83*'MWh Impact Summary'!E$17</f>
        <v>59687.439759326218</v>
      </c>
      <c r="J83" s="104">
        <f t="shared" si="43"/>
        <v>371610.6267223616</v>
      </c>
      <c r="K83" s="298">
        <f t="shared" si="52"/>
        <v>10.366666666666667</v>
      </c>
      <c r="L83" s="299">
        <f t="shared" si="49"/>
        <v>7.2978998005397158E-2</v>
      </c>
      <c r="M83" s="297">
        <f t="shared" si="50"/>
        <v>8.4931506849315067E-2</v>
      </c>
      <c r="N83" s="304">
        <f>$M83*'MWh Impact Summary'!F$17</f>
        <v>41360.554028076185</v>
      </c>
      <c r="O83" s="304">
        <f>$M83*'MWh Impact Summary'!G$17</f>
        <v>0</v>
      </c>
      <c r="P83" s="304">
        <f>$M83*'MWh Impact Summary'!H$17</f>
        <v>1310.2888089999105</v>
      </c>
      <c r="Q83" s="304">
        <f>$M83*'MWh Impact Summary'!I$17</f>
        <v>673.45338262313226</v>
      </c>
      <c r="R83" s="304">
        <f>$M83*'MWh Impact Summary'!J$17</f>
        <v>9083.059220915311</v>
      </c>
      <c r="S83" s="304">
        <f>$M83*'MWh Impact Summary'!K$17</f>
        <v>0</v>
      </c>
      <c r="T83" s="304">
        <f>$M83*'MWh Impact Summary'!L$17</f>
        <v>0</v>
      </c>
      <c r="U83" s="304">
        <f>$M83*'MWh Impact Summary'!M$17</f>
        <v>0</v>
      </c>
      <c r="V83" s="304">
        <f>$M83*'LED Impact Forecast'!$H$18+$D83*'LED Impact Forecast'!$J$18</f>
        <v>0</v>
      </c>
      <c r="W83" s="304">
        <f>$M83*'CFL Impact Forecast'!$H$18+$D83*'CFL Impact Forecast'!$J$18</f>
        <v>233153.75726912863</v>
      </c>
      <c r="X83" s="304">
        <f>$M83*'EISA Incand Impact Forecast'!$G$18+$D83*'EISA Incand Impact Forecast'!$I$18</f>
        <v>0</v>
      </c>
      <c r="Y83" s="85">
        <f t="shared" si="35"/>
        <v>285581.1127097432</v>
      </c>
      <c r="Z83" s="81">
        <f t="shared" si="36"/>
        <v>657191.73943210486</v>
      </c>
      <c r="AA83" s="81"/>
      <c r="AB83" s="81">
        <v>4549687</v>
      </c>
      <c r="AC83" s="308">
        <f t="shared" si="44"/>
        <v>144.44768166076145</v>
      </c>
      <c r="AD83" s="309">
        <f t="shared" si="37"/>
        <v>81.678283961591561</v>
      </c>
      <c r="AE83" s="107">
        <f t="shared" si="38"/>
        <v>7.8789341442049732E-3</v>
      </c>
      <c r="AF83" s="309">
        <f t="shared" si="45"/>
        <v>62.7693976991699</v>
      </c>
      <c r="AG83" s="107">
        <f t="shared" si="39"/>
        <v>6.0549258230710515E-3</v>
      </c>
      <c r="AH83" s="119">
        <f t="shared" si="46"/>
        <v>1.3933859967276025E-2</v>
      </c>
      <c r="AI83" s="122">
        <f t="shared" si="40"/>
        <v>1.3933859967276023E-2</v>
      </c>
      <c r="AJ83" s="87" t="b">
        <f t="shared" si="47"/>
        <v>1</v>
      </c>
      <c r="AK83" s="88">
        <f t="shared" si="21"/>
        <v>1.3463173786208201E-3</v>
      </c>
      <c r="AL83" s="312">
        <f>+AC83/'MWh by month-WgtbyCDH&amp;DayLtHrs'!AC83-1</f>
        <v>0.10895223368124762</v>
      </c>
      <c r="AM83" s="89">
        <f t="shared" si="41"/>
        <v>233153.75726912863</v>
      </c>
      <c r="AN83" s="93"/>
      <c r="AO83" s="96">
        <f t="shared" si="28"/>
        <v>51.246109296997489</v>
      </c>
      <c r="AP83" s="92">
        <f t="shared" si="27"/>
        <v>4.9433545945656741E-3</v>
      </c>
      <c r="AR83" s="94">
        <f t="shared" si="42"/>
        <v>1.3933859967276023E-2</v>
      </c>
      <c r="AS83" s="95">
        <v>609448.78170354979</v>
      </c>
      <c r="AU83" s="141">
        <v>144.44768166076145</v>
      </c>
    </row>
    <row r="84" spans="1:47">
      <c r="A84" s="78">
        <v>2011</v>
      </c>
      <c r="B84" s="78">
        <v>8</v>
      </c>
      <c r="C84" s="317">
        <v>342.38255905344039</v>
      </c>
      <c r="D84" s="318">
        <f t="shared" si="51"/>
        <v>0.15853653973187484</v>
      </c>
      <c r="E84" s="321">
        <f>$D84*'MWh Impact Summary'!B$17</f>
        <v>160350.25113827229</v>
      </c>
      <c r="F84" s="319">
        <f>$D84*'MWh Impact Summary'!N$17</f>
        <v>5849.8706727040799</v>
      </c>
      <c r="G84" s="319">
        <f>$D84*'MWh Impact Summary'!C$17</f>
        <v>133714.72384448294</v>
      </c>
      <c r="H84" s="319">
        <f>$D84*'MWh Impact Summary'!D$17</f>
        <v>234.49428866320383</v>
      </c>
      <c r="I84" s="319">
        <f>$D84*'MWh Impact Summary'!E$17</f>
        <v>57434.478729019218</v>
      </c>
      <c r="J84" s="104">
        <f t="shared" si="43"/>
        <v>357583.81867314177</v>
      </c>
      <c r="K84" s="298">
        <f t="shared" si="52"/>
        <v>10.933333333333334</v>
      </c>
      <c r="L84" s="299">
        <f t="shared" si="49"/>
        <v>7.6968203684148764E-2</v>
      </c>
      <c r="M84" s="297">
        <f t="shared" si="50"/>
        <v>8.4931506849315067E-2</v>
      </c>
      <c r="N84" s="304">
        <f>$M84*'MWh Impact Summary'!F$17</f>
        <v>41360.554028076185</v>
      </c>
      <c r="O84" s="304">
        <f>$M84*'MWh Impact Summary'!G$17</f>
        <v>0</v>
      </c>
      <c r="P84" s="304">
        <f>$M84*'MWh Impact Summary'!H$17</f>
        <v>1310.2888089999105</v>
      </c>
      <c r="Q84" s="304">
        <f>$M84*'MWh Impact Summary'!I$17</f>
        <v>673.45338262313226</v>
      </c>
      <c r="R84" s="304">
        <f>$M84*'MWh Impact Summary'!J$17</f>
        <v>9083.059220915311</v>
      </c>
      <c r="S84" s="304">
        <f>$M84*'MWh Impact Summary'!K$17</f>
        <v>0</v>
      </c>
      <c r="T84" s="304">
        <f>$M84*'MWh Impact Summary'!L$17</f>
        <v>0</v>
      </c>
      <c r="U84" s="304">
        <f>$M84*'MWh Impact Summary'!M$17</f>
        <v>0</v>
      </c>
      <c r="V84" s="304">
        <f>$M84*'LED Impact Forecast'!$H$18+$D84*'LED Impact Forecast'!$J$18</f>
        <v>0</v>
      </c>
      <c r="W84" s="304">
        <f>$M84*'CFL Impact Forecast'!$H$18+$D84*'CFL Impact Forecast'!$J$18</f>
        <v>230990.07043135431</v>
      </c>
      <c r="X84" s="304">
        <f>$M84*'EISA Incand Impact Forecast'!$G$18+$D84*'EISA Incand Impact Forecast'!$I$18</f>
        <v>0</v>
      </c>
      <c r="Y84" s="85">
        <f t="shared" si="35"/>
        <v>283417.42587196885</v>
      </c>
      <c r="Z84" s="81">
        <f t="shared" si="36"/>
        <v>641001.24454511062</v>
      </c>
      <c r="AA84" s="81"/>
      <c r="AB84" s="81">
        <v>4550328</v>
      </c>
      <c r="AC84" s="308">
        <f t="shared" si="44"/>
        <v>140.86923943617043</v>
      </c>
      <c r="AD84" s="309">
        <f t="shared" si="37"/>
        <v>78.58418528799281</v>
      </c>
      <c r="AE84" s="107">
        <f t="shared" si="38"/>
        <v>7.1875779226822697E-3</v>
      </c>
      <c r="AF84" s="309">
        <f t="shared" si="45"/>
        <v>62.285054148177643</v>
      </c>
      <c r="AG84" s="107">
        <f t="shared" si="39"/>
        <v>5.6968037330650282E-3</v>
      </c>
      <c r="AH84" s="119">
        <f t="shared" si="46"/>
        <v>1.2884381655747297E-2</v>
      </c>
      <c r="AI84" s="122">
        <f t="shared" si="40"/>
        <v>1.2884381655747295E-2</v>
      </c>
      <c r="AJ84" s="87" t="b">
        <f t="shared" si="47"/>
        <v>1</v>
      </c>
      <c r="AK84" s="88">
        <f t="shared" si="21"/>
        <v>1.2341425806577204E-3</v>
      </c>
      <c r="AL84" s="312">
        <f>+AC84/'MWh by month-WgtbyCDH&amp;DayLtHrs'!AC84-1</f>
        <v>5.2621331782114256E-2</v>
      </c>
      <c r="AM84" s="89">
        <f t="shared" si="41"/>
        <v>230990.07043135431</v>
      </c>
      <c r="AN84" s="93"/>
      <c r="AO84" s="96">
        <f t="shared" si="28"/>
        <v>50.76338901972656</v>
      </c>
      <c r="AP84" s="92">
        <f t="shared" si="27"/>
        <v>4.6429928981457222E-3</v>
      </c>
      <c r="AR84" s="94">
        <f t="shared" si="42"/>
        <v>1.2884381655747295E-2</v>
      </c>
      <c r="AS84" s="95">
        <v>633695.24727322243</v>
      </c>
      <c r="AU84" s="141">
        <v>140.86923943617043</v>
      </c>
    </row>
    <row r="85" spans="1:47">
      <c r="A85" s="78">
        <v>2011</v>
      </c>
      <c r="B85" s="78">
        <v>9</v>
      </c>
      <c r="C85" s="317">
        <v>298.65346555739433</v>
      </c>
      <c r="D85" s="318">
        <f t="shared" si="51"/>
        <v>0.13828825609371001</v>
      </c>
      <c r="E85" s="321">
        <f>$D85*'MWh Impact Summary'!B$17</f>
        <v>139870.32031607896</v>
      </c>
      <c r="F85" s="319">
        <f>$D85*'MWh Impact Summary'!N$17</f>
        <v>5102.7253090685244</v>
      </c>
      <c r="G85" s="319">
        <f>$D85*'MWh Impact Summary'!C$17</f>
        <v>116636.68202787067</v>
      </c>
      <c r="H85" s="319">
        <f>$D85*'MWh Impact Summary'!D$17</f>
        <v>204.54468287256091</v>
      </c>
      <c r="I85" s="319">
        <f>$D85*'MWh Impact Summary'!E$17</f>
        <v>50098.948270979912</v>
      </c>
      <c r="J85" s="104">
        <f t="shared" si="43"/>
        <v>311913.2206068706</v>
      </c>
      <c r="K85" s="298">
        <f t="shared" si="52"/>
        <v>11.683333333333334</v>
      </c>
      <c r="L85" s="299">
        <f t="shared" si="49"/>
        <v>8.2248034729555317E-2</v>
      </c>
      <c r="M85" s="297">
        <f>(30/365)</f>
        <v>8.2191780821917804E-2</v>
      </c>
      <c r="N85" s="304">
        <f>$M85*'MWh Impact Summary'!F$17</f>
        <v>40026.342607815663</v>
      </c>
      <c r="O85" s="304">
        <f>$M85*'MWh Impact Summary'!G$17</f>
        <v>0</v>
      </c>
      <c r="P85" s="304">
        <f>$M85*'MWh Impact Summary'!H$17</f>
        <v>1268.0214280644295</v>
      </c>
      <c r="Q85" s="304">
        <f>$M85*'MWh Impact Summary'!I$17</f>
        <v>651.72907995786989</v>
      </c>
      <c r="R85" s="304">
        <f>$M85*'MWh Impact Summary'!J$17</f>
        <v>8790.0573105632047</v>
      </c>
      <c r="S85" s="304">
        <f>$M85*'MWh Impact Summary'!K$17</f>
        <v>0</v>
      </c>
      <c r="T85" s="304">
        <f>$M85*'MWh Impact Summary'!L$17</f>
        <v>0</v>
      </c>
      <c r="U85" s="304">
        <f>$M85*'MWh Impact Summary'!M$17</f>
        <v>0</v>
      </c>
      <c r="V85" s="304">
        <f>$M85*'LED Impact Forecast'!$H$18+$D85*'LED Impact Forecast'!$J$18</f>
        <v>0</v>
      </c>
      <c r="W85" s="304">
        <f>$M85*'CFL Impact Forecast'!$H$18+$D85*'CFL Impact Forecast'!$J$18</f>
        <v>218273.23014920385</v>
      </c>
      <c r="X85" s="304">
        <f>$M85*'EISA Incand Impact Forecast'!$G$18+$D85*'EISA Incand Impact Forecast'!$I$18</f>
        <v>0</v>
      </c>
      <c r="Y85" s="85">
        <f t="shared" si="35"/>
        <v>269009.38057560503</v>
      </c>
      <c r="Z85" s="81">
        <f t="shared" si="36"/>
        <v>580922.60118247569</v>
      </c>
      <c r="AA85" s="81"/>
      <c r="AB85" s="81">
        <v>4545995</v>
      </c>
      <c r="AC85" s="308">
        <f t="shared" si="44"/>
        <v>127.78777829330558</v>
      </c>
      <c r="AD85" s="309">
        <f t="shared" si="37"/>
        <v>68.612750477479764</v>
      </c>
      <c r="AE85" s="107">
        <f t="shared" si="38"/>
        <v>5.8727033218955579E-3</v>
      </c>
      <c r="AF85" s="309">
        <f t="shared" si="45"/>
        <v>59.175027815825807</v>
      </c>
      <c r="AG85" s="107">
        <f t="shared" si="39"/>
        <v>5.0649096561334499E-3</v>
      </c>
      <c r="AH85" s="119">
        <f t="shared" si="46"/>
        <v>1.0937612978029008E-2</v>
      </c>
      <c r="AI85" s="122">
        <f t="shared" si="40"/>
        <v>1.0937612978029008E-2</v>
      </c>
      <c r="AJ85" s="87" t="b">
        <f t="shared" si="47"/>
        <v>1</v>
      </c>
      <c r="AK85" s="88">
        <f t="shared" si="21"/>
        <v>1.0533457019702274E-3</v>
      </c>
      <c r="AL85" s="312">
        <f>+AC85/'MWh by month-WgtbyCDH&amp;DayLtHrs'!AC85-1</f>
        <v>2.1725774500069628E-2</v>
      </c>
      <c r="AM85" s="89">
        <f t="shared" si="41"/>
        <v>218273.23014920385</v>
      </c>
      <c r="AN85" s="93"/>
      <c r="AO85" s="96">
        <f t="shared" si="28"/>
        <v>48.014401720460285</v>
      </c>
      <c r="AP85" s="92">
        <f t="shared" si="27"/>
        <v>4.1096492200108654E-3</v>
      </c>
      <c r="AR85" s="94">
        <f t="shared" si="42"/>
        <v>1.0937612978029008E-2</v>
      </c>
      <c r="AS85" s="95">
        <v>597815.27720793081</v>
      </c>
      <c r="AU85" s="141">
        <v>127.78777829330558</v>
      </c>
    </row>
    <row r="86" spans="1:47">
      <c r="A86" s="78">
        <v>2011</v>
      </c>
      <c r="B86" s="78">
        <v>10</v>
      </c>
      <c r="C86" s="317">
        <v>161.51919520840667</v>
      </c>
      <c r="D86" s="318">
        <f t="shared" si="48"/>
        <v>7.4789715864648415E-2</v>
      </c>
      <c r="E86" s="321">
        <f>$D86*'MWh Impact Summary'!B$17</f>
        <v>75645.335401786986</v>
      </c>
      <c r="F86" s="319">
        <f>$D86*'MWh Impact Summary'!N$17</f>
        <v>2759.6802995474582</v>
      </c>
      <c r="G86" s="319">
        <f>$D86*'MWh Impact Summary'!C$17</f>
        <v>63080.008054686608</v>
      </c>
      <c r="H86" s="319">
        <f>$D86*'MWh Impact Summary'!D$17</f>
        <v>110.62283339011073</v>
      </c>
      <c r="I86" s="319">
        <f>$D86*'MWh Impact Summary'!E$17</f>
        <v>27094.752744334684</v>
      </c>
      <c r="J86" s="104">
        <f t="shared" si="43"/>
        <v>168690.39933374585</v>
      </c>
      <c r="K86" s="298">
        <f t="shared" si="52"/>
        <v>12.466666666666667</v>
      </c>
      <c r="L86" s="299">
        <f t="shared" si="49"/>
        <v>8.7762524932535488E-2</v>
      </c>
      <c r="M86" s="297">
        <f t="shared" si="50"/>
        <v>8.4931506849315067E-2</v>
      </c>
      <c r="N86" s="304">
        <f>$M86*'MWh Impact Summary'!F$17</f>
        <v>41360.554028076185</v>
      </c>
      <c r="O86" s="304">
        <f>$M86*'MWh Impact Summary'!G$17</f>
        <v>0</v>
      </c>
      <c r="P86" s="304">
        <f>$M86*'MWh Impact Summary'!H$17</f>
        <v>1310.2888089999105</v>
      </c>
      <c r="Q86" s="304">
        <f>$M86*'MWh Impact Summary'!I$17</f>
        <v>673.45338262313226</v>
      </c>
      <c r="R86" s="304">
        <f>$M86*'MWh Impact Summary'!J$17</f>
        <v>9083.059220915311</v>
      </c>
      <c r="S86" s="304">
        <f>$M86*'MWh Impact Summary'!K$17</f>
        <v>0</v>
      </c>
      <c r="T86" s="304">
        <f>$M86*'MWh Impact Summary'!L$17</f>
        <v>0</v>
      </c>
      <c r="U86" s="304">
        <f>$M86*'MWh Impact Summary'!M$17</f>
        <v>0</v>
      </c>
      <c r="V86" s="304">
        <f>$M86*'LED Impact Forecast'!$H$18+$D86*'LED Impact Forecast'!$J$18</f>
        <v>0</v>
      </c>
      <c r="W86" s="304">
        <f>$M86*'CFL Impact Forecast'!$H$18+$D86*'CFL Impact Forecast'!$J$18</f>
        <v>201852.56432642363</v>
      </c>
      <c r="X86" s="304">
        <f>$M86*'EISA Incand Impact Forecast'!$G$18+$D86*'EISA Incand Impact Forecast'!$I$18</f>
        <v>0</v>
      </c>
      <c r="Y86" s="85">
        <f t="shared" si="35"/>
        <v>254279.91976703817</v>
      </c>
      <c r="Z86" s="81">
        <f t="shared" si="36"/>
        <v>422970.31910078402</v>
      </c>
      <c r="AA86" s="81"/>
      <c r="AB86" s="81">
        <v>4546841</v>
      </c>
      <c r="AC86" s="308">
        <f t="shared" si="44"/>
        <v>93.025095687485887</v>
      </c>
      <c r="AD86" s="309">
        <f t="shared" si="37"/>
        <v>37.100571437124337</v>
      </c>
      <c r="AE86" s="107">
        <f t="shared" si="38"/>
        <v>2.9759816660794923E-3</v>
      </c>
      <c r="AF86" s="309">
        <f t="shared" si="45"/>
        <v>55.92452425036155</v>
      </c>
      <c r="AG86" s="107">
        <f t="shared" si="39"/>
        <v>4.4859244051092149E-3</v>
      </c>
      <c r="AH86" s="119">
        <f t="shared" si="46"/>
        <v>7.4619060711887068E-3</v>
      </c>
      <c r="AI86" s="122">
        <f t="shared" si="40"/>
        <v>7.4619060711887076E-3</v>
      </c>
      <c r="AJ86" s="87" t="b">
        <f t="shared" si="47"/>
        <v>1</v>
      </c>
      <c r="AK86" s="88">
        <f t="shared" ref="AK86:AK149" si="53">AI86-AI74</f>
        <v>5.3340021789407589E-4</v>
      </c>
      <c r="AL86" s="312">
        <f>+AC86/'MWh by month-WgtbyCDH&amp;DayLtHrs'!AC86-1</f>
        <v>-0.14375313050407579</v>
      </c>
      <c r="AM86" s="89">
        <f t="shared" si="41"/>
        <v>201852.56432642363</v>
      </c>
      <c r="AN86" s="93"/>
      <c r="AO86" s="96">
        <f t="shared" si="28"/>
        <v>44.394023086891231</v>
      </c>
      <c r="AP86" s="92">
        <f t="shared" si="27"/>
        <v>3.5610178946704194E-3</v>
      </c>
      <c r="AR86" s="94">
        <f t="shared" si="42"/>
        <v>7.4619060711887076E-3</v>
      </c>
      <c r="AS86" s="95">
        <v>479246.04779028392</v>
      </c>
      <c r="AU86" s="141">
        <v>93.025095687485887</v>
      </c>
    </row>
    <row r="87" spans="1:47">
      <c r="A87" s="78">
        <v>2011</v>
      </c>
      <c r="B87" s="78">
        <v>11</v>
      </c>
      <c r="C87" s="317">
        <v>81.388173550047853</v>
      </c>
      <c r="D87" s="318">
        <f>C87/(SUM(C$77:C$88))</f>
        <v>3.7685913223482671E-2</v>
      </c>
      <c r="E87" s="321">
        <f>$D87*'MWh Impact Summary'!B$17</f>
        <v>38117.052762604275</v>
      </c>
      <c r="F87" s="319">
        <f>$D87*'MWh Impact Summary'!N$17</f>
        <v>1390.579855678518</v>
      </c>
      <c r="G87" s="319">
        <f>$D87*'MWh Impact Summary'!C$17</f>
        <v>31785.489250791161</v>
      </c>
      <c r="H87" s="319">
        <f>$D87*'MWh Impact Summary'!D$17</f>
        <v>55.741921886964406</v>
      </c>
      <c r="I87" s="319">
        <f>$D87*'MWh Impact Summary'!E$17</f>
        <v>13652.819628070878</v>
      </c>
      <c r="J87" s="104">
        <f t="shared" si="43"/>
        <v>85001.68341903179</v>
      </c>
      <c r="K87" s="298">
        <f t="shared" si="52"/>
        <v>13.15</v>
      </c>
      <c r="L87" s="299">
        <f t="shared" si="49"/>
        <v>9.2573037662794788E-2</v>
      </c>
      <c r="M87" s="297">
        <f>(30/365)</f>
        <v>8.2191780821917804E-2</v>
      </c>
      <c r="N87" s="304">
        <f>$M87*'MWh Impact Summary'!F$17</f>
        <v>40026.342607815663</v>
      </c>
      <c r="O87" s="304">
        <f>$M87*'MWh Impact Summary'!G$17</f>
        <v>0</v>
      </c>
      <c r="P87" s="304">
        <f>$M87*'MWh Impact Summary'!H$17</f>
        <v>1268.0214280644295</v>
      </c>
      <c r="Q87" s="304">
        <f>$M87*'MWh Impact Summary'!I$17</f>
        <v>651.72907995786989</v>
      </c>
      <c r="R87" s="304">
        <f>$M87*'MWh Impact Summary'!J$17</f>
        <v>8790.0573105632047</v>
      </c>
      <c r="S87" s="304">
        <f>$M87*'MWh Impact Summary'!K$17</f>
        <v>0</v>
      </c>
      <c r="T87" s="304">
        <f>$M87*'MWh Impact Summary'!L$17</f>
        <v>0</v>
      </c>
      <c r="U87" s="304">
        <f>$M87*'MWh Impact Summary'!M$17</f>
        <v>0</v>
      </c>
      <c r="V87" s="304">
        <f>$M87*'LED Impact Forecast'!$H$18+$D87*'LED Impact Forecast'!$J$18</f>
        <v>0</v>
      </c>
      <c r="W87" s="304">
        <f>$M87*'CFL Impact Forecast'!$H$18+$D87*'CFL Impact Forecast'!$J$18</f>
        <v>183271.28924934461</v>
      </c>
      <c r="X87" s="304">
        <f>$M87*'EISA Incand Impact Forecast'!$G$18+$D87*'EISA Incand Impact Forecast'!$I$18</f>
        <v>0</v>
      </c>
      <c r="Y87" s="85">
        <f t="shared" si="35"/>
        <v>234007.43967574579</v>
      </c>
      <c r="Z87" s="81">
        <f t="shared" si="36"/>
        <v>319009.12309477758</v>
      </c>
      <c r="AA87" s="81"/>
      <c r="AB87" s="81">
        <v>4549257</v>
      </c>
      <c r="AC87" s="308">
        <f t="shared" si="44"/>
        <v>70.123346096907156</v>
      </c>
      <c r="AD87" s="309">
        <f t="shared" si="37"/>
        <v>18.68473981993802</v>
      </c>
      <c r="AE87" s="107">
        <f t="shared" si="38"/>
        <v>1.420892761972473E-3</v>
      </c>
      <c r="AF87" s="309">
        <f t="shared" si="45"/>
        <v>51.438606276969139</v>
      </c>
      <c r="AG87" s="107">
        <f t="shared" si="39"/>
        <v>3.9116810857010749E-3</v>
      </c>
      <c r="AH87" s="119">
        <f t="shared" si="46"/>
        <v>5.3325738476735478E-3</v>
      </c>
      <c r="AI87" s="122">
        <f t="shared" si="40"/>
        <v>5.3325738476735478E-3</v>
      </c>
      <c r="AJ87" s="87" t="b">
        <f t="shared" si="47"/>
        <v>1</v>
      </c>
      <c r="AK87" s="88">
        <f t="shared" si="53"/>
        <v>7.4197796824149783E-4</v>
      </c>
      <c r="AL87" s="312">
        <f>+AC87/'MWh by month-WgtbyCDH&amp;DayLtHrs'!AC87-1</f>
        <v>-0.13644184546405058</v>
      </c>
      <c r="AM87" s="89">
        <f t="shared" si="41"/>
        <v>183271.28924934461</v>
      </c>
      <c r="AN87" s="93"/>
      <c r="AO87" s="96">
        <f t="shared" si="28"/>
        <v>40.2859827988053</v>
      </c>
      <c r="AP87" s="92">
        <f t="shared" si="27"/>
        <v>3.0635728364110494E-3</v>
      </c>
      <c r="AR87" s="94">
        <f t="shared" si="42"/>
        <v>5.3325738476735478E-3</v>
      </c>
      <c r="AS87" s="95">
        <v>366133.39797441743</v>
      </c>
      <c r="AU87" s="141">
        <v>70.123346096907156</v>
      </c>
    </row>
    <row r="88" spans="1:47">
      <c r="A88" s="78">
        <v>2011</v>
      </c>
      <c r="B88" s="78">
        <v>12</v>
      </c>
      <c r="C88" s="317">
        <v>47.92163181325175</v>
      </c>
      <c r="D88" s="318">
        <f>C88/(SUM(C$77:C$88))</f>
        <v>2.2189593146863661E-2</v>
      </c>
      <c r="E88" s="321">
        <f>$D88*'MWh Impact Summary'!B$17</f>
        <v>22443.449565465016</v>
      </c>
      <c r="F88" s="319">
        <f>$D88*'MWh Impact Summary'!N$17</f>
        <v>818.77812148926796</v>
      </c>
      <c r="G88" s="319">
        <f>$D88*'MWh Impact Summary'!C$17</f>
        <v>18715.403558525853</v>
      </c>
      <c r="H88" s="319">
        <f>$D88*'MWh Impact Summary'!D$17</f>
        <v>32.821032107171263</v>
      </c>
      <c r="I88" s="319">
        <f>$D88*'MWh Impact Summary'!E$17</f>
        <v>8038.8263661774317</v>
      </c>
      <c r="J88" s="104">
        <f t="shared" si="43"/>
        <v>50049.278643764745</v>
      </c>
      <c r="K88" s="298">
        <f t="shared" si="52"/>
        <v>13.483333333333333</v>
      </c>
      <c r="L88" s="299">
        <f>K88/(SUM(K$77:K$88))</f>
        <v>9.491962923853102E-2</v>
      </c>
      <c r="M88" s="297">
        <f t="shared" si="50"/>
        <v>8.4931506849315067E-2</v>
      </c>
      <c r="N88" s="304">
        <f>$M88*'MWh Impact Summary'!F$17</f>
        <v>41360.554028076185</v>
      </c>
      <c r="O88" s="304">
        <f>$M88*'MWh Impact Summary'!G$17</f>
        <v>0</v>
      </c>
      <c r="P88" s="304">
        <f>$M88*'MWh Impact Summary'!H$17</f>
        <v>1310.2888089999105</v>
      </c>
      <c r="Q88" s="304">
        <f>$M88*'MWh Impact Summary'!I$17</f>
        <v>673.45338262313226</v>
      </c>
      <c r="R88" s="304">
        <f>$M88*'MWh Impact Summary'!J$17</f>
        <v>9083.059220915311</v>
      </c>
      <c r="S88" s="304">
        <f>$M88*'MWh Impact Summary'!K$17</f>
        <v>0</v>
      </c>
      <c r="T88" s="304">
        <f>$M88*'MWh Impact Summary'!L$17</f>
        <v>0</v>
      </c>
      <c r="U88" s="304">
        <f>$M88*'MWh Impact Summary'!M$17</f>
        <v>0</v>
      </c>
      <c r="V88" s="304">
        <f>$M88*'LED Impact Forecast'!$H$18+$D88*'LED Impact Forecast'!$J$18</f>
        <v>0</v>
      </c>
      <c r="W88" s="304">
        <f>$M88*'CFL Impact Forecast'!$H$18+$D88*'CFL Impact Forecast'!$J$18</f>
        <v>183551.73420492047</v>
      </c>
      <c r="X88" s="304">
        <f>$M88*'EISA Incand Impact Forecast'!$G$18+$D88*'EISA Incand Impact Forecast'!$I$18</f>
        <v>0</v>
      </c>
      <c r="Y88" s="85">
        <f t="shared" si="35"/>
        <v>235979.08964553502</v>
      </c>
      <c r="Z88" s="81">
        <f t="shared" si="36"/>
        <v>286028.36828929977</v>
      </c>
      <c r="AA88" s="81">
        <f>SUM(Z77:Z88)</f>
        <v>5291016.4038587175</v>
      </c>
      <c r="AB88" s="81">
        <v>4554107</v>
      </c>
      <c r="AC88" s="308">
        <f t="shared" si="44"/>
        <v>62.806685984606816</v>
      </c>
      <c r="AD88" s="309">
        <f t="shared" si="37"/>
        <v>10.989921546367871</v>
      </c>
      <c r="AE88" s="107">
        <f t="shared" si="38"/>
        <v>8.1507452754273459E-4</v>
      </c>
      <c r="AF88" s="309">
        <f t="shared" si="45"/>
        <v>51.816764438238941</v>
      </c>
      <c r="AG88" s="107">
        <f t="shared" si="39"/>
        <v>3.843023320512159E-3</v>
      </c>
      <c r="AH88" s="119">
        <f t="shared" si="46"/>
        <v>4.6580978480548936E-3</v>
      </c>
      <c r="AI88" s="122">
        <f t="shared" si="40"/>
        <v>4.6580978480548936E-3</v>
      </c>
      <c r="AJ88" s="87" t="b">
        <f t="shared" si="47"/>
        <v>1</v>
      </c>
      <c r="AK88" s="88">
        <f t="shared" si="53"/>
        <v>1.3870547624627375E-3</v>
      </c>
      <c r="AL88" s="312">
        <f>+AC88/'MWh by month-WgtbyCDH&amp;DayLtHrs'!AC88-1</f>
        <v>-0.14751969123769104</v>
      </c>
      <c r="AM88" s="89">
        <f t="shared" si="41"/>
        <v>183551.73420492047</v>
      </c>
      <c r="AN88" s="90">
        <f>SUM(AM77:AM88)</f>
        <v>2418197.2220279546</v>
      </c>
      <c r="AO88" s="96">
        <f t="shared" si="28"/>
        <v>40.304659992600186</v>
      </c>
      <c r="AP88" s="92">
        <f t="shared" si="27"/>
        <v>2.9892207658294332E-3</v>
      </c>
      <c r="AR88" s="94">
        <f t="shared" si="42"/>
        <v>4.6580978480548936E-3</v>
      </c>
      <c r="AS88" s="95">
        <v>299855.58805098716</v>
      </c>
      <c r="AU88" s="141">
        <v>62.806685984606816</v>
      </c>
    </row>
    <row r="89" spans="1:47">
      <c r="A89" s="78">
        <v>2012</v>
      </c>
      <c r="B89" s="78">
        <v>1</v>
      </c>
      <c r="C89" s="317">
        <v>27.111349482191514</v>
      </c>
      <c r="D89" s="318">
        <f>C89/(SUM(C$89:C$100))</f>
        <v>1.3833949179418678E-2</v>
      </c>
      <c r="E89" s="321">
        <f>$D89*'MWh Impact Summary'!B$18</f>
        <v>16262.367018294985</v>
      </c>
      <c r="F89" s="319">
        <f>$D89*'MWh Impact Summary'!N$18</f>
        <v>718.82335520801348</v>
      </c>
      <c r="G89" s="319">
        <f>$D89*'MWh Impact Summary'!C$18</f>
        <v>13689.861525228376</v>
      </c>
      <c r="H89" s="319">
        <f>$D89*'MWh Impact Summary'!D$18</f>
        <v>31.013737143405727</v>
      </c>
      <c r="I89" s="319">
        <f>$D89*'MWh Impact Summary'!E$18</f>
        <v>5731.102790567068</v>
      </c>
      <c r="J89" s="104">
        <f t="shared" si="43"/>
        <v>36433.168426441851</v>
      </c>
      <c r="K89" s="298">
        <f t="shared" si="52"/>
        <v>13.3</v>
      </c>
      <c r="L89" s="299">
        <f>K89/(SUM(K$89:K$100))</f>
        <v>9.3629003871876101E-2</v>
      </c>
      <c r="M89" s="297">
        <f>(31/366)</f>
        <v>8.4699453551912565E-2</v>
      </c>
      <c r="N89" s="304">
        <f>$M89*'MWh Impact Summary'!F$18</f>
        <v>49716.673550694795</v>
      </c>
      <c r="O89" s="304">
        <f>$M89*'MWh Impact Summary'!G$18</f>
        <v>0</v>
      </c>
      <c r="P89" s="304">
        <f>$M89*'MWh Impact Summary'!H$18</f>
        <v>1982.1682430244027</v>
      </c>
      <c r="Q89" s="304">
        <f>$M89*'MWh Impact Summary'!I$18</f>
        <v>763.95826049034542</v>
      </c>
      <c r="R89" s="304">
        <f>$M89*'MWh Impact Summary'!J$18</f>
        <v>12219.065285421244</v>
      </c>
      <c r="S89" s="304">
        <f>$M89*'MWh Impact Summary'!K$18</f>
        <v>0</v>
      </c>
      <c r="T89" s="304">
        <f>$M89*'MWh Impact Summary'!L$18</f>
        <v>0</v>
      </c>
      <c r="U89" s="304">
        <f>$M89*'MWh Impact Summary'!M$18</f>
        <v>0</v>
      </c>
      <c r="V89" s="304">
        <f>$M89*'LED Impact Forecast'!$H$19+$D89*'LED Impact Forecast'!$J$19</f>
        <v>160.78614210506422</v>
      </c>
      <c r="W89" s="304">
        <f>$M89*'CFL Impact Forecast'!$H$19+$D89*'CFL Impact Forecast'!$J$19</f>
        <v>198793.88805453209</v>
      </c>
      <c r="X89" s="304">
        <f>$M89*'EISA Incand Impact Forecast'!$G$19+$D89*'EISA Incand Impact Forecast'!$I$19</f>
        <v>0</v>
      </c>
      <c r="Y89" s="85">
        <f t="shared" si="35"/>
        <v>263636.53953626793</v>
      </c>
      <c r="Z89" s="81">
        <f t="shared" si="36"/>
        <v>300069.70796270977</v>
      </c>
      <c r="AA89" s="81"/>
      <c r="AB89" s="81">
        <v>4560015</v>
      </c>
      <c r="AC89" s="308">
        <f t="shared" si="44"/>
        <v>65.804544055822134</v>
      </c>
      <c r="AD89" s="309">
        <f t="shared" si="37"/>
        <v>7.9897036361594971</v>
      </c>
      <c r="AE89" s="107">
        <f t="shared" si="38"/>
        <v>6.0072959670372152E-4</v>
      </c>
      <c r="AF89" s="309">
        <f t="shared" si="45"/>
        <v>57.814840419662637</v>
      </c>
      <c r="AG89" s="107">
        <f t="shared" si="39"/>
        <v>4.3469804826814012E-3</v>
      </c>
      <c r="AH89" s="119">
        <f t="shared" si="46"/>
        <v>4.9477100793851227E-3</v>
      </c>
      <c r="AI89" s="122">
        <f t="shared" si="40"/>
        <v>4.9477100793851227E-3</v>
      </c>
      <c r="AJ89" s="87" t="b">
        <f t="shared" si="47"/>
        <v>1</v>
      </c>
      <c r="AK89" s="88">
        <f t="shared" si="53"/>
        <v>8.9188108210623736E-4</v>
      </c>
      <c r="AL89" s="312">
        <f>+AC89/'MWh by month-WgtbyCDH&amp;DayLtHrs'!AC89-1</f>
        <v>-0.15408675017054807</v>
      </c>
      <c r="AM89" s="89">
        <f t="shared" si="41"/>
        <v>198793.88805453209</v>
      </c>
      <c r="AN89" s="93"/>
      <c r="AO89" s="96">
        <f t="shared" si="28"/>
        <v>43.595007484521886</v>
      </c>
      <c r="AP89" s="92">
        <f t="shared" si="27"/>
        <v>3.2778201116181868E-3</v>
      </c>
      <c r="AR89" s="94">
        <f t="shared" si="42"/>
        <v>4.9477100793851227E-3</v>
      </c>
      <c r="AS89" s="95">
        <v>329688.54211650172</v>
      </c>
      <c r="AU89" s="141">
        <v>65.804544055822134</v>
      </c>
    </row>
    <row r="90" spans="1:47">
      <c r="A90" s="78">
        <v>2012</v>
      </c>
      <c r="B90" s="78">
        <v>2</v>
      </c>
      <c r="C90" s="317">
        <v>50.063863942660532</v>
      </c>
      <c r="D90" s="318">
        <f t="shared" ref="D90:D99" si="54">C90/(SUM(C$89:C$100))</f>
        <v>2.55457940211729E-2</v>
      </c>
      <c r="E90" s="321">
        <f>$D90*'MWh Impact Summary'!B$18</f>
        <v>30030.114521754847</v>
      </c>
      <c r="F90" s="319">
        <f>$D90*'MWh Impact Summary'!N$18</f>
        <v>1327.3804270635576</v>
      </c>
      <c r="G90" s="319">
        <f>$D90*'MWh Impact Summary'!C$18</f>
        <v>25279.721514529927</v>
      </c>
      <c r="H90" s="319">
        <f>$D90*'MWh Impact Summary'!D$18</f>
        <v>57.270019617459248</v>
      </c>
      <c r="I90" s="319">
        <f>$D90*'MWh Impact Summary'!E$18</f>
        <v>10583.064134701968</v>
      </c>
      <c r="J90" s="104">
        <f t="shared" si="43"/>
        <v>67277.550617667759</v>
      </c>
      <c r="K90" s="298">
        <f t="shared" si="52"/>
        <v>12.733333333333333</v>
      </c>
      <c r="L90" s="299">
        <f>K90/(SUM(K$89:K$100))</f>
        <v>8.9639798193124468E-2</v>
      </c>
      <c r="M90" s="297">
        <f>(29/366)</f>
        <v>7.9234972677595633E-2</v>
      </c>
      <c r="N90" s="304">
        <f>$M90*'MWh Impact Summary'!F$18</f>
        <v>46509.14622484352</v>
      </c>
      <c r="O90" s="304">
        <f>$M90*'MWh Impact Summary'!G$18</f>
        <v>0</v>
      </c>
      <c r="P90" s="304">
        <f>$M90*'MWh Impact Summary'!H$18</f>
        <v>1854.2864208937963</v>
      </c>
      <c r="Q90" s="304">
        <f>$M90*'MWh Impact Summary'!I$18</f>
        <v>714.67063078129092</v>
      </c>
      <c r="R90" s="304">
        <f>$M90*'MWh Impact Summary'!J$18</f>
        <v>11430.738492813422</v>
      </c>
      <c r="S90" s="304">
        <f>$M90*'MWh Impact Summary'!K$18</f>
        <v>0</v>
      </c>
      <c r="T90" s="304">
        <f>$M90*'MWh Impact Summary'!L$18</f>
        <v>0</v>
      </c>
      <c r="U90" s="304">
        <f>$M90*'MWh Impact Summary'!M$18</f>
        <v>0</v>
      </c>
      <c r="V90" s="304">
        <f>$M90*'LED Impact Forecast'!$H$19+$D90*'LED Impact Forecast'!$J$19</f>
        <v>150.41284261441493</v>
      </c>
      <c r="W90" s="304">
        <f>$M90*'CFL Impact Forecast'!$H$19+$D90*'CFL Impact Forecast'!$J$19</f>
        <v>190818.09292394519</v>
      </c>
      <c r="X90" s="304">
        <f>$M90*'EISA Incand Impact Forecast'!$G$19+$D90*'EISA Incand Impact Forecast'!$I$19</f>
        <v>0</v>
      </c>
      <c r="Y90" s="85">
        <f t="shared" si="35"/>
        <v>251477.34753589163</v>
      </c>
      <c r="Z90" s="81">
        <f t="shared" si="36"/>
        <v>318754.89815355942</v>
      </c>
      <c r="AA90" s="81"/>
      <c r="AB90" s="81">
        <v>4565707</v>
      </c>
      <c r="AC90" s="308">
        <f t="shared" si="44"/>
        <v>69.815014006277551</v>
      </c>
      <c r="AD90" s="309">
        <f t="shared" si="37"/>
        <v>14.735406940845692</v>
      </c>
      <c r="AE90" s="107">
        <f t="shared" si="38"/>
        <v>1.1572309115847404E-3</v>
      </c>
      <c r="AF90" s="309">
        <f t="shared" si="45"/>
        <v>55.079607065431844</v>
      </c>
      <c r="AG90" s="107">
        <f t="shared" si="39"/>
        <v>4.3256235915260614E-3</v>
      </c>
      <c r="AH90" s="119">
        <f t="shared" si="46"/>
        <v>5.4828545031108018E-3</v>
      </c>
      <c r="AI90" s="122">
        <f t="shared" si="40"/>
        <v>5.4828545031108027E-3</v>
      </c>
      <c r="AJ90" s="87" t="b">
        <f t="shared" si="47"/>
        <v>1</v>
      </c>
      <c r="AK90" s="88">
        <f t="shared" si="53"/>
        <v>1.0352200043581379E-3</v>
      </c>
      <c r="AL90" s="312">
        <f>+AC90/'MWh by month-WgtbyCDH&amp;DayLtHrs'!AC90-1</f>
        <v>-9.8780366488721572E-2</v>
      </c>
      <c r="AM90" s="89">
        <f t="shared" si="41"/>
        <v>190818.09292394519</v>
      </c>
      <c r="AN90" s="93"/>
      <c r="AO90" s="96">
        <f t="shared" si="28"/>
        <v>41.793766644233891</v>
      </c>
      <c r="AP90" s="92">
        <f t="shared" si="27"/>
        <v>3.2822329825314576E-3</v>
      </c>
      <c r="AR90" s="94">
        <f t="shared" si="42"/>
        <v>5.4828545031108027E-3</v>
      </c>
      <c r="AS90" s="95">
        <v>316523.47080675134</v>
      </c>
      <c r="AU90" s="141">
        <v>69.815014006277551</v>
      </c>
    </row>
    <row r="91" spans="1:47">
      <c r="A91" s="78">
        <v>2012</v>
      </c>
      <c r="B91" s="78">
        <v>3</v>
      </c>
      <c r="C91" s="317">
        <v>89.238204374581343</v>
      </c>
      <c r="D91" s="318">
        <f t="shared" si="54"/>
        <v>4.5535054792880975E-2</v>
      </c>
      <c r="E91" s="321">
        <f>$D91*'MWh Impact Summary'!B$18</f>
        <v>53528.299376846473</v>
      </c>
      <c r="F91" s="319">
        <f>$D91*'MWh Impact Summary'!N$18</f>
        <v>2366.0388253048991</v>
      </c>
      <c r="G91" s="319">
        <f>$D91*'MWh Impact Summary'!C$18</f>
        <v>45060.783914519343</v>
      </c>
      <c r="H91" s="319">
        <f>$D91*'MWh Impact Summary'!D$18</f>
        <v>102.08308573650051</v>
      </c>
      <c r="I91" s="319">
        <f>$D91*'MWh Impact Summary'!E$18</f>
        <v>18864.177987609946</v>
      </c>
      <c r="J91" s="104">
        <f t="shared" si="43"/>
        <v>119921.38319001716</v>
      </c>
      <c r="K91" s="298">
        <f t="shared" si="52"/>
        <v>12</v>
      </c>
      <c r="L91" s="299">
        <f t="shared" ref="L91:L98" si="55">K91/(SUM(K$89:K$100))</f>
        <v>8.4477296726504739E-2</v>
      </c>
      <c r="M91" s="297">
        <f>(31/366)</f>
        <v>8.4699453551912565E-2</v>
      </c>
      <c r="N91" s="304">
        <f>$M91*'MWh Impact Summary'!F$18</f>
        <v>49716.673550694795</v>
      </c>
      <c r="O91" s="304">
        <f>$M91*'MWh Impact Summary'!G$18</f>
        <v>0</v>
      </c>
      <c r="P91" s="304">
        <f>$M91*'MWh Impact Summary'!H$18</f>
        <v>1982.1682430244027</v>
      </c>
      <c r="Q91" s="304">
        <f>$M91*'MWh Impact Summary'!I$18</f>
        <v>763.95826049034542</v>
      </c>
      <c r="R91" s="304">
        <f>$M91*'MWh Impact Summary'!J$18</f>
        <v>12219.065285421244</v>
      </c>
      <c r="S91" s="304">
        <f>$M91*'MWh Impact Summary'!K$18</f>
        <v>0</v>
      </c>
      <c r="T91" s="304">
        <f>$M91*'MWh Impact Summary'!L$18</f>
        <v>0</v>
      </c>
      <c r="U91" s="304">
        <f>$M91*'MWh Impact Summary'!M$18</f>
        <v>0</v>
      </c>
      <c r="V91" s="304">
        <f>$M91*'LED Impact Forecast'!$H$19+$D91*'LED Impact Forecast'!$J$19</f>
        <v>160.78614210506422</v>
      </c>
      <c r="W91" s="304">
        <f>$M91*'CFL Impact Forecast'!$H$19+$D91*'CFL Impact Forecast'!$J$19</f>
        <v>210991.11575310712</v>
      </c>
      <c r="X91" s="304">
        <f>$M91*'EISA Incand Impact Forecast'!$G$19+$D91*'EISA Incand Impact Forecast'!$I$19</f>
        <v>0</v>
      </c>
      <c r="Y91" s="85">
        <f t="shared" si="35"/>
        <v>275833.76723484299</v>
      </c>
      <c r="Z91" s="81">
        <f t="shared" si="36"/>
        <v>395755.15042486019</v>
      </c>
      <c r="AA91" s="81"/>
      <c r="AB91" s="81">
        <v>4573930</v>
      </c>
      <c r="AC91" s="308">
        <f t="shared" si="44"/>
        <v>86.524094252614319</v>
      </c>
      <c r="AD91" s="309">
        <f t="shared" si="37"/>
        <v>26.218456161335475</v>
      </c>
      <c r="AE91" s="107">
        <f t="shared" si="38"/>
        <v>2.1848713467779563E-3</v>
      </c>
      <c r="AF91" s="309">
        <f t="shared" si="45"/>
        <v>60.305638091278837</v>
      </c>
      <c r="AG91" s="107">
        <f t="shared" si="39"/>
        <v>5.0254698409399031E-3</v>
      </c>
      <c r="AH91" s="119">
        <f t="shared" si="46"/>
        <v>7.2103411877178589E-3</v>
      </c>
      <c r="AI91" s="122">
        <f t="shared" si="40"/>
        <v>7.2103411877178598E-3</v>
      </c>
      <c r="AJ91" s="87" t="b">
        <f t="shared" si="47"/>
        <v>1</v>
      </c>
      <c r="AK91" s="88">
        <f t="shared" si="53"/>
        <v>1.2809644330857815E-3</v>
      </c>
      <c r="AL91" s="312">
        <f>+AC91/'MWh by month-WgtbyCDH&amp;DayLtHrs'!AC91-1</f>
        <v>5.1306538088919273E-2</v>
      </c>
      <c r="AM91" s="89">
        <f t="shared" si="41"/>
        <v>210991.11575310712</v>
      </c>
      <c r="AN91" s="93"/>
      <c r="AO91" s="96">
        <f t="shared" si="28"/>
        <v>46.129065323060722</v>
      </c>
      <c r="AP91" s="92">
        <f t="shared" si="27"/>
        <v>3.8440887769217269E-3</v>
      </c>
      <c r="AR91" s="94">
        <f t="shared" si="42"/>
        <v>7.2103411877178598E-3</v>
      </c>
      <c r="AS91" s="95">
        <v>374414.91472963028</v>
      </c>
      <c r="AU91" s="141">
        <v>86.524094252614319</v>
      </c>
    </row>
    <row r="92" spans="1:47">
      <c r="A92" s="78">
        <v>2012</v>
      </c>
      <c r="B92" s="78">
        <v>4</v>
      </c>
      <c r="C92" s="317">
        <v>106.45317747474797</v>
      </c>
      <c r="D92" s="318">
        <f t="shared" si="54"/>
        <v>5.431923807926433E-2</v>
      </c>
      <c r="E92" s="321">
        <f>$D92*'MWh Impact Summary'!B$18</f>
        <v>63854.462261098262</v>
      </c>
      <c r="F92" s="319">
        <f>$D92*'MWh Impact Summary'!N$18</f>
        <v>2822.4721995198511</v>
      </c>
      <c r="G92" s="319">
        <f>$D92*'MWh Impact Summary'!C$18</f>
        <v>53753.475440502443</v>
      </c>
      <c r="H92" s="319">
        <f>$D92*'MWh Impact Summary'!D$18</f>
        <v>121.77596937588071</v>
      </c>
      <c r="I92" s="319">
        <f>$D92*'MWh Impact Summary'!E$18</f>
        <v>22503.273136256408</v>
      </c>
      <c r="J92" s="104">
        <f t="shared" si="43"/>
        <v>143055.45900675285</v>
      </c>
      <c r="K92" s="298">
        <f t="shared" si="52"/>
        <v>11.2</v>
      </c>
      <c r="L92" s="299">
        <f t="shared" si="55"/>
        <v>7.8845476944737758E-2</v>
      </c>
      <c r="M92" s="297">
        <f>(30/366)</f>
        <v>8.1967213114754092E-2</v>
      </c>
      <c r="N92" s="304">
        <f>$M92*'MWh Impact Summary'!F$18</f>
        <v>48112.909887769158</v>
      </c>
      <c r="O92" s="304">
        <f>$M92*'MWh Impact Summary'!G$18</f>
        <v>0</v>
      </c>
      <c r="P92" s="304">
        <f>$M92*'MWh Impact Summary'!H$18</f>
        <v>1918.2273319590993</v>
      </c>
      <c r="Q92" s="304">
        <f>$M92*'MWh Impact Summary'!I$18</f>
        <v>739.31444563581817</v>
      </c>
      <c r="R92" s="304">
        <f>$M92*'MWh Impact Summary'!J$18</f>
        <v>11824.901889117331</v>
      </c>
      <c r="S92" s="304">
        <f>$M92*'MWh Impact Summary'!K$18</f>
        <v>0</v>
      </c>
      <c r="T92" s="304">
        <f>$M92*'MWh Impact Summary'!L$18</f>
        <v>0</v>
      </c>
      <c r="U92" s="304">
        <f>$M92*'MWh Impact Summary'!M$18</f>
        <v>0</v>
      </c>
      <c r="V92" s="304">
        <f>$M92*'LED Impact Forecast'!$H$19+$D92*'LED Impact Forecast'!$J$19</f>
        <v>155.59949235973954</v>
      </c>
      <c r="W92" s="304">
        <f>$M92*'CFL Impact Forecast'!$H$19+$D92*'CFL Impact Forecast'!$J$19</f>
        <v>208129.88755300571</v>
      </c>
      <c r="X92" s="304">
        <f>$M92*'EISA Incand Impact Forecast'!$G$19+$D92*'EISA Incand Impact Forecast'!$I$19</f>
        <v>0</v>
      </c>
      <c r="Y92" s="85">
        <f t="shared" si="35"/>
        <v>270880.84059984685</v>
      </c>
      <c r="Z92" s="81">
        <f t="shared" si="36"/>
        <v>413936.29960659973</v>
      </c>
      <c r="AA92" s="81"/>
      <c r="AB92" s="81">
        <v>4577038</v>
      </c>
      <c r="AC92" s="308">
        <f t="shared" si="44"/>
        <v>90.437592960032177</v>
      </c>
      <c r="AD92" s="309">
        <f t="shared" si="37"/>
        <v>31.255029782744398</v>
      </c>
      <c r="AE92" s="107">
        <f t="shared" si="38"/>
        <v>2.7906276591736071E-3</v>
      </c>
      <c r="AF92" s="309">
        <f t="shared" si="45"/>
        <v>59.182563177287768</v>
      </c>
      <c r="AG92" s="107">
        <f t="shared" si="39"/>
        <v>5.2841574265435507E-3</v>
      </c>
      <c r="AH92" s="119">
        <f t="shared" si="46"/>
        <v>8.0747850857171583E-3</v>
      </c>
      <c r="AI92" s="122">
        <f t="shared" si="40"/>
        <v>8.0747850857171601E-3</v>
      </c>
      <c r="AJ92" s="87" t="b">
        <f t="shared" si="47"/>
        <v>1</v>
      </c>
      <c r="AK92" s="88">
        <f t="shared" si="53"/>
        <v>-7.6282426165325337E-4</v>
      </c>
      <c r="AL92" s="312">
        <f>+AC92/'MWh by month-WgtbyCDH&amp;DayLtHrs'!AC92-1</f>
        <v>-2.4496720288848861E-2</v>
      </c>
      <c r="AM92" s="89">
        <f t="shared" si="41"/>
        <v>208129.88755300571</v>
      </c>
      <c r="AN92" s="93"/>
      <c r="AO92" s="96">
        <f t="shared" si="28"/>
        <v>45.472615161378542</v>
      </c>
      <c r="AP92" s="92">
        <f t="shared" si="27"/>
        <v>4.0600549251230836E-3</v>
      </c>
      <c r="AR92" s="94">
        <f t="shared" si="42"/>
        <v>8.0747850857171601E-3</v>
      </c>
      <c r="AS92" s="95">
        <v>444842.69011799514</v>
      </c>
      <c r="AU92" s="141">
        <v>90.437592960032177</v>
      </c>
    </row>
    <row r="93" spans="1:47">
      <c r="A93" s="78">
        <v>2012</v>
      </c>
      <c r="B93" s="78">
        <v>5</v>
      </c>
      <c r="C93" s="317">
        <v>202.05259632338476</v>
      </c>
      <c r="D93" s="318">
        <f t="shared" si="54"/>
        <v>0.1031001924468334</v>
      </c>
      <c r="E93" s="321">
        <f>$D93*'MWh Impact Summary'!B$18</f>
        <v>121198.44792560562</v>
      </c>
      <c r="F93" s="319">
        <f>$D93*'MWh Impact Summary'!N$18</f>
        <v>5357.1706311804537</v>
      </c>
      <c r="G93" s="319">
        <f>$D93*'MWh Impact Summary'!C$18</f>
        <v>102026.35122596684</v>
      </c>
      <c r="H93" s="319">
        <f>$D93*'MWh Impact Summary'!D$18</f>
        <v>231.13589810910381</v>
      </c>
      <c r="I93" s="319">
        <f>$D93*'MWh Impact Summary'!E$18</f>
        <v>42712.156375355291</v>
      </c>
      <c r="J93" s="104">
        <f t="shared" si="43"/>
        <v>271525.2620562173</v>
      </c>
      <c r="K93" s="298">
        <f t="shared" si="52"/>
        <v>10.533333333333333</v>
      </c>
      <c r="L93" s="299">
        <f t="shared" si="55"/>
        <v>7.4152293793265281E-2</v>
      </c>
      <c r="M93" s="297">
        <f>(31/366)</f>
        <v>8.4699453551912565E-2</v>
      </c>
      <c r="N93" s="304">
        <f>$M93*'MWh Impact Summary'!F$18</f>
        <v>49716.673550694795</v>
      </c>
      <c r="O93" s="304">
        <f>$M93*'MWh Impact Summary'!G$18</f>
        <v>0</v>
      </c>
      <c r="P93" s="304">
        <f>$M93*'MWh Impact Summary'!H$18</f>
        <v>1982.1682430244027</v>
      </c>
      <c r="Q93" s="304">
        <f>$M93*'MWh Impact Summary'!I$18</f>
        <v>763.95826049034542</v>
      </c>
      <c r="R93" s="304">
        <f>$M93*'MWh Impact Summary'!J$18</f>
        <v>12219.065285421244</v>
      </c>
      <c r="S93" s="304">
        <f>$M93*'MWh Impact Summary'!K$18</f>
        <v>0</v>
      </c>
      <c r="T93" s="304">
        <f>$M93*'MWh Impact Summary'!L$18</f>
        <v>0</v>
      </c>
      <c r="U93" s="304">
        <f>$M93*'MWh Impact Summary'!M$18</f>
        <v>0</v>
      </c>
      <c r="V93" s="304">
        <f>$M93*'LED Impact Forecast'!$H$19+$D93*'LED Impact Forecast'!$J$19</f>
        <v>160.78614210506422</v>
      </c>
      <c r="W93" s="304">
        <f>$M93*'CFL Impact Forecast'!$H$19+$D93*'CFL Impact Forecast'!$J$19</f>
        <v>233139.71523813272</v>
      </c>
      <c r="X93" s="304">
        <f>$M93*'EISA Incand Impact Forecast'!$G$19+$D93*'EISA Incand Impact Forecast'!$I$19</f>
        <v>0</v>
      </c>
      <c r="Y93" s="85">
        <f t="shared" si="35"/>
        <v>297982.36671986856</v>
      </c>
      <c r="Z93" s="81">
        <f t="shared" si="36"/>
        <v>569507.6287760858</v>
      </c>
      <c r="AA93" s="81"/>
      <c r="AB93" s="81">
        <v>4576751</v>
      </c>
      <c r="AC93" s="308">
        <f t="shared" si="44"/>
        <v>124.43491655457898</v>
      </c>
      <c r="AD93" s="309">
        <f t="shared" si="37"/>
        <v>59.327077670648308</v>
      </c>
      <c r="AE93" s="107">
        <f t="shared" si="38"/>
        <v>5.6323175003780042E-3</v>
      </c>
      <c r="AF93" s="309">
        <f t="shared" si="45"/>
        <v>65.107838883930668</v>
      </c>
      <c r="AG93" s="107">
        <f t="shared" si="39"/>
        <v>6.1811239446769618E-3</v>
      </c>
      <c r="AH93" s="119">
        <f t="shared" si="46"/>
        <v>1.1813441445054966E-2</v>
      </c>
      <c r="AI93" s="122">
        <f t="shared" si="40"/>
        <v>1.1813441445054966E-2</v>
      </c>
      <c r="AJ93" s="87" t="b">
        <f t="shared" si="47"/>
        <v>1</v>
      </c>
      <c r="AK93" s="88">
        <f t="shared" si="53"/>
        <v>9.555804305558923E-4</v>
      </c>
      <c r="AL93" s="312">
        <f>+AC93/'MWh by month-WgtbyCDH&amp;DayLtHrs'!AC93-1</f>
        <v>6.3418550187816392E-2</v>
      </c>
      <c r="AM93" s="89">
        <f t="shared" si="41"/>
        <v>233139.71523813272</v>
      </c>
      <c r="AN93" s="93"/>
      <c r="AO93" s="96">
        <f t="shared" si="28"/>
        <v>50.94000421655727</v>
      </c>
      <c r="AP93" s="92">
        <f t="shared" si="27"/>
        <v>4.8360763496731584E-3</v>
      </c>
      <c r="AR93" s="94">
        <f t="shared" si="42"/>
        <v>1.1813441445054966E-2</v>
      </c>
      <c r="AS93" s="95">
        <v>541584.37654085748</v>
      </c>
      <c r="AU93" s="141">
        <v>124.43491655457898</v>
      </c>
    </row>
    <row r="94" spans="1:47">
      <c r="A94" s="78">
        <v>2012</v>
      </c>
      <c r="B94" s="78">
        <v>6</v>
      </c>
      <c r="C94" s="317">
        <v>276.45568441315464</v>
      </c>
      <c r="D94" s="318">
        <f t="shared" si="54"/>
        <v>0.14106541952274088</v>
      </c>
      <c r="E94" s="321">
        <f>$D94*'MWh Impact Summary'!B$18</f>
        <v>165828.10852605477</v>
      </c>
      <c r="F94" s="319">
        <f>$D94*'MWh Impact Summary'!N$18</f>
        <v>7329.8749944824958</v>
      </c>
      <c r="G94" s="319">
        <f>$D94*'MWh Impact Summary'!C$18</f>
        <v>139596.15104974099</v>
      </c>
      <c r="H94" s="319">
        <f>$D94*'MWh Impact Summary'!D$18</f>
        <v>316.24851185743495</v>
      </c>
      <c r="I94" s="319">
        <f>$D94*'MWh Impact Summary'!E$18</f>
        <v>58440.320185798671</v>
      </c>
      <c r="J94" s="104">
        <f t="shared" si="43"/>
        <v>371510.70326793432</v>
      </c>
      <c r="K94" s="298">
        <f t="shared" si="52"/>
        <v>10.199999999999999</v>
      </c>
      <c r="L94" s="299">
        <f t="shared" si="55"/>
        <v>7.1805702217529022E-2</v>
      </c>
      <c r="M94" s="297">
        <f>(30/366)</f>
        <v>8.1967213114754092E-2</v>
      </c>
      <c r="N94" s="304">
        <f>$M94*'MWh Impact Summary'!F$18</f>
        <v>48112.909887769158</v>
      </c>
      <c r="O94" s="304">
        <f>$M94*'MWh Impact Summary'!G$18</f>
        <v>0</v>
      </c>
      <c r="P94" s="304">
        <f>$M94*'MWh Impact Summary'!H$18</f>
        <v>1918.2273319590993</v>
      </c>
      <c r="Q94" s="304">
        <f>$M94*'MWh Impact Summary'!I$18</f>
        <v>739.31444563581817</v>
      </c>
      <c r="R94" s="304">
        <f>$M94*'MWh Impact Summary'!J$18</f>
        <v>11824.901889117331</v>
      </c>
      <c r="S94" s="304">
        <f>$M94*'MWh Impact Summary'!K$18</f>
        <v>0</v>
      </c>
      <c r="T94" s="304">
        <f>$M94*'MWh Impact Summary'!L$18</f>
        <v>0</v>
      </c>
      <c r="U94" s="304">
        <f>$M94*'MWh Impact Summary'!M$18</f>
        <v>0</v>
      </c>
      <c r="V94" s="304">
        <f>$M94*'LED Impact Forecast'!$H$19+$D94*'LED Impact Forecast'!$J$19</f>
        <v>155.59949235973954</v>
      </c>
      <c r="W94" s="304">
        <f>$M94*'CFL Impact Forecast'!$H$19+$D94*'CFL Impact Forecast'!$J$19</f>
        <v>241506.10287966195</v>
      </c>
      <c r="X94" s="304">
        <f>$M94*'EISA Incand Impact Forecast'!$G$19+$D94*'EISA Incand Impact Forecast'!$I$19</f>
        <v>0</v>
      </c>
      <c r="Y94" s="85">
        <f t="shared" si="35"/>
        <v>304257.05592650309</v>
      </c>
      <c r="Z94" s="81">
        <f t="shared" si="36"/>
        <v>675767.75919443741</v>
      </c>
      <c r="AA94" s="81"/>
      <c r="AB94" s="81">
        <v>4575347</v>
      </c>
      <c r="AC94" s="308">
        <f t="shared" si="44"/>
        <v>147.69759740505745</v>
      </c>
      <c r="AD94" s="309">
        <f t="shared" si="37"/>
        <v>81.198366652394739</v>
      </c>
      <c r="AE94" s="107">
        <f t="shared" si="38"/>
        <v>7.9606241816073276E-3</v>
      </c>
      <c r="AF94" s="309">
        <f t="shared" si="45"/>
        <v>66.499230752662712</v>
      </c>
      <c r="AG94" s="107">
        <f t="shared" si="39"/>
        <v>6.5195324267316394E-3</v>
      </c>
      <c r="AH94" s="119">
        <f t="shared" si="46"/>
        <v>1.4480156608338967E-2</v>
      </c>
      <c r="AI94" s="122">
        <f t="shared" si="40"/>
        <v>1.4480156608338965E-2</v>
      </c>
      <c r="AJ94" s="87" t="b">
        <f t="shared" si="47"/>
        <v>1</v>
      </c>
      <c r="AK94" s="88">
        <f t="shared" si="53"/>
        <v>1.8077589313166761E-3</v>
      </c>
      <c r="AL94" s="312">
        <f>+AC94/'MWh by month-WgtbyCDH&amp;DayLtHrs'!AC94-1</f>
        <v>0.10323852383410759</v>
      </c>
      <c r="AM94" s="89">
        <f t="shared" si="41"/>
        <v>241506.10287966195</v>
      </c>
      <c r="AN94" s="93"/>
      <c r="AO94" s="96">
        <f t="shared" si="28"/>
        <v>52.784215684550688</v>
      </c>
      <c r="AP94" s="92">
        <f t="shared" si="27"/>
        <v>5.1749231063284995E-3</v>
      </c>
      <c r="AR94" s="94">
        <f t="shared" si="42"/>
        <v>1.4480156608338965E-2</v>
      </c>
      <c r="AS94" s="95">
        <v>666316.34753543139</v>
      </c>
      <c r="AU94" s="141">
        <v>147.69759740505745</v>
      </c>
    </row>
    <row r="95" spans="1:47">
      <c r="A95" s="78">
        <v>2012</v>
      </c>
      <c r="B95" s="78">
        <v>7</v>
      </c>
      <c r="C95" s="317">
        <v>321.70797733942311</v>
      </c>
      <c r="D95" s="318">
        <f t="shared" si="54"/>
        <v>0.16415604144126156</v>
      </c>
      <c r="E95" s="321">
        <f>$D95*'MWh Impact Summary'!B$18</f>
        <v>192972.06889843554</v>
      </c>
      <c r="F95" s="319">
        <f>$D95*'MWh Impact Summary'!N$18</f>
        <v>8529.6826637201684</v>
      </c>
      <c r="G95" s="319">
        <f>$D95*'MWh Impact Summary'!C$18</f>
        <v>162446.27233443075</v>
      </c>
      <c r="H95" s="319">
        <f>$D95*'MWh Impact Summary'!D$18</f>
        <v>368.01438647291883</v>
      </c>
      <c r="I95" s="319">
        <f>$D95*'MWh Impact Summary'!E$18</f>
        <v>68006.26017855524</v>
      </c>
      <c r="J95" s="104">
        <f t="shared" si="43"/>
        <v>432322.29846161464</v>
      </c>
      <c r="K95" s="298">
        <f t="shared" si="52"/>
        <v>10.366666666666667</v>
      </c>
      <c r="L95" s="299">
        <f t="shared" si="55"/>
        <v>7.2978998005397158E-2</v>
      </c>
      <c r="M95" s="297">
        <f>(31/366)</f>
        <v>8.4699453551912565E-2</v>
      </c>
      <c r="N95" s="304">
        <f>$M95*'MWh Impact Summary'!F$18</f>
        <v>49716.673550694795</v>
      </c>
      <c r="O95" s="304">
        <f>$M95*'MWh Impact Summary'!G$18</f>
        <v>0</v>
      </c>
      <c r="P95" s="304">
        <f>$M95*'MWh Impact Summary'!H$18</f>
        <v>1982.1682430244027</v>
      </c>
      <c r="Q95" s="304">
        <f>$M95*'MWh Impact Summary'!I$18</f>
        <v>763.95826049034542</v>
      </c>
      <c r="R95" s="304">
        <f>$M95*'MWh Impact Summary'!J$18</f>
        <v>12219.065285421244</v>
      </c>
      <c r="S95" s="304">
        <f>$M95*'MWh Impact Summary'!K$18</f>
        <v>0</v>
      </c>
      <c r="T95" s="304">
        <f>$M95*'MWh Impact Summary'!L$18</f>
        <v>0</v>
      </c>
      <c r="U95" s="304">
        <f>$M95*'MWh Impact Summary'!M$18</f>
        <v>0</v>
      </c>
      <c r="V95" s="304">
        <f>$M95*'LED Impact Forecast'!$H$19+$D95*'LED Impact Forecast'!$J$19</f>
        <v>160.78614210506422</v>
      </c>
      <c r="W95" s="304">
        <f>$M95*'CFL Impact Forecast'!$H$19+$D95*'CFL Impact Forecast'!$J$19</f>
        <v>256631.39094166408</v>
      </c>
      <c r="X95" s="304">
        <f>$M95*'EISA Incand Impact Forecast'!$G$19+$D95*'EISA Incand Impact Forecast'!$I$19</f>
        <v>0</v>
      </c>
      <c r="Y95" s="85">
        <f t="shared" si="35"/>
        <v>321474.04242339992</v>
      </c>
      <c r="Z95" s="81">
        <f t="shared" si="36"/>
        <v>753796.34088501451</v>
      </c>
      <c r="AA95" s="81"/>
      <c r="AB95" s="81">
        <v>4577123</v>
      </c>
      <c r="AC95" s="308">
        <f t="shared" si="44"/>
        <v>164.68780517478217</v>
      </c>
      <c r="AD95" s="309">
        <f t="shared" si="37"/>
        <v>94.452847009270812</v>
      </c>
      <c r="AE95" s="107">
        <f t="shared" si="38"/>
        <v>9.1112071070036157E-3</v>
      </c>
      <c r="AF95" s="309">
        <f t="shared" si="45"/>
        <v>70.234958165511372</v>
      </c>
      <c r="AG95" s="107">
        <f t="shared" si="39"/>
        <v>6.7750763503708709E-3</v>
      </c>
      <c r="AH95" s="119">
        <f t="shared" si="46"/>
        <v>1.5886283457374487E-2</v>
      </c>
      <c r="AI95" s="122">
        <f t="shared" si="40"/>
        <v>1.5886283457374487E-2</v>
      </c>
      <c r="AJ95" s="87" t="b">
        <f t="shared" si="47"/>
        <v>1</v>
      </c>
      <c r="AK95" s="88">
        <f t="shared" si="53"/>
        <v>1.9524234900984636E-3</v>
      </c>
      <c r="AL95" s="312">
        <f>+AC95/'MWh by month-WgtbyCDH&amp;DayLtHrs'!AC95-1</f>
        <v>0.10171327358580862</v>
      </c>
      <c r="AM95" s="89">
        <f t="shared" si="41"/>
        <v>256631.39094166408</v>
      </c>
      <c r="AN95" s="93"/>
      <c r="AO95" s="96">
        <f t="shared" si="28"/>
        <v>56.068274971344245</v>
      </c>
      <c r="AP95" s="92">
        <f t="shared" si="27"/>
        <v>5.4085152705476763E-3</v>
      </c>
      <c r="AR95" s="94">
        <f t="shared" si="42"/>
        <v>1.5886283457374487E-2</v>
      </c>
      <c r="AS95" s="95">
        <v>703280.56974415644</v>
      </c>
      <c r="AU95" s="141">
        <v>164.68780517478217</v>
      </c>
    </row>
    <row r="96" spans="1:47">
      <c r="A96" s="78">
        <v>2012</v>
      </c>
      <c r="B96" s="78">
        <v>8</v>
      </c>
      <c r="C96" s="317">
        <v>322.40717165394568</v>
      </c>
      <c r="D96" s="318">
        <f t="shared" si="54"/>
        <v>0.16451281522044939</v>
      </c>
      <c r="E96" s="321">
        <f>$D96*'MWh Impact Summary'!B$18</f>
        <v>193391.4709118742</v>
      </c>
      <c r="F96" s="319">
        <f>$D96*'MWh Impact Summary'!N$18</f>
        <v>8548.2209221509256</v>
      </c>
      <c r="G96" s="319">
        <f>$D96*'MWh Impact Summary'!C$18</f>
        <v>162799.33013228505</v>
      </c>
      <c r="H96" s="319">
        <f>$D96*'MWh Impact Summary'!D$18</f>
        <v>368.81422230171114</v>
      </c>
      <c r="I96" s="319">
        <f>$D96*'MWh Impact Summary'!E$18</f>
        <v>68154.06375763347</v>
      </c>
      <c r="J96" s="104">
        <f t="shared" si="43"/>
        <v>433261.89994624536</v>
      </c>
      <c r="K96" s="298">
        <f t="shared" si="52"/>
        <v>10.933333333333334</v>
      </c>
      <c r="L96" s="299">
        <f t="shared" si="55"/>
        <v>7.6968203684148764E-2</v>
      </c>
      <c r="M96" s="297">
        <f>(31/366)</f>
        <v>8.4699453551912565E-2</v>
      </c>
      <c r="N96" s="304">
        <f>$M96*'MWh Impact Summary'!F$18</f>
        <v>49716.673550694795</v>
      </c>
      <c r="O96" s="304">
        <f>$M96*'MWh Impact Summary'!G$18</f>
        <v>0</v>
      </c>
      <c r="P96" s="304">
        <f>$M96*'MWh Impact Summary'!H$18</f>
        <v>1982.1682430244027</v>
      </c>
      <c r="Q96" s="304">
        <f>$M96*'MWh Impact Summary'!I$18</f>
        <v>763.95826049034542</v>
      </c>
      <c r="R96" s="304">
        <f>$M96*'MWh Impact Summary'!J$18</f>
        <v>12219.065285421244</v>
      </c>
      <c r="S96" s="304">
        <f>$M96*'MWh Impact Summary'!K$18</f>
        <v>0</v>
      </c>
      <c r="T96" s="304">
        <f>$M96*'MWh Impact Summary'!L$18</f>
        <v>0</v>
      </c>
      <c r="U96" s="304">
        <f>$M96*'MWh Impact Summary'!M$18</f>
        <v>0</v>
      </c>
      <c r="V96" s="304">
        <f>$M96*'LED Impact Forecast'!$H$19+$D96*'LED Impact Forecast'!$J$19</f>
        <v>160.78614210506422</v>
      </c>
      <c r="W96" s="304">
        <f>$M96*'CFL Impact Forecast'!$H$19+$D96*'CFL Impact Forecast'!$J$19</f>
        <v>256768.66221146443</v>
      </c>
      <c r="X96" s="304">
        <f>$M96*'EISA Incand Impact Forecast'!$G$19+$D96*'EISA Incand Impact Forecast'!$I$19</f>
        <v>0</v>
      </c>
      <c r="Y96" s="85">
        <f t="shared" si="35"/>
        <v>321611.3136932003</v>
      </c>
      <c r="Z96" s="81">
        <f t="shared" si="36"/>
        <v>754873.2136394456</v>
      </c>
      <c r="AA96" s="81"/>
      <c r="AB96" s="81">
        <v>4579585</v>
      </c>
      <c r="AC96" s="308">
        <f t="shared" si="44"/>
        <v>164.83441483004367</v>
      </c>
      <c r="AD96" s="309">
        <f t="shared" si="37"/>
        <v>94.607240600675695</v>
      </c>
      <c r="AE96" s="107">
        <f t="shared" si="38"/>
        <v>8.6531012744520443E-3</v>
      </c>
      <c r="AF96" s="309">
        <f t="shared" si="45"/>
        <v>70.227174229368003</v>
      </c>
      <c r="AG96" s="107">
        <f t="shared" si="39"/>
        <v>6.4232171551251221E-3</v>
      </c>
      <c r="AH96" s="119">
        <f t="shared" si="46"/>
        <v>1.5076318429577167E-2</v>
      </c>
      <c r="AI96" s="122">
        <f t="shared" si="40"/>
        <v>1.5076318429577164E-2</v>
      </c>
      <c r="AJ96" s="87" t="b">
        <f t="shared" si="47"/>
        <v>1</v>
      </c>
      <c r="AK96" s="88">
        <f t="shared" si="53"/>
        <v>2.1919367738298685E-3</v>
      </c>
      <c r="AL96" s="312">
        <f>+AC96/'MWh by month-WgtbyCDH&amp;DayLtHrs'!AC96-1</f>
        <v>7.4187484075410204E-2</v>
      </c>
      <c r="AM96" s="89">
        <f t="shared" si="41"/>
        <v>256768.66221146443</v>
      </c>
      <c r="AN96" s="93"/>
      <c r="AO96" s="96">
        <f t="shared" si="28"/>
        <v>56.068107090809413</v>
      </c>
      <c r="AP96" s="92">
        <f t="shared" si="27"/>
        <v>5.1281805265984224E-3</v>
      </c>
      <c r="AR96" s="94">
        <f t="shared" si="42"/>
        <v>1.5076318429577164E-2</v>
      </c>
      <c r="AS96" s="95">
        <v>731339.80776993698</v>
      </c>
      <c r="AU96" s="141">
        <v>164.83441483004367</v>
      </c>
    </row>
    <row r="97" spans="1:47">
      <c r="A97" s="78">
        <v>2012</v>
      </c>
      <c r="B97" s="78">
        <v>9</v>
      </c>
      <c r="C97" s="317">
        <v>274.50677348457691</v>
      </c>
      <c r="D97" s="318">
        <f t="shared" si="54"/>
        <v>0.14007096018168641</v>
      </c>
      <c r="E97" s="321">
        <f>$D97*'MWh Impact Summary'!B$18</f>
        <v>164659.08133221054</v>
      </c>
      <c r="F97" s="319">
        <f>$D97*'MWh Impact Summary'!N$18</f>
        <v>7278.2020708015107</v>
      </c>
      <c r="G97" s="319">
        <f>$D97*'MWh Impact Summary'!C$18</f>
        <v>138612.04951120421</v>
      </c>
      <c r="H97" s="319">
        <f>$D97*'MWh Impact Summary'!D$18</f>
        <v>314.01907612630242</v>
      </c>
      <c r="I97" s="319">
        <f>$D97*'MWh Impact Summary'!E$18</f>
        <v>58028.337415679649</v>
      </c>
      <c r="J97" s="104">
        <f t="shared" si="43"/>
        <v>368891.6894060222</v>
      </c>
      <c r="K97" s="298">
        <f t="shared" si="52"/>
        <v>11.683333333333334</v>
      </c>
      <c r="L97" s="299">
        <f t="shared" si="55"/>
        <v>8.2248034729555317E-2</v>
      </c>
      <c r="M97" s="297">
        <f>(30/366)</f>
        <v>8.1967213114754092E-2</v>
      </c>
      <c r="N97" s="304">
        <f>$M97*'MWh Impact Summary'!F$18</f>
        <v>48112.909887769158</v>
      </c>
      <c r="O97" s="304">
        <f>$M97*'MWh Impact Summary'!G$18</f>
        <v>0</v>
      </c>
      <c r="P97" s="304">
        <f>$M97*'MWh Impact Summary'!H$18</f>
        <v>1918.2273319590993</v>
      </c>
      <c r="Q97" s="304">
        <f>$M97*'MWh Impact Summary'!I$18</f>
        <v>739.31444563581817</v>
      </c>
      <c r="R97" s="304">
        <f>$M97*'MWh Impact Summary'!J$18</f>
        <v>11824.901889117331</v>
      </c>
      <c r="S97" s="304">
        <f>$M97*'MWh Impact Summary'!K$18</f>
        <v>0</v>
      </c>
      <c r="T97" s="304">
        <f>$M97*'MWh Impact Summary'!L$18</f>
        <v>0</v>
      </c>
      <c r="U97" s="304">
        <f>$M97*'MWh Impact Summary'!M$18</f>
        <v>0</v>
      </c>
      <c r="V97" s="304">
        <f>$M97*'LED Impact Forecast'!$H$19+$D97*'LED Impact Forecast'!$J$19</f>
        <v>155.59949235973954</v>
      </c>
      <c r="W97" s="304">
        <f>$M97*'CFL Impact Forecast'!$H$19+$D97*'CFL Impact Forecast'!$J$19</f>
        <v>241123.47751738862</v>
      </c>
      <c r="X97" s="304">
        <f>$M97*'EISA Incand Impact Forecast'!$G$19+$D97*'EISA Incand Impact Forecast'!$I$19</f>
        <v>0</v>
      </c>
      <c r="Y97" s="85">
        <f t="shared" si="35"/>
        <v>303874.43056422978</v>
      </c>
      <c r="Z97" s="81">
        <f t="shared" si="36"/>
        <v>672766.11997025204</v>
      </c>
      <c r="AA97" s="81"/>
      <c r="AB97" s="81">
        <v>4578976</v>
      </c>
      <c r="AC97" s="308">
        <f t="shared" si="44"/>
        <v>146.92501554283143</v>
      </c>
      <c r="AD97" s="309">
        <f t="shared" si="37"/>
        <v>80.56204911447935</v>
      </c>
      <c r="AE97" s="107">
        <f t="shared" si="38"/>
        <v>6.8954678272022266E-3</v>
      </c>
      <c r="AF97" s="309">
        <f t="shared" si="45"/>
        <v>66.362966428352053</v>
      </c>
      <c r="AG97" s="107">
        <f t="shared" si="39"/>
        <v>5.68013977988748E-3</v>
      </c>
      <c r="AH97" s="119">
        <f t="shared" si="46"/>
        <v>1.2575607607089707E-2</v>
      </c>
      <c r="AI97" s="122">
        <f t="shared" si="40"/>
        <v>1.2575607607089707E-2</v>
      </c>
      <c r="AJ97" s="87" t="b">
        <f t="shared" si="47"/>
        <v>1</v>
      </c>
      <c r="AK97" s="88">
        <f t="shared" si="53"/>
        <v>1.6379946290606996E-3</v>
      </c>
      <c r="AL97" s="312">
        <f>+AC97/'MWh by month-WgtbyCDH&amp;DayLtHrs'!AC97-1</f>
        <v>2.7323480461518557E-2</v>
      </c>
      <c r="AM97" s="89">
        <f t="shared" si="41"/>
        <v>241123.47751738862</v>
      </c>
      <c r="AN97" s="93"/>
      <c r="AO97" s="96">
        <f t="shared" si="28"/>
        <v>52.658820993468545</v>
      </c>
      <c r="AP97" s="92">
        <f t="shared" si="27"/>
        <v>4.5071744074295468E-3</v>
      </c>
      <c r="AR97" s="94">
        <f t="shared" si="42"/>
        <v>1.2575607607089707E-2</v>
      </c>
      <c r="AS97" s="95">
        <v>689207.92416327714</v>
      </c>
      <c r="AU97" s="141">
        <v>146.92501554283143</v>
      </c>
    </row>
    <row r="98" spans="1:47">
      <c r="A98" s="78">
        <v>2012</v>
      </c>
      <c r="B98" s="78">
        <v>10</v>
      </c>
      <c r="C98" s="317">
        <v>198.7182652930268</v>
      </c>
      <c r="D98" s="318">
        <f t="shared" si="54"/>
        <v>0.10139880292169634</v>
      </c>
      <c r="E98" s="321">
        <f>$D98*'MWh Impact Summary'!B$18</f>
        <v>119198.39569612185</v>
      </c>
      <c r="F98" s="319">
        <f>$D98*'MWh Impact Summary'!N$18</f>
        <v>5268.7650348382103</v>
      </c>
      <c r="G98" s="319">
        <f>$D98*'MWh Impact Summary'!C$18</f>
        <v>100342.68254267772</v>
      </c>
      <c r="H98" s="319">
        <f>$D98*'MWh Impact Summary'!D$18</f>
        <v>227.32162592790718</v>
      </c>
      <c r="I98" s="319">
        <f>$D98*'MWh Impact Summary'!E$18</f>
        <v>42007.307880620232</v>
      </c>
      <c r="J98" s="104">
        <f t="shared" si="43"/>
        <v>267044.47278018593</v>
      </c>
      <c r="K98" s="298">
        <f t="shared" si="52"/>
        <v>12.466666666666667</v>
      </c>
      <c r="L98" s="299">
        <f t="shared" si="55"/>
        <v>8.7762524932535488E-2</v>
      </c>
      <c r="M98" s="297">
        <f>(31/366)</f>
        <v>8.4699453551912565E-2</v>
      </c>
      <c r="N98" s="304">
        <f>$M98*'MWh Impact Summary'!F$18</f>
        <v>49716.673550694795</v>
      </c>
      <c r="O98" s="304">
        <f>$M98*'MWh Impact Summary'!G$18</f>
        <v>0</v>
      </c>
      <c r="P98" s="304">
        <f>$M98*'MWh Impact Summary'!H$18</f>
        <v>1982.1682430244027</v>
      </c>
      <c r="Q98" s="304">
        <f>$M98*'MWh Impact Summary'!I$18</f>
        <v>763.95826049034542</v>
      </c>
      <c r="R98" s="304">
        <f>$M98*'MWh Impact Summary'!J$18</f>
        <v>12219.065285421244</v>
      </c>
      <c r="S98" s="304">
        <f>$M98*'MWh Impact Summary'!K$18</f>
        <v>0</v>
      </c>
      <c r="T98" s="304">
        <f>$M98*'MWh Impact Summary'!L$18</f>
        <v>0</v>
      </c>
      <c r="U98" s="304">
        <f>$M98*'MWh Impact Summary'!M$18</f>
        <v>0</v>
      </c>
      <c r="V98" s="304">
        <f>$M98*'LED Impact Forecast'!$H$19+$D98*'LED Impact Forecast'!$J$19</f>
        <v>160.78614210506422</v>
      </c>
      <c r="W98" s="304">
        <f>$M98*'CFL Impact Forecast'!$H$19+$D98*'CFL Impact Forecast'!$J$19</f>
        <v>232485.09341846802</v>
      </c>
      <c r="X98" s="304">
        <f>$M98*'EISA Incand Impact Forecast'!$G$19+$D98*'EISA Incand Impact Forecast'!$I$19</f>
        <v>0</v>
      </c>
      <c r="Y98" s="85">
        <f t="shared" si="35"/>
        <v>297327.74490020389</v>
      </c>
      <c r="Z98" s="81">
        <f t="shared" si="36"/>
        <v>564372.21768038976</v>
      </c>
      <c r="AA98" s="81"/>
      <c r="AB98" s="81">
        <v>4580752</v>
      </c>
      <c r="AC98" s="308">
        <f t="shared" si="44"/>
        <v>123.20514572288344</v>
      </c>
      <c r="AD98" s="309">
        <f t="shared" si="37"/>
        <v>58.297081522899717</v>
      </c>
      <c r="AE98" s="107">
        <f t="shared" si="38"/>
        <v>4.6762364857940953E-3</v>
      </c>
      <c r="AF98" s="309">
        <f t="shared" si="45"/>
        <v>64.908064199983727</v>
      </c>
      <c r="AG98" s="107">
        <f t="shared" si="39"/>
        <v>5.206529213902438E-3</v>
      </c>
      <c r="AH98" s="119">
        <f t="shared" si="46"/>
        <v>9.8827656996965333E-3</v>
      </c>
      <c r="AI98" s="122">
        <f t="shared" si="40"/>
        <v>9.8827656996965333E-3</v>
      </c>
      <c r="AJ98" s="87" t="b">
        <f t="shared" si="47"/>
        <v>1</v>
      </c>
      <c r="AK98" s="88">
        <f t="shared" si="53"/>
        <v>2.4208596285078257E-3</v>
      </c>
      <c r="AL98" s="312">
        <f>+AC98/'MWh by month-WgtbyCDH&amp;DayLtHrs'!AC98-1</f>
        <v>-4.706792869775156E-3</v>
      </c>
      <c r="AM98" s="89">
        <f t="shared" si="41"/>
        <v>232485.09341846802</v>
      </c>
      <c r="AN98" s="93"/>
      <c r="AO98" s="96">
        <f t="shared" si="28"/>
        <v>50.7526042489242</v>
      </c>
      <c r="AP98" s="92">
        <f t="shared" si="27"/>
        <v>4.0710645119457914E-3</v>
      </c>
      <c r="AR98" s="94">
        <f t="shared" si="42"/>
        <v>9.8827656996965333E-3</v>
      </c>
      <c r="AS98" s="95">
        <v>550390.63085847348</v>
      </c>
      <c r="AU98" s="141">
        <v>123.20514572288344</v>
      </c>
    </row>
    <row r="99" spans="1:47">
      <c r="A99" s="78">
        <v>2012</v>
      </c>
      <c r="B99" s="78">
        <v>11</v>
      </c>
      <c r="C99" s="317">
        <v>39.051797399730034</v>
      </c>
      <c r="D99" s="318">
        <f t="shared" si="54"/>
        <v>1.99267314578968E-2</v>
      </c>
      <c r="E99" s="321">
        <f>$D99*'MWh Impact Summary'!B$18</f>
        <v>23424.679116606338</v>
      </c>
      <c r="F99" s="319">
        <f>$D99*'MWh Impact Summary'!N$18</f>
        <v>1035.4093237673983</v>
      </c>
      <c r="G99" s="319">
        <f>$D99*'MWh Impact Summary'!C$18</f>
        <v>19719.184360953575</v>
      </c>
      <c r="H99" s="319">
        <f>$D99*'MWh Impact Summary'!D$18</f>
        <v>44.67288433312104</v>
      </c>
      <c r="I99" s="319">
        <f>$D99*'MWh Impact Summary'!E$18</f>
        <v>8255.2093248351703</v>
      </c>
      <c r="J99" s="104">
        <f t="shared" si="43"/>
        <v>52479.155010495611</v>
      </c>
      <c r="K99" s="298">
        <f t="shared" si="52"/>
        <v>13.15</v>
      </c>
      <c r="L99" s="299">
        <f>K99/(SUM(K$89:K$100))</f>
        <v>9.2573037662794788E-2</v>
      </c>
      <c r="M99" s="297">
        <f>(30/366)</f>
        <v>8.1967213114754092E-2</v>
      </c>
      <c r="N99" s="304">
        <f>$M99*'MWh Impact Summary'!F$18</f>
        <v>48112.909887769158</v>
      </c>
      <c r="O99" s="304">
        <f>$M99*'MWh Impact Summary'!G$18</f>
        <v>0</v>
      </c>
      <c r="P99" s="304">
        <f>$M99*'MWh Impact Summary'!H$18</f>
        <v>1918.2273319590993</v>
      </c>
      <c r="Q99" s="304">
        <f>$M99*'MWh Impact Summary'!I$18</f>
        <v>739.31444563581817</v>
      </c>
      <c r="R99" s="304">
        <f>$M99*'MWh Impact Summary'!J$18</f>
        <v>11824.901889117331</v>
      </c>
      <c r="S99" s="304">
        <f>$M99*'MWh Impact Summary'!K$18</f>
        <v>0</v>
      </c>
      <c r="T99" s="304">
        <f>$M99*'MWh Impact Summary'!L$18</f>
        <v>0</v>
      </c>
      <c r="U99" s="304">
        <f>$M99*'MWh Impact Summary'!M$18</f>
        <v>0</v>
      </c>
      <c r="V99" s="304">
        <f>$M99*'LED Impact Forecast'!$H$19+$D99*'LED Impact Forecast'!$J$19</f>
        <v>155.59949235973954</v>
      </c>
      <c r="W99" s="304">
        <f>$M99*'CFL Impact Forecast'!$H$19+$D99*'CFL Impact Forecast'!$J$19</f>
        <v>194897.12401786185</v>
      </c>
      <c r="X99" s="304">
        <f>$M99*'EISA Incand Impact Forecast'!$G$19+$D99*'EISA Incand Impact Forecast'!$I$19</f>
        <v>0</v>
      </c>
      <c r="Y99" s="85">
        <f t="shared" si="35"/>
        <v>257648.07706470299</v>
      </c>
      <c r="Z99" s="81">
        <f t="shared" si="36"/>
        <v>310127.23207519861</v>
      </c>
      <c r="AA99" s="81"/>
      <c r="AB99" s="81">
        <v>4584041</v>
      </c>
      <c r="AC99" s="308">
        <f t="shared" si="44"/>
        <v>67.653677634034821</v>
      </c>
      <c r="AD99" s="309">
        <f t="shared" si="37"/>
        <v>11.448229850146543</v>
      </c>
      <c r="AE99" s="107">
        <f t="shared" si="38"/>
        <v>8.7058782130391955E-4</v>
      </c>
      <c r="AF99" s="309">
        <f t="shared" si="45"/>
        <v>56.205447783888275</v>
      </c>
      <c r="AG99" s="107">
        <f t="shared" si="39"/>
        <v>4.274178538698728E-3</v>
      </c>
      <c r="AH99" s="119">
        <f t="shared" si="46"/>
        <v>5.1447663600026478E-3</v>
      </c>
      <c r="AI99" s="122">
        <f t="shared" si="40"/>
        <v>5.1447663600026478E-3</v>
      </c>
      <c r="AJ99" s="87" t="b">
        <f t="shared" si="47"/>
        <v>1</v>
      </c>
      <c r="AK99" s="88">
        <f t="shared" si="53"/>
        <v>-1.8780748767090009E-4</v>
      </c>
      <c r="AL99" s="312">
        <f>+AC99/'MWh by month-WgtbyCDH&amp;DayLtHrs'!AC99-1</f>
        <v>-0.26325979201365712</v>
      </c>
      <c r="AM99" s="89">
        <f t="shared" si="41"/>
        <v>194897.12401786185</v>
      </c>
      <c r="AN99" s="93"/>
      <c r="AO99" s="96">
        <f t="shared" si="28"/>
        <v>42.516444337618672</v>
      </c>
      <c r="AP99" s="92">
        <f t="shared" si="27"/>
        <v>3.2331896834691004E-3</v>
      </c>
      <c r="AR99" s="94">
        <f t="shared" si="42"/>
        <v>5.1447663600026478E-3</v>
      </c>
      <c r="AS99" s="95">
        <v>417156.58320965245</v>
      </c>
      <c r="AU99" s="141">
        <v>67.653677634034821</v>
      </c>
    </row>
    <row r="100" spans="1:47">
      <c r="A100" s="78">
        <v>2012</v>
      </c>
      <c r="B100" s="78">
        <v>12</v>
      </c>
      <c r="C100" s="317">
        <v>52.002480932841181</v>
      </c>
      <c r="D100" s="318">
        <f>C100/(SUM(C$89:C$100))</f>
        <v>2.6535000734698281E-2</v>
      </c>
      <c r="E100" s="321">
        <f>$D100*'MWh Impact Summary'!B$18</f>
        <v>31192.967039403546</v>
      </c>
      <c r="F100" s="319">
        <f>$D100*'MWh Impact Summary'!N$18</f>
        <v>1378.7804199064174</v>
      </c>
      <c r="G100" s="319">
        <f>$D100*'MWh Impact Summary'!C$18</f>
        <v>26258.625134339072</v>
      </c>
      <c r="H100" s="319">
        <f>$D100*'MWh Impact Summary'!D$18</f>
        <v>59.487679708289335</v>
      </c>
      <c r="I100" s="319">
        <f>$D100*'MWh Impact Summary'!E$18</f>
        <v>10992.870856036998</v>
      </c>
      <c r="J100" s="104">
        <f t="shared" si="43"/>
        <v>69882.73112939432</v>
      </c>
      <c r="K100" s="298">
        <f t="shared" si="52"/>
        <v>13.483333333333333</v>
      </c>
      <c r="L100" s="299">
        <f>K100/(SUM(K$89:K$100))</f>
        <v>9.491962923853102E-2</v>
      </c>
      <c r="M100" s="297">
        <f>(31/366)</f>
        <v>8.4699453551912565E-2</v>
      </c>
      <c r="N100" s="304">
        <f>$M100*'MWh Impact Summary'!F$18</f>
        <v>49716.673550694795</v>
      </c>
      <c r="O100" s="304">
        <f>$M100*'MWh Impact Summary'!G$18</f>
        <v>0</v>
      </c>
      <c r="P100" s="304">
        <f>$M100*'MWh Impact Summary'!H$18</f>
        <v>1982.1682430244027</v>
      </c>
      <c r="Q100" s="304">
        <f>$M100*'MWh Impact Summary'!I$18</f>
        <v>763.95826049034542</v>
      </c>
      <c r="R100" s="304">
        <f>$M100*'MWh Impact Summary'!J$18</f>
        <v>12219.065285421244</v>
      </c>
      <c r="S100" s="304">
        <f>$M100*'MWh Impact Summary'!K$18</f>
        <v>0</v>
      </c>
      <c r="T100" s="304">
        <f>$M100*'MWh Impact Summary'!L$18</f>
        <v>0</v>
      </c>
      <c r="U100" s="304">
        <f>$M100*'MWh Impact Summary'!M$18</f>
        <v>0</v>
      </c>
      <c r="V100" s="304">
        <f>$M100*'LED Impact Forecast'!$H$19+$D100*'LED Impact Forecast'!$J$19</f>
        <v>160.78614210506422</v>
      </c>
      <c r="W100" s="304">
        <f>$M100*'CFL Impact Forecast'!$H$19+$D100*'CFL Impact Forecast'!$J$19</f>
        <v>203680.70871372381</v>
      </c>
      <c r="X100" s="304">
        <f>$M100*'EISA Incand Impact Forecast'!$G$19+$D100*'EISA Incand Impact Forecast'!$I$19</f>
        <v>0</v>
      </c>
      <c r="Y100" s="85">
        <f t="shared" si="35"/>
        <v>268523.36019545968</v>
      </c>
      <c r="Z100" s="81">
        <f t="shared" si="36"/>
        <v>338406.091324854</v>
      </c>
      <c r="AA100" s="81">
        <f>SUM(Z89:Z100)</f>
        <v>6068132.659693406</v>
      </c>
      <c r="AB100" s="81">
        <v>4588119</v>
      </c>
      <c r="AC100" s="308">
        <f t="shared" si="44"/>
        <v>73.757043207653069</v>
      </c>
      <c r="AD100" s="309">
        <f t="shared" si="37"/>
        <v>15.231237709700713</v>
      </c>
      <c r="AE100" s="107">
        <f t="shared" si="38"/>
        <v>1.1296344407689034E-3</v>
      </c>
      <c r="AF100" s="309">
        <f t="shared" si="45"/>
        <v>58.525805497952355</v>
      </c>
      <c r="AG100" s="107">
        <f t="shared" si="39"/>
        <v>4.3406036216033887E-3</v>
      </c>
      <c r="AH100" s="119">
        <f t="shared" si="46"/>
        <v>5.4702380623722919E-3</v>
      </c>
      <c r="AI100" s="122">
        <f t="shared" si="40"/>
        <v>5.4702380623722928E-3</v>
      </c>
      <c r="AJ100" s="87" t="b">
        <f t="shared" si="47"/>
        <v>1</v>
      </c>
      <c r="AK100" s="88">
        <f t="shared" si="53"/>
        <v>8.1214021431739915E-4</v>
      </c>
      <c r="AL100" s="312">
        <f>+AC100/'MWh by month-WgtbyCDH&amp;DayLtHrs'!AC100-1</f>
        <v>-0.11193988959271239</v>
      </c>
      <c r="AM100" s="89">
        <f t="shared" si="41"/>
        <v>203680.70871372381</v>
      </c>
      <c r="AN100" s="90">
        <f>SUM(AM89:AM100)</f>
        <v>2668965.2592229554</v>
      </c>
      <c r="AO100" s="96">
        <f t="shared" si="28"/>
        <v>44.393074528739078</v>
      </c>
      <c r="AP100" s="92">
        <f t="shared" si="27"/>
        <v>3.2924406325393631E-3</v>
      </c>
      <c r="AR100" s="94">
        <f t="shared" si="42"/>
        <v>5.4702380623722928E-3</v>
      </c>
      <c r="AS100" s="95">
        <v>339742.23967733263</v>
      </c>
      <c r="AU100" s="141">
        <v>73.757043207653069</v>
      </c>
    </row>
    <row r="101" spans="1:47">
      <c r="A101" s="78">
        <v>2013</v>
      </c>
      <c r="B101" s="78">
        <f t="shared" ref="B101:B112" si="56">B89</f>
        <v>1</v>
      </c>
      <c r="C101" s="317">
        <v>50.538702541757459</v>
      </c>
      <c r="D101" s="318">
        <f t="shared" ref="D101:D112" si="57">C101/(SUM(C$101:C$112))</f>
        <v>2.526841009750121E-2</v>
      </c>
      <c r="E101" s="321">
        <f>$D101*'MWh Impact Summary'!B$19</f>
        <v>34139.943856069382</v>
      </c>
      <c r="F101" s="319">
        <f>$D101*'MWh Impact Summary'!N$19</f>
        <v>1834.7578966720434</v>
      </c>
      <c r="G101" s="319">
        <f>$D101*'MWh Impact Summary'!C$19</f>
        <v>28847.21054360416</v>
      </c>
      <c r="H101" s="319">
        <f>$D101*'MWh Impact Summary'!D$19</f>
        <v>76.670286554076128</v>
      </c>
      <c r="I101" s="319">
        <f>$D101*'MWh Impact Summary'!E$19</f>
        <v>11835.070439570807</v>
      </c>
      <c r="J101" s="104">
        <f t="shared" si="43"/>
        <v>76733.653022470477</v>
      </c>
      <c r="K101" s="298">
        <f t="shared" si="52"/>
        <v>13.3</v>
      </c>
      <c r="L101" s="299">
        <f>K101/(SUM(K$101:K$112))</f>
        <v>9.3629003871876101E-2</v>
      </c>
      <c r="M101" s="297">
        <f>(31/365)</f>
        <v>8.4931506849315067E-2</v>
      </c>
      <c r="N101" s="304">
        <f>$M101*'MWh Impact Summary'!F$19</f>
        <v>58877.863886569408</v>
      </c>
      <c r="O101" s="304">
        <f>$M101*'MWh Impact Summary'!G$19</f>
        <v>77.595559913139994</v>
      </c>
      <c r="P101" s="304">
        <f>$M101*'MWh Impact Summary'!H$19</f>
        <v>2683.0390856905556</v>
      </c>
      <c r="Q101" s="304">
        <f>$M101*'MWh Impact Summary'!I$19</f>
        <v>858.64921101777986</v>
      </c>
      <c r="R101" s="304">
        <f>$M101*'MWh Impact Summary'!J$19</f>
        <v>15522.636385467882</v>
      </c>
      <c r="S101" s="304">
        <f>$M101*'MWh Impact Summary'!K$19</f>
        <v>0</v>
      </c>
      <c r="T101" s="304">
        <f>$M101*'MWh Impact Summary'!L$19</f>
        <v>0</v>
      </c>
      <c r="U101" s="304">
        <f>$M101*'MWh Impact Summary'!M$19</f>
        <v>0</v>
      </c>
      <c r="V101" s="304">
        <f>$M101*'LED Impact Forecast'!$H$20+$D101*'LED Impact Forecast'!$J$20</f>
        <v>727.70878583050069</v>
      </c>
      <c r="W101" s="304">
        <f>$M101*'CFL Impact Forecast'!$H$20+$D101*'CFL Impact Forecast'!$J$20</f>
        <v>222083.67528216715</v>
      </c>
      <c r="X101" s="304">
        <f>$M101*'EISA Incand Impact Forecast'!$G$20+$D101*'EISA Incand Impact Forecast'!$I$20</f>
        <v>24123.503455379163</v>
      </c>
      <c r="Y101" s="85">
        <f t="shared" si="35"/>
        <v>324954.67165203555</v>
      </c>
      <c r="Z101" s="81">
        <f t="shared" si="36"/>
        <v>401688.32467450603</v>
      </c>
      <c r="AA101" s="81"/>
      <c r="AB101" s="81">
        <v>4594969</v>
      </c>
      <c r="AC101" s="308">
        <f t="shared" si="44"/>
        <v>87.419158796175992</v>
      </c>
      <c r="AD101" s="309">
        <f t="shared" si="37"/>
        <v>16.699493080904457</v>
      </c>
      <c r="AE101" s="107">
        <f t="shared" si="38"/>
        <v>1.2556009835266509E-3</v>
      </c>
      <c r="AF101" s="309">
        <f t="shared" si="45"/>
        <v>70.719665715271532</v>
      </c>
      <c r="AG101" s="107">
        <f t="shared" si="39"/>
        <v>5.3172680988925955E-3</v>
      </c>
      <c r="AH101" s="119">
        <f t="shared" si="46"/>
        <v>6.5728690824192462E-3</v>
      </c>
      <c r="AI101" s="122">
        <f t="shared" si="40"/>
        <v>6.5728690824192471E-3</v>
      </c>
      <c r="AJ101" s="87" t="b">
        <f t="shared" si="47"/>
        <v>1</v>
      </c>
      <c r="AK101" s="88">
        <f t="shared" si="53"/>
        <v>1.6251590030341243E-3</v>
      </c>
      <c r="AL101" s="312">
        <f>+AC101/'MWh by month-WgtbyCDH&amp;DayLtHrs'!AC101-1</f>
        <v>-5.9536990705263748E-2</v>
      </c>
      <c r="AM101" s="89">
        <f t="shared" si="41"/>
        <v>222083.67528216715</v>
      </c>
      <c r="AN101" s="93"/>
      <c r="AO101" s="96">
        <f t="shared" si="28"/>
        <v>48.331920254993484</v>
      </c>
      <c r="AP101" s="92">
        <f t="shared" si="27"/>
        <v>3.6339789665408634E-3</v>
      </c>
      <c r="AR101" s="94">
        <f t="shared" si="42"/>
        <v>6.5728690824192471E-3</v>
      </c>
      <c r="AS101" s="95">
        <v>396478.06216397288</v>
      </c>
      <c r="AU101" s="141">
        <v>87.419158796175992</v>
      </c>
    </row>
    <row r="102" spans="1:47">
      <c r="A102" s="78">
        <f t="shared" ref="A102:A112" si="58">A101</f>
        <v>2013</v>
      </c>
      <c r="B102" s="78">
        <f t="shared" si="56"/>
        <v>2</v>
      </c>
      <c r="C102" s="317">
        <v>44.995401174839188</v>
      </c>
      <c r="D102" s="318">
        <f t="shared" si="57"/>
        <v>2.2496862645969444E-2</v>
      </c>
      <c r="E102" s="321">
        <f>$D102*'MWh Impact Summary'!B$19</f>
        <v>30395.328582507565</v>
      </c>
      <c r="F102" s="319">
        <f>$D102*'MWh Impact Summary'!N$19</f>
        <v>1633.5137917569482</v>
      </c>
      <c r="G102" s="319">
        <f>$D102*'MWh Impact Summary'!C$19</f>
        <v>25683.124930088146</v>
      </c>
      <c r="H102" s="319">
        <f>$D102*'MWh Impact Summary'!D$19</f>
        <v>68.260761123420977</v>
      </c>
      <c r="I102" s="319">
        <f>$D102*'MWh Impact Summary'!E$19</f>
        <v>10536.949220668508</v>
      </c>
      <c r="J102" s="104">
        <f t="shared" si="43"/>
        <v>68317.177286144579</v>
      </c>
      <c r="K102" s="298">
        <f t="shared" si="52"/>
        <v>12.733333333333333</v>
      </c>
      <c r="L102" s="299">
        <f>K102/(SUM(K$101:K$112))</f>
        <v>8.9639798193124468E-2</v>
      </c>
      <c r="M102" s="297">
        <f>(28/365)</f>
        <v>7.6712328767123292E-2</v>
      </c>
      <c r="N102" s="304">
        <f>$M102*'MWh Impact Summary'!F$19</f>
        <v>53180.006091094954</v>
      </c>
      <c r="O102" s="304">
        <f>$M102*'MWh Impact Summary'!G$19</f>
        <v>70.086312179610331</v>
      </c>
      <c r="P102" s="304">
        <f>$M102*'MWh Impact Summary'!H$19</f>
        <v>2423.3901419140502</v>
      </c>
      <c r="Q102" s="304">
        <f>$M102*'MWh Impact Summary'!I$19</f>
        <v>775.55412608057543</v>
      </c>
      <c r="R102" s="304">
        <f>$M102*'MWh Impact Summary'!J$19</f>
        <v>14020.445767519379</v>
      </c>
      <c r="S102" s="304">
        <f>$M102*'MWh Impact Summary'!K$19</f>
        <v>0</v>
      </c>
      <c r="T102" s="304">
        <f>$M102*'MWh Impact Summary'!L$19</f>
        <v>0</v>
      </c>
      <c r="U102" s="304">
        <f>$M102*'MWh Impact Summary'!M$19</f>
        <v>0</v>
      </c>
      <c r="V102" s="304">
        <f>$M102*'LED Impact Forecast'!$H$20+$D102*'LED Impact Forecast'!$J$20</f>
        <v>657.20589322451053</v>
      </c>
      <c r="W102" s="304">
        <f>$M102*'CFL Impact Forecast'!$H$20+$D102*'CFL Impact Forecast'!$J$20</f>
        <v>200454.59750203454</v>
      </c>
      <c r="X102" s="304">
        <f>$M102*'EISA Incand Impact Forecast'!$G$20+$D102*'EISA Incand Impact Forecast'!$I$20</f>
        <v>21773.070785637854</v>
      </c>
      <c r="Y102" s="85">
        <f t="shared" si="35"/>
        <v>293354.35661968542</v>
      </c>
      <c r="Z102" s="81">
        <f t="shared" si="36"/>
        <v>361671.53390583</v>
      </c>
      <c r="AA102" s="81"/>
      <c r="AB102" s="81">
        <v>4599265</v>
      </c>
      <c r="AC102" s="308">
        <f t="shared" si="44"/>
        <v>78.636811296115795</v>
      </c>
      <c r="AD102" s="309">
        <f t="shared" si="37"/>
        <v>14.85393367986941</v>
      </c>
      <c r="AE102" s="107">
        <f t="shared" si="38"/>
        <v>1.166539294230582E-3</v>
      </c>
      <c r="AF102" s="309">
        <f t="shared" si="45"/>
        <v>63.782877616246381</v>
      </c>
      <c r="AG102" s="107">
        <f t="shared" si="39"/>
        <v>5.0091265143648997E-3</v>
      </c>
      <c r="AH102" s="119">
        <f t="shared" si="46"/>
        <v>6.1756658085954817E-3</v>
      </c>
      <c r="AI102" s="122">
        <f t="shared" si="40"/>
        <v>6.1756658085954817E-3</v>
      </c>
      <c r="AJ102" s="87" t="b">
        <f t="shared" si="47"/>
        <v>1</v>
      </c>
      <c r="AK102" s="88">
        <f t="shared" si="53"/>
        <v>6.9281130548467899E-4</v>
      </c>
      <c r="AL102" s="312">
        <f>+AC102/'MWh by month-WgtbyCDH&amp;DayLtHrs'!AC102-1</f>
        <v>-0.14946056359387005</v>
      </c>
      <c r="AM102" s="89">
        <f t="shared" si="41"/>
        <v>200454.59750203454</v>
      </c>
      <c r="AN102" s="90"/>
      <c r="AO102" s="96">
        <f t="shared" si="28"/>
        <v>43.584050386754086</v>
      </c>
      <c r="AP102" s="92">
        <f t="shared" si="27"/>
        <v>3.4228311822058185E-3</v>
      </c>
      <c r="AR102" s="94">
        <f t="shared" si="42"/>
        <v>6.1756658085954817E-3</v>
      </c>
      <c r="AS102" s="95">
        <v>368846.96305153822</v>
      </c>
      <c r="AU102" s="141">
        <v>78.636811296115795</v>
      </c>
    </row>
    <row r="103" spans="1:47">
      <c r="A103" s="78">
        <f t="shared" si="58"/>
        <v>2013</v>
      </c>
      <c r="B103" s="78">
        <f t="shared" si="56"/>
        <v>3</v>
      </c>
      <c r="C103" s="317">
        <v>28.558939154600807</v>
      </c>
      <c r="D103" s="318">
        <f t="shared" si="57"/>
        <v>1.4278937729194485E-2</v>
      </c>
      <c r="E103" s="321">
        <f>$D103*'MWh Impact Summary'!B$19</f>
        <v>19292.156907300534</v>
      </c>
      <c r="F103" s="319">
        <f>$D103*'MWh Impact Summary'!N$19</f>
        <v>1036.8042015163714</v>
      </c>
      <c r="G103" s="319">
        <f>$D103*'MWh Impact Summary'!C$19</f>
        <v>16301.283754050672</v>
      </c>
      <c r="H103" s="319">
        <f>$D103*'MWh Impact Summary'!D$19</f>
        <v>43.32564823670532</v>
      </c>
      <c r="I103" s="319">
        <f>$D103*'MWh Impact Summary'!E$19</f>
        <v>6687.8855129857802</v>
      </c>
      <c r="J103" s="104">
        <f t="shared" si="43"/>
        <v>43361.456024090061</v>
      </c>
      <c r="K103" s="298">
        <f t="shared" si="52"/>
        <v>12</v>
      </c>
      <c r="L103" s="299">
        <f t="shared" ref="L103:L111" si="59">K103/(SUM(K$101:K$112))</f>
        <v>8.4477296726504739E-2</v>
      </c>
      <c r="M103" s="297">
        <f t="shared" ref="M103:M112" si="60">(31/365)</f>
        <v>8.4931506849315067E-2</v>
      </c>
      <c r="N103" s="304">
        <f>$M103*'MWh Impact Summary'!F$19</f>
        <v>58877.863886569408</v>
      </c>
      <c r="O103" s="304">
        <f>$M103*'MWh Impact Summary'!G$19</f>
        <v>77.595559913139994</v>
      </c>
      <c r="P103" s="304">
        <f>$M103*'MWh Impact Summary'!H$19</f>
        <v>2683.0390856905556</v>
      </c>
      <c r="Q103" s="304">
        <f>$M103*'MWh Impact Summary'!I$19</f>
        <v>858.64921101777986</v>
      </c>
      <c r="R103" s="304">
        <f>$M103*'MWh Impact Summary'!J$19</f>
        <v>15522.636385467882</v>
      </c>
      <c r="S103" s="304">
        <f>$M103*'MWh Impact Summary'!K$19</f>
        <v>0</v>
      </c>
      <c r="T103" s="304">
        <f>$M103*'MWh Impact Summary'!L$19</f>
        <v>0</v>
      </c>
      <c r="U103" s="304">
        <f>$M103*'MWh Impact Summary'!M$19</f>
        <v>0</v>
      </c>
      <c r="V103" s="304">
        <f>$M103*'LED Impact Forecast'!$H$20+$D103*'LED Impact Forecast'!$J$20</f>
        <v>725.0319137370908</v>
      </c>
      <c r="W103" s="304">
        <f>$M103*'CFL Impact Forecast'!$H$20+$D103*'CFL Impact Forecast'!$J$20</f>
        <v>217464.79959010839</v>
      </c>
      <c r="X103" s="304">
        <f>$M103*'EISA Incand Impact Forecast'!$G$20+$D103*'EISA Incand Impact Forecast'!$I$20</f>
        <v>23587.868515513394</v>
      </c>
      <c r="Y103" s="85">
        <f t="shared" si="35"/>
        <v>319797.4841480176</v>
      </c>
      <c r="Z103" s="81">
        <f t="shared" si="36"/>
        <v>363158.94017210766</v>
      </c>
      <c r="AA103" s="80"/>
      <c r="AB103" s="117">
        <v>4605771</v>
      </c>
      <c r="AC103" s="308">
        <f t="shared" si="44"/>
        <v>78.848674884640957</v>
      </c>
      <c r="AD103" s="309">
        <f t="shared" si="37"/>
        <v>9.414592263508121</v>
      </c>
      <c r="AE103" s="107">
        <f t="shared" si="38"/>
        <v>7.8454935529234334E-4</v>
      </c>
      <c r="AF103" s="309">
        <f t="shared" si="45"/>
        <v>69.434082621132831</v>
      </c>
      <c r="AG103" s="107">
        <f t="shared" si="39"/>
        <v>5.7861735517610695E-3</v>
      </c>
      <c r="AH103" s="119">
        <f t="shared" si="46"/>
        <v>6.5707229070534126E-3</v>
      </c>
      <c r="AI103" s="122">
        <f t="shared" si="40"/>
        <v>6.5707229070534126E-3</v>
      </c>
      <c r="AJ103" s="87" t="b">
        <f t="shared" si="47"/>
        <v>1</v>
      </c>
      <c r="AK103" s="88">
        <f t="shared" si="53"/>
        <v>-6.396182806644472E-4</v>
      </c>
      <c r="AL103" s="312">
        <f>+AC103/'MWh by month-WgtbyCDH&amp;DayLtHrs'!AC103-1</f>
        <v>-0.19397348803902792</v>
      </c>
      <c r="AM103" s="89">
        <f t="shared" si="41"/>
        <v>217464.79959010839</v>
      </c>
      <c r="AN103" s="99"/>
      <c r="AO103" s="96">
        <f t="shared" si="28"/>
        <v>47.215721231061728</v>
      </c>
      <c r="AP103" s="92">
        <f t="shared" si="27"/>
        <v>3.9346434359218106E-3</v>
      </c>
      <c r="AR103" s="94">
        <f t="shared" si="42"/>
        <v>6.5707229070534126E-3</v>
      </c>
      <c r="AS103" s="95">
        <v>448587.31752894237</v>
      </c>
      <c r="AU103" s="141">
        <v>78.848674884640957</v>
      </c>
    </row>
    <row r="104" spans="1:47">
      <c r="A104" s="78">
        <f t="shared" si="58"/>
        <v>2013</v>
      </c>
      <c r="B104" s="78">
        <f t="shared" si="56"/>
        <v>4</v>
      </c>
      <c r="C104" s="317">
        <v>135.35989619627648</v>
      </c>
      <c r="D104" s="318">
        <f t="shared" si="57"/>
        <v>6.7677427314574823E-2</v>
      </c>
      <c r="E104" s="321">
        <f>$D104*'MWh Impact Summary'!B$19</f>
        <v>91438.422913331073</v>
      </c>
      <c r="F104" s="319">
        <f>$D104*'MWh Impact Summary'!N$19</f>
        <v>4914.1079202345118</v>
      </c>
      <c r="G104" s="319">
        <f>$D104*'MWh Impact Summary'!C$19</f>
        <v>77262.676490519298</v>
      </c>
      <c r="H104" s="319">
        <f>$D104*'MWh Impact Summary'!D$19</f>
        <v>205.3491978889576</v>
      </c>
      <c r="I104" s="319">
        <f>$D104*'MWh Impact Summary'!E$19</f>
        <v>31698.358398739696</v>
      </c>
      <c r="J104" s="104">
        <f t="shared" si="43"/>
        <v>205518.91492071352</v>
      </c>
      <c r="K104" s="298">
        <f t="shared" si="52"/>
        <v>11.2</v>
      </c>
      <c r="L104" s="299">
        <f t="shared" si="59"/>
        <v>7.8845476944737758E-2</v>
      </c>
      <c r="M104" s="297">
        <f>(30/365)</f>
        <v>8.2191780821917804E-2</v>
      </c>
      <c r="N104" s="304">
        <f>$M104*'MWh Impact Summary'!F$19</f>
        <v>56978.577954744585</v>
      </c>
      <c r="O104" s="304">
        <f>$M104*'MWh Impact Summary'!G$19</f>
        <v>75.092477335296763</v>
      </c>
      <c r="P104" s="304">
        <f>$M104*'MWh Impact Summary'!H$19</f>
        <v>2596.4894377650535</v>
      </c>
      <c r="Q104" s="304">
        <f>$M104*'MWh Impact Summary'!I$19</f>
        <v>830.95084937204501</v>
      </c>
      <c r="R104" s="304">
        <f>$M104*'MWh Impact Summary'!J$19</f>
        <v>15021.906179485048</v>
      </c>
      <c r="S104" s="304">
        <f>$M104*'MWh Impact Summary'!K$19</f>
        <v>0</v>
      </c>
      <c r="T104" s="304">
        <f>$M104*'MWh Impact Summary'!L$19</f>
        <v>0</v>
      </c>
      <c r="U104" s="304">
        <f>$M104*'MWh Impact Summary'!M$19</f>
        <v>0</v>
      </c>
      <c r="V104" s="304">
        <f>$M104*'LED Impact Forecast'!$H$20+$D104*'LED Impact Forecast'!$J$20</f>
        <v>714.76306366554434</v>
      </c>
      <c r="W104" s="304">
        <f>$M104*'CFL Impact Forecast'!$H$20+$D104*'CFL Impact Forecast'!$J$20</f>
        <v>233086.78821980755</v>
      </c>
      <c r="X104" s="304">
        <f>$M104*'EISA Incand Impact Forecast'!$G$20+$D104*'EISA Incand Impact Forecast'!$I$20</f>
        <v>25452.101573873977</v>
      </c>
      <c r="Y104" s="85">
        <f t="shared" si="35"/>
        <v>334756.66975604906</v>
      </c>
      <c r="Z104" s="81">
        <f t="shared" si="36"/>
        <v>540275.58467676258</v>
      </c>
      <c r="AA104" s="80"/>
      <c r="AB104" s="117">
        <v>4609509</v>
      </c>
      <c r="AC104" s="308">
        <f t="shared" si="44"/>
        <v>117.20892283251048</v>
      </c>
      <c r="AD104" s="309">
        <f t="shared" si="37"/>
        <v>44.585858259678744</v>
      </c>
      <c r="AE104" s="107">
        <f t="shared" si="38"/>
        <v>3.9808802017570312E-3</v>
      </c>
      <c r="AF104" s="309">
        <f t="shared" si="45"/>
        <v>72.623064572831737</v>
      </c>
      <c r="AG104" s="107">
        <f t="shared" si="39"/>
        <v>6.4842021940028343E-3</v>
      </c>
      <c r="AH104" s="119">
        <f t="shared" si="46"/>
        <v>1.0465082395759866E-2</v>
      </c>
      <c r="AI104" s="122">
        <f t="shared" si="40"/>
        <v>1.0465082395759865E-2</v>
      </c>
      <c r="AJ104" s="87" t="b">
        <f t="shared" si="47"/>
        <v>1</v>
      </c>
      <c r="AK104" s="88">
        <f t="shared" si="53"/>
        <v>2.3902973100427046E-3</v>
      </c>
      <c r="AL104" s="312">
        <f>+AC104/'MWh by month-WgtbyCDH&amp;DayLtHrs'!AC104-1</f>
        <v>7.0295820792549035E-2</v>
      </c>
      <c r="AM104" s="89">
        <f t="shared" si="41"/>
        <v>233086.78821980755</v>
      </c>
      <c r="AN104" s="93"/>
      <c r="AO104" s="96">
        <f t="shared" si="28"/>
        <v>50.566511144637651</v>
      </c>
      <c r="AP104" s="92">
        <f t="shared" si="27"/>
        <v>4.5148670664855051E-3</v>
      </c>
      <c r="AR104" s="94">
        <f t="shared" si="42"/>
        <v>1.0465082395759865E-2</v>
      </c>
      <c r="AS104" s="95">
        <v>530640.44900559995</v>
      </c>
      <c r="AU104" s="141">
        <v>117.20892283251048</v>
      </c>
    </row>
    <row r="105" spans="1:47">
      <c r="A105" s="78">
        <f t="shared" si="58"/>
        <v>2013</v>
      </c>
      <c r="B105" s="78">
        <f t="shared" si="56"/>
        <v>5</v>
      </c>
      <c r="C105" s="317">
        <v>163.92411756805507</v>
      </c>
      <c r="D105" s="318">
        <f t="shared" si="57"/>
        <v>8.1959006053988398E-2</v>
      </c>
      <c r="E105" s="321">
        <f>$D105*'MWh Impact Summary'!B$19</f>
        <v>110734.14806810959</v>
      </c>
      <c r="F105" s="319">
        <f>$D105*'MWh Impact Summary'!N$19</f>
        <v>5951.1038874510587</v>
      </c>
      <c r="G105" s="319">
        <f>$D105*'MWh Impact Summary'!C$19</f>
        <v>93566.975304779291</v>
      </c>
      <c r="H105" s="319">
        <f>$D105*'MWh Impact Summary'!D$19</f>
        <v>248.68285957049417</v>
      </c>
      <c r="I105" s="319">
        <f>$D105*'MWh Impact Summary'!E$19</f>
        <v>38387.48089267734</v>
      </c>
      <c r="J105" s="104">
        <f t="shared" si="43"/>
        <v>248888.39101258776</v>
      </c>
      <c r="K105" s="298">
        <f t="shared" si="52"/>
        <v>10.533333333333333</v>
      </c>
      <c r="L105" s="299">
        <f t="shared" si="59"/>
        <v>7.4152293793265281E-2</v>
      </c>
      <c r="M105" s="297">
        <f t="shared" si="60"/>
        <v>8.4931506849315067E-2</v>
      </c>
      <c r="N105" s="304">
        <f>$M105*'MWh Impact Summary'!F$19</f>
        <v>58877.863886569408</v>
      </c>
      <c r="O105" s="304">
        <f>$M105*'MWh Impact Summary'!G$19</f>
        <v>77.595559913139994</v>
      </c>
      <c r="P105" s="304">
        <f>$M105*'MWh Impact Summary'!H$19</f>
        <v>2683.0390856905556</v>
      </c>
      <c r="Q105" s="304">
        <f>$M105*'MWh Impact Summary'!I$19</f>
        <v>858.64921101777986</v>
      </c>
      <c r="R105" s="304">
        <f>$M105*'MWh Impact Summary'!J$19</f>
        <v>15522.636385467882</v>
      </c>
      <c r="S105" s="304">
        <f>$M105*'MWh Impact Summary'!K$19</f>
        <v>0</v>
      </c>
      <c r="T105" s="304">
        <f>$M105*'MWh Impact Summary'!L$19</f>
        <v>0</v>
      </c>
      <c r="U105" s="304">
        <f>$M105*'MWh Impact Summary'!M$19</f>
        <v>0</v>
      </c>
      <c r="V105" s="304">
        <f>$M105*'LED Impact Forecast'!$H$20+$D105*'LED Impact Forecast'!$J$20</f>
        <v>741.51777221208044</v>
      </c>
      <c r="W105" s="304">
        <f>$M105*'CFL Impact Forecast'!$H$20+$D105*'CFL Impact Forecast'!$J$20</f>
        <v>245910.73511325617</v>
      </c>
      <c r="X105" s="304">
        <f>$M105*'EISA Incand Impact Forecast'!$G$20+$D105*'EISA Incand Impact Forecast'!$I$20</f>
        <v>26886.644663475789</v>
      </c>
      <c r="Y105" s="85">
        <f t="shared" si="35"/>
        <v>351558.68167760281</v>
      </c>
      <c r="Z105" s="81">
        <f t="shared" si="36"/>
        <v>600447.07269019051</v>
      </c>
      <c r="AA105" s="80"/>
      <c r="AB105" s="117">
        <v>4611553</v>
      </c>
      <c r="AC105" s="308">
        <f t="shared" si="44"/>
        <v>130.20495973703231</v>
      </c>
      <c r="AD105" s="309">
        <f t="shared" si="37"/>
        <v>53.970623564900535</v>
      </c>
      <c r="AE105" s="107">
        <f t="shared" si="38"/>
        <v>5.1237933764146076E-3</v>
      </c>
      <c r="AF105" s="309">
        <f t="shared" si="45"/>
        <v>76.234336172131776</v>
      </c>
      <c r="AG105" s="107">
        <f t="shared" si="39"/>
        <v>7.2374369783669412E-3</v>
      </c>
      <c r="AH105" s="119">
        <f t="shared" si="46"/>
        <v>1.2361230354781549E-2</v>
      </c>
      <c r="AI105" s="122">
        <f t="shared" si="40"/>
        <v>1.2361230354781549E-2</v>
      </c>
      <c r="AJ105" s="87" t="b">
        <f t="shared" si="47"/>
        <v>1</v>
      </c>
      <c r="AK105" s="88">
        <f t="shared" si="53"/>
        <v>5.477889097265827E-4</v>
      </c>
      <c r="AL105" s="312">
        <f>+AC105/'MWh by month-WgtbyCDH&amp;DayLtHrs'!AC105-1</f>
        <v>-5.0237806562782317E-2</v>
      </c>
      <c r="AM105" s="89">
        <f t="shared" si="41"/>
        <v>245910.73511325617</v>
      </c>
      <c r="AN105" s="93"/>
      <c r="AO105" s="96">
        <f t="shared" si="28"/>
        <v>53.324928741631332</v>
      </c>
      <c r="AP105" s="92">
        <f t="shared" ref="AP105:AP168" si="61">+AO105/K105/1000</f>
        <v>5.0624932349650001E-3</v>
      </c>
      <c r="AR105" s="94">
        <f t="shared" si="42"/>
        <v>1.2361230354781549E-2</v>
      </c>
      <c r="AS105" s="95">
        <v>642952.08421521494</v>
      </c>
      <c r="AU105" s="141">
        <v>130.20495973703231</v>
      </c>
    </row>
    <row r="106" spans="1:47">
      <c r="A106" s="78">
        <f t="shared" si="58"/>
        <v>2013</v>
      </c>
      <c r="B106" s="78">
        <f t="shared" si="56"/>
        <v>6</v>
      </c>
      <c r="C106" s="317">
        <v>272.87629990709786</v>
      </c>
      <c r="D106" s="318">
        <f t="shared" si="57"/>
        <v>0.13643306822616158</v>
      </c>
      <c r="E106" s="321">
        <f>$D106*'MWh Impact Summary'!B$19</f>
        <v>184333.6114690117</v>
      </c>
      <c r="F106" s="319">
        <f>$D106*'MWh Impact Summary'!N$19</f>
        <v>9906.5057251029775</v>
      </c>
      <c r="G106" s="319">
        <f>$D106*'MWh Impact Summary'!C$19</f>
        <v>155756.27548561897</v>
      </c>
      <c r="H106" s="319">
        <f>$D106*'MWh Impact Summary'!D$19</f>
        <v>413.96994888040268</v>
      </c>
      <c r="I106" s="319">
        <f>$D106*'MWh Impact Summary'!E$19</f>
        <v>63901.724188933797</v>
      </c>
      <c r="J106" s="104">
        <f t="shared" si="43"/>
        <v>414312.0868175478</v>
      </c>
      <c r="K106" s="298">
        <f t="shared" si="52"/>
        <v>10.199999999999999</v>
      </c>
      <c r="L106" s="299">
        <f t="shared" si="59"/>
        <v>7.1805702217529022E-2</v>
      </c>
      <c r="M106" s="297">
        <f>(30/365)</f>
        <v>8.2191780821917804E-2</v>
      </c>
      <c r="N106" s="304">
        <f>$M106*'MWh Impact Summary'!F$19</f>
        <v>56978.577954744585</v>
      </c>
      <c r="O106" s="304">
        <f>$M106*'MWh Impact Summary'!G$19</f>
        <v>75.092477335296763</v>
      </c>
      <c r="P106" s="304">
        <f>$M106*'MWh Impact Summary'!H$19</f>
        <v>2596.4894377650535</v>
      </c>
      <c r="Q106" s="304">
        <f>$M106*'MWh Impact Summary'!I$19</f>
        <v>830.95084937204501</v>
      </c>
      <c r="R106" s="304">
        <f>$M106*'MWh Impact Summary'!J$19</f>
        <v>15021.906179485048</v>
      </c>
      <c r="S106" s="304">
        <f>$M106*'MWh Impact Summary'!K$19</f>
        <v>0</v>
      </c>
      <c r="T106" s="304">
        <f>$M106*'MWh Impact Summary'!L$19</f>
        <v>0</v>
      </c>
      <c r="U106" s="304">
        <f>$M106*'MWh Impact Summary'!M$19</f>
        <v>0</v>
      </c>
      <c r="V106" s="304">
        <f>$M106*'LED Impact Forecast'!$H$20+$D106*'LED Impact Forecast'!$J$20</f>
        <v>731.51091563262617</v>
      </c>
      <c r="W106" s="304">
        <f>$M106*'CFL Impact Forecast'!$H$20+$D106*'CFL Impact Forecast'!$J$20</f>
        <v>261984.78694578112</v>
      </c>
      <c r="X106" s="304">
        <f>$M106*'EISA Incand Impact Forecast'!$G$20+$D106*'EISA Incand Impact Forecast'!$I$20</f>
        <v>28803.301918243615</v>
      </c>
      <c r="Y106" s="85">
        <f t="shared" si="35"/>
        <v>367022.61667835939</v>
      </c>
      <c r="Z106" s="81">
        <f t="shared" si="36"/>
        <v>781334.70349590713</v>
      </c>
      <c r="AA106" s="80"/>
      <c r="AB106" s="117">
        <v>4613739</v>
      </c>
      <c r="AC106" s="308">
        <f t="shared" si="44"/>
        <v>169.34956734568365</v>
      </c>
      <c r="AD106" s="309">
        <f t="shared" si="37"/>
        <v>89.799636870995045</v>
      </c>
      <c r="AE106" s="107">
        <f t="shared" si="38"/>
        <v>8.8038859677446128E-3</v>
      </c>
      <c r="AF106" s="309">
        <f t="shared" si="45"/>
        <v>79.549930474688622</v>
      </c>
      <c r="AG106" s="107">
        <f t="shared" si="39"/>
        <v>7.7990127916361405E-3</v>
      </c>
      <c r="AH106" s="119">
        <f t="shared" si="46"/>
        <v>1.6602898759380754E-2</v>
      </c>
      <c r="AI106" s="122">
        <f t="shared" si="40"/>
        <v>1.6602898759380751E-2</v>
      </c>
      <c r="AJ106" s="87" t="b">
        <f t="shared" si="47"/>
        <v>1</v>
      </c>
      <c r="AK106" s="88">
        <f t="shared" si="53"/>
        <v>2.1227421510417854E-3</v>
      </c>
      <c r="AL106" s="312">
        <f>+AC106/'MWh by month-WgtbyCDH&amp;DayLtHrs'!AC106-1</f>
        <v>8.4329865254498593E-2</v>
      </c>
      <c r="AM106" s="89">
        <f t="shared" si="41"/>
        <v>261984.78694578112</v>
      </c>
      <c r="AN106" s="93"/>
      <c r="AO106" s="96">
        <f t="shared" si="28"/>
        <v>56.783616703454861</v>
      </c>
      <c r="AP106" s="92">
        <f t="shared" si="61"/>
        <v>5.5670212454367518E-3</v>
      </c>
      <c r="AR106" s="94">
        <f t="shared" si="42"/>
        <v>1.6602898759380751E-2</v>
      </c>
      <c r="AS106" s="95">
        <v>788672.26998075715</v>
      </c>
      <c r="AU106" s="141">
        <v>169.34956734568365</v>
      </c>
    </row>
    <row r="107" spans="1:47">
      <c r="A107" s="78">
        <f t="shared" si="58"/>
        <v>2013</v>
      </c>
      <c r="B107" s="78">
        <f t="shared" si="56"/>
        <v>7</v>
      </c>
      <c r="C107" s="317">
        <v>293.70814398852195</v>
      </c>
      <c r="D107" s="318">
        <f t="shared" si="57"/>
        <v>0.14684860231910155</v>
      </c>
      <c r="E107" s="321">
        <f>$D107*'MWh Impact Summary'!B$19</f>
        <v>198405.95507084008</v>
      </c>
      <c r="F107" s="319">
        <f>$D107*'MWh Impact Summary'!N$19</f>
        <v>10662.785338713027</v>
      </c>
      <c r="G107" s="319">
        <f>$D107*'MWh Impact Summary'!C$19</f>
        <v>167646.97631498531</v>
      </c>
      <c r="H107" s="319">
        <f>$D107*'MWh Impact Summary'!D$19</f>
        <v>445.57312377103131</v>
      </c>
      <c r="I107" s="319">
        <f>$D107*'MWh Impact Summary'!E$19</f>
        <v>68780.091255957363</v>
      </c>
      <c r="J107" s="104">
        <f t="shared" si="43"/>
        <v>445941.38110426685</v>
      </c>
      <c r="K107" s="298">
        <f t="shared" si="52"/>
        <v>10.366666666666667</v>
      </c>
      <c r="L107" s="299">
        <f t="shared" si="59"/>
        <v>7.2978998005397158E-2</v>
      </c>
      <c r="M107" s="297">
        <f t="shared" si="60"/>
        <v>8.4931506849315067E-2</v>
      </c>
      <c r="N107" s="304">
        <f>$M107*'MWh Impact Summary'!F$19</f>
        <v>58877.863886569408</v>
      </c>
      <c r="O107" s="304">
        <f>$M107*'MWh Impact Summary'!G$19</f>
        <v>77.595559913139994</v>
      </c>
      <c r="P107" s="304">
        <f>$M107*'MWh Impact Summary'!H$19</f>
        <v>2683.0390856905556</v>
      </c>
      <c r="Q107" s="304">
        <f>$M107*'MWh Impact Summary'!I$19</f>
        <v>858.64921101777986</v>
      </c>
      <c r="R107" s="304">
        <f>$M107*'MWh Impact Summary'!J$19</f>
        <v>15522.636385467882</v>
      </c>
      <c r="S107" s="304">
        <f>$M107*'MWh Impact Summary'!K$19</f>
        <v>0</v>
      </c>
      <c r="T107" s="304">
        <f>$M107*'MWh Impact Summary'!L$19</f>
        <v>0</v>
      </c>
      <c r="U107" s="304">
        <f>$M107*'MWh Impact Summary'!M$19</f>
        <v>0</v>
      </c>
      <c r="V107" s="304">
        <f>$M107*'LED Impact Forecast'!$H$20+$D107*'LED Impact Forecast'!$J$20</f>
        <v>757.32391317801648</v>
      </c>
      <c r="W107" s="304">
        <f>$M107*'CFL Impact Forecast'!$H$20+$D107*'CFL Impact Forecast'!$J$20</f>
        <v>273183.83511401806</v>
      </c>
      <c r="X107" s="304">
        <f>$M107*'EISA Incand Impact Forecast'!$G$20+$D107*'EISA Incand Impact Forecast'!$I$20</f>
        <v>30049.411157490209</v>
      </c>
      <c r="Y107" s="85">
        <f t="shared" si="35"/>
        <v>382010.35431334504</v>
      </c>
      <c r="Z107" s="81">
        <f t="shared" si="36"/>
        <v>827951.7354176119</v>
      </c>
      <c r="AA107" s="81"/>
      <c r="AB107" s="81">
        <v>4620943</v>
      </c>
      <c r="AC107" s="308">
        <f t="shared" si="44"/>
        <v>179.17376072754237</v>
      </c>
      <c r="AD107" s="309">
        <f t="shared" si="37"/>
        <v>96.504410702375438</v>
      </c>
      <c r="AE107" s="107">
        <f t="shared" si="38"/>
        <v>9.3091071417082411E-3</v>
      </c>
      <c r="AF107" s="309">
        <f t="shared" si="45"/>
        <v>82.669350025166949</v>
      </c>
      <c r="AG107" s="107">
        <f t="shared" si="39"/>
        <v>7.9745353722025982E-3</v>
      </c>
      <c r="AH107" s="119">
        <f t="shared" si="46"/>
        <v>1.7283642513910839E-2</v>
      </c>
      <c r="AI107" s="122">
        <f t="shared" si="40"/>
        <v>1.7283642513910839E-2</v>
      </c>
      <c r="AJ107" s="87" t="b">
        <f t="shared" si="47"/>
        <v>1</v>
      </c>
      <c r="AK107" s="88">
        <f t="shared" si="53"/>
        <v>1.3973590565363528E-3</v>
      </c>
      <c r="AL107" s="312">
        <f>+AC107/'MWh by month-WgtbyCDH&amp;DayLtHrs'!AC107-1</f>
        <v>3.0536392604611384E-2</v>
      </c>
      <c r="AM107" s="89">
        <f t="shared" si="41"/>
        <v>273183.83511401806</v>
      </c>
      <c r="AN107" s="93"/>
      <c r="AO107" s="96">
        <f t="shared" ref="AO107:AO170" si="62">+AM107*1000/AB107</f>
        <v>59.118633385873423</v>
      </c>
      <c r="AP107" s="92">
        <f t="shared" si="61"/>
        <v>5.7027620629459888E-3</v>
      </c>
      <c r="AR107" s="94">
        <f t="shared" si="42"/>
        <v>1.7283642513910839E-2</v>
      </c>
      <c r="AS107" s="95">
        <v>831339.10804242548</v>
      </c>
      <c r="AU107" s="141">
        <v>179.17376072754237</v>
      </c>
    </row>
    <row r="108" spans="1:47">
      <c r="A108" s="78">
        <f t="shared" si="58"/>
        <v>2013</v>
      </c>
      <c r="B108" s="78">
        <f t="shared" si="56"/>
        <v>8</v>
      </c>
      <c r="C108" s="317">
        <v>337.54482289408111</v>
      </c>
      <c r="D108" s="318">
        <f t="shared" si="57"/>
        <v>0.16876612540911221</v>
      </c>
      <c r="E108" s="321">
        <f>$D108*'MWh Impact Summary'!B$19</f>
        <v>228018.54268002501</v>
      </c>
      <c r="F108" s="319">
        <f>$D108*'MWh Impact Summary'!N$19</f>
        <v>12254.232857956258</v>
      </c>
      <c r="G108" s="319">
        <f>$D108*'MWh Impact Summary'!C$19</f>
        <v>192668.70901333055</v>
      </c>
      <c r="H108" s="319">
        <f>$D108*'MWh Impact Summary'!D$19</f>
        <v>512.07603271475125</v>
      </c>
      <c r="I108" s="319">
        <f>$D108*'MWh Impact Summary'!E$19</f>
        <v>79045.692796785908</v>
      </c>
      <c r="J108" s="104">
        <f t="shared" si="43"/>
        <v>512499.25338081247</v>
      </c>
      <c r="K108" s="298">
        <f t="shared" si="52"/>
        <v>10.933333333333334</v>
      </c>
      <c r="L108" s="299">
        <f t="shared" si="59"/>
        <v>7.6968203684148764E-2</v>
      </c>
      <c r="M108" s="297">
        <f t="shared" si="60"/>
        <v>8.4931506849315067E-2</v>
      </c>
      <c r="N108" s="304">
        <f>$M108*'MWh Impact Summary'!F$19</f>
        <v>58877.863886569408</v>
      </c>
      <c r="O108" s="304">
        <f>$M108*'MWh Impact Summary'!G$19</f>
        <v>77.595559913139994</v>
      </c>
      <c r="P108" s="304">
        <f>$M108*'MWh Impact Summary'!H$19</f>
        <v>2683.0390856905556</v>
      </c>
      <c r="Q108" s="304">
        <f>$M108*'MWh Impact Summary'!I$19</f>
        <v>858.64921101777986</v>
      </c>
      <c r="R108" s="304">
        <f>$M108*'MWh Impact Summary'!J$19</f>
        <v>15522.636385467882</v>
      </c>
      <c r="S108" s="304">
        <f>$M108*'MWh Impact Summary'!K$19</f>
        <v>0</v>
      </c>
      <c r="T108" s="304">
        <f>$M108*'MWh Impact Summary'!L$19</f>
        <v>0</v>
      </c>
      <c r="U108" s="304">
        <f>$M108*'MWh Impact Summary'!M$19</f>
        <v>0</v>
      </c>
      <c r="V108" s="304">
        <f>$M108*'LED Impact Forecast'!$H$20+$D108*'LED Impact Forecast'!$J$20</f>
        <v>762.66269596485154</v>
      </c>
      <c r="W108" s="304">
        <f>$M108*'CFL Impact Forecast'!$H$20+$D108*'CFL Impact Forecast'!$J$20</f>
        <v>282395.77097752166</v>
      </c>
      <c r="X108" s="304">
        <f>$M108*'EISA Incand Impact Forecast'!$G$20+$D108*'EISA Incand Impact Forecast'!$I$20</f>
        <v>31117.687301136706</v>
      </c>
      <c r="Y108" s="85">
        <f t="shared" si="35"/>
        <v>392295.90510328201</v>
      </c>
      <c r="Z108" s="81">
        <f t="shared" si="36"/>
        <v>904795.15848409454</v>
      </c>
      <c r="AA108" s="81"/>
      <c r="AB108" s="81">
        <v>4630751</v>
      </c>
      <c r="AC108" s="308">
        <f t="shared" si="44"/>
        <v>195.38842802908093</v>
      </c>
      <c r="AD108" s="309">
        <f t="shared" si="37"/>
        <v>110.67303195114842</v>
      </c>
      <c r="AE108" s="107">
        <f t="shared" si="38"/>
        <v>1.0122533410166014E-2</v>
      </c>
      <c r="AF108" s="309">
        <f t="shared" si="45"/>
        <v>84.71539607793251</v>
      </c>
      <c r="AG108" s="107">
        <f t="shared" si="39"/>
        <v>7.7483593973718757E-3</v>
      </c>
      <c r="AH108" s="119">
        <f t="shared" si="46"/>
        <v>1.787089280753789E-2</v>
      </c>
      <c r="AI108" s="122">
        <f t="shared" si="40"/>
        <v>1.787089280753789E-2</v>
      </c>
      <c r="AJ108" s="87" t="b">
        <f t="shared" si="47"/>
        <v>1</v>
      </c>
      <c r="AK108" s="88">
        <f t="shared" si="53"/>
        <v>2.7945743779607263E-3</v>
      </c>
      <c r="AL108" s="312">
        <f>+AC108/'MWh by month-WgtbyCDH&amp;DayLtHrs'!AC108-1</f>
        <v>9.6073561114858874E-2</v>
      </c>
      <c r="AM108" s="89">
        <f t="shared" si="41"/>
        <v>282395.77097752166</v>
      </c>
      <c r="AN108" s="93"/>
      <c r="AO108" s="96">
        <f t="shared" si="62"/>
        <v>60.982715541717027</v>
      </c>
      <c r="AP108" s="92">
        <f t="shared" si="61"/>
        <v>5.5776873971082643E-3</v>
      </c>
      <c r="AR108" s="94">
        <f t="shared" si="42"/>
        <v>1.787089280753789E-2</v>
      </c>
      <c r="AS108" s="95">
        <v>864429.00803286582</v>
      </c>
      <c r="AU108" s="141">
        <v>195.38842802908093</v>
      </c>
    </row>
    <row r="109" spans="1:47">
      <c r="A109" s="78">
        <f t="shared" si="58"/>
        <v>2013</v>
      </c>
      <c r="B109" s="78">
        <f t="shared" si="56"/>
        <v>9</v>
      </c>
      <c r="C109" s="317">
        <v>270.04400483226198</v>
      </c>
      <c r="D109" s="318">
        <f t="shared" si="57"/>
        <v>0.13501697343407715</v>
      </c>
      <c r="E109" s="321">
        <f>$D109*'MWh Impact Summary'!B$19</f>
        <v>182420.33728555145</v>
      </c>
      <c r="F109" s="319">
        <f>$D109*'MWh Impact Summary'!N$19</f>
        <v>9803.6820376534051</v>
      </c>
      <c r="G109" s="319">
        <f>$D109*'MWh Impact Summary'!C$19</f>
        <v>154139.61719729236</v>
      </c>
      <c r="H109" s="319">
        <f>$D109*'MWh Impact Summary'!D$19</f>
        <v>409.67318493372346</v>
      </c>
      <c r="I109" s="319">
        <f>$D109*'MWh Impact Summary'!E$19</f>
        <v>63238.461975412654</v>
      </c>
      <c r="J109" s="104">
        <f t="shared" si="43"/>
        <v>410011.77168084361</v>
      </c>
      <c r="K109" s="298">
        <f t="shared" si="52"/>
        <v>11.683333333333334</v>
      </c>
      <c r="L109" s="299">
        <f t="shared" si="59"/>
        <v>8.2248034729555317E-2</v>
      </c>
      <c r="M109" s="297">
        <f>(30/365)</f>
        <v>8.2191780821917804E-2</v>
      </c>
      <c r="N109" s="304">
        <f>$M109*'MWh Impact Summary'!F$19</f>
        <v>56978.577954744585</v>
      </c>
      <c r="O109" s="304">
        <f>$M109*'MWh Impact Summary'!G$19</f>
        <v>75.092477335296763</v>
      </c>
      <c r="P109" s="304">
        <f>$M109*'MWh Impact Summary'!H$19</f>
        <v>2596.4894377650535</v>
      </c>
      <c r="Q109" s="304">
        <f>$M109*'MWh Impact Summary'!I$19</f>
        <v>830.95084937204501</v>
      </c>
      <c r="R109" s="304">
        <f>$M109*'MWh Impact Summary'!J$19</f>
        <v>15021.906179485048</v>
      </c>
      <c r="S109" s="304">
        <f>$M109*'MWh Impact Summary'!K$19</f>
        <v>0</v>
      </c>
      <c r="T109" s="304">
        <f>$M109*'MWh Impact Summary'!L$19</f>
        <v>0</v>
      </c>
      <c r="U109" s="304">
        <f>$M109*'MWh Impact Summary'!M$19</f>
        <v>0</v>
      </c>
      <c r="V109" s="304">
        <f>$M109*'LED Impact Forecast'!$H$20+$D109*'LED Impact Forecast'!$J$20</f>
        <v>731.16597599371448</v>
      </c>
      <c r="W109" s="304">
        <f>$M109*'CFL Impact Forecast'!$H$20+$D109*'CFL Impact Forecast'!$J$20</f>
        <v>261389.60224595212</v>
      </c>
      <c r="X109" s="304">
        <f>$M109*'EISA Incand Impact Forecast'!$G$20+$D109*'EISA Incand Impact Forecast'!$I$20</f>
        <v>28734.280419905816</v>
      </c>
      <c r="Y109" s="85">
        <f t="shared" si="35"/>
        <v>366358.06554055365</v>
      </c>
      <c r="Z109" s="81">
        <f t="shared" si="36"/>
        <v>776369.83722139732</v>
      </c>
      <c r="AA109" s="81"/>
      <c r="AB109" s="81">
        <v>4644296</v>
      </c>
      <c r="AC109" s="308">
        <f t="shared" si="44"/>
        <v>167.16631265995906</v>
      </c>
      <c r="AD109" s="309">
        <f t="shared" si="37"/>
        <v>88.282868206686999</v>
      </c>
      <c r="AE109" s="107">
        <f t="shared" si="38"/>
        <v>7.556308263054522E-3</v>
      </c>
      <c r="AF109" s="309">
        <f t="shared" si="45"/>
        <v>78.883444453272062</v>
      </c>
      <c r="AG109" s="107">
        <f t="shared" si="39"/>
        <v>6.7517926778834858E-3</v>
      </c>
      <c r="AH109" s="119">
        <f t="shared" si="46"/>
        <v>1.4308100940938009E-2</v>
      </c>
      <c r="AI109" s="122">
        <f t="shared" si="40"/>
        <v>1.4308100940938009E-2</v>
      </c>
      <c r="AJ109" s="87" t="b">
        <f t="shared" si="47"/>
        <v>1</v>
      </c>
      <c r="AK109" s="88">
        <f t="shared" si="53"/>
        <v>1.7324933338483013E-3</v>
      </c>
      <c r="AL109" s="312">
        <f>+AC109/'MWh by month-WgtbyCDH&amp;DayLtHrs'!AC109-1</f>
        <v>6.6812751891118793E-3</v>
      </c>
      <c r="AM109" s="89">
        <f t="shared" si="41"/>
        <v>261389.60224595212</v>
      </c>
      <c r="AN109" s="93"/>
      <c r="AO109" s="96">
        <f t="shared" si="62"/>
        <v>56.281856764933181</v>
      </c>
      <c r="AP109" s="92">
        <f t="shared" si="61"/>
        <v>4.8172773265278048E-3</v>
      </c>
      <c r="AR109" s="94">
        <f t="shared" si="42"/>
        <v>1.4308100940938009E-2</v>
      </c>
      <c r="AS109" s="95">
        <v>815342.50819848932</v>
      </c>
      <c r="AU109" s="141">
        <v>167.16631265995906</v>
      </c>
    </row>
    <row r="110" spans="1:47">
      <c r="A110" s="78">
        <f t="shared" si="58"/>
        <v>2013</v>
      </c>
      <c r="B110" s="78">
        <f t="shared" si="56"/>
        <v>10</v>
      </c>
      <c r="C110" s="317">
        <v>213.28592721551468</v>
      </c>
      <c r="D110" s="318">
        <f t="shared" si="57"/>
        <v>0.10663899162141027</v>
      </c>
      <c r="E110" s="321">
        <f>$D110*'MWh Impact Summary'!B$19</f>
        <v>144079.07631603713</v>
      </c>
      <c r="F110" s="319">
        <f>$D110*'MWh Impact Summary'!N$19</f>
        <v>7743.1358449368709</v>
      </c>
      <c r="G110" s="319">
        <f>$D110*'MWh Impact Summary'!C$19</f>
        <v>121742.42192486305</v>
      </c>
      <c r="H110" s="319">
        <f>$D110*'MWh Impact Summary'!D$19</f>
        <v>323.56772800120797</v>
      </c>
      <c r="I110" s="319">
        <f>$D110*'MWh Impact Summary'!E$19</f>
        <v>49946.948485255059</v>
      </c>
      <c r="J110" s="104">
        <f t="shared" si="43"/>
        <v>323835.15029909334</v>
      </c>
      <c r="K110" s="298">
        <f t="shared" si="52"/>
        <v>12.466666666666667</v>
      </c>
      <c r="L110" s="299">
        <f t="shared" si="59"/>
        <v>8.7762524932535488E-2</v>
      </c>
      <c r="M110" s="297">
        <f t="shared" si="60"/>
        <v>8.4931506849315067E-2</v>
      </c>
      <c r="N110" s="304">
        <f>$M110*'MWh Impact Summary'!F$19</f>
        <v>58877.863886569408</v>
      </c>
      <c r="O110" s="304">
        <f>$M110*'MWh Impact Summary'!G$19</f>
        <v>77.595559913139994</v>
      </c>
      <c r="P110" s="304">
        <f>$M110*'MWh Impact Summary'!H$19</f>
        <v>2683.0390856905556</v>
      </c>
      <c r="Q110" s="304">
        <f>$M110*'MWh Impact Summary'!I$19</f>
        <v>858.64921101777986</v>
      </c>
      <c r="R110" s="304">
        <f>$M110*'MWh Impact Summary'!J$19</f>
        <v>15522.636385467882</v>
      </c>
      <c r="S110" s="304">
        <f>$M110*'MWh Impact Summary'!K$19</f>
        <v>0</v>
      </c>
      <c r="T110" s="304">
        <f>$M110*'MWh Impact Summary'!L$19</f>
        <v>0</v>
      </c>
      <c r="U110" s="304">
        <f>$M110*'MWh Impact Summary'!M$19</f>
        <v>0</v>
      </c>
      <c r="V110" s="304">
        <f>$M110*'LED Impact Forecast'!$H$20+$D110*'LED Impact Forecast'!$J$20</f>
        <v>747.52944979013421</v>
      </c>
      <c r="W110" s="304">
        <f>$M110*'CFL Impact Forecast'!$H$20+$D110*'CFL Impact Forecast'!$J$20</f>
        <v>256283.73407055647</v>
      </c>
      <c r="X110" s="304">
        <f>$M110*'EISA Incand Impact Forecast'!$G$20+$D110*'EISA Incand Impact Forecast'!$I$20</f>
        <v>28089.565253495974</v>
      </c>
      <c r="Y110" s="85">
        <f t="shared" si="35"/>
        <v>363140.61290250137</v>
      </c>
      <c r="Z110" s="81">
        <f t="shared" si="36"/>
        <v>686975.7632015947</v>
      </c>
      <c r="AA110" s="81"/>
      <c r="AB110" s="81">
        <v>4655414</v>
      </c>
      <c r="AC110" s="308">
        <f t="shared" si="44"/>
        <v>147.56491328195403</v>
      </c>
      <c r="AD110" s="309">
        <f t="shared" si="37"/>
        <v>69.560977884908482</v>
      </c>
      <c r="AE110" s="107">
        <f t="shared" si="38"/>
        <v>5.5797575843509481E-3</v>
      </c>
      <c r="AF110" s="309">
        <f t="shared" si="45"/>
        <v>78.003935397045538</v>
      </c>
      <c r="AG110" s="107">
        <f t="shared" si="39"/>
        <v>6.2570001655384124E-3</v>
      </c>
      <c r="AH110" s="119">
        <f t="shared" si="46"/>
        <v>1.1836757749889361E-2</v>
      </c>
      <c r="AI110" s="122">
        <f t="shared" si="40"/>
        <v>1.1836757749889362E-2</v>
      </c>
      <c r="AJ110" s="87" t="b">
        <f t="shared" si="47"/>
        <v>1</v>
      </c>
      <c r="AK110" s="88">
        <f t="shared" si="53"/>
        <v>1.9539920501928289E-3</v>
      </c>
      <c r="AL110" s="312">
        <f>+AC110/'MWh by month-WgtbyCDH&amp;DayLtHrs'!AC110-1</f>
        <v>2.3954667622827275E-2</v>
      </c>
      <c r="AM110" s="89">
        <f t="shared" si="41"/>
        <v>256283.73407055647</v>
      </c>
      <c r="AN110" s="93"/>
      <c r="AO110" s="96">
        <f t="shared" si="62"/>
        <v>55.050685947706576</v>
      </c>
      <c r="AP110" s="92">
        <f t="shared" si="61"/>
        <v>4.415830423612827E-3</v>
      </c>
      <c r="AR110" s="94">
        <f t="shared" si="42"/>
        <v>1.1836757749889362E-2</v>
      </c>
      <c r="AS110" s="95">
        <v>653211.96732746228</v>
      </c>
      <c r="AU110" s="141">
        <v>147.56491328195403</v>
      </c>
    </row>
    <row r="111" spans="1:47">
      <c r="A111" s="78">
        <f t="shared" si="58"/>
        <v>2013</v>
      </c>
      <c r="B111" s="78">
        <f t="shared" si="56"/>
        <v>11</v>
      </c>
      <c r="C111" s="317">
        <v>110.23315885291359</v>
      </c>
      <c r="D111" s="318">
        <f t="shared" si="57"/>
        <v>5.5114526573708029E-2</v>
      </c>
      <c r="E111" s="321">
        <f>$D111*'MWh Impact Summary'!B$19</f>
        <v>74464.789657118468</v>
      </c>
      <c r="F111" s="319">
        <f>$D111*'MWh Impact Summary'!N$19</f>
        <v>4001.9064302922611</v>
      </c>
      <c r="G111" s="319">
        <f>$D111*'MWh Impact Summary'!C$19</f>
        <v>62920.4744559709</v>
      </c>
      <c r="H111" s="319">
        <f>$D111*'MWh Impact Summary'!D$19</f>
        <v>167.23040861665893</v>
      </c>
      <c r="I111" s="319">
        <f>$D111*'MWh Impact Summary'!E$19</f>
        <v>25814.220274505358</v>
      </c>
      <c r="J111" s="104">
        <f t="shared" si="43"/>
        <v>167368.62122650363</v>
      </c>
      <c r="K111" s="298">
        <f t="shared" si="52"/>
        <v>13.15</v>
      </c>
      <c r="L111" s="299">
        <f t="shared" si="59"/>
        <v>9.2573037662794788E-2</v>
      </c>
      <c r="M111" s="297">
        <f>(30/365)</f>
        <v>8.2191780821917804E-2</v>
      </c>
      <c r="N111" s="304">
        <f>$M111*'MWh Impact Summary'!F$19</f>
        <v>56978.577954744585</v>
      </c>
      <c r="O111" s="304">
        <f>$M111*'MWh Impact Summary'!G$19</f>
        <v>75.092477335296763</v>
      </c>
      <c r="P111" s="304">
        <f>$M111*'MWh Impact Summary'!H$19</f>
        <v>2596.4894377650535</v>
      </c>
      <c r="Q111" s="304">
        <f>$M111*'MWh Impact Summary'!I$19</f>
        <v>830.95084937204501</v>
      </c>
      <c r="R111" s="304">
        <f>$M111*'MWh Impact Summary'!J$19</f>
        <v>15021.906179485048</v>
      </c>
      <c r="S111" s="304">
        <f>$M111*'MWh Impact Summary'!K$19</f>
        <v>0</v>
      </c>
      <c r="T111" s="304">
        <f>$M111*'MWh Impact Summary'!L$19</f>
        <v>0</v>
      </c>
      <c r="U111" s="304">
        <f>$M111*'MWh Impact Summary'!M$19</f>
        <v>0</v>
      </c>
      <c r="V111" s="304">
        <f>$M111*'LED Impact Forecast'!$H$20+$D111*'LED Impact Forecast'!$J$20</f>
        <v>711.70292781202602</v>
      </c>
      <c r="W111" s="304">
        <f>$M111*'CFL Impact Forecast'!$H$20+$D111*'CFL Impact Forecast'!$J$20</f>
        <v>227806.60051752231</v>
      </c>
      <c r="X111" s="304">
        <f>$M111*'EISA Incand Impact Forecast'!$G$20+$D111*'EISA Incand Impact Forecast'!$I$20</f>
        <v>24839.776581613169</v>
      </c>
      <c r="Y111" s="85">
        <f t="shared" si="35"/>
        <v>328861.09692564956</v>
      </c>
      <c r="Z111" s="81">
        <f t="shared" si="36"/>
        <v>496229.71815215319</v>
      </c>
      <c r="AA111" s="81"/>
      <c r="AB111" s="81">
        <v>4665143</v>
      </c>
      <c r="AC111" s="308">
        <f t="shared" si="44"/>
        <v>106.36966930105962</v>
      </c>
      <c r="AD111" s="309">
        <f t="shared" si="37"/>
        <v>35.876418199078493</v>
      </c>
      <c r="AE111" s="107">
        <f t="shared" si="38"/>
        <v>2.7282447299679462E-3</v>
      </c>
      <c r="AF111" s="309">
        <f t="shared" si="45"/>
        <v>70.49325110198113</v>
      </c>
      <c r="AG111" s="107">
        <f t="shared" si="39"/>
        <v>5.3607035058540788E-3</v>
      </c>
      <c r="AH111" s="119">
        <f t="shared" si="46"/>
        <v>8.0889482358220254E-3</v>
      </c>
      <c r="AI111" s="122">
        <f t="shared" si="40"/>
        <v>8.0889482358220237E-3</v>
      </c>
      <c r="AJ111" s="87" t="b">
        <f t="shared" si="47"/>
        <v>0</v>
      </c>
      <c r="AK111" s="88">
        <f t="shared" si="53"/>
        <v>2.9441818758193759E-3</v>
      </c>
      <c r="AL111" s="312">
        <f>+AC111/'MWh by month-WgtbyCDH&amp;DayLtHrs'!AC111-1</f>
        <v>-1.4019615685147313E-2</v>
      </c>
      <c r="AM111" s="89">
        <f t="shared" si="41"/>
        <v>227806.60051752231</v>
      </c>
      <c r="AN111" s="93"/>
      <c r="AO111" s="96">
        <f t="shared" si="62"/>
        <v>48.831643642546929</v>
      </c>
      <c r="AP111" s="92">
        <f t="shared" si="61"/>
        <v>3.7134329766195383E-3</v>
      </c>
      <c r="AR111" s="94">
        <f t="shared" si="42"/>
        <v>8.0889482358220237E-3</v>
      </c>
      <c r="AS111" s="95">
        <v>498384.25806814851</v>
      </c>
      <c r="AU111" s="141">
        <v>106.36966930105962</v>
      </c>
    </row>
    <row r="112" spans="1:47">
      <c r="A112" s="78">
        <f t="shared" si="58"/>
        <v>2013</v>
      </c>
      <c r="B112" s="78">
        <f t="shared" si="56"/>
        <v>12</v>
      </c>
      <c r="C112" s="317">
        <v>79.005079745838657</v>
      </c>
      <c r="D112" s="318">
        <f t="shared" si="57"/>
        <v>3.9501068575200832E-2</v>
      </c>
      <c r="E112" s="321">
        <f>$D112*'MWh Impact Summary'!B$19</f>
        <v>53369.573242182829</v>
      </c>
      <c r="F112" s="319">
        <f>$D112*'MWh Impact Summary'!N$19</f>
        <v>2868.2017275990256</v>
      </c>
      <c r="G112" s="319">
        <f>$D112*'MWh Impact Summary'!C$19</f>
        <v>45095.660450708332</v>
      </c>
      <c r="H112" s="319">
        <f>$D112*'MWh Impact Summary'!D$19</f>
        <v>119.85551268033097</v>
      </c>
      <c r="I112" s="319">
        <f>$D112*'MWh Impact Summary'!E$19</f>
        <v>18501.27994685544</v>
      </c>
      <c r="J112" s="104">
        <f t="shared" si="43"/>
        <v>119954.57088002596</v>
      </c>
      <c r="K112" s="298">
        <f t="shared" si="52"/>
        <v>13.483333333333333</v>
      </c>
      <c r="L112" s="299">
        <f>K112/(SUM(K$101:K$112))</f>
        <v>9.491962923853102E-2</v>
      </c>
      <c r="M112" s="297">
        <f t="shared" si="60"/>
        <v>8.4931506849315067E-2</v>
      </c>
      <c r="N112" s="304">
        <f>$M112*'MWh Impact Summary'!F$19</f>
        <v>58877.863886569408</v>
      </c>
      <c r="O112" s="304">
        <f>$M112*'MWh Impact Summary'!G$19</f>
        <v>77.595559913139994</v>
      </c>
      <c r="P112" s="304">
        <f>$M112*'MWh Impact Summary'!H$19</f>
        <v>2683.0390856905556</v>
      </c>
      <c r="Q112" s="304">
        <f>$M112*'MWh Impact Summary'!I$19</f>
        <v>858.64921101777986</v>
      </c>
      <c r="R112" s="304">
        <f>$M112*'MWh Impact Summary'!J$19</f>
        <v>15522.636385467882</v>
      </c>
      <c r="S112" s="304">
        <f>$M112*'MWh Impact Summary'!K$19</f>
        <v>0</v>
      </c>
      <c r="T112" s="304">
        <f>$M112*'MWh Impact Summary'!L$19</f>
        <v>0</v>
      </c>
      <c r="U112" s="304">
        <f>$M112*'MWh Impact Summary'!M$19</f>
        <v>0</v>
      </c>
      <c r="V112" s="304">
        <f>$M112*'LED Impact Forecast'!$H$20+$D112*'LED Impact Forecast'!$J$20</f>
        <v>731.17564984517935</v>
      </c>
      <c r="W112" s="304">
        <f>$M112*'CFL Impact Forecast'!$H$20+$D112*'CFL Impact Forecast'!$J$20</f>
        <v>228065.66223047688</v>
      </c>
      <c r="X112" s="304">
        <f>$M112*'EISA Incand Impact Forecast'!$G$20+$D112*'EISA Incand Impact Forecast'!$I$20</f>
        <v>24817.213663870934</v>
      </c>
      <c r="Y112" s="85">
        <f t="shared" si="35"/>
        <v>331633.83567285177</v>
      </c>
      <c r="Z112" s="81">
        <f t="shared" si="36"/>
        <v>451588.40655287774</v>
      </c>
      <c r="AA112" s="81">
        <f>SUM(Z101:Z112)</f>
        <v>7192486.778645033</v>
      </c>
      <c r="AB112" s="81">
        <v>4671859</v>
      </c>
      <c r="AC112" s="308">
        <f t="shared" si="44"/>
        <v>96.661394651011022</v>
      </c>
      <c r="AD112" s="309">
        <f t="shared" si="37"/>
        <v>25.675982704106858</v>
      </c>
      <c r="AE112" s="107">
        <f t="shared" si="38"/>
        <v>1.9042756022823381E-3</v>
      </c>
      <c r="AF112" s="309">
        <f t="shared" si="45"/>
        <v>70.985411946904165</v>
      </c>
      <c r="AG112" s="107">
        <f t="shared" si="39"/>
        <v>5.2646782655305941E-3</v>
      </c>
      <c r="AH112" s="119">
        <f t="shared" si="46"/>
        <v>7.1689538678129322E-3</v>
      </c>
      <c r="AI112" s="122">
        <f t="shared" si="40"/>
        <v>7.1689538678129322E-3</v>
      </c>
      <c r="AJ112" s="87" t="b">
        <f t="shared" si="47"/>
        <v>1</v>
      </c>
      <c r="AK112" s="88">
        <f t="shared" si="53"/>
        <v>1.6987158054406395E-3</v>
      </c>
      <c r="AL112" s="312">
        <f>+AC112/'MWh by month-WgtbyCDH&amp;DayLtHrs'!AC112-1</f>
        <v>-1.3369144773079378E-2</v>
      </c>
      <c r="AM112" s="89">
        <f t="shared" si="41"/>
        <v>228065.66223047688</v>
      </c>
      <c r="AN112" s="90">
        <f>SUM(AM101:AM112)</f>
        <v>2910110.5878092023</v>
      </c>
      <c r="AO112" s="96">
        <f t="shared" si="62"/>
        <v>48.816897562721152</v>
      </c>
      <c r="AP112" s="92">
        <f t="shared" si="61"/>
        <v>3.6205362840089858E-3</v>
      </c>
      <c r="AR112" s="94">
        <f t="shared" si="42"/>
        <v>7.1689538678129322E-3</v>
      </c>
      <c r="AS112" s="95">
        <v>407792.31518567307</v>
      </c>
      <c r="AU112" s="141">
        <v>96.661394651011022</v>
      </c>
    </row>
    <row r="113" spans="1:47">
      <c r="A113" s="78">
        <v>2014</v>
      </c>
      <c r="B113" s="78">
        <v>1</v>
      </c>
      <c r="C113" s="317">
        <v>26.95686291874426</v>
      </c>
      <c r="D113" s="318">
        <f t="shared" ref="D113:D124" si="63">C113/(SUM(C$113:C$124))</f>
        <v>1.3698320627674477E-2</v>
      </c>
      <c r="E113" s="321">
        <f>$D113*'MWh Impact Summary'!B$20</f>
        <v>21041.870780556987</v>
      </c>
      <c r="F113" s="319">
        <f>$D113*'MWh Impact Summary'!N$20</f>
        <v>1300.2087457768455</v>
      </c>
      <c r="G113" s="319">
        <f>$D113*'MWh Impact Summary'!C$20</f>
        <v>17953.750842222504</v>
      </c>
      <c r="H113" s="319">
        <f>$D113*'MWh Impact Summary'!D$20</f>
        <v>53.587236161098986</v>
      </c>
      <c r="I113" s="319">
        <f>$D113*'MWh Impact Summary'!E$20</f>
        <v>7239.6949150570272</v>
      </c>
      <c r="J113" s="104">
        <f t="shared" si="43"/>
        <v>47589.112519774462</v>
      </c>
      <c r="K113" s="298">
        <f t="shared" si="52"/>
        <v>13.3</v>
      </c>
      <c r="L113" s="300">
        <f>L101</f>
        <v>9.3629003871876101E-2</v>
      </c>
      <c r="M113" s="297">
        <f>(31/365)</f>
        <v>8.4931506849315067E-2</v>
      </c>
      <c r="N113" s="304">
        <f>$M113*'MWh Impact Summary'!F$20</f>
        <v>69436.910975051389</v>
      </c>
      <c r="O113" s="304">
        <f>$M113*'MWh Impact Summary'!G$20</f>
        <v>304.55870729542738</v>
      </c>
      <c r="P113" s="304">
        <f>$M113*'MWh Impact Summary'!H$20</f>
        <v>3430.6954612875843</v>
      </c>
      <c r="Q113" s="304">
        <f>$M113*'MWh Impact Summary'!I$20</f>
        <v>951.24712521510378</v>
      </c>
      <c r="R113" s="304">
        <f>$M113*'MWh Impact Summary'!J$20</f>
        <v>19082.497207732114</v>
      </c>
      <c r="S113" s="304">
        <f>$M113*'MWh Impact Summary'!K$20</f>
        <v>0</v>
      </c>
      <c r="T113" s="304">
        <f>$M113*'MWh Impact Summary'!L$20</f>
        <v>0</v>
      </c>
      <c r="U113" s="304">
        <f>$M113*'MWh Impact Summary'!M$20</f>
        <v>0</v>
      </c>
      <c r="V113" s="304">
        <f>$M113*'LED Impact Forecast'!$H$21+$D113*'LED Impact Forecast'!$J$21</f>
        <v>2251.1827308251204</v>
      </c>
      <c r="W113" s="304">
        <f>$M113*'CFL Impact Forecast'!$H$21+$D113*'CFL Impact Forecast'!$J$21</f>
        <v>234996.84021422279</v>
      </c>
      <c r="X113" s="304">
        <f>$M113*'EISA Incand Impact Forecast'!$G$21+$D113*'EISA Incand Impact Forecast'!$I$21</f>
        <v>47083.627401054458</v>
      </c>
      <c r="Y113" s="85">
        <f t="shared" si="35"/>
        <v>377537.55982268404</v>
      </c>
      <c r="Z113" s="81">
        <f t="shared" si="36"/>
        <v>425126.67234245851</v>
      </c>
      <c r="AA113" s="81"/>
      <c r="AB113" s="81">
        <v>4679556</v>
      </c>
      <c r="AC113" s="308">
        <f t="shared" si="44"/>
        <v>90.847651431558575</v>
      </c>
      <c r="AD113" s="309">
        <f t="shared" si="37"/>
        <v>10.169578592450749</v>
      </c>
      <c r="AE113" s="107">
        <f t="shared" si="38"/>
        <v>7.6462996935719918E-4</v>
      </c>
      <c r="AF113" s="309">
        <f t="shared" si="45"/>
        <v>80.678072839107827</v>
      </c>
      <c r="AG113" s="107">
        <f t="shared" si="39"/>
        <v>6.066020514218633E-3</v>
      </c>
      <c r="AH113" s="119">
        <f t="shared" si="46"/>
        <v>6.8306504835758319E-3</v>
      </c>
      <c r="AI113" s="122">
        <f t="shared" si="40"/>
        <v>6.8306504835758319E-3</v>
      </c>
      <c r="AJ113" s="87" t="b">
        <f t="shared" si="47"/>
        <v>1</v>
      </c>
      <c r="AK113" s="88">
        <f t="shared" si="53"/>
        <v>2.5778140115658484E-4</v>
      </c>
      <c r="AL113" s="312">
        <f>+AC113/'MWh by month-WgtbyCDH&amp;DayLtHrs'!AC113-1</f>
        <v>-0.15497507884897932</v>
      </c>
      <c r="AM113" s="89">
        <f t="shared" si="41"/>
        <v>234996.84021422279</v>
      </c>
      <c r="AN113" s="93"/>
      <c r="AO113" s="96">
        <f t="shared" si="62"/>
        <v>50.217764295207232</v>
      </c>
      <c r="AP113" s="92">
        <f t="shared" si="61"/>
        <v>3.7757717515193409E-3</v>
      </c>
      <c r="AR113" s="94">
        <f t="shared" si="42"/>
        <v>6.8306504835758319E-3</v>
      </c>
      <c r="AS113" s="95">
        <v>462445.94354477955</v>
      </c>
      <c r="AU113" s="141">
        <v>90.847651431558575</v>
      </c>
    </row>
    <row r="114" spans="1:47">
      <c r="A114" s="78">
        <v>2014</v>
      </c>
      <c r="B114" s="78">
        <v>2</v>
      </c>
      <c r="C114" s="317">
        <v>57.510679559652473</v>
      </c>
      <c r="D114" s="318">
        <f t="shared" si="63"/>
        <v>2.9224458739810315E-2</v>
      </c>
      <c r="E114" s="321">
        <f>$D114*'MWh Impact Summary'!B$20</f>
        <v>44891.436048916898</v>
      </c>
      <c r="F114" s="319">
        <f>$D114*'MWh Impact Summary'!N$20</f>
        <v>2773.9091438208461</v>
      </c>
      <c r="G114" s="319">
        <f>$D114*'MWh Impact Summary'!C$20</f>
        <v>38303.136930037028</v>
      </c>
      <c r="H114" s="319">
        <f>$D114*'MWh Impact Summary'!D$20</f>
        <v>114.32481504386963</v>
      </c>
      <c r="I114" s="319">
        <f>$D114*'MWh Impact Summary'!E$20</f>
        <v>15445.409045723096</v>
      </c>
      <c r="J114" s="104">
        <f t="shared" si="43"/>
        <v>101528.21598354174</v>
      </c>
      <c r="K114" s="298">
        <f t="shared" si="52"/>
        <v>12.733333333333333</v>
      </c>
      <c r="L114" s="300">
        <f t="shared" ref="L114:L177" si="64">L102</f>
        <v>8.9639798193124468E-2</v>
      </c>
      <c r="M114" s="297">
        <f>(28/365)</f>
        <v>7.6712328767123292E-2</v>
      </c>
      <c r="N114" s="304">
        <f>$M114*'MWh Impact Summary'!F$20</f>
        <v>62717.209912949649</v>
      </c>
      <c r="O114" s="304">
        <f>$M114*'MWh Impact Summary'!G$20</f>
        <v>275.08528400877316</v>
      </c>
      <c r="P114" s="304">
        <f>$M114*'MWh Impact Summary'!H$20</f>
        <v>3098.6926747113666</v>
      </c>
      <c r="Q114" s="304">
        <f>$M114*'MWh Impact Summary'!I$20</f>
        <v>859.19095180719057</v>
      </c>
      <c r="R114" s="304">
        <f>$M114*'MWh Impact Summary'!J$20</f>
        <v>17235.803929564492</v>
      </c>
      <c r="S114" s="304">
        <f>$M114*'MWh Impact Summary'!K$20</f>
        <v>0</v>
      </c>
      <c r="T114" s="304">
        <f>$M114*'MWh Impact Summary'!L$20</f>
        <v>0</v>
      </c>
      <c r="U114" s="304">
        <f>$M114*'MWh Impact Summary'!M$20</f>
        <v>0</v>
      </c>
      <c r="V114" s="304">
        <f>$M114*'LED Impact Forecast'!$H$21+$D114*'LED Impact Forecast'!$J$21</f>
        <v>2060.9748337669744</v>
      </c>
      <c r="W114" s="304">
        <f>$M114*'CFL Impact Forecast'!$H$21+$D114*'CFL Impact Forecast'!$J$21</f>
        <v>219933.61518349397</v>
      </c>
      <c r="X114" s="304">
        <f>$M114*'EISA Incand Impact Forecast'!$G$21+$D114*'EISA Incand Impact Forecast'!$I$21</f>
        <v>44177.420467968295</v>
      </c>
      <c r="Y114" s="85">
        <f t="shared" si="35"/>
        <v>350357.99323827069</v>
      </c>
      <c r="Z114" s="81">
        <f t="shared" si="36"/>
        <v>451886.20922181243</v>
      </c>
      <c r="AA114" s="81"/>
      <c r="AB114" s="81">
        <v>4687089</v>
      </c>
      <c r="AC114" s="308">
        <f t="shared" si="44"/>
        <v>96.410844603508153</v>
      </c>
      <c r="AD114" s="309">
        <f t="shared" si="37"/>
        <v>21.661252001731082</v>
      </c>
      <c r="AE114" s="107">
        <f t="shared" si="38"/>
        <v>1.701145445162127E-3</v>
      </c>
      <c r="AF114" s="309">
        <f t="shared" si="45"/>
        <v>74.749592601777067</v>
      </c>
      <c r="AG114" s="107">
        <f t="shared" si="39"/>
        <v>5.8703868535427018E-3</v>
      </c>
      <c r="AH114" s="119">
        <f t="shared" si="46"/>
        <v>7.5715322987048288E-3</v>
      </c>
      <c r="AI114" s="122">
        <f t="shared" si="40"/>
        <v>7.5715322987048288E-3</v>
      </c>
      <c r="AJ114" s="87" t="b">
        <f t="shared" si="47"/>
        <v>1</v>
      </c>
      <c r="AK114" s="88">
        <f t="shared" si="53"/>
        <v>1.3958664901093472E-3</v>
      </c>
      <c r="AL114" s="312">
        <f>+AC114/'MWh by month-WgtbyCDH&amp;DayLtHrs'!AC114-1</f>
        <v>-9.691858115335561E-2</v>
      </c>
      <c r="AM114" s="89">
        <f t="shared" si="41"/>
        <v>219933.61518349397</v>
      </c>
      <c r="AN114" s="93"/>
      <c r="AO114" s="96">
        <f t="shared" si="62"/>
        <v>46.923285472815635</v>
      </c>
      <c r="AP114" s="92">
        <f t="shared" si="61"/>
        <v>3.6850747753520135E-3</v>
      </c>
      <c r="AR114" s="94">
        <f t="shared" si="42"/>
        <v>7.5715322987048288E-3</v>
      </c>
      <c r="AS114" s="95">
        <v>429989.36628902756</v>
      </c>
      <c r="AU114" s="141">
        <v>96.410844603508153</v>
      </c>
    </row>
    <row r="115" spans="1:47">
      <c r="A115" s="78">
        <v>2014</v>
      </c>
      <c r="B115" s="78">
        <v>3</v>
      </c>
      <c r="C115" s="317">
        <v>62.20178223460303</v>
      </c>
      <c r="D115" s="318">
        <f t="shared" si="63"/>
        <v>3.1608275756371665E-2</v>
      </c>
      <c r="E115" s="321">
        <f>$D115*'MWh Impact Summary'!B$20</f>
        <v>48553.196566161576</v>
      </c>
      <c r="F115" s="319">
        <f>$D115*'MWh Impact Summary'!N$20</f>
        <v>3000.1748166364578</v>
      </c>
      <c r="G115" s="319">
        <f>$D115*'MWh Impact Summary'!C$20</f>
        <v>41427.494866463756</v>
      </c>
      <c r="H115" s="319">
        <f>$D115*'MWh Impact Summary'!D$20</f>
        <v>123.65020381986632</v>
      </c>
      <c r="I115" s="319">
        <f>$D115*'MWh Impact Summary'!E$20</f>
        <v>16705.279390585616</v>
      </c>
      <c r="J115" s="104">
        <f t="shared" si="43"/>
        <v>109809.79584366726</v>
      </c>
      <c r="K115" s="298">
        <f t="shared" si="52"/>
        <v>12</v>
      </c>
      <c r="L115" s="300">
        <f t="shared" si="64"/>
        <v>8.4477296726504739E-2</v>
      </c>
      <c r="M115" s="297">
        <f t="shared" ref="M115:M124" si="65">(31/365)</f>
        <v>8.4931506849315067E-2</v>
      </c>
      <c r="N115" s="304">
        <f>$M115*'MWh Impact Summary'!F$20</f>
        <v>69436.910975051389</v>
      </c>
      <c r="O115" s="304">
        <f>$M115*'MWh Impact Summary'!G$20</f>
        <v>304.55870729542738</v>
      </c>
      <c r="P115" s="304">
        <f>$M115*'MWh Impact Summary'!H$20</f>
        <v>3430.6954612875843</v>
      </c>
      <c r="Q115" s="304">
        <f>$M115*'MWh Impact Summary'!I$20</f>
        <v>951.24712521510378</v>
      </c>
      <c r="R115" s="304">
        <f>$M115*'MWh Impact Summary'!J$20</f>
        <v>19082.497207732114</v>
      </c>
      <c r="S115" s="304">
        <f>$M115*'MWh Impact Summary'!K$20</f>
        <v>0</v>
      </c>
      <c r="T115" s="304">
        <f>$M115*'MWh Impact Summary'!L$20</f>
        <v>0</v>
      </c>
      <c r="U115" s="304">
        <f>$M115*'MWh Impact Summary'!M$20</f>
        <v>0</v>
      </c>
      <c r="V115" s="304">
        <f>$M115*'LED Impact Forecast'!$H$21+$D115*'LED Impact Forecast'!$J$21</f>
        <v>2280.5673576782601</v>
      </c>
      <c r="W115" s="304">
        <f>$M115*'CFL Impact Forecast'!$H$21+$D115*'CFL Impact Forecast'!$J$21</f>
        <v>243157.39455178144</v>
      </c>
      <c r="X115" s="304">
        <f>$M115*'EISA Incand Impact Forecast'!$G$21+$D115*'EISA Incand Impact Forecast'!$I$21</f>
        <v>48837.526055480375</v>
      </c>
      <c r="Y115" s="85">
        <f t="shared" si="35"/>
        <v>387481.39744152164</v>
      </c>
      <c r="Z115" s="81">
        <f t="shared" si="36"/>
        <v>497291.19328518887</v>
      </c>
      <c r="AA115" s="85"/>
      <c r="AB115" s="85">
        <v>4694845</v>
      </c>
      <c r="AC115" s="308">
        <f t="shared" si="44"/>
        <v>105.92281391295961</v>
      </c>
      <c r="AD115" s="309">
        <f t="shared" si="37"/>
        <v>23.389440086662557</v>
      </c>
      <c r="AE115" s="107">
        <f t="shared" si="38"/>
        <v>1.9491200072218797E-3</v>
      </c>
      <c r="AF115" s="309">
        <f t="shared" si="45"/>
        <v>82.533373826297066</v>
      </c>
      <c r="AG115" s="107">
        <f t="shared" si="39"/>
        <v>6.8777811521914221E-3</v>
      </c>
      <c r="AH115" s="119">
        <f t="shared" si="46"/>
        <v>8.8269011594133018E-3</v>
      </c>
      <c r="AI115" s="122">
        <f t="shared" si="40"/>
        <v>8.8269011594133018E-3</v>
      </c>
      <c r="AJ115" s="87" t="b">
        <f t="shared" si="47"/>
        <v>1</v>
      </c>
      <c r="AK115" s="88">
        <f t="shared" si="53"/>
        <v>2.2561782523598892E-3</v>
      </c>
      <c r="AL115" s="312">
        <f>+AC115/'MWh by month-WgtbyCDH&amp;DayLtHrs'!AC115-1</f>
        <v>-5.9320126226906633E-2</v>
      </c>
      <c r="AM115" s="89">
        <f t="shared" si="41"/>
        <v>243157.39455178144</v>
      </c>
      <c r="AN115" s="89"/>
      <c r="AO115" s="96">
        <f t="shared" si="62"/>
        <v>51.792422231571315</v>
      </c>
      <c r="AP115" s="92">
        <f t="shared" si="61"/>
        <v>4.3160351859642763E-3</v>
      </c>
      <c r="AR115" s="94">
        <f t="shared" si="42"/>
        <v>8.8269011594133018E-3</v>
      </c>
      <c r="AS115" s="95">
        <v>522118.50113084482</v>
      </c>
      <c r="AU115" s="141">
        <v>105.92281391295961</v>
      </c>
    </row>
    <row r="116" spans="1:47">
      <c r="A116" s="78">
        <v>2014</v>
      </c>
      <c r="B116" s="78">
        <v>4</v>
      </c>
      <c r="C116" s="317">
        <v>137.13602413996043</v>
      </c>
      <c r="D116" s="318">
        <f t="shared" si="63"/>
        <v>6.9686640984009313E-2</v>
      </c>
      <c r="E116" s="321">
        <f>$D116*'MWh Impact Summary'!B$20</f>
        <v>107045.04110921269</v>
      </c>
      <c r="F116" s="319">
        <f>$D116*'MWh Impact Summary'!N$20</f>
        <v>6614.4735938044832</v>
      </c>
      <c r="G116" s="319">
        <f>$D116*'MWh Impact Summary'!C$20</f>
        <v>91335.034656048651</v>
      </c>
      <c r="H116" s="319">
        <f>$D116*'MWh Impact Summary'!D$20</f>
        <v>272.61111702550284</v>
      </c>
      <c r="I116" s="319">
        <f>$D116*'MWh Impact Summary'!E$20</f>
        <v>36830.063632769998</v>
      </c>
      <c r="J116" s="104">
        <f t="shared" si="43"/>
        <v>242097.22410886135</v>
      </c>
      <c r="K116" s="298">
        <f t="shared" si="52"/>
        <v>11.2</v>
      </c>
      <c r="L116" s="300">
        <f t="shared" si="64"/>
        <v>7.8845476944737758E-2</v>
      </c>
      <c r="M116" s="297">
        <f>(30/365)</f>
        <v>8.2191780821917804E-2</v>
      </c>
      <c r="N116" s="304">
        <f>$M116*'MWh Impact Summary'!F$20</f>
        <v>67197.010621017471</v>
      </c>
      <c r="O116" s="304">
        <f>$M116*'MWh Impact Summary'!G$20</f>
        <v>294.73423286654264</v>
      </c>
      <c r="P116" s="304">
        <f>$M116*'MWh Impact Summary'!H$20</f>
        <v>3320.0278657621784</v>
      </c>
      <c r="Q116" s="304">
        <f>$M116*'MWh Impact Summary'!I$20</f>
        <v>920.56173407913263</v>
      </c>
      <c r="R116" s="304">
        <f>$M116*'MWh Impact Summary'!J$20</f>
        <v>18466.932781676242</v>
      </c>
      <c r="S116" s="304">
        <f>$M116*'MWh Impact Summary'!K$20</f>
        <v>0</v>
      </c>
      <c r="T116" s="304">
        <f>$M116*'MWh Impact Summary'!L$20</f>
        <v>0</v>
      </c>
      <c r="U116" s="304">
        <f>$M116*'MWh Impact Summary'!M$20</f>
        <v>0</v>
      </c>
      <c r="V116" s="304">
        <f>$M116*'LED Impact Forecast'!$H$21+$D116*'LED Impact Forecast'!$J$21</f>
        <v>2271.1482196901247</v>
      </c>
      <c r="W116" s="304">
        <f>$M116*'CFL Impact Forecast'!$H$21+$D116*'CFL Impact Forecast'!$J$21</f>
        <v>253128.35062279657</v>
      </c>
      <c r="X116" s="304">
        <f>$M116*'EISA Incand Impact Forecast'!$G$21+$D116*'EISA Incand Impact Forecast'!$I$21</f>
        <v>51090.937100285097</v>
      </c>
      <c r="Y116" s="85">
        <f t="shared" si="35"/>
        <v>396689.70317817334</v>
      </c>
      <c r="Z116" s="81">
        <f t="shared" si="36"/>
        <v>638786.92728703469</v>
      </c>
      <c r="AA116" s="81"/>
      <c r="AB116" s="81">
        <v>4699582</v>
      </c>
      <c r="AC116" s="308">
        <f t="shared" si="44"/>
        <v>135.92420076658621</v>
      </c>
      <c r="AD116" s="309">
        <f t="shared" si="37"/>
        <v>51.514629196567135</v>
      </c>
      <c r="AE116" s="107">
        <f t="shared" si="38"/>
        <v>4.5995204639792085E-3</v>
      </c>
      <c r="AF116" s="309">
        <f t="shared" si="45"/>
        <v>84.409571570019068</v>
      </c>
      <c r="AG116" s="107">
        <f t="shared" si="39"/>
        <v>7.5365688901802745E-3</v>
      </c>
      <c r="AH116" s="119">
        <f t="shared" si="46"/>
        <v>1.2136089354159482E-2</v>
      </c>
      <c r="AI116" s="122">
        <f t="shared" si="40"/>
        <v>1.2136089354159484E-2</v>
      </c>
      <c r="AJ116" s="87" t="b">
        <f t="shared" si="47"/>
        <v>1</v>
      </c>
      <c r="AK116" s="88">
        <f t="shared" si="53"/>
        <v>1.6710069583996193E-3</v>
      </c>
      <c r="AL116" s="312">
        <f>+AC116/'MWh by month-WgtbyCDH&amp;DayLtHrs'!AC116-1</f>
        <v>8.2826073291118574E-2</v>
      </c>
      <c r="AM116" s="89">
        <f t="shared" si="41"/>
        <v>253128.35062279657</v>
      </c>
      <c r="AN116" s="93"/>
      <c r="AO116" s="96">
        <f t="shared" si="62"/>
        <v>53.861886147065114</v>
      </c>
      <c r="AP116" s="92">
        <f t="shared" si="61"/>
        <v>4.8090969774165285E-3</v>
      </c>
      <c r="AR116" s="94">
        <f t="shared" si="42"/>
        <v>1.2136089354159484E-2</v>
      </c>
      <c r="AS116" s="95">
        <v>616081.08376351488</v>
      </c>
      <c r="AU116" s="141">
        <v>135.92420076658621</v>
      </c>
    </row>
    <row r="117" spans="1:47">
      <c r="A117" s="78">
        <v>2014</v>
      </c>
      <c r="B117" s="78">
        <v>5</v>
      </c>
      <c r="C117" s="317">
        <v>220.65709530534707</v>
      </c>
      <c r="D117" s="318">
        <f t="shared" si="63"/>
        <v>0.11212846425695193</v>
      </c>
      <c r="E117" s="321">
        <f>$D117*'MWh Impact Summary'!B$20</f>
        <v>172239.55547882605</v>
      </c>
      <c r="F117" s="319">
        <f>$D117*'MWh Impact Summary'!N$20</f>
        <v>10642.94038955969</v>
      </c>
      <c r="G117" s="319">
        <f>$D117*'MWh Impact Summary'!C$20</f>
        <v>146961.55567590398</v>
      </c>
      <c r="H117" s="319">
        <f>$D117*'MWh Impact Summary'!D$20</f>
        <v>438.64168884902944</v>
      </c>
      <c r="I117" s="319">
        <f>$D117*'MWh Impact Summary'!E$20</f>
        <v>59260.977646719111</v>
      </c>
      <c r="J117" s="104">
        <f t="shared" si="43"/>
        <v>389543.67087985785</v>
      </c>
      <c r="K117" s="298">
        <f t="shared" si="52"/>
        <v>10.533333333333333</v>
      </c>
      <c r="L117" s="300">
        <f t="shared" si="64"/>
        <v>7.4152293793265281E-2</v>
      </c>
      <c r="M117" s="297">
        <f t="shared" si="65"/>
        <v>8.4931506849315067E-2</v>
      </c>
      <c r="N117" s="304">
        <f>$M117*'MWh Impact Summary'!F$20</f>
        <v>69436.910975051389</v>
      </c>
      <c r="O117" s="304">
        <f>$M117*'MWh Impact Summary'!G$20</f>
        <v>304.55870729542738</v>
      </c>
      <c r="P117" s="304">
        <f>$M117*'MWh Impact Summary'!H$20</f>
        <v>3430.6954612875843</v>
      </c>
      <c r="Q117" s="304">
        <f>$M117*'MWh Impact Summary'!I$20</f>
        <v>951.24712521510378</v>
      </c>
      <c r="R117" s="304">
        <f>$M117*'MWh Impact Summary'!J$20</f>
        <v>19082.497207732114</v>
      </c>
      <c r="S117" s="304">
        <f>$M117*'MWh Impact Summary'!K$20</f>
        <v>0</v>
      </c>
      <c r="T117" s="304">
        <f>$M117*'MWh Impact Summary'!L$20</f>
        <v>0</v>
      </c>
      <c r="U117" s="304">
        <f>$M117*'MWh Impact Summary'!M$20</f>
        <v>0</v>
      </c>
      <c r="V117" s="304">
        <f>$M117*'LED Impact Forecast'!$H$21+$D117*'LED Impact Forecast'!$J$21</f>
        <v>2412.6757675671774</v>
      </c>
      <c r="W117" s="304">
        <f>$M117*'CFL Impact Forecast'!$H$21+$D117*'CFL Impact Forecast'!$J$21</f>
        <v>279845.89370254672</v>
      </c>
      <c r="X117" s="304">
        <f>$M117*'EISA Incand Impact Forecast'!$G$21+$D117*'EISA Incand Impact Forecast'!$I$21</f>
        <v>56722.763581229679</v>
      </c>
      <c r="Y117" s="85">
        <f t="shared" si="35"/>
        <v>432187.24252792518</v>
      </c>
      <c r="Z117" s="81">
        <f t="shared" si="36"/>
        <v>821730.91340778302</v>
      </c>
      <c r="AA117" s="81"/>
      <c r="AB117" s="81">
        <v>4702414</v>
      </c>
      <c r="AC117" s="308">
        <f t="shared" si="44"/>
        <v>174.74661172065731</v>
      </c>
      <c r="AD117" s="309">
        <f t="shared" si="37"/>
        <v>82.839084538251598</v>
      </c>
      <c r="AE117" s="107">
        <f t="shared" si="38"/>
        <v>7.8644700510998346E-3</v>
      </c>
      <c r="AF117" s="309">
        <f t="shared" si="45"/>
        <v>91.907527182405715</v>
      </c>
      <c r="AG117" s="107">
        <f t="shared" si="39"/>
        <v>8.7253981502283893E-3</v>
      </c>
      <c r="AH117" s="119">
        <f t="shared" si="46"/>
        <v>1.6589868201328226E-2</v>
      </c>
      <c r="AI117" s="122">
        <f t="shared" si="40"/>
        <v>1.6589868201328226E-2</v>
      </c>
      <c r="AJ117" s="87" t="b">
        <f t="shared" si="47"/>
        <v>1</v>
      </c>
      <c r="AK117" s="88">
        <f t="shared" si="53"/>
        <v>4.2286378465466769E-3</v>
      </c>
      <c r="AL117" s="312">
        <f>+AC117/'MWh by month-WgtbyCDH&amp;DayLtHrs'!AC117-1</f>
        <v>0.11792653265471609</v>
      </c>
      <c r="AM117" s="89">
        <f t="shared" si="41"/>
        <v>279845.89370254672</v>
      </c>
      <c r="AN117" s="93"/>
      <c r="AO117" s="96">
        <f t="shared" si="62"/>
        <v>59.511113590285056</v>
      </c>
      <c r="AP117" s="92">
        <f t="shared" si="61"/>
        <v>5.6497892649004806E-3</v>
      </c>
      <c r="AR117" s="94">
        <f t="shared" si="42"/>
        <v>1.6589868201328226E-2</v>
      </c>
      <c r="AS117" s="95">
        <v>744422.3141190504</v>
      </c>
      <c r="AU117" s="141">
        <v>174.74661172065731</v>
      </c>
    </row>
    <row r="118" spans="1:47">
      <c r="A118" s="78">
        <v>2014</v>
      </c>
      <c r="B118" s="78">
        <v>6</v>
      </c>
      <c r="C118" s="317">
        <v>247.5875604864128</v>
      </c>
      <c r="D118" s="318">
        <f t="shared" si="63"/>
        <v>0.12581337068744566</v>
      </c>
      <c r="E118" s="321">
        <f>$D118*'MWh Impact Summary'!B$20</f>
        <v>193260.82082814997</v>
      </c>
      <c r="F118" s="319">
        <f>$D118*'MWh Impact Summary'!N$20</f>
        <v>11941.875894844798</v>
      </c>
      <c r="G118" s="319">
        <f>$D118*'MWh Impact Summary'!C$20</f>
        <v>164897.72515465299</v>
      </c>
      <c r="H118" s="319">
        <f>$D118*'MWh Impact Summary'!D$20</f>
        <v>492.17644925256849</v>
      </c>
      <c r="I118" s="319">
        <f>$D118*'MWh Impact Summary'!E$20</f>
        <v>66493.583028850277</v>
      </c>
      <c r="J118" s="104">
        <f t="shared" si="43"/>
        <v>437086.1813557506</v>
      </c>
      <c r="K118" s="298">
        <f t="shared" si="52"/>
        <v>10.199999999999999</v>
      </c>
      <c r="L118" s="300">
        <f t="shared" si="64"/>
        <v>7.1805702217529022E-2</v>
      </c>
      <c r="M118" s="297">
        <f>(30/365)</f>
        <v>8.2191780821917804E-2</v>
      </c>
      <c r="N118" s="304">
        <f>$M118*'MWh Impact Summary'!F$20</f>
        <v>67197.010621017471</v>
      </c>
      <c r="O118" s="304">
        <f>$M118*'MWh Impact Summary'!G$20</f>
        <v>294.73423286654264</v>
      </c>
      <c r="P118" s="304">
        <f>$M118*'MWh Impact Summary'!H$20</f>
        <v>3320.0278657621784</v>
      </c>
      <c r="Q118" s="304">
        <f>$M118*'MWh Impact Summary'!I$20</f>
        <v>920.56173407913263</v>
      </c>
      <c r="R118" s="304">
        <f>$M118*'MWh Impact Summary'!J$20</f>
        <v>18466.932781676242</v>
      </c>
      <c r="S118" s="304">
        <f>$M118*'MWh Impact Summary'!K$20</f>
        <v>0</v>
      </c>
      <c r="T118" s="304">
        <f>$M118*'MWh Impact Summary'!L$20</f>
        <v>0</v>
      </c>
      <c r="U118" s="304">
        <f>$M118*'MWh Impact Summary'!M$20</f>
        <v>0</v>
      </c>
      <c r="V118" s="304">
        <f>$M118*'LED Impact Forecast'!$H$21+$D118*'LED Impact Forecast'!$J$21</f>
        <v>2363.2346038809992</v>
      </c>
      <c r="W118" s="304">
        <f>$M118*'CFL Impact Forecast'!$H$21+$D118*'CFL Impact Forecast'!$J$21</f>
        <v>278702.12924161984</v>
      </c>
      <c r="X118" s="304">
        <f>$M118*'EISA Incand Impact Forecast'!$G$21+$D118*'EISA Incand Impact Forecast'!$I$21</f>
        <v>56587.354874467717</v>
      </c>
      <c r="Y118" s="85">
        <f t="shared" si="35"/>
        <v>427851.98595537012</v>
      </c>
      <c r="Z118" s="81">
        <f t="shared" si="36"/>
        <v>864938.16731112078</v>
      </c>
      <c r="AA118" s="81"/>
      <c r="AB118" s="81">
        <v>4705494</v>
      </c>
      <c r="AC118" s="308">
        <f t="shared" si="44"/>
        <v>183.81452984768885</v>
      </c>
      <c r="AD118" s="309">
        <f t="shared" si="37"/>
        <v>92.888479159839676</v>
      </c>
      <c r="AE118" s="107">
        <f t="shared" si="38"/>
        <v>9.1067136431215376E-3</v>
      </c>
      <c r="AF118" s="309">
        <f t="shared" si="45"/>
        <v>90.92605068784917</v>
      </c>
      <c r="AG118" s="107">
        <f t="shared" si="39"/>
        <v>8.914318694887173E-3</v>
      </c>
      <c r="AH118" s="119">
        <f t="shared" si="46"/>
        <v>1.8021032338008711E-2</v>
      </c>
      <c r="AI118" s="122">
        <f t="shared" si="40"/>
        <v>1.8021032338008714E-2</v>
      </c>
      <c r="AJ118" s="87" t="b">
        <f t="shared" si="47"/>
        <v>1</v>
      </c>
      <c r="AK118" s="88">
        <f t="shared" si="53"/>
        <v>1.4181335786279635E-3</v>
      </c>
      <c r="AL118" s="312">
        <f>+AC118/'MWh by month-WgtbyCDH&amp;DayLtHrs'!AC118-1</f>
        <v>3.484502579521398E-2</v>
      </c>
      <c r="AM118" s="89">
        <f t="shared" si="41"/>
        <v>278702.12924161984</v>
      </c>
      <c r="AN118" s="93"/>
      <c r="AO118" s="96">
        <f t="shared" si="62"/>
        <v>59.229090344524892</v>
      </c>
      <c r="AP118" s="92">
        <f t="shared" si="61"/>
        <v>5.8067735631887147E-3</v>
      </c>
      <c r="AR118" s="94">
        <f t="shared" si="42"/>
        <v>1.8021032338008714E-2</v>
      </c>
      <c r="AS118" s="95">
        <v>911564.45976524334</v>
      </c>
      <c r="AU118" s="141">
        <v>183.81452984768885</v>
      </c>
    </row>
    <row r="119" spans="1:47">
      <c r="A119" s="78">
        <v>2014</v>
      </c>
      <c r="B119" s="78">
        <v>7</v>
      </c>
      <c r="C119" s="317">
        <v>311.6666769190017</v>
      </c>
      <c r="D119" s="318">
        <f t="shared" si="63"/>
        <v>0.15837562709975736</v>
      </c>
      <c r="E119" s="321">
        <f>$D119*'MWh Impact Summary'!B$20</f>
        <v>243279.41875518253</v>
      </c>
      <c r="F119" s="319">
        <f>$D119*'MWh Impact Summary'!N$20</f>
        <v>15032.600058796812</v>
      </c>
      <c r="G119" s="319">
        <f>$D119*'MWh Impact Summary'!C$20</f>
        <v>207575.55803484705</v>
      </c>
      <c r="H119" s="319">
        <f>$D119*'MWh Impact Summary'!D$20</f>
        <v>619.55858402167098</v>
      </c>
      <c r="I119" s="319">
        <f>$D119*'MWh Impact Summary'!E$20</f>
        <v>83703.050421132881</v>
      </c>
      <c r="J119" s="104">
        <f t="shared" si="43"/>
        <v>550210.18585398095</v>
      </c>
      <c r="K119" s="298">
        <f t="shared" si="52"/>
        <v>10.366666666666667</v>
      </c>
      <c r="L119" s="300">
        <f t="shared" si="64"/>
        <v>7.2978998005397158E-2</v>
      </c>
      <c r="M119" s="297">
        <f t="shared" si="65"/>
        <v>8.4931506849315067E-2</v>
      </c>
      <c r="N119" s="304">
        <f>$M119*'MWh Impact Summary'!F$20</f>
        <v>69436.910975051389</v>
      </c>
      <c r="O119" s="304">
        <f>$M119*'MWh Impact Summary'!G$20</f>
        <v>304.55870729542738</v>
      </c>
      <c r="P119" s="304">
        <f>$M119*'MWh Impact Summary'!H$20</f>
        <v>3430.6954612875843</v>
      </c>
      <c r="Q119" s="304">
        <f>$M119*'MWh Impact Summary'!I$20</f>
        <v>951.24712521510378</v>
      </c>
      <c r="R119" s="304">
        <f>$M119*'MWh Impact Summary'!J$20</f>
        <v>19082.497207732114</v>
      </c>
      <c r="S119" s="304">
        <f>$M119*'MWh Impact Summary'!K$20</f>
        <v>0</v>
      </c>
      <c r="T119" s="304">
        <f>$M119*'MWh Impact Summary'!L$20</f>
        <v>0</v>
      </c>
      <c r="U119" s="304">
        <f>$M119*'MWh Impact Summary'!M$20</f>
        <v>0</v>
      </c>
      <c r="V119" s="304">
        <f>$M119*'LED Impact Forecast'!$H$21+$D119*'LED Impact Forecast'!$J$21</f>
        <v>2488.5528768835925</v>
      </c>
      <c r="W119" s="304">
        <f>$M119*'CFL Impact Forecast'!$H$21+$D119*'CFL Impact Forecast'!$J$21</f>
        <v>300918.11206516693</v>
      </c>
      <c r="X119" s="304">
        <f>$M119*'EISA Incand Impact Forecast'!$G$21+$D119*'EISA Incand Impact Forecast'!$I$21</f>
        <v>61251.688198748438</v>
      </c>
      <c r="Y119" s="85">
        <f t="shared" si="35"/>
        <v>457864.26261738059</v>
      </c>
      <c r="Z119" s="81">
        <f t="shared" si="36"/>
        <v>1008074.4484713615</v>
      </c>
      <c r="AA119" s="81"/>
      <c r="AB119" s="81">
        <v>4709239</v>
      </c>
      <c r="AC119" s="308">
        <f t="shared" si="44"/>
        <v>214.06313174408041</v>
      </c>
      <c r="AD119" s="309">
        <f t="shared" si="37"/>
        <v>116.83632660265934</v>
      </c>
      <c r="AE119" s="107">
        <f t="shared" si="38"/>
        <v>1.1270385202828874E-2</v>
      </c>
      <c r="AF119" s="309">
        <f t="shared" si="45"/>
        <v>97.226805141421067</v>
      </c>
      <c r="AG119" s="107">
        <f t="shared" si="39"/>
        <v>9.3787914927415828E-3</v>
      </c>
      <c r="AH119" s="119">
        <f t="shared" si="46"/>
        <v>2.0649176695570457E-2</v>
      </c>
      <c r="AI119" s="122">
        <f t="shared" si="40"/>
        <v>2.0649176695570457E-2</v>
      </c>
      <c r="AJ119" s="87" t="b">
        <f t="shared" si="47"/>
        <v>1</v>
      </c>
      <c r="AK119" s="88">
        <f t="shared" si="53"/>
        <v>3.3655341816596178E-3</v>
      </c>
      <c r="AL119" s="312">
        <f>+AC119/'MWh by month-WgtbyCDH&amp;DayLtHrs'!AC119-1</f>
        <v>8.3070836740798848E-2</v>
      </c>
      <c r="AM119" s="89">
        <f t="shared" si="41"/>
        <v>300918.11206516693</v>
      </c>
      <c r="AN119" s="93"/>
      <c r="AO119" s="96">
        <f t="shared" si="62"/>
        <v>63.899520084915409</v>
      </c>
      <c r="AP119" s="92">
        <f t="shared" si="61"/>
        <v>6.1639408442040588E-3</v>
      </c>
      <c r="AR119" s="94">
        <f t="shared" si="42"/>
        <v>2.0649176695570457E-2</v>
      </c>
      <c r="AS119" s="95">
        <v>960152.42672691226</v>
      </c>
      <c r="AU119" s="141">
        <v>214.06313174408041</v>
      </c>
    </row>
    <row r="120" spans="1:47">
      <c r="A120" s="78">
        <v>2014</v>
      </c>
      <c r="B120" s="78">
        <v>8</v>
      </c>
      <c r="C120" s="317">
        <v>350.95807565684066</v>
      </c>
      <c r="D120" s="318">
        <f t="shared" si="63"/>
        <v>0.1783418293779338</v>
      </c>
      <c r="E120" s="321">
        <f>$D120*'MWh Impact Summary'!B$20</f>
        <v>273949.32784367894</v>
      </c>
      <c r="F120" s="319">
        <f>$D120*'MWh Impact Summary'!N$20</f>
        <v>16927.739727931697</v>
      </c>
      <c r="G120" s="319">
        <f>$D120*'MWh Impact Summary'!C$20</f>
        <v>233744.32942742112</v>
      </c>
      <c r="H120" s="319">
        <f>$D120*'MWh Impact Summary'!D$20</f>
        <v>697.66550134402837</v>
      </c>
      <c r="I120" s="319">
        <f>$D120*'MWh Impact Summary'!E$20</f>
        <v>94255.381399156831</v>
      </c>
      <c r="J120" s="104">
        <f t="shared" si="43"/>
        <v>619574.44389953266</v>
      </c>
      <c r="K120" s="298">
        <f t="shared" si="52"/>
        <v>10.933333333333334</v>
      </c>
      <c r="L120" s="300">
        <f t="shared" si="64"/>
        <v>7.6968203684148764E-2</v>
      </c>
      <c r="M120" s="297">
        <f t="shared" si="65"/>
        <v>8.4931506849315067E-2</v>
      </c>
      <c r="N120" s="304">
        <f>$M120*'MWh Impact Summary'!F$20</f>
        <v>69436.910975051389</v>
      </c>
      <c r="O120" s="304">
        <f>$M120*'MWh Impact Summary'!G$20</f>
        <v>304.55870729542738</v>
      </c>
      <c r="P120" s="304">
        <f>$M120*'MWh Impact Summary'!H$20</f>
        <v>3430.6954612875843</v>
      </c>
      <c r="Q120" s="304">
        <f>$M120*'MWh Impact Summary'!I$20</f>
        <v>951.24712521510378</v>
      </c>
      <c r="R120" s="304">
        <f>$M120*'MWh Impact Summary'!J$20</f>
        <v>19082.497207732114</v>
      </c>
      <c r="S120" s="304">
        <f>$M120*'MWh Impact Summary'!K$20</f>
        <v>0</v>
      </c>
      <c r="T120" s="304">
        <f>$M120*'MWh Impact Summary'!L$20</f>
        <v>0</v>
      </c>
      <c r="U120" s="304">
        <f>$M120*'MWh Impact Summary'!M$20</f>
        <v>0</v>
      </c>
      <c r="V120" s="304">
        <f>$M120*'LED Impact Forecast'!$H$21+$D120*'LED Impact Forecast'!$J$21</f>
        <v>2521.3111612792054</v>
      </c>
      <c r="W120" s="304">
        <f>$M120*'CFL Impact Forecast'!$H$21+$D120*'CFL Impact Forecast'!$J$21</f>
        <v>310015.58201609238</v>
      </c>
      <c r="X120" s="304">
        <f>$M120*'EISA Incand Impact Forecast'!$G$21+$D120*'EISA Incand Impact Forecast'!$I$21</f>
        <v>63206.952467031209</v>
      </c>
      <c r="Y120" s="85">
        <f t="shared" si="35"/>
        <v>468949.7551209844</v>
      </c>
      <c r="Z120" s="81">
        <f t="shared" si="36"/>
        <v>1088524.1990205171</v>
      </c>
      <c r="AA120" s="81"/>
      <c r="AB120" s="337">
        <v>4712926</v>
      </c>
      <c r="AC120" s="308">
        <f t="shared" si="44"/>
        <v>230.96568862327078</v>
      </c>
      <c r="AD120" s="309">
        <f t="shared" si="37"/>
        <v>131.46279909753147</v>
      </c>
      <c r="AE120" s="107">
        <f t="shared" si="38"/>
        <v>1.2024036502823E-2</v>
      </c>
      <c r="AF120" s="309">
        <f t="shared" si="45"/>
        <v>99.502889525739292</v>
      </c>
      <c r="AG120" s="107">
        <f t="shared" si="39"/>
        <v>9.1008740419883504E-3</v>
      </c>
      <c r="AH120" s="119">
        <f t="shared" si="46"/>
        <v>2.1124910544811352E-2</v>
      </c>
      <c r="AI120" s="122">
        <f t="shared" si="40"/>
        <v>2.1124910544811349E-2</v>
      </c>
      <c r="AJ120" s="87" t="b">
        <f t="shared" si="47"/>
        <v>0</v>
      </c>
      <c r="AK120" s="88">
        <f t="shared" si="53"/>
        <v>3.254017737273459E-3</v>
      </c>
      <c r="AL120" s="312">
        <f>+AC120/'MWh by month-WgtbyCDH&amp;DayLtHrs'!AC120-1</f>
        <v>0.13796821316899899</v>
      </c>
      <c r="AM120" s="89">
        <f t="shared" si="41"/>
        <v>310015.58201609238</v>
      </c>
      <c r="AN120" s="93"/>
      <c r="AO120" s="96">
        <f t="shared" si="62"/>
        <v>65.779853538140074</v>
      </c>
      <c r="AP120" s="92">
        <f t="shared" si="61"/>
        <v>6.0164500187323243E-3</v>
      </c>
      <c r="AR120" s="94">
        <f t="shared" si="42"/>
        <v>2.1124910544811349E-2</v>
      </c>
      <c r="AS120" s="95">
        <v>998316.77050706814</v>
      </c>
      <c r="AU120" s="141">
        <v>230.96568862327078</v>
      </c>
    </row>
    <row r="121" spans="1:47">
      <c r="A121" s="78">
        <v>2014</v>
      </c>
      <c r="B121" s="78">
        <v>9</v>
      </c>
      <c r="C121" s="317">
        <v>254.35467918779301</v>
      </c>
      <c r="D121" s="318">
        <f t="shared" si="63"/>
        <v>0.12925212993686047</v>
      </c>
      <c r="E121" s="321">
        <f>$D121*'MWh Impact Summary'!B$20</f>
        <v>198543.06890354163</v>
      </c>
      <c r="F121" s="319">
        <f>$D121*'MWh Impact Summary'!N$20</f>
        <v>12268.273923642375</v>
      </c>
      <c r="G121" s="319">
        <f>$D121*'MWh Impact Summary'!C$20</f>
        <v>169404.74674134678</v>
      </c>
      <c r="H121" s="319">
        <f>$D121*'MWh Impact Summary'!D$20</f>
        <v>505.62872628770157</v>
      </c>
      <c r="I121" s="319">
        <f>$D121*'MWh Impact Summary'!E$20</f>
        <v>68311.000545111179</v>
      </c>
      <c r="J121" s="104">
        <f t="shared" si="43"/>
        <v>449032.71883992967</v>
      </c>
      <c r="K121" s="298">
        <f t="shared" si="52"/>
        <v>11.683333333333334</v>
      </c>
      <c r="L121" s="300">
        <f t="shared" si="64"/>
        <v>8.2248034729555317E-2</v>
      </c>
      <c r="M121" s="297">
        <f>(30/365)</f>
        <v>8.2191780821917804E-2</v>
      </c>
      <c r="N121" s="304">
        <f>$M121*'MWh Impact Summary'!F$20</f>
        <v>67197.010621017471</v>
      </c>
      <c r="O121" s="304">
        <f>$M121*'MWh Impact Summary'!G$20</f>
        <v>294.73423286654264</v>
      </c>
      <c r="P121" s="304">
        <f>$M121*'MWh Impact Summary'!H$20</f>
        <v>3320.0278657621784</v>
      </c>
      <c r="Q121" s="304">
        <f>$M121*'MWh Impact Summary'!I$20</f>
        <v>920.56173407913263</v>
      </c>
      <c r="R121" s="304">
        <f>$M121*'MWh Impact Summary'!J$20</f>
        <v>18466.932781676242</v>
      </c>
      <c r="S121" s="304">
        <f>$M121*'MWh Impact Summary'!K$20</f>
        <v>0</v>
      </c>
      <c r="T121" s="304">
        <f>$M121*'MWh Impact Summary'!L$20</f>
        <v>0</v>
      </c>
      <c r="U121" s="304">
        <f>$M121*'MWh Impact Summary'!M$20</f>
        <v>0</v>
      </c>
      <c r="V121" s="304">
        <f>$M121*'LED Impact Forecast'!$H$21+$D121*'LED Impact Forecast'!$J$21</f>
        <v>2368.8765307677913</v>
      </c>
      <c r="W121" s="304">
        <f>$M121*'CFL Impact Forecast'!$H$21+$D121*'CFL Impact Forecast'!$J$21</f>
        <v>280268.97748367197</v>
      </c>
      <c r="X121" s="304">
        <f>$M121*'EISA Incand Impact Forecast'!$G$21+$D121*'EISA Incand Impact Forecast'!$I$21</f>
        <v>56924.108103445913</v>
      </c>
      <c r="Y121" s="85">
        <f t="shared" si="35"/>
        <v>429761.22935328726</v>
      </c>
      <c r="Z121" s="81">
        <f t="shared" si="36"/>
        <v>878793.94819321693</v>
      </c>
      <c r="AA121" s="81"/>
      <c r="AB121" s="337">
        <v>4718734</v>
      </c>
      <c r="AC121" s="308">
        <f t="shared" si="44"/>
        <v>186.235110559997</v>
      </c>
      <c r="AD121" s="309">
        <f t="shared" si="37"/>
        <v>95.159574334965626</v>
      </c>
      <c r="AE121" s="107">
        <f t="shared" si="38"/>
        <v>8.1448993724649605E-3</v>
      </c>
      <c r="AF121" s="309">
        <f t="shared" si="45"/>
        <v>91.075536225031385</v>
      </c>
      <c r="AG121" s="107">
        <f t="shared" si="39"/>
        <v>7.7953383359513307E-3</v>
      </c>
      <c r="AH121" s="119">
        <f t="shared" si="46"/>
        <v>1.594023770841629E-2</v>
      </c>
      <c r="AI121" s="122">
        <f t="shared" si="40"/>
        <v>1.594023770841629E-2</v>
      </c>
      <c r="AJ121" s="87" t="b">
        <f t="shared" si="47"/>
        <v>1</v>
      </c>
      <c r="AK121" s="88">
        <f t="shared" si="53"/>
        <v>1.6321367674782816E-3</v>
      </c>
      <c r="AL121" s="312">
        <f>+AC121/'MWh by month-WgtbyCDH&amp;DayLtHrs'!AC121-1</f>
        <v>-1.8313926229313271E-2</v>
      </c>
      <c r="AM121" s="89">
        <f t="shared" si="41"/>
        <v>280268.97748367197</v>
      </c>
      <c r="AN121" s="93"/>
      <c r="AO121" s="96">
        <f t="shared" si="62"/>
        <v>59.394951587368979</v>
      </c>
      <c r="AP121" s="92">
        <f t="shared" si="61"/>
        <v>5.083733374097202E-3</v>
      </c>
      <c r="AR121" s="94">
        <f t="shared" si="42"/>
        <v>1.594023770841629E-2</v>
      </c>
      <c r="AS121" s="95">
        <v>942105.70075468137</v>
      </c>
      <c r="AU121" s="141">
        <v>186.235110559997</v>
      </c>
    </row>
    <row r="122" spans="1:47">
      <c r="A122" s="78">
        <v>2014</v>
      </c>
      <c r="B122" s="78">
        <v>10</v>
      </c>
      <c r="C122" s="317">
        <v>189.00769564614495</v>
      </c>
      <c r="D122" s="318">
        <f t="shared" si="63"/>
        <v>9.6045597882181713E-2</v>
      </c>
      <c r="E122" s="321">
        <f>$D122*'MWh Impact Summary'!B$20</f>
        <v>147534.80478440961</v>
      </c>
      <c r="F122" s="319">
        <f>$D122*'MWh Impact Summary'!N$20</f>
        <v>9116.3968017719799</v>
      </c>
      <c r="G122" s="319">
        <f>$D122*'MWh Impact Summary'!C$20</f>
        <v>125882.49178408422</v>
      </c>
      <c r="H122" s="319">
        <f>$D122*'MWh Impact Summary'!D$20</f>
        <v>375.7262131496903</v>
      </c>
      <c r="I122" s="319">
        <f>$D122*'MWh Impact Summary'!E$20</f>
        <v>50761.027245665289</v>
      </c>
      <c r="J122" s="104">
        <f t="shared" si="43"/>
        <v>333670.44682908081</v>
      </c>
      <c r="K122" s="298">
        <f t="shared" si="52"/>
        <v>12.466666666666667</v>
      </c>
      <c r="L122" s="300">
        <f t="shared" si="64"/>
        <v>8.7762524932535488E-2</v>
      </c>
      <c r="M122" s="297">
        <f t="shared" si="65"/>
        <v>8.4931506849315067E-2</v>
      </c>
      <c r="N122" s="304">
        <f>$M122*'MWh Impact Summary'!F$20</f>
        <v>69436.910975051389</v>
      </c>
      <c r="O122" s="304">
        <f>$M122*'MWh Impact Summary'!G$20</f>
        <v>304.55870729542738</v>
      </c>
      <c r="P122" s="304">
        <f>$M122*'MWh Impact Summary'!H$20</f>
        <v>3430.6954612875843</v>
      </c>
      <c r="Q122" s="304">
        <f>$M122*'MWh Impact Summary'!I$20</f>
        <v>951.24712521510378</v>
      </c>
      <c r="R122" s="304">
        <f>$M122*'MWh Impact Summary'!J$20</f>
        <v>19082.497207732114</v>
      </c>
      <c r="S122" s="304">
        <f>$M122*'MWh Impact Summary'!K$20</f>
        <v>0</v>
      </c>
      <c r="T122" s="304">
        <f>$M122*'MWh Impact Summary'!L$20</f>
        <v>0</v>
      </c>
      <c r="U122" s="304">
        <f>$M122*'MWh Impact Summary'!M$20</f>
        <v>0</v>
      </c>
      <c r="V122" s="304">
        <f>$M122*'LED Impact Forecast'!$H$21+$D122*'LED Impact Forecast'!$J$21</f>
        <v>2386.2888211032914</v>
      </c>
      <c r="W122" s="304">
        <f>$M122*'CFL Impact Forecast'!$H$21+$D122*'CFL Impact Forecast'!$J$21</f>
        <v>272517.84044881671</v>
      </c>
      <c r="X122" s="304">
        <f>$M122*'EISA Incand Impact Forecast'!$G$21+$D122*'EISA Incand Impact Forecast'!$I$21</f>
        <v>55147.789356485591</v>
      </c>
      <c r="Y122" s="85">
        <f t="shared" si="35"/>
        <v>423257.8281029872</v>
      </c>
      <c r="Z122" s="81">
        <f t="shared" si="36"/>
        <v>756928.27493206807</v>
      </c>
      <c r="AA122" s="81"/>
      <c r="AB122" s="337">
        <v>4724910</v>
      </c>
      <c r="AC122" s="308">
        <f t="shared" si="44"/>
        <v>160.19951172235409</v>
      </c>
      <c r="AD122" s="309">
        <f t="shared" si="37"/>
        <v>70.619429116973834</v>
      </c>
      <c r="AE122" s="107">
        <f t="shared" si="38"/>
        <v>5.6646600895968319E-3</v>
      </c>
      <c r="AF122" s="309">
        <f t="shared" si="45"/>
        <v>89.580082605380255</v>
      </c>
      <c r="AG122" s="107">
        <f t="shared" si="39"/>
        <v>7.1855681234262239E-3</v>
      </c>
      <c r="AH122" s="119">
        <f t="shared" si="46"/>
        <v>1.2850228213023056E-2</v>
      </c>
      <c r="AI122" s="122">
        <f t="shared" si="40"/>
        <v>1.2850228213023054E-2</v>
      </c>
      <c r="AJ122" s="87" t="b">
        <f t="shared" si="47"/>
        <v>1</v>
      </c>
      <c r="AK122" s="88">
        <f t="shared" si="53"/>
        <v>1.0134704631336918E-3</v>
      </c>
      <c r="AL122" s="312">
        <f>+AC122/'MWh by month-WgtbyCDH&amp;DayLtHrs'!AC122-1</f>
        <v>-3.1051561343518164E-2</v>
      </c>
      <c r="AM122" s="89">
        <f t="shared" si="41"/>
        <v>272517.84044881671</v>
      </c>
      <c r="AN122" s="93"/>
      <c r="AO122" s="96">
        <f t="shared" si="62"/>
        <v>57.676832034645464</v>
      </c>
      <c r="AP122" s="92">
        <f t="shared" si="61"/>
        <v>4.6264838530464276E-3</v>
      </c>
      <c r="AR122" s="94">
        <f t="shared" si="42"/>
        <v>1.2850228213023054E-2</v>
      </c>
      <c r="AS122" s="95">
        <v>756171.3491331538</v>
      </c>
      <c r="AU122" s="141">
        <v>160.19951172235409</v>
      </c>
    </row>
    <row r="123" spans="1:47">
      <c r="A123" s="78">
        <v>2014</v>
      </c>
      <c r="B123" s="78">
        <v>11</v>
      </c>
      <c r="C123" s="317">
        <v>63.249322643906929</v>
      </c>
      <c r="D123" s="318">
        <f t="shared" si="63"/>
        <v>3.2140590827318301E-2</v>
      </c>
      <c r="E123" s="321">
        <f>$D123*'MWh Impact Summary'!B$20</f>
        <v>49370.881101503313</v>
      </c>
      <c r="F123" s="319">
        <f>$D123*'MWh Impact Summary'!N$20</f>
        <v>3050.7007701139487</v>
      </c>
      <c r="G123" s="319">
        <f>$D123*'MWh Impact Summary'!C$20</f>
        <v>42125.175437177502</v>
      </c>
      <c r="H123" s="319">
        <f>$D123*'MWh Impact Summary'!D$20</f>
        <v>125.73259728942055</v>
      </c>
      <c r="I123" s="319">
        <f>$D123*'MWh Impact Summary'!E$20</f>
        <v>16986.613053089823</v>
      </c>
      <c r="J123" s="104">
        <f t="shared" si="43"/>
        <v>111659.10295917401</v>
      </c>
      <c r="K123" s="298">
        <f t="shared" si="52"/>
        <v>13.15</v>
      </c>
      <c r="L123" s="300">
        <f>L111</f>
        <v>9.2573037662794788E-2</v>
      </c>
      <c r="M123" s="297">
        <f>(30/365)</f>
        <v>8.2191780821917804E-2</v>
      </c>
      <c r="N123" s="304">
        <f>$M123*'MWh Impact Summary'!F$20</f>
        <v>67197.010621017471</v>
      </c>
      <c r="O123" s="304">
        <f>$M123*'MWh Impact Summary'!G$20</f>
        <v>294.73423286654264</v>
      </c>
      <c r="P123" s="304">
        <f>$M123*'MWh Impact Summary'!H$20</f>
        <v>3320.0278657621784</v>
      </c>
      <c r="Q123" s="304">
        <f>$M123*'MWh Impact Summary'!I$20</f>
        <v>920.56173407913263</v>
      </c>
      <c r="R123" s="304">
        <f>$M123*'MWh Impact Summary'!J$20</f>
        <v>18466.932781676242</v>
      </c>
      <c r="S123" s="304">
        <f>$M123*'MWh Impact Summary'!K$20</f>
        <v>0</v>
      </c>
      <c r="T123" s="304">
        <f>$M123*'MWh Impact Summary'!L$20</f>
        <v>0</v>
      </c>
      <c r="U123" s="304">
        <f>$M123*'MWh Impact Summary'!M$20</f>
        <v>0</v>
      </c>
      <c r="V123" s="304">
        <f>$M123*'LED Impact Forecast'!$H$21+$D123*'LED Impact Forecast'!$J$21</f>
        <v>2209.5469110472091</v>
      </c>
      <c r="W123" s="304">
        <f>$M123*'CFL Impact Forecast'!$H$21+$D123*'CFL Impact Forecast'!$J$21</f>
        <v>236020.73755159244</v>
      </c>
      <c r="X123" s="304">
        <f>$M123*'EISA Incand Impact Forecast'!$G$21+$D123*'EISA Incand Impact Forecast'!$I$21</f>
        <v>47414.10115203006</v>
      </c>
      <c r="Y123" s="85">
        <f t="shared" si="35"/>
        <v>375843.65285007126</v>
      </c>
      <c r="Z123" s="81">
        <f t="shared" si="36"/>
        <v>487502.75580924528</v>
      </c>
      <c r="AA123" s="81"/>
      <c r="AB123" s="337">
        <v>4731887</v>
      </c>
      <c r="AC123" s="308">
        <f t="shared" si="44"/>
        <v>103.02502063325799</v>
      </c>
      <c r="AD123" s="309">
        <f t="shared" si="37"/>
        <v>23.597161757914762</v>
      </c>
      <c r="AE123" s="107">
        <f t="shared" si="38"/>
        <v>1.7944609701836321E-3</v>
      </c>
      <c r="AF123" s="309">
        <f t="shared" si="45"/>
        <v>79.427858875343233</v>
      </c>
      <c r="AG123" s="107">
        <f t="shared" si="39"/>
        <v>6.0401413593416907E-3</v>
      </c>
      <c r="AH123" s="119">
        <f t="shared" si="46"/>
        <v>7.8346023295253232E-3</v>
      </c>
      <c r="AI123" s="122">
        <f t="shared" si="40"/>
        <v>7.8346023295253232E-3</v>
      </c>
      <c r="AJ123" s="87" t="b">
        <f t="shared" si="47"/>
        <v>1</v>
      </c>
      <c r="AK123" s="88">
        <f t="shared" si="53"/>
        <v>-2.5434590629670045E-4</v>
      </c>
      <c r="AL123" s="312">
        <f>+AC123/'MWh by month-WgtbyCDH&amp;DayLtHrs'!AC123-1</f>
        <v>-0.17384491294529758</v>
      </c>
      <c r="AM123" s="89">
        <f t="shared" si="41"/>
        <v>236020.73755159244</v>
      </c>
      <c r="AN123" s="93"/>
      <c r="AO123" s="96">
        <f t="shared" si="62"/>
        <v>49.878777230223889</v>
      </c>
      <c r="AP123" s="92">
        <f t="shared" si="61"/>
        <v>3.79306290724136E-3</v>
      </c>
      <c r="AR123" s="94">
        <f t="shared" si="42"/>
        <v>7.8346023295253232E-3</v>
      </c>
      <c r="AS123" s="95">
        <v>579143.12720011803</v>
      </c>
      <c r="AU123" s="141">
        <v>103.02502063325799</v>
      </c>
    </row>
    <row r="124" spans="1:47" ht="13.8" thickBot="1">
      <c r="A124" s="313">
        <v>2014</v>
      </c>
      <c r="B124" s="313">
        <v>12</v>
      </c>
      <c r="C124" s="322">
        <v>46.609001353612989</v>
      </c>
      <c r="D124" s="323">
        <f t="shared" si="63"/>
        <v>2.3684693823684964E-2</v>
      </c>
      <c r="E124" s="321">
        <f>$D124*'MWh Impact Summary'!B$20</f>
        <v>36381.851502890539</v>
      </c>
      <c r="F124" s="319">
        <f>$D124*'MWh Impact Summary'!N$20</f>
        <v>2248.0891554244495</v>
      </c>
      <c r="G124" s="319">
        <f>$D124*'MWh Impact Summary'!C$20</f>
        <v>31042.425071120266</v>
      </c>
      <c r="H124" s="319">
        <f>$D124*'MWh Impact Summary'!D$20</f>
        <v>92.653494967039364</v>
      </c>
      <c r="I124" s="319">
        <f>$D124*'MWh Impact Summary'!E$20</f>
        <v>12517.589717793353</v>
      </c>
      <c r="J124" s="104">
        <f t="shared" si="43"/>
        <v>82282.608942195657</v>
      </c>
      <c r="K124" s="298">
        <f t="shared" si="52"/>
        <v>13.483333333333333</v>
      </c>
      <c r="L124" s="300">
        <f t="shared" si="64"/>
        <v>9.491962923853102E-2</v>
      </c>
      <c r="M124" s="297">
        <f t="shared" si="65"/>
        <v>8.4931506849315067E-2</v>
      </c>
      <c r="N124" s="304">
        <f>$M124*'MWh Impact Summary'!F$20</f>
        <v>69436.910975051389</v>
      </c>
      <c r="O124" s="304">
        <f>$M124*'MWh Impact Summary'!G$20</f>
        <v>304.55870729542738</v>
      </c>
      <c r="P124" s="304">
        <f>$M124*'MWh Impact Summary'!H$20</f>
        <v>3430.6954612875843</v>
      </c>
      <c r="Q124" s="304">
        <f>$M124*'MWh Impact Summary'!I$20</f>
        <v>951.24712521510378</v>
      </c>
      <c r="R124" s="304">
        <f>$M124*'MWh Impact Summary'!J$20</f>
        <v>19082.497207732114</v>
      </c>
      <c r="S124" s="304">
        <f>$M124*'MWh Impact Summary'!K$20</f>
        <v>0</v>
      </c>
      <c r="T124" s="304">
        <f>$M124*'MWh Impact Summary'!L$20</f>
        <v>0</v>
      </c>
      <c r="U124" s="304">
        <f>$M124*'MWh Impact Summary'!M$20</f>
        <v>0</v>
      </c>
      <c r="V124" s="304">
        <f>$M124*'LED Impact Forecast'!$H$21+$D124*'LED Impact Forecast'!$J$21</f>
        <v>2267.5672414435066</v>
      </c>
      <c r="W124" s="304">
        <f>$M124*'CFL Impact Forecast'!$H$21+$D124*'CFL Impact Forecast'!$J$21</f>
        <v>239547.06608109857</v>
      </c>
      <c r="X124" s="304">
        <f>$M124*'EISA Incand Impact Forecast'!$G$21+$D124*'EISA Incand Impact Forecast'!$I$21</f>
        <v>48061.579963482342</v>
      </c>
      <c r="Y124" s="85">
        <f t="shared" si="35"/>
        <v>383082.12276260601</v>
      </c>
      <c r="Z124" s="81">
        <f t="shared" si="36"/>
        <v>465364.73170480167</v>
      </c>
      <c r="AA124" s="81">
        <f>SUM(Z113:Z124)</f>
        <v>8384948.4409866082</v>
      </c>
      <c r="AB124" s="337">
        <v>4739276</v>
      </c>
      <c r="AC124" s="308">
        <f t="shared" si="44"/>
        <v>98.193211727867649</v>
      </c>
      <c r="AD124" s="309">
        <f t="shared" si="37"/>
        <v>17.361852093483403</v>
      </c>
      <c r="AE124" s="107">
        <f t="shared" si="38"/>
        <v>1.287652812866507E-3</v>
      </c>
      <c r="AF124" s="309">
        <f t="shared" si="45"/>
        <v>80.831359634384242</v>
      </c>
      <c r="AG124" s="107">
        <f t="shared" si="39"/>
        <v>5.9949092435884485E-3</v>
      </c>
      <c r="AH124" s="119">
        <f t="shared" si="46"/>
        <v>7.2825620564549555E-3</v>
      </c>
      <c r="AI124" s="122">
        <f t="shared" si="40"/>
        <v>7.2825620564549555E-3</v>
      </c>
      <c r="AJ124" s="87" t="b">
        <f t="shared" si="47"/>
        <v>1</v>
      </c>
      <c r="AK124" s="88">
        <f t="shared" si="53"/>
        <v>1.1360818864202329E-4</v>
      </c>
      <c r="AL124" s="312">
        <f>+AC124/'MWh by month-WgtbyCDH&amp;DayLtHrs'!AC124-1</f>
        <v>-0.13543733803325808</v>
      </c>
      <c r="AM124" s="89">
        <f t="shared" si="41"/>
        <v>239547.06608109857</v>
      </c>
      <c r="AN124" s="90">
        <f>SUM(AM113:AM124)</f>
        <v>3149052.5391629008</v>
      </c>
      <c r="AO124" s="96">
        <f t="shared" si="62"/>
        <v>50.545076100463149</v>
      </c>
      <c r="AP124" s="92">
        <f t="shared" si="61"/>
        <v>3.7487077453989977E-3</v>
      </c>
      <c r="AR124" s="94">
        <f t="shared" si="42"/>
        <v>7.2825620564549555E-3</v>
      </c>
      <c r="AS124" s="95">
        <v>475130.71205991617</v>
      </c>
      <c r="AU124" s="141">
        <v>98.193211727867649</v>
      </c>
    </row>
    <row r="125" spans="1:47">
      <c r="A125" s="78">
        <v>2015</v>
      </c>
      <c r="B125" s="78">
        <v>1</v>
      </c>
      <c r="C125" s="326">
        <v>32.320030455796434</v>
      </c>
      <c r="D125" s="318">
        <f>C125/(SUM(C$125:C$136))</f>
        <v>1.6125648960134388E-2</v>
      </c>
      <c r="E125" s="321">
        <f>$D125*'MWh Impact Summary'!B$21</f>
        <v>29123.27314861547</v>
      </c>
      <c r="F125" s="319">
        <f>$D125*'MWh Impact Summary'!N$21</f>
        <v>2218.2514636585584</v>
      </c>
      <c r="G125" s="319">
        <f>$D125*'MWh Impact Summary'!C$21</f>
        <v>24136.896088325702</v>
      </c>
      <c r="H125" s="319">
        <f>$D125*'MWh Impact Summary'!D$21</f>
        <v>78.625528000674976</v>
      </c>
      <c r="I125" s="319">
        <f>$D125*'MWh Impact Summary'!E$21</f>
        <v>9590.5423932608155</v>
      </c>
      <c r="J125" s="104">
        <f t="shared" si="43"/>
        <v>65147.588621861221</v>
      </c>
      <c r="K125" s="298">
        <f t="shared" si="52"/>
        <v>13.3</v>
      </c>
      <c r="L125" s="300">
        <f t="shared" si="64"/>
        <v>9.3629003871876101E-2</v>
      </c>
      <c r="M125" s="297">
        <f>(31/365)</f>
        <v>8.4931506849315067E-2</v>
      </c>
      <c r="N125" s="304">
        <f>$M125*'MWh Impact Summary'!F$21</f>
        <v>81543.66993304163</v>
      </c>
      <c r="O125" s="304">
        <f>$M125*'MWh Impact Summary'!G$21</f>
        <v>720.92781252686359</v>
      </c>
      <c r="P125" s="304">
        <f>$M125*'MWh Impact Summary'!H$21</f>
        <v>4231.0324141611218</v>
      </c>
      <c r="Q125" s="304">
        <f>$M125*'MWh Impact Summary'!I$21</f>
        <v>1043.8450394124277</v>
      </c>
      <c r="R125" s="304">
        <f>$M125*'MWh Impact Summary'!J$21</f>
        <v>22934.702028285679</v>
      </c>
      <c r="S125" s="304">
        <f>$M125*'MWh Impact Summary'!K$21</f>
        <v>3389.0551970478264</v>
      </c>
      <c r="T125" s="304">
        <f>$M125*'MWh Impact Summary'!L$21</f>
        <v>1274.0601707877818</v>
      </c>
      <c r="U125" s="304">
        <f>$M125*'MWh Impact Summary'!M$21</f>
        <v>3736.4736000662137</v>
      </c>
      <c r="V125" s="304">
        <f>$M125*'LED Impact Forecast'!$H$22+$D125*'LED Impact Forecast'!$J$22</f>
        <v>5171.6590244744539</v>
      </c>
      <c r="W125" s="304">
        <f>$M125*'CFL Impact Forecast'!$H$22+$D125*'CFL Impact Forecast'!$J$22</f>
        <v>253782.72013000105</v>
      </c>
      <c r="X125" s="304">
        <f>$M125*'EISA Incand Impact Forecast'!$G$22+$D125*'EISA Incand Impact Forecast'!$I$22</f>
        <v>70620.23671771861</v>
      </c>
      <c r="Y125" s="85">
        <f t="shared" si="35"/>
        <v>448448.38206752361</v>
      </c>
      <c r="Z125" s="81">
        <f t="shared" si="36"/>
        <v>513595.97068938485</v>
      </c>
      <c r="AA125" s="81"/>
      <c r="AB125" s="337">
        <v>4746212</v>
      </c>
      <c r="AC125" s="308">
        <f>+Z125*1000/AB125</f>
        <v>108.21176354730569</v>
      </c>
      <c r="AD125" s="309">
        <f t="shared" si="37"/>
        <v>13.726228120838517</v>
      </c>
      <c r="AE125" s="107">
        <f t="shared" si="38"/>
        <v>1.0320472271307154E-3</v>
      </c>
      <c r="AF125" s="309">
        <f t="shared" si="45"/>
        <v>94.485535426467166</v>
      </c>
      <c r="AG125" s="107">
        <f t="shared" si="39"/>
        <v>7.104175595974975E-3</v>
      </c>
      <c r="AH125" s="119">
        <f t="shared" si="46"/>
        <v>8.1362228231056898E-3</v>
      </c>
      <c r="AI125" s="122">
        <f t="shared" si="40"/>
        <v>8.1362228231056898E-3</v>
      </c>
      <c r="AJ125" s="87" t="b">
        <f t="shared" si="47"/>
        <v>1</v>
      </c>
      <c r="AK125" s="88">
        <f t="shared" si="53"/>
        <v>1.3055723395298579E-3</v>
      </c>
      <c r="AL125" s="312">
        <f>+AC125/'MWh by month-WgtbyCDH&amp;DayLtHrs'!AC125-1</f>
        <v>-0.13286668825029058</v>
      </c>
      <c r="AM125" s="89">
        <f t="shared" si="41"/>
        <v>253782.72013000105</v>
      </c>
      <c r="AN125" s="93"/>
      <c r="AO125" s="96">
        <f t="shared" si="62"/>
        <v>53.470582462393388</v>
      </c>
      <c r="AP125" s="92">
        <f t="shared" si="61"/>
        <v>4.0203445460446153E-3</v>
      </c>
      <c r="AR125" s="94">
        <f t="shared" si="42"/>
        <v>8.1362228231056898E-3</v>
      </c>
      <c r="AS125" s="95">
        <v>536870.30337730492</v>
      </c>
      <c r="AU125" s="141">
        <v>108.21176354730569</v>
      </c>
    </row>
    <row r="126" spans="1:47">
      <c r="A126" s="78">
        <v>2015</v>
      </c>
      <c r="B126" s="78">
        <v>2</v>
      </c>
      <c r="C126" s="326">
        <v>19.010312928949858</v>
      </c>
      <c r="D126" s="318">
        <f>C126/(SUM(C$125:C$136))</f>
        <v>9.4849425755900163E-3</v>
      </c>
      <c r="E126" s="321">
        <f>$D126*'MWh Impact Summary'!B$21</f>
        <v>17130.012820615084</v>
      </c>
      <c r="F126" s="319">
        <f>$D126*'MWh Impact Summary'!N$21</f>
        <v>1304.7529313725422</v>
      </c>
      <c r="G126" s="319">
        <f>$D126*'MWh Impact Summary'!C$21</f>
        <v>14197.076590016795</v>
      </c>
      <c r="H126" s="319">
        <f>$D126*'MWh Impact Summary'!D$21</f>
        <v>46.246735241818882</v>
      </c>
      <c r="I126" s="319">
        <f>$D126*'MWh Impact Summary'!E$21</f>
        <v>5641.059413715675</v>
      </c>
      <c r="J126" s="104">
        <f t="shared" si="43"/>
        <v>38319.14849096191</v>
      </c>
      <c r="K126" s="298">
        <f t="shared" si="52"/>
        <v>12.733333333333333</v>
      </c>
      <c r="L126" s="300">
        <f t="shared" si="64"/>
        <v>8.9639798193124468E-2</v>
      </c>
      <c r="M126" s="297">
        <f>(28/365)</f>
        <v>7.6712328767123292E-2</v>
      </c>
      <c r="N126" s="304">
        <f>$M126*'MWh Impact Summary'!F$21</f>
        <v>73652.347036295672</v>
      </c>
      <c r="O126" s="304">
        <f>$M126*'MWh Impact Summary'!G$21</f>
        <v>651.16060486297363</v>
      </c>
      <c r="P126" s="304">
        <f>$M126*'MWh Impact Summary'!H$21</f>
        <v>3821.5776644035941</v>
      </c>
      <c r="Q126" s="304">
        <f>$M126*'MWh Impact Summary'!I$21</f>
        <v>942.82777753380572</v>
      </c>
      <c r="R126" s="304">
        <f>$M126*'MWh Impact Summary'!J$21</f>
        <v>20715.214735225774</v>
      </c>
      <c r="S126" s="304">
        <f>$M126*'MWh Impact Summary'!K$21</f>
        <v>3061.082113462553</v>
      </c>
      <c r="T126" s="304">
        <f>$M126*'MWh Impact Summary'!L$21</f>
        <v>1150.764025227674</v>
      </c>
      <c r="U126" s="304">
        <f>$M126*'MWh Impact Summary'!M$21</f>
        <v>3374.8793807049674</v>
      </c>
      <c r="V126" s="304">
        <f>$M126*'LED Impact Forecast'!$H$22+$D126*'LED Impact Forecast'!$J$22</f>
        <v>4648.3623598343693</v>
      </c>
      <c r="W126" s="304">
        <f>$M126*'CFL Impact Forecast'!$H$22+$D126*'CFL Impact Forecast'!$J$22</f>
        <v>226730.16191994882</v>
      </c>
      <c r="X126" s="304">
        <f>$M126*'EISA Incand Impact Forecast'!$G$22+$D126*'EISA Incand Impact Forecast'!$I$22</f>
        <v>63039.908820309662</v>
      </c>
      <c r="Y126" s="85">
        <f t="shared" si="35"/>
        <v>401788.28643780987</v>
      </c>
      <c r="Z126" s="81">
        <f t="shared" si="36"/>
        <v>440107.43492877181</v>
      </c>
      <c r="AA126" s="81"/>
      <c r="AB126" s="337">
        <v>4753351</v>
      </c>
      <c r="AC126" s="308">
        <f t="shared" ref="AC126:AC128" si="66">+Z126*1000/AB126</f>
        <v>92.588877810364053</v>
      </c>
      <c r="AD126" s="309">
        <f t="shared" si="37"/>
        <v>8.061501978490945</v>
      </c>
      <c r="AE126" s="107">
        <f t="shared" si="38"/>
        <v>6.3310224961970769E-4</v>
      </c>
      <c r="AF126" s="309">
        <f t="shared" si="45"/>
        <v>84.527375831873115</v>
      </c>
      <c r="AG126" s="107">
        <f t="shared" si="39"/>
        <v>6.6382755888905595E-3</v>
      </c>
      <c r="AH126" s="119">
        <f t="shared" si="46"/>
        <v>7.2713778385102672E-3</v>
      </c>
      <c r="AI126" s="122">
        <f t="shared" si="40"/>
        <v>7.2713778385102672E-3</v>
      </c>
      <c r="AJ126" s="87" t="b">
        <f t="shared" si="47"/>
        <v>1</v>
      </c>
      <c r="AK126" s="88">
        <f t="shared" si="53"/>
        <v>-3.0015446019456167E-4</v>
      </c>
      <c r="AL126" s="312">
        <f>+AC126/'MWh by month-WgtbyCDH&amp;DayLtHrs'!AC126-1</f>
        <v>-0.25306787206603398</v>
      </c>
      <c r="AM126" s="89">
        <f t="shared" si="41"/>
        <v>226730.16191994882</v>
      </c>
      <c r="AN126" s="93"/>
      <c r="AO126" s="96">
        <f t="shared" si="62"/>
        <v>47.699015267323794</v>
      </c>
      <c r="AP126" s="92">
        <f t="shared" si="61"/>
        <v>3.7459959634023924E-3</v>
      </c>
      <c r="AR126" s="94">
        <f t="shared" si="42"/>
        <v>7.2713778385102672E-3</v>
      </c>
      <c r="AS126" s="95">
        <v>498744.60648130899</v>
      </c>
      <c r="AU126" s="141">
        <v>92.588877810364053</v>
      </c>
    </row>
    <row r="127" spans="1:47">
      <c r="A127" s="78">
        <v>2015</v>
      </c>
      <c r="B127" s="78">
        <v>3</v>
      </c>
      <c r="C127" s="326">
        <v>112.46446916168981</v>
      </c>
      <c r="D127" s="318">
        <f>C127/(SUM(C$125:C$136))</f>
        <v>5.6112649790650677E-2</v>
      </c>
      <c r="E127" s="321">
        <f>$D127*'MWh Impact Summary'!B$21</f>
        <v>101340.66734217817</v>
      </c>
      <c r="F127" s="319">
        <f>$D127*'MWh Impact Summary'!N$21</f>
        <v>7718.8811337508887</v>
      </c>
      <c r="G127" s="319">
        <f>$D127*'MWh Impact Summary'!C$21</f>
        <v>83989.500241871778</v>
      </c>
      <c r="H127" s="319">
        <f>$D127*'MWh Impact Summary'!D$21</f>
        <v>273.59436685083995</v>
      </c>
      <c r="I127" s="319">
        <f>$D127*'MWh Impact Summary'!E$21</f>
        <v>33372.346622814497</v>
      </c>
      <c r="J127" s="104">
        <f t="shared" si="43"/>
        <v>226694.98970746616</v>
      </c>
      <c r="K127" s="298">
        <f t="shared" si="52"/>
        <v>12</v>
      </c>
      <c r="L127" s="300">
        <f t="shared" si="64"/>
        <v>8.4477296726504739E-2</v>
      </c>
      <c r="M127" s="297">
        <f t="shared" ref="M127:M136" si="67">(31/365)</f>
        <v>8.4931506849315067E-2</v>
      </c>
      <c r="N127" s="304">
        <f>$M127*'MWh Impact Summary'!F$21</f>
        <v>81543.66993304163</v>
      </c>
      <c r="O127" s="304">
        <f>$M127*'MWh Impact Summary'!G$21</f>
        <v>720.92781252686359</v>
      </c>
      <c r="P127" s="304">
        <f>$M127*'MWh Impact Summary'!H$21</f>
        <v>4231.0324141611218</v>
      </c>
      <c r="Q127" s="304">
        <f>$M127*'MWh Impact Summary'!I$21</f>
        <v>1043.8450394124277</v>
      </c>
      <c r="R127" s="304">
        <f>$M127*'MWh Impact Summary'!J$21</f>
        <v>22934.702028285679</v>
      </c>
      <c r="S127" s="304">
        <f>$M127*'MWh Impact Summary'!K$21</f>
        <v>3389.0551970478264</v>
      </c>
      <c r="T127" s="304">
        <f>$M127*'MWh Impact Summary'!L$21</f>
        <v>1274.0601707877818</v>
      </c>
      <c r="U127" s="304">
        <f>$M127*'MWh Impact Summary'!M$21</f>
        <v>3736.4736000662137</v>
      </c>
      <c r="V127" s="304">
        <f>$M127*'LED Impact Forecast'!$H$22+$D127*'LED Impact Forecast'!$J$22</f>
        <v>5351.2291215751338</v>
      </c>
      <c r="W127" s="304">
        <f>$M127*'CFL Impact Forecast'!$H$22+$D127*'CFL Impact Forecast'!$J$22</f>
        <v>273405.1739184914</v>
      </c>
      <c r="X127" s="304">
        <f>$M127*'EISA Incand Impact Forecast'!$G$22+$D127*'EISA Incand Impact Forecast'!$I$22</f>
        <v>76493.036098542623</v>
      </c>
      <c r="Y127" s="85">
        <f>SUM(N127:X127)</f>
        <v>474123.20533393871</v>
      </c>
      <c r="Z127" s="81">
        <f t="shared" si="36"/>
        <v>700818.1950414048</v>
      </c>
      <c r="AA127" s="81"/>
      <c r="AB127" s="337">
        <v>4761186</v>
      </c>
      <c r="AC127" s="308">
        <f t="shared" si="66"/>
        <v>147.19403842685517</v>
      </c>
      <c r="AD127" s="309">
        <f t="shared" si="37"/>
        <v>47.613134565099152</v>
      </c>
      <c r="AE127" s="107">
        <f t="shared" si="38"/>
        <v>3.9677612137582622E-3</v>
      </c>
      <c r="AF127" s="309">
        <f t="shared" si="45"/>
        <v>99.580903861756028</v>
      </c>
      <c r="AG127" s="107">
        <f t="shared" si="39"/>
        <v>8.2984086551463349E-3</v>
      </c>
      <c r="AH127" s="119">
        <f t="shared" si="46"/>
        <v>1.2266169868904598E-2</v>
      </c>
      <c r="AI127" s="122">
        <f t="shared" si="40"/>
        <v>1.2266169868904598E-2</v>
      </c>
      <c r="AJ127" s="87" t="b">
        <f t="shared" si="47"/>
        <v>1</v>
      </c>
      <c r="AK127" s="88">
        <f t="shared" si="53"/>
        <v>3.4392687094912961E-3</v>
      </c>
      <c r="AL127" s="312">
        <f>+AC127/'MWh by month-WgtbyCDH&amp;DayLtHrs'!AC127-1</f>
        <v>0.12635888762781988</v>
      </c>
      <c r="AM127" s="89">
        <f t="shared" si="41"/>
        <v>273405.1739184914</v>
      </c>
      <c r="AN127" s="93"/>
      <c r="AO127" s="96">
        <f t="shared" si="62"/>
        <v>57.42375406432167</v>
      </c>
      <c r="AP127" s="92">
        <f t="shared" si="61"/>
        <v>4.7853128386934722E-3</v>
      </c>
      <c r="AR127" s="94">
        <f t="shared" si="42"/>
        <v>1.2266169868904598E-2</v>
      </c>
      <c r="AS127" s="95">
        <v>603983.5175966213</v>
      </c>
      <c r="AU127" s="141">
        <v>147.19403842685517</v>
      </c>
    </row>
    <row r="128" spans="1:47">
      <c r="A128" s="78">
        <v>2015</v>
      </c>
      <c r="B128" s="78">
        <v>4</v>
      </c>
      <c r="C128" s="317">
        <v>114.03392869270741</v>
      </c>
      <c r="D128" s="318">
        <f t="shared" ref="D128:D135" si="68">C128/(SUM(C$125:C$136))</f>
        <v>5.6895710731417456E-2</v>
      </c>
      <c r="E128" s="321">
        <f>$D128*'MWh Impact Summary'!B$21</f>
        <v>102754.89245189882</v>
      </c>
      <c r="F128" s="319">
        <f>$D128*'MWh Impact Summary'!N$21</f>
        <v>7826.5993460401432</v>
      </c>
      <c r="G128" s="319">
        <f>$D128*'MWh Impact Summary'!C$21</f>
        <v>85161.587058646735</v>
      </c>
      <c r="H128" s="319">
        <f>$D128*'MWh Impact Summary'!D$21</f>
        <v>277.41241969799682</v>
      </c>
      <c r="I128" s="319">
        <f>$D128*'MWh Impact Summary'!E$21</f>
        <v>33838.063020802358</v>
      </c>
      <c r="J128" s="104">
        <f t="shared" si="43"/>
        <v>229858.55429708606</v>
      </c>
      <c r="K128" s="298">
        <f t="shared" si="52"/>
        <v>11.2</v>
      </c>
      <c r="L128" s="300">
        <f t="shared" si="64"/>
        <v>7.8845476944737758E-2</v>
      </c>
      <c r="M128" s="297">
        <f>(30/365)</f>
        <v>8.2191780821917804E-2</v>
      </c>
      <c r="N128" s="304">
        <f>$M128*'MWh Impact Summary'!F$21</f>
        <v>78913.22896745964</v>
      </c>
      <c r="O128" s="304">
        <f>$M128*'MWh Impact Summary'!G$21</f>
        <v>697.67207663890019</v>
      </c>
      <c r="P128" s="304">
        <f>$M128*'MWh Impact Summary'!H$21</f>
        <v>4094.5474975752791</v>
      </c>
      <c r="Q128" s="304">
        <f>$M128*'MWh Impact Summary'!I$21</f>
        <v>1010.1726187862204</v>
      </c>
      <c r="R128" s="304">
        <f>$M128*'MWh Impact Summary'!J$21</f>
        <v>22194.872930599042</v>
      </c>
      <c r="S128" s="304">
        <f>$M128*'MWh Impact Summary'!K$21</f>
        <v>3279.7308358527348</v>
      </c>
      <c r="T128" s="304">
        <f>$M128*'MWh Impact Summary'!L$21</f>
        <v>1232.9614556010793</v>
      </c>
      <c r="U128" s="304">
        <f>$M128*'MWh Impact Summary'!M$21</f>
        <v>3615.942193612465</v>
      </c>
      <c r="V128" s="304">
        <f>$M128*'LED Impact Forecast'!$H$22+$D128*'LED Impact Forecast'!$J$22</f>
        <v>5190.2539005891931</v>
      </c>
      <c r="W128" s="304">
        <f>$M128*'CFL Impact Forecast'!$H$22+$D128*'CFL Impact Forecast'!$J$22</f>
        <v>265858.16311261075</v>
      </c>
      <c r="X128" s="304">
        <f>$M128*'EISA Incand Impact Forecast'!$G$22+$D128*'EISA Incand Impact Forecast'!$I$22</f>
        <v>74406.36829014981</v>
      </c>
      <c r="Y128" s="85">
        <f t="shared" si="35"/>
        <v>460493.91387947509</v>
      </c>
      <c r="Z128" s="81">
        <f t="shared" si="36"/>
        <v>690352.46817656117</v>
      </c>
      <c r="AA128" s="81"/>
      <c r="AB128" s="337">
        <v>4765589</v>
      </c>
      <c r="AC128" s="308">
        <f t="shared" si="66"/>
        <v>144.86194008265528</v>
      </c>
      <c r="AD128" s="309">
        <f t="shared" si="37"/>
        <v>48.232979028843246</v>
      </c>
      <c r="AE128" s="107">
        <f t="shared" si="38"/>
        <v>4.3065159847181468E-3</v>
      </c>
      <c r="AF128" s="309">
        <f t="shared" si="45"/>
        <v>96.628961053812048</v>
      </c>
      <c r="AG128" s="107">
        <f t="shared" si="39"/>
        <v>8.6275858083760763E-3</v>
      </c>
      <c r="AH128" s="119">
        <f t="shared" si="46"/>
        <v>1.2934101793094222E-2</v>
      </c>
      <c r="AI128" s="122">
        <f t="shared" si="40"/>
        <v>1.2934101793094222E-2</v>
      </c>
      <c r="AJ128" s="87" t="b">
        <f t="shared" si="47"/>
        <v>1</v>
      </c>
      <c r="AK128" s="88">
        <f t="shared" si="53"/>
        <v>7.9801243893473824E-4</v>
      </c>
      <c r="AL128" s="312">
        <f>+AC128/'MWh by month-WgtbyCDH&amp;DayLtHrs'!AC128-1</f>
        <v>-4.6370610808796897E-3</v>
      </c>
      <c r="AM128" s="89">
        <f t="shared" si="41"/>
        <v>265858.16311261075</v>
      </c>
      <c r="AN128" s="93"/>
      <c r="AO128" s="96">
        <f t="shared" si="62"/>
        <v>55.787052369100806</v>
      </c>
      <c r="AP128" s="92">
        <f t="shared" si="61"/>
        <v>4.9809868186697151E-3</v>
      </c>
      <c r="AR128" s="94">
        <f t="shared" si="42"/>
        <v>1.2934101793094222E-2</v>
      </c>
      <c r="AS128" s="95">
        <v>709662.42917555431</v>
      </c>
      <c r="AU128" s="141">
        <v>144.86194008265528</v>
      </c>
    </row>
    <row r="129" spans="1:47">
      <c r="A129" s="78">
        <v>2015</v>
      </c>
      <c r="B129" s="78">
        <v>5</v>
      </c>
      <c r="C129" s="317">
        <v>208.47875842628665</v>
      </c>
      <c r="D129" s="318">
        <f t="shared" si="68"/>
        <v>0.10401770130213556</v>
      </c>
      <c r="E129" s="321">
        <f>$D129*'MWh Impact Summary'!B$21</f>
        <v>187858.23347651138</v>
      </c>
      <c r="F129" s="319">
        <f>$D129*'MWh Impact Summary'!N$21</f>
        <v>14308.721387293428</v>
      </c>
      <c r="G129" s="319">
        <f>$D129*'MWh Impact Summary'!C$21</f>
        <v>155693.85479511417</v>
      </c>
      <c r="H129" s="319">
        <f>$D129*'MWh Impact Summary'!D$21</f>
        <v>507.1700808144559</v>
      </c>
      <c r="I129" s="319">
        <f>$D129*'MWh Impact Summary'!E$21</f>
        <v>61863.319513769078</v>
      </c>
      <c r="J129" s="104">
        <f t="shared" si="43"/>
        <v>420231.29925350251</v>
      </c>
      <c r="K129" s="298">
        <f t="shared" si="52"/>
        <v>10.533333333333333</v>
      </c>
      <c r="L129" s="300">
        <f t="shared" si="64"/>
        <v>7.4152293793265281E-2</v>
      </c>
      <c r="M129" s="297">
        <f t="shared" si="67"/>
        <v>8.4931506849315067E-2</v>
      </c>
      <c r="N129" s="304">
        <f>$M129*'MWh Impact Summary'!F$21</f>
        <v>81543.66993304163</v>
      </c>
      <c r="O129" s="304">
        <f>$M129*'MWh Impact Summary'!G$21</f>
        <v>720.92781252686359</v>
      </c>
      <c r="P129" s="304">
        <f>$M129*'MWh Impact Summary'!H$21</f>
        <v>4231.0324141611218</v>
      </c>
      <c r="Q129" s="304">
        <f>$M129*'MWh Impact Summary'!I$21</f>
        <v>1043.8450394124277</v>
      </c>
      <c r="R129" s="304">
        <f>$M129*'MWh Impact Summary'!J$21</f>
        <v>22934.702028285679</v>
      </c>
      <c r="S129" s="304">
        <f>$M129*'MWh Impact Summary'!K$21</f>
        <v>3389.0551970478264</v>
      </c>
      <c r="T129" s="304">
        <f>$M129*'MWh Impact Summary'!L$21</f>
        <v>1274.0601707877818</v>
      </c>
      <c r="U129" s="304">
        <f>$M129*'MWh Impact Summary'!M$21</f>
        <v>3736.4736000662137</v>
      </c>
      <c r="V129" s="304">
        <f>$M129*'LED Impact Forecast'!$H$22+$D129*'LED Impact Forecast'!$J$22</f>
        <v>5566.356902425493</v>
      </c>
      <c r="W129" s="304">
        <f>$M129*'CFL Impact Forecast'!$H$22+$D129*'CFL Impact Forecast'!$J$22</f>
        <v>296913.180020364</v>
      </c>
      <c r="X129" s="304">
        <f>$M129*'EISA Incand Impact Forecast'!$G$22+$D129*'EISA Incand Impact Forecast'!$I$22</f>
        <v>83528.741478084034</v>
      </c>
      <c r="Y129" s="85">
        <f t="shared" si="35"/>
        <v>504882.04459620302</v>
      </c>
      <c r="Z129" s="81">
        <f t="shared" si="36"/>
        <v>925113.34384970553</v>
      </c>
      <c r="AA129" s="81"/>
      <c r="AB129" s="337">
        <v>4767866</v>
      </c>
      <c r="AC129" s="308">
        <f t="shared" si="44"/>
        <v>194.03090268260593</v>
      </c>
      <c r="AD129" s="309">
        <f t="shared" si="37"/>
        <v>88.13823611097763</v>
      </c>
      <c r="AE129" s="107">
        <f t="shared" si="38"/>
        <v>8.367554061168762E-3</v>
      </c>
      <c r="AF129" s="309">
        <f t="shared" si="45"/>
        <v>105.89266657162828</v>
      </c>
      <c r="AG129" s="107">
        <f t="shared" si="39"/>
        <v>1.0053101256800154E-2</v>
      </c>
      <c r="AH129" s="119">
        <f t="shared" si="46"/>
        <v>1.8420655317968916E-2</v>
      </c>
      <c r="AI129" s="122">
        <f t="shared" si="40"/>
        <v>1.842065531796892E-2</v>
      </c>
      <c r="AJ129" s="87" t="b">
        <f t="shared" si="47"/>
        <v>1</v>
      </c>
      <c r="AK129" s="88">
        <f t="shared" si="53"/>
        <v>1.830787116640694E-3</v>
      </c>
      <c r="AL129" s="312">
        <f>+AC129/'MWh by month-WgtbyCDH&amp;DayLtHrs'!AC129-1</f>
        <v>7.2685588006646595E-2</v>
      </c>
      <c r="AM129" s="89">
        <f t="shared" si="41"/>
        <v>296913.180020364</v>
      </c>
      <c r="AN129" s="93"/>
      <c r="AO129" s="96">
        <f t="shared" si="62"/>
        <v>62.273809712849307</v>
      </c>
      <c r="AP129" s="92">
        <f t="shared" si="61"/>
        <v>5.9120705423591109E-3</v>
      </c>
      <c r="AR129" s="94">
        <f t="shared" si="42"/>
        <v>1.842065531796892E-2</v>
      </c>
      <c r="AS129" s="95">
        <v>853466.02375972236</v>
      </c>
      <c r="AU129" s="141">
        <v>194.03090268260593</v>
      </c>
    </row>
    <row r="130" spans="1:47">
      <c r="A130" s="78">
        <v>2015</v>
      </c>
      <c r="B130" s="78">
        <v>6</v>
      </c>
      <c r="C130" s="317">
        <v>271.66325293295364</v>
      </c>
      <c r="D130" s="318">
        <f t="shared" si="68"/>
        <v>0.13554276374078555</v>
      </c>
      <c r="E130" s="321">
        <f>$D130*'MWh Impact Summary'!B$21</f>
        <v>244793.18268058426</v>
      </c>
      <c r="F130" s="319">
        <f>$D130*'MWh Impact Summary'!N$21</f>
        <v>18645.323037828181</v>
      </c>
      <c r="G130" s="319">
        <f>$D130*'MWh Impact Summary'!C$21</f>
        <v>202880.61658937149</v>
      </c>
      <c r="H130" s="319">
        <f>$D130*'MWh Impact Summary'!D$21</f>
        <v>660.88015385528968</v>
      </c>
      <c r="I130" s="319">
        <f>$D130*'MWh Impact Summary'!E$21</f>
        <v>80612.484184010507</v>
      </c>
      <c r="J130" s="104">
        <f t="shared" si="43"/>
        <v>547592.48664564977</v>
      </c>
      <c r="K130" s="298">
        <f t="shared" si="52"/>
        <v>10.199999999999999</v>
      </c>
      <c r="L130" s="300">
        <f t="shared" si="64"/>
        <v>7.1805702217529022E-2</v>
      </c>
      <c r="M130" s="297">
        <f>(30/365)</f>
        <v>8.2191780821917804E-2</v>
      </c>
      <c r="N130" s="304">
        <f>$M130*'MWh Impact Summary'!F$21</f>
        <v>78913.22896745964</v>
      </c>
      <c r="O130" s="304">
        <f>$M130*'MWh Impact Summary'!G$21</f>
        <v>697.67207663890019</v>
      </c>
      <c r="P130" s="304">
        <f>$M130*'MWh Impact Summary'!H$21</f>
        <v>4094.5474975752791</v>
      </c>
      <c r="Q130" s="304">
        <f>$M130*'MWh Impact Summary'!I$21</f>
        <v>1010.1726187862204</v>
      </c>
      <c r="R130" s="304">
        <f>$M130*'MWh Impact Summary'!J$21</f>
        <v>22194.872930599042</v>
      </c>
      <c r="S130" s="304">
        <f>$M130*'MWh Impact Summary'!K$21</f>
        <v>3279.7308358527348</v>
      </c>
      <c r="T130" s="304">
        <f>$M130*'MWh Impact Summary'!L$21</f>
        <v>1232.9614556010793</v>
      </c>
      <c r="U130" s="304">
        <f>$M130*'MWh Impact Summary'!M$21</f>
        <v>3615.942193612465</v>
      </c>
      <c r="V130" s="304">
        <f>$M130*'LED Impact Forecast'!$H$22+$D130*'LED Impact Forecast'!$J$22</f>
        <v>5543.4351508018071</v>
      </c>
      <c r="W130" s="304">
        <f>$M130*'CFL Impact Forecast'!$H$22+$D130*'CFL Impact Forecast'!$J$22</f>
        <v>304451.90936075489</v>
      </c>
      <c r="X130" s="304">
        <f>$M130*'EISA Incand Impact Forecast'!$G$22+$D130*'EISA Incand Impact Forecast'!$I$22</f>
        <v>85957.081137425048</v>
      </c>
      <c r="Y130" s="85">
        <f t="shared" si="35"/>
        <v>510991.55422510707</v>
      </c>
      <c r="Z130" s="81">
        <f t="shared" si="36"/>
        <v>1058584.0408707568</v>
      </c>
      <c r="AA130" s="81"/>
      <c r="AB130" s="337">
        <v>4772498</v>
      </c>
      <c r="AC130" s="308">
        <f t="shared" si="44"/>
        <v>221.80921623660331</v>
      </c>
      <c r="AD130" s="309">
        <f t="shared" si="37"/>
        <v>114.73917572006312</v>
      </c>
      <c r="AE130" s="107">
        <f t="shared" si="38"/>
        <v>1.124893879608462E-2</v>
      </c>
      <c r="AF130" s="309">
        <f t="shared" si="45"/>
        <v>107.0700405165402</v>
      </c>
      <c r="AG130" s="107">
        <f t="shared" si="39"/>
        <v>1.0497062795739236E-2</v>
      </c>
      <c r="AH130" s="119">
        <f t="shared" si="46"/>
        <v>2.1746001591823855E-2</v>
      </c>
      <c r="AI130" s="122">
        <f t="shared" si="40"/>
        <v>2.1746001591823855E-2</v>
      </c>
      <c r="AJ130" s="87">
        <f>AH130-AI130</f>
        <v>0</v>
      </c>
      <c r="AK130" s="88">
        <f t="shared" si="53"/>
        <v>3.7249692538151406E-3</v>
      </c>
      <c r="AL130" s="312">
        <f>+AC130/'MWh by month-WgtbyCDH&amp;DayLtHrs'!AC130-1</f>
        <v>8.0569024920096544E-2</v>
      </c>
      <c r="AM130" s="89">
        <f t="shared" si="41"/>
        <v>304451.90936075489</v>
      </c>
      <c r="AN130" s="93"/>
      <c r="AO130" s="96">
        <f t="shared" si="62"/>
        <v>63.792988359713277</v>
      </c>
      <c r="AP130" s="92">
        <f t="shared" si="61"/>
        <v>6.2542145450699294E-3</v>
      </c>
      <c r="AR130" s="94">
        <f t="shared" si="42"/>
        <v>2.1746001591823855E-2</v>
      </c>
      <c r="AS130" s="95">
        <v>1041990.050347965</v>
      </c>
      <c r="AU130" s="141">
        <v>221.80921623660331</v>
      </c>
    </row>
    <row r="131" spans="1:47">
      <c r="A131" s="78">
        <v>2015</v>
      </c>
      <c r="B131" s="78">
        <v>7</v>
      </c>
      <c r="C131" s="317">
        <v>322.31916585708109</v>
      </c>
      <c r="D131" s="318">
        <f t="shared" si="68"/>
        <v>0.16081685717602592</v>
      </c>
      <c r="E131" s="321">
        <f>$D131*'MWh Impact Summary'!B$21</f>
        <v>290438.74575329054</v>
      </c>
      <c r="F131" s="319">
        <f>$D131*'MWh Impact Summary'!N$21</f>
        <v>22122.038604064706</v>
      </c>
      <c r="G131" s="319">
        <f>$D131*'MWh Impact Summary'!C$21</f>
        <v>240710.91839497074</v>
      </c>
      <c r="H131" s="319">
        <f>$D131*'MWh Impact Summary'!D$21</f>
        <v>784.11171780641303</v>
      </c>
      <c r="I131" s="319">
        <f>$D131*'MWh Impact Summary'!E$21</f>
        <v>95643.957654699741</v>
      </c>
      <c r="J131" s="104">
        <f t="shared" si="43"/>
        <v>649699.77212483226</v>
      </c>
      <c r="K131" s="298">
        <f t="shared" si="52"/>
        <v>10.366666666666667</v>
      </c>
      <c r="L131" s="300">
        <f t="shared" si="64"/>
        <v>7.2978998005397158E-2</v>
      </c>
      <c r="M131" s="297">
        <f t="shared" si="67"/>
        <v>8.4931506849315067E-2</v>
      </c>
      <c r="N131" s="304">
        <f>$M131*'MWh Impact Summary'!F$21</f>
        <v>81543.66993304163</v>
      </c>
      <c r="O131" s="304">
        <f>$M131*'MWh Impact Summary'!G$21</f>
        <v>720.92781252686359</v>
      </c>
      <c r="P131" s="304">
        <f>$M131*'MWh Impact Summary'!H$21</f>
        <v>4231.0324141611218</v>
      </c>
      <c r="Q131" s="304">
        <f>$M131*'MWh Impact Summary'!I$21</f>
        <v>1043.8450394124277</v>
      </c>
      <c r="R131" s="304">
        <f>$M131*'MWh Impact Summary'!J$21</f>
        <v>22934.702028285679</v>
      </c>
      <c r="S131" s="304">
        <f>$M131*'MWh Impact Summary'!K$21</f>
        <v>3389.0551970478264</v>
      </c>
      <c r="T131" s="304">
        <f>$M131*'MWh Impact Summary'!L$21</f>
        <v>1274.0601707877818</v>
      </c>
      <c r="U131" s="304">
        <f>$M131*'MWh Impact Summary'!M$21</f>
        <v>3736.4736000662137</v>
      </c>
      <c r="V131" s="304">
        <f>$M131*'LED Impact Forecast'!$H$22+$D131*'LED Impact Forecast'!$J$22</f>
        <v>5821.4255428254346</v>
      </c>
      <c r="W131" s="304">
        <f>$M131*'CFL Impact Forecast'!$H$22+$D131*'CFL Impact Forecast'!$J$22</f>
        <v>324785.70829735615</v>
      </c>
      <c r="X131" s="304">
        <f>$M131*'EISA Incand Impact Forecast'!$G$22+$D131*'EISA Incand Impact Forecast'!$I$22</f>
        <v>91870.703628767369</v>
      </c>
      <c r="Y131" s="85">
        <f t="shared" si="35"/>
        <v>541351.60366427852</v>
      </c>
      <c r="Z131" s="81">
        <f t="shared" si="36"/>
        <v>1191051.3757891108</v>
      </c>
      <c r="AA131" s="81"/>
      <c r="AB131" s="262">
        <v>4784923.7420767779</v>
      </c>
      <c r="AC131" s="308">
        <f t="shared" si="44"/>
        <v>248.91752512489666</v>
      </c>
      <c r="AD131" s="309">
        <f t="shared" si="37"/>
        <v>135.7805906939796</v>
      </c>
      <c r="AE131" s="107">
        <f t="shared" si="38"/>
        <v>1.3097806176268129E-2</v>
      </c>
      <c r="AF131" s="309">
        <f t="shared" si="45"/>
        <v>113.13693443091702</v>
      </c>
      <c r="AG131" s="107">
        <f t="shared" si="39"/>
        <v>1.0913530652500034E-2</v>
      </c>
      <c r="AH131" s="119">
        <f t="shared" si="46"/>
        <v>2.4011336828768163E-2</v>
      </c>
      <c r="AI131" s="122">
        <f t="shared" si="40"/>
        <v>2.4011336828768166E-2</v>
      </c>
      <c r="AJ131" s="87" t="b">
        <f t="shared" si="47"/>
        <v>1</v>
      </c>
      <c r="AK131" s="88">
        <f t="shared" si="53"/>
        <v>3.3621601331977093E-3</v>
      </c>
      <c r="AL131" s="312">
        <f>+AC131/'MWh by month-WgtbyCDH&amp;DayLtHrs'!AC131-1</f>
        <v>9.2669970287630132E-2</v>
      </c>
      <c r="AM131" s="89">
        <f t="shared" si="41"/>
        <v>324785.70829735615</v>
      </c>
      <c r="AN131" s="93"/>
      <c r="AO131" s="96">
        <f t="shared" si="62"/>
        <v>67.876882852137356</v>
      </c>
      <c r="AP131" s="92">
        <f t="shared" si="61"/>
        <v>6.5476092783412236E-3</v>
      </c>
      <c r="AR131" s="94">
        <f t="shared" si="42"/>
        <v>2.4011336828768166E-2</v>
      </c>
      <c r="AS131" s="95">
        <v>1096095.832950097</v>
      </c>
      <c r="AU131" s="141">
        <v>248.91752512489666</v>
      </c>
    </row>
    <row r="132" spans="1:47">
      <c r="A132" s="78">
        <v>2015</v>
      </c>
      <c r="B132" s="78">
        <v>8</v>
      </c>
      <c r="C132" s="317">
        <v>326.45437890907908</v>
      </c>
      <c r="D132" s="318">
        <f t="shared" si="68"/>
        <v>0.16288006668144661</v>
      </c>
      <c r="E132" s="321">
        <f>$D132*'MWh Impact Summary'!B$21</f>
        <v>294164.94704526541</v>
      </c>
      <c r="F132" s="319">
        <f>$D132*'MWh Impact Summary'!N$21</f>
        <v>22405.854623906649</v>
      </c>
      <c r="G132" s="319">
        <f>$D132*'MWh Impact Summary'!C$21</f>
        <v>243799.133546119</v>
      </c>
      <c r="H132" s="319">
        <f>$D132*'MWh Impact Summary'!D$21</f>
        <v>794.17152607464175</v>
      </c>
      <c r="I132" s="319">
        <f>$D132*'MWh Impact Summary'!E$21</f>
        <v>96871.027540496812</v>
      </c>
      <c r="J132" s="104">
        <f t="shared" si="43"/>
        <v>658035.13428186253</v>
      </c>
      <c r="K132" s="298">
        <f t="shared" si="52"/>
        <v>10.933333333333334</v>
      </c>
      <c r="L132" s="300">
        <f t="shared" si="64"/>
        <v>7.6968203684148764E-2</v>
      </c>
      <c r="M132" s="297">
        <f t="shared" si="67"/>
        <v>8.4931506849315067E-2</v>
      </c>
      <c r="N132" s="304">
        <f>$M132*'MWh Impact Summary'!F$21</f>
        <v>81543.66993304163</v>
      </c>
      <c r="O132" s="304">
        <f>$M132*'MWh Impact Summary'!G$21</f>
        <v>720.92781252686359</v>
      </c>
      <c r="P132" s="304">
        <f>$M132*'MWh Impact Summary'!H$21</f>
        <v>4231.0324141611218</v>
      </c>
      <c r="Q132" s="304">
        <f>$M132*'MWh Impact Summary'!I$21</f>
        <v>1043.8450394124277</v>
      </c>
      <c r="R132" s="304">
        <f>$M132*'MWh Impact Summary'!J$21</f>
        <v>22934.702028285679</v>
      </c>
      <c r="S132" s="304">
        <f>$M132*'MWh Impact Summary'!K$21</f>
        <v>3389.0551970478264</v>
      </c>
      <c r="T132" s="304">
        <f>$M132*'MWh Impact Summary'!L$21</f>
        <v>1274.0601707877818</v>
      </c>
      <c r="U132" s="304">
        <f>$M132*'MWh Impact Summary'!M$21</f>
        <v>3736.4736000662137</v>
      </c>
      <c r="V132" s="304">
        <f>$M132*'LED Impact Forecast'!$H$22+$D132*'LED Impact Forecast'!$J$22</f>
        <v>5830.6908221295207</v>
      </c>
      <c r="W132" s="304">
        <f>$M132*'CFL Impact Forecast'!$H$22+$D132*'CFL Impact Forecast'!$J$22</f>
        <v>325798.16815519059</v>
      </c>
      <c r="X132" s="304">
        <f>$M132*'EISA Incand Impact Forecast'!$G$22+$D132*'EISA Incand Impact Forecast'!$I$22</f>
        <v>92173.722491254739</v>
      </c>
      <c r="Y132" s="85">
        <f t="shared" si="35"/>
        <v>542676.34766390431</v>
      </c>
      <c r="Z132" s="81">
        <f t="shared" si="36"/>
        <v>1200711.4819457668</v>
      </c>
      <c r="AA132" s="81"/>
      <c r="AB132" s="262">
        <v>4793100.8139620237</v>
      </c>
      <c r="AC132" s="308">
        <f t="shared" si="44"/>
        <v>250.50828859016784</v>
      </c>
      <c r="AD132" s="309">
        <f t="shared" si="37"/>
        <v>137.28798116764924</v>
      </c>
      <c r="AE132" s="107">
        <f t="shared" si="38"/>
        <v>1.2556827545821577E-2</v>
      </c>
      <c r="AF132" s="309">
        <f t="shared" si="45"/>
        <v>113.22030742251857</v>
      </c>
      <c r="AG132" s="107">
        <f t="shared" si="39"/>
        <v>1.0355515922791332E-2</v>
      </c>
      <c r="AH132" s="119">
        <f t="shared" si="46"/>
        <v>2.2912343468612907E-2</v>
      </c>
      <c r="AI132" s="122">
        <f t="shared" si="40"/>
        <v>2.2912343468612911E-2</v>
      </c>
      <c r="AJ132" s="87" t="b">
        <f t="shared" si="47"/>
        <v>1</v>
      </c>
      <c r="AK132" s="88">
        <f t="shared" si="53"/>
        <v>1.7874329238015615E-3</v>
      </c>
      <c r="AL132" s="312">
        <f>+AC132/'MWh by month-WgtbyCDH&amp;DayLtHrs'!AC132-1</f>
        <v>7.210848560238281E-2</v>
      </c>
      <c r="AM132" s="89">
        <f t="shared" si="41"/>
        <v>325798.16815519059</v>
      </c>
      <c r="AN132" s="93"/>
      <c r="AO132" s="96">
        <f t="shared" si="62"/>
        <v>67.972317044982546</v>
      </c>
      <c r="AP132" s="92">
        <f t="shared" si="61"/>
        <v>6.2169802175288912E-3</v>
      </c>
      <c r="AR132" s="94">
        <f t="shared" si="42"/>
        <v>2.2912343468612911E-2</v>
      </c>
      <c r="AS132" s="95">
        <v>1139559.6309116844</v>
      </c>
      <c r="AU132" s="141">
        <v>250.50828859016784</v>
      </c>
    </row>
    <row r="133" spans="1:47">
      <c r="A133" s="78">
        <v>2015</v>
      </c>
      <c r="B133" s="78">
        <v>9</v>
      </c>
      <c r="C133" s="317">
        <v>277.87653293728147</v>
      </c>
      <c r="D133" s="318">
        <f t="shared" si="68"/>
        <v>0.1386427970893879</v>
      </c>
      <c r="E133" s="321">
        <f>$D133*'MWh Impact Summary'!B$21</f>
        <v>250391.91040958045</v>
      </c>
      <c r="F133" s="319">
        <f>$D133*'MWh Impact Summary'!N$21</f>
        <v>19071.765008004255</v>
      </c>
      <c r="G133" s="319">
        <f>$D133*'MWh Impact Summary'!C$21</f>
        <v>207520.75125871354</v>
      </c>
      <c r="H133" s="319">
        <f>$D133*'MWh Impact Summary'!D$21</f>
        <v>675.99531352769327</v>
      </c>
      <c r="I133" s="319">
        <f>$D133*'MWh Impact Summary'!E$21</f>
        <v>82456.193006135654</v>
      </c>
      <c r="J133" s="104">
        <f t="shared" si="43"/>
        <v>560116.61499596166</v>
      </c>
      <c r="K133" s="298">
        <f t="shared" si="52"/>
        <v>11.683333333333334</v>
      </c>
      <c r="L133" s="300">
        <f>L121</f>
        <v>8.2248034729555317E-2</v>
      </c>
      <c r="M133" s="297">
        <f>(30/365)</f>
        <v>8.2191780821917804E-2</v>
      </c>
      <c r="N133" s="304">
        <f>$M133*'MWh Impact Summary'!F$21</f>
        <v>78913.22896745964</v>
      </c>
      <c r="O133" s="304">
        <f>$M133*'MWh Impact Summary'!G$21</f>
        <v>697.67207663890019</v>
      </c>
      <c r="P133" s="304">
        <f>$M133*'MWh Impact Summary'!H$21</f>
        <v>4094.5474975752791</v>
      </c>
      <c r="Q133" s="304">
        <f>$M133*'MWh Impact Summary'!I$21</f>
        <v>1010.1726187862204</v>
      </c>
      <c r="R133" s="304">
        <f>$M133*'MWh Impact Summary'!J$21</f>
        <v>22194.872930599042</v>
      </c>
      <c r="S133" s="304">
        <f>$M133*'MWh Impact Summary'!K$21</f>
        <v>3279.7308358527348</v>
      </c>
      <c r="T133" s="304">
        <f>$M133*'MWh Impact Summary'!L$21</f>
        <v>1232.9614556010793</v>
      </c>
      <c r="U133" s="304">
        <f>$M133*'MWh Impact Summary'!M$21</f>
        <v>3615.942193612465</v>
      </c>
      <c r="V133" s="304">
        <f>$M133*'LED Impact Forecast'!$H$22+$D133*'LED Impact Forecast'!$J$22</f>
        <v>5557.3565071891817</v>
      </c>
      <c r="W133" s="304">
        <f>$M133*'CFL Impact Forecast'!$H$22+$D133*'CFL Impact Forecast'!$J$22</f>
        <v>305973.16026385606</v>
      </c>
      <c r="X133" s="304">
        <f>$M133*'EISA Incand Impact Forecast'!$G$22+$D133*'EISA Incand Impact Forecast'!$I$22</f>
        <v>86412.375947040069</v>
      </c>
      <c r="Y133" s="85">
        <f t="shared" ref="Y133:Y196" si="69">SUM(N133:X133)</f>
        <v>512982.02129421069</v>
      </c>
      <c r="Z133" s="81">
        <f t="shared" ref="Z133:Z196" si="70">Y133+J133</f>
        <v>1073098.6362901723</v>
      </c>
      <c r="AA133" s="81"/>
      <c r="AB133" s="262">
        <v>4797009.9970391067</v>
      </c>
      <c r="AC133" s="308">
        <f t="shared" si="44"/>
        <v>223.70156346401797</v>
      </c>
      <c r="AD133" s="309">
        <f t="shared" ref="AD133:AD196" si="71">+J133*1000/AB133</f>
        <v>116.76369558155737</v>
      </c>
      <c r="AE133" s="107">
        <f t="shared" ref="AE133:AE196" si="72">+AD133/K133/1000</f>
        <v>9.9940395647552666E-3</v>
      </c>
      <c r="AF133" s="309">
        <f t="shared" si="45"/>
        <v>106.93786788246059</v>
      </c>
      <c r="AG133" s="107">
        <f t="shared" ref="AG133:AG196" si="73">+AF133/K133/1000</f>
        <v>9.1530272081991951E-3</v>
      </c>
      <c r="AH133" s="119">
        <f t="shared" si="46"/>
        <v>1.9147066772954462E-2</v>
      </c>
      <c r="AI133" s="122">
        <f t="shared" ref="AI133:AI196" si="74">+AC133/K133/1000</f>
        <v>1.9147066772954462E-2</v>
      </c>
      <c r="AJ133" s="87" t="b">
        <f t="shared" si="47"/>
        <v>1</v>
      </c>
      <c r="AK133" s="88">
        <f t="shared" si="53"/>
        <v>3.2068290645381713E-3</v>
      </c>
      <c r="AL133" s="312">
        <f>+AC133/'MWh by month-WgtbyCDH&amp;DayLtHrs'!AC133-1</f>
        <v>2.3472274461632692E-2</v>
      </c>
      <c r="AM133" s="89">
        <f t="shared" ref="AM133:AM196" si="75">+W133</f>
        <v>305973.16026385606</v>
      </c>
      <c r="AN133" s="93"/>
      <c r="AO133" s="96">
        <f t="shared" si="62"/>
        <v>63.784140631917403</v>
      </c>
      <c r="AP133" s="92">
        <f t="shared" si="61"/>
        <v>5.4594128928887936E-3</v>
      </c>
      <c r="AR133" s="94">
        <f t="shared" ref="AR133:AR196" si="76">AI133</f>
        <v>1.9147066772954462E-2</v>
      </c>
      <c r="AS133" s="95">
        <v>1076339.5223995293</v>
      </c>
      <c r="AU133" s="141">
        <v>223.70156346401797</v>
      </c>
    </row>
    <row r="134" spans="1:47">
      <c r="A134" s="78">
        <v>2015</v>
      </c>
      <c r="B134" s="78">
        <v>10</v>
      </c>
      <c r="C134" s="317">
        <v>198.89039579254836</v>
      </c>
      <c r="D134" s="318">
        <f t="shared" si="68"/>
        <v>9.923371540380535E-2</v>
      </c>
      <c r="E134" s="321">
        <f>$D134*'MWh Impact Summary'!B$21</f>
        <v>179218.25077562081</v>
      </c>
      <c r="F134" s="319">
        <f>$D134*'MWh Impact Summary'!N$21</f>
        <v>13650.634153264711</v>
      </c>
      <c r="G134" s="319">
        <f>$D134*'MWh Impact Summary'!C$21</f>
        <v>148533.17736740405</v>
      </c>
      <c r="H134" s="319">
        <f>$D134*'MWh Impact Summary'!D$21</f>
        <v>483.84429602688596</v>
      </c>
      <c r="I134" s="319">
        <f>$D134*'MWh Impact Summary'!E$21</f>
        <v>59018.099474555514</v>
      </c>
      <c r="J134" s="104">
        <f t="shared" ref="J134:J197" si="77">SUM(E134:I134)</f>
        <v>400904.00606687198</v>
      </c>
      <c r="K134" s="298">
        <f t="shared" si="52"/>
        <v>12.466666666666667</v>
      </c>
      <c r="L134" s="300">
        <f t="shared" si="64"/>
        <v>8.7762524932535488E-2</v>
      </c>
      <c r="M134" s="297">
        <f t="shared" si="67"/>
        <v>8.4931506849315067E-2</v>
      </c>
      <c r="N134" s="304">
        <f>$M134*'MWh Impact Summary'!F$21</f>
        <v>81543.66993304163</v>
      </c>
      <c r="O134" s="304">
        <f>$M134*'MWh Impact Summary'!G$21</f>
        <v>720.92781252686359</v>
      </c>
      <c r="P134" s="304">
        <f>$M134*'MWh Impact Summary'!H$21</f>
        <v>4231.0324141611218</v>
      </c>
      <c r="Q134" s="304">
        <f>$M134*'MWh Impact Summary'!I$21</f>
        <v>1043.8450394124277</v>
      </c>
      <c r="R134" s="304">
        <f>$M134*'MWh Impact Summary'!J$21</f>
        <v>22934.702028285679</v>
      </c>
      <c r="S134" s="304">
        <f>$M134*'MWh Impact Summary'!K$21</f>
        <v>3389.0551970478264</v>
      </c>
      <c r="T134" s="304">
        <f>$M134*'MWh Impact Summary'!L$21</f>
        <v>1274.0601707877818</v>
      </c>
      <c r="U134" s="304">
        <f>$M134*'MWh Impact Summary'!M$21</f>
        <v>3736.4736000662137</v>
      </c>
      <c r="V134" s="304">
        <f>$M134*'LED Impact Forecast'!$H$22+$D134*'LED Impact Forecast'!$J$22</f>
        <v>5544.8734004261169</v>
      </c>
      <c r="W134" s="304">
        <f>$M134*'CFL Impact Forecast'!$H$22+$D134*'CFL Impact Forecast'!$J$22</f>
        <v>294565.57854325761</v>
      </c>
      <c r="X134" s="304">
        <f>$M134*'EISA Incand Impact Forecast'!$G$22+$D134*'EISA Incand Impact Forecast'!$I$22</f>
        <v>82826.128407884898</v>
      </c>
      <c r="Y134" s="85">
        <f t="shared" si="69"/>
        <v>501810.34654689819</v>
      </c>
      <c r="Z134" s="81">
        <f t="shared" si="70"/>
        <v>902714.35261377017</v>
      </c>
      <c r="AA134" s="81"/>
      <c r="AB134" s="262">
        <v>4802322.38639032</v>
      </c>
      <c r="AC134" s="308">
        <f t="shared" ref="AC134:AC197" si="78">+Z134*1000/AB134</f>
        <v>187.97454231145403</v>
      </c>
      <c r="AD134" s="309">
        <f t="shared" si="71"/>
        <v>83.481277142706091</v>
      </c>
      <c r="AE134" s="107">
        <f t="shared" si="72"/>
        <v>6.6963591290940712E-3</v>
      </c>
      <c r="AF134" s="309">
        <f t="shared" ref="AF134:AF197" si="79">+Y134*1000/AB134</f>
        <v>104.49326516874795</v>
      </c>
      <c r="AG134" s="107">
        <f t="shared" si="73"/>
        <v>8.3818127140706904E-3</v>
      </c>
      <c r="AH134" s="119">
        <f t="shared" ref="AH134:AH197" si="80">AE134+AG134</f>
        <v>1.5078171843164762E-2</v>
      </c>
      <c r="AI134" s="122">
        <f t="shared" si="74"/>
        <v>1.5078171843164762E-2</v>
      </c>
      <c r="AJ134" s="87" t="b">
        <f t="shared" ref="AJ134:AJ197" si="81">AH134=AI134</f>
        <v>1</v>
      </c>
      <c r="AK134" s="88">
        <f t="shared" si="53"/>
        <v>2.2279436301417075E-3</v>
      </c>
      <c r="AL134" s="312">
        <f>+AC134/'MWh by month-WgtbyCDH&amp;DayLtHrs'!AC134-1</f>
        <v>-1.4291535511647524E-2</v>
      </c>
      <c r="AM134" s="89">
        <f t="shared" si="75"/>
        <v>294565.57854325761</v>
      </c>
      <c r="AN134" s="93"/>
      <c r="AO134" s="96">
        <f t="shared" si="62"/>
        <v>61.338151594747202</v>
      </c>
      <c r="AP134" s="92">
        <f t="shared" si="61"/>
        <v>4.9201725878139473E-3</v>
      </c>
      <c r="AR134" s="94">
        <f t="shared" si="76"/>
        <v>1.5078171843164762E-2</v>
      </c>
      <c r="AS134" s="95">
        <v>866680.06276977342</v>
      </c>
      <c r="AU134" s="141">
        <v>187.97454231145403</v>
      </c>
    </row>
    <row r="135" spans="1:47">
      <c r="A135" s="78">
        <v>2015</v>
      </c>
      <c r="B135" s="78">
        <v>11</v>
      </c>
      <c r="C135" s="317">
        <v>78.117279066674627</v>
      </c>
      <c r="D135" s="318">
        <f t="shared" si="68"/>
        <v>3.8975576513546578E-2</v>
      </c>
      <c r="E135" s="321">
        <f>$D135*'MWh Impact Summary'!B$21</f>
        <v>70390.73985394006</v>
      </c>
      <c r="F135" s="319">
        <f>$D135*'MWh Impact Summary'!N$21</f>
        <v>5361.4976899131452</v>
      </c>
      <c r="G135" s="319">
        <f>$D135*'MWh Impact Summary'!C$21</f>
        <v>58338.70268513036</v>
      </c>
      <c r="H135" s="319">
        <f>$D135*'MWh Impact Summary'!D$21</f>
        <v>190.03733059576459</v>
      </c>
      <c r="I135" s="319">
        <f>$D135*'MWh Impact Summary'!E$21</f>
        <v>23180.271366383127</v>
      </c>
      <c r="J135" s="104">
        <f t="shared" si="77"/>
        <v>157461.24892596246</v>
      </c>
      <c r="K135" s="298">
        <f t="shared" si="52"/>
        <v>13.15</v>
      </c>
      <c r="L135" s="300">
        <f t="shared" si="64"/>
        <v>9.2573037662794788E-2</v>
      </c>
      <c r="M135" s="297">
        <f>(30/365)</f>
        <v>8.2191780821917804E-2</v>
      </c>
      <c r="N135" s="304">
        <f>$M135*'MWh Impact Summary'!F$21</f>
        <v>78913.22896745964</v>
      </c>
      <c r="O135" s="304">
        <f>$M135*'MWh Impact Summary'!G$21</f>
        <v>697.67207663890019</v>
      </c>
      <c r="P135" s="304">
        <f>$M135*'MWh Impact Summary'!H$21</f>
        <v>4094.5474975752791</v>
      </c>
      <c r="Q135" s="304">
        <f>$M135*'MWh Impact Summary'!I$21</f>
        <v>1010.1726187862204</v>
      </c>
      <c r="R135" s="304">
        <f>$M135*'MWh Impact Summary'!J$21</f>
        <v>22194.872930599042</v>
      </c>
      <c r="S135" s="304">
        <f>$M135*'MWh Impact Summary'!K$21</f>
        <v>3279.7308358527348</v>
      </c>
      <c r="T135" s="304">
        <f>$M135*'MWh Impact Summary'!L$21</f>
        <v>1232.9614556010793</v>
      </c>
      <c r="U135" s="304">
        <f>$M135*'MWh Impact Summary'!M$21</f>
        <v>3615.942193612465</v>
      </c>
      <c r="V135" s="304">
        <f>$M135*'LED Impact Forecast'!$H$22+$D135*'LED Impact Forecast'!$J$22</f>
        <v>5109.779742119561</v>
      </c>
      <c r="W135" s="304">
        <f>$M135*'CFL Impact Forecast'!$H$22+$D135*'CFL Impact Forecast'!$J$22</f>
        <v>257064.38017639809</v>
      </c>
      <c r="X135" s="304">
        <f>$M135*'EISA Incand Impact Forecast'!$G$22+$D135*'EISA Incand Impact Forecast'!$I$22</f>
        <v>71774.479152350817</v>
      </c>
      <c r="Y135" s="85">
        <f t="shared" si="69"/>
        <v>448987.7676469938</v>
      </c>
      <c r="Z135" s="81">
        <f t="shared" si="70"/>
        <v>606449.01657295623</v>
      </c>
      <c r="AA135" s="81"/>
      <c r="AB135" s="262">
        <v>4807951.5017482825</v>
      </c>
      <c r="AC135" s="308">
        <f t="shared" si="78"/>
        <v>126.13459523300875</v>
      </c>
      <c r="AD135" s="309">
        <f t="shared" si="71"/>
        <v>32.750174137302736</v>
      </c>
      <c r="AE135" s="107">
        <f t="shared" si="72"/>
        <v>2.490507538958383E-3</v>
      </c>
      <c r="AF135" s="309">
        <f t="shared" si="79"/>
        <v>93.384421095706031</v>
      </c>
      <c r="AG135" s="107">
        <f t="shared" si="73"/>
        <v>7.1014768894073019E-3</v>
      </c>
      <c r="AH135" s="119">
        <f t="shared" si="80"/>
        <v>9.5919844283656845E-3</v>
      </c>
      <c r="AI135" s="122">
        <f t="shared" si="74"/>
        <v>9.5919844283656845E-3</v>
      </c>
      <c r="AJ135" s="87" t="b">
        <f t="shared" si="81"/>
        <v>1</v>
      </c>
      <c r="AK135" s="88">
        <f t="shared" si="53"/>
        <v>1.7573820988403613E-3</v>
      </c>
      <c r="AL135" s="312">
        <f>+AC135/'MWh by month-WgtbyCDH&amp;DayLtHrs'!AC135-1</f>
        <v>-0.12549462490942032</v>
      </c>
      <c r="AM135" s="89">
        <f t="shared" si="75"/>
        <v>257064.38017639809</v>
      </c>
      <c r="AN135" s="93"/>
      <c r="AO135" s="96">
        <f t="shared" si="62"/>
        <v>53.466508570838023</v>
      </c>
      <c r="AP135" s="92">
        <f t="shared" si="61"/>
        <v>4.0658941878964272E-3</v>
      </c>
      <c r="AR135" s="94">
        <f t="shared" si="76"/>
        <v>9.5919844283656845E-3</v>
      </c>
      <c r="AS135" s="95">
        <v>668118.62592751079</v>
      </c>
      <c r="AU135" s="141">
        <v>126.13459523300875</v>
      </c>
    </row>
    <row r="136" spans="1:47">
      <c r="A136" s="78">
        <v>2015</v>
      </c>
      <c r="B136" s="78">
        <v>12</v>
      </c>
      <c r="C136" s="317">
        <v>42.633806123140985</v>
      </c>
      <c r="D136" s="318">
        <f>C136/(SUM(C$125:C$136))</f>
        <v>2.1271570035074034E-2</v>
      </c>
      <c r="E136" s="321">
        <f>$D136*'MWh Impact Summary'!B$21</f>
        <v>38416.918659390329</v>
      </c>
      <c r="F136" s="319">
        <f>$D136*'MWh Impact Summary'!N$21</f>
        <v>2926.1266620196393</v>
      </c>
      <c r="G136" s="319">
        <f>$D136*'MWh Impact Summary'!C$21</f>
        <v>31839.318643325216</v>
      </c>
      <c r="H136" s="319">
        <f>$D136*'MWh Impact Summary'!D$21</f>
        <v>103.71603831546473</v>
      </c>
      <c r="I136" s="319">
        <f>$D136*'MWh Impact Summary'!E$21</f>
        <v>12651.019174293982</v>
      </c>
      <c r="J136" s="104">
        <f t="shared" si="77"/>
        <v>85937.099177344629</v>
      </c>
      <c r="K136" s="298">
        <f t="shared" si="52"/>
        <v>13.483333333333333</v>
      </c>
      <c r="L136" s="300">
        <f t="shared" si="64"/>
        <v>9.491962923853102E-2</v>
      </c>
      <c r="M136" s="297">
        <f t="shared" si="67"/>
        <v>8.4931506849315067E-2</v>
      </c>
      <c r="N136" s="304">
        <f>$M136*'MWh Impact Summary'!F$21</f>
        <v>81543.66993304163</v>
      </c>
      <c r="O136" s="304">
        <f>$M136*'MWh Impact Summary'!G$21</f>
        <v>720.92781252686359</v>
      </c>
      <c r="P136" s="304">
        <f>$M136*'MWh Impact Summary'!H$21</f>
        <v>4231.0324141611218</v>
      </c>
      <c r="Q136" s="304">
        <f>$M136*'MWh Impact Summary'!I$21</f>
        <v>1043.8450394124277</v>
      </c>
      <c r="R136" s="304">
        <f>$M136*'MWh Impact Summary'!J$21</f>
        <v>22934.702028285679</v>
      </c>
      <c r="S136" s="304">
        <f>$M136*'MWh Impact Summary'!K$21</f>
        <v>3389.0551970478264</v>
      </c>
      <c r="T136" s="304">
        <f>$M136*'MWh Impact Summary'!L$21</f>
        <v>1274.0601707877818</v>
      </c>
      <c r="U136" s="304">
        <f>$M136*'MWh Impact Summary'!M$21</f>
        <v>3736.4736000662137</v>
      </c>
      <c r="V136" s="304">
        <f>$M136*'LED Impact Forecast'!$H$22+$D136*'LED Impact Forecast'!$J$22</f>
        <v>5194.7678730479174</v>
      </c>
      <c r="W136" s="304">
        <f>$M136*'CFL Impact Forecast'!$H$22+$D136*'CFL Impact Forecast'!$J$22</f>
        <v>256307.93073332193</v>
      </c>
      <c r="X136" s="304">
        <f>$M136*'EISA Incand Impact Forecast'!$G$22+$D136*'EISA Incand Impact Forecast'!$I$22</f>
        <v>71376.006379733662</v>
      </c>
      <c r="Y136" s="85">
        <f t="shared" si="69"/>
        <v>451752.47118143307</v>
      </c>
      <c r="Z136" s="81">
        <f t="shared" si="70"/>
        <v>537689.57035877765</v>
      </c>
      <c r="AA136" s="81">
        <f>SUM(Z125:Z136)</f>
        <v>9840285.8871271387</v>
      </c>
      <c r="AB136" s="262">
        <v>4813839.2600633735</v>
      </c>
      <c r="AC136" s="308">
        <f t="shared" si="78"/>
        <v>111.69661912468989</v>
      </c>
      <c r="AD136" s="309">
        <f t="shared" si="71"/>
        <v>17.852091549939555</v>
      </c>
      <c r="AE136" s="107">
        <f t="shared" si="72"/>
        <v>1.3240117342353192E-3</v>
      </c>
      <c r="AF136" s="309">
        <f t="shared" si="79"/>
        <v>93.844527574750344</v>
      </c>
      <c r="AG136" s="107">
        <f t="shared" si="73"/>
        <v>6.9600391279172075E-3</v>
      </c>
      <c r="AH136" s="119">
        <f t="shared" si="80"/>
        <v>8.2840508621525276E-3</v>
      </c>
      <c r="AI136" s="122">
        <f t="shared" si="74"/>
        <v>8.2840508621525259E-3</v>
      </c>
      <c r="AJ136" s="87" t="b">
        <f t="shared" si="81"/>
        <v>1</v>
      </c>
      <c r="AK136" s="88">
        <f t="shared" si="53"/>
        <v>1.0014888056975703E-3</v>
      </c>
      <c r="AL136" s="312">
        <f>+AC136/'MWh by month-WgtbyCDH&amp;DayLtHrs'!AC136-1</f>
        <v>-0.15079406645980231</v>
      </c>
      <c r="AM136" s="89">
        <f t="shared" si="75"/>
        <v>256307.93073332193</v>
      </c>
      <c r="AN136" s="90">
        <f>SUM(AM125:AM136)</f>
        <v>3385636.2346315505</v>
      </c>
      <c r="AO136" s="96">
        <f t="shared" si="62"/>
        <v>53.243973653151784</v>
      </c>
      <c r="AP136" s="92">
        <f t="shared" si="61"/>
        <v>3.9488732004809733E-3</v>
      </c>
      <c r="AR136" s="94">
        <f t="shared" si="76"/>
        <v>8.2840508621525259E-3</v>
      </c>
      <c r="AS136" s="95">
        <v>550596.06631922</v>
      </c>
      <c r="AU136" s="141">
        <v>111.69661912468989</v>
      </c>
    </row>
    <row r="137" spans="1:47">
      <c r="A137" s="78">
        <v>2016</v>
      </c>
      <c r="B137" s="78">
        <v>1</v>
      </c>
      <c r="C137" s="317">
        <v>26.112829868525239</v>
      </c>
      <c r="D137" s="324">
        <f t="shared" ref="D137:D147" si="82">D125</f>
        <v>1.6125648960134388E-2</v>
      </c>
      <c r="E137" s="321">
        <f>$D137*'MWh Impact Summary'!B$22</f>
        <v>33354.656044839874</v>
      </c>
      <c r="F137" s="319">
        <f>$D137*'MWh Impact Summary'!N$22</f>
        <v>2958.9000424977462</v>
      </c>
      <c r="G137" s="319">
        <f>$D137*'MWh Impact Summary'!C$22</f>
        <v>26833.753689005956</v>
      </c>
      <c r="H137" s="319">
        <f>$D137*'MWh Impact Summary'!D$22</f>
        <v>92.635365769193342</v>
      </c>
      <c r="I137" s="319">
        <f>$D137*'MWh Impact Summary'!E$22</f>
        <v>10550.043997742949</v>
      </c>
      <c r="J137" s="104">
        <f t="shared" si="77"/>
        <v>73789.989139855723</v>
      </c>
      <c r="K137" s="298">
        <f t="shared" si="52"/>
        <v>13.3</v>
      </c>
      <c r="L137" s="300">
        <f t="shared" si="64"/>
        <v>9.3629003871876101E-2</v>
      </c>
      <c r="M137" s="297">
        <f>(31/366)</f>
        <v>8.4699453551912565E-2</v>
      </c>
      <c r="N137" s="304">
        <f>$M137*'MWh Impact Summary'!F$22</f>
        <v>91690.489145616724</v>
      </c>
      <c r="O137" s="304">
        <f>$M137*'MWh Impact Summary'!G$22</f>
        <v>1806.6680615811299</v>
      </c>
      <c r="P137" s="304">
        <f>$M137*'MWh Impact Summary'!H$22</f>
        <v>4959.6200007486323</v>
      </c>
      <c r="Q137" s="304">
        <f>$M137*'MWh Impact Summary'!I$22</f>
        <v>1133.3379182173751</v>
      </c>
      <c r="R137" s="304">
        <f>$M137*'MWh Impact Summary'!J$22</f>
        <v>26391.841511107759</v>
      </c>
      <c r="S137" s="304">
        <f>$M137*'MWh Impact Summary'!K$22</f>
        <v>6675.463536611971</v>
      </c>
      <c r="T137" s="304">
        <f>$M137*'MWh Impact Summary'!L$22</f>
        <v>2424.6605303305378</v>
      </c>
      <c r="U137" s="304">
        <f>$M137*'MWh Impact Summary'!M$22</f>
        <v>7359.7778208164382</v>
      </c>
      <c r="V137" s="304">
        <f>$M137*'LED Impact Forecast'!$H$23+$D137*'LED Impact Forecast'!$J$23</f>
        <v>9953.7061292273738</v>
      </c>
      <c r="W137" s="304">
        <f>$M137*'CFL Impact Forecast'!$H$23+$D137*'CFL Impact Forecast'!$J$23</f>
        <v>268423.24797332042</v>
      </c>
      <c r="X137" s="304">
        <f>$M137*'EISA Incand Impact Forecast'!$G$23+$D137*'EISA Incand Impact Forecast'!$I$23</f>
        <v>90433.17189741171</v>
      </c>
      <c r="Y137" s="85">
        <f t="shared" si="69"/>
        <v>511251.98452499008</v>
      </c>
      <c r="Z137" s="81">
        <f t="shared" si="70"/>
        <v>585041.97366484581</v>
      </c>
      <c r="AA137" s="81"/>
      <c r="AB137" s="262">
        <v>4820575.9363739984</v>
      </c>
      <c r="AC137" s="308">
        <f t="shared" si="78"/>
        <v>121.36350124688838</v>
      </c>
      <c r="AD137" s="309">
        <f t="shared" si="71"/>
        <v>15.307297325837794</v>
      </c>
      <c r="AE137" s="107">
        <f t="shared" si="72"/>
        <v>1.1509246109652476E-3</v>
      </c>
      <c r="AF137" s="309">
        <f t="shared" si="79"/>
        <v>106.05620392105057</v>
      </c>
      <c r="AG137" s="107">
        <f t="shared" si="73"/>
        <v>7.9741506707556812E-3</v>
      </c>
      <c r="AH137" s="119">
        <f t="shared" si="80"/>
        <v>9.1250752817209294E-3</v>
      </c>
      <c r="AI137" s="122">
        <f t="shared" si="74"/>
        <v>9.1250752817209294E-3</v>
      </c>
      <c r="AJ137" s="87" t="b">
        <f t="shared" si="81"/>
        <v>1</v>
      </c>
      <c r="AK137" s="88">
        <f t="shared" si="53"/>
        <v>9.8885245861523967E-4</v>
      </c>
      <c r="AL137" s="312">
        <f>+AC137/'MWh by month-WgtbyCDH&amp;DayLtHrs'!AC137-1</f>
        <v>-0.13279696429624122</v>
      </c>
      <c r="AM137" s="89">
        <f t="shared" si="75"/>
        <v>268423.24797332042</v>
      </c>
      <c r="AN137" s="93"/>
      <c r="AO137" s="96">
        <f t="shared" si="62"/>
        <v>55.682817056757415</v>
      </c>
      <c r="AP137" s="92">
        <f t="shared" si="61"/>
        <v>4.1866779741922865E-3</v>
      </c>
      <c r="AR137" s="94">
        <f t="shared" si="76"/>
        <v>9.1250752817209294E-3</v>
      </c>
      <c r="AS137" s="95">
        <v>607892.27708418097</v>
      </c>
      <c r="AU137" s="141">
        <v>121.36350124688838</v>
      </c>
    </row>
    <row r="138" spans="1:47">
      <c r="A138" s="78">
        <v>2016</v>
      </c>
      <c r="B138" s="78">
        <v>2</v>
      </c>
      <c r="C138" s="317">
        <v>35.042184420393127</v>
      </c>
      <c r="D138" s="324">
        <f t="shared" si="82"/>
        <v>9.4849425755900163E-3</v>
      </c>
      <c r="E138" s="321">
        <f>$D138*'MWh Impact Summary'!B$22</f>
        <v>19618.869168985439</v>
      </c>
      <c r="F138" s="319">
        <f>$D138*'MWh Impact Summary'!N$22</f>
        <v>1740.3948863939611</v>
      </c>
      <c r="G138" s="319">
        <f>$D138*'MWh Impact Summary'!C$22</f>
        <v>15783.34077946015</v>
      </c>
      <c r="H138" s="319">
        <f>$D138*'MWh Impact Summary'!D$22</f>
        <v>54.487179211313645</v>
      </c>
      <c r="I138" s="319">
        <f>$D138*'MWh Impact Summary'!E$22</f>
        <v>6205.4284907183091</v>
      </c>
      <c r="J138" s="104">
        <f t="shared" si="77"/>
        <v>43402.520504769171</v>
      </c>
      <c r="K138" s="298">
        <f t="shared" si="52"/>
        <v>12.733333333333333</v>
      </c>
      <c r="L138" s="300">
        <f t="shared" si="64"/>
        <v>8.9639798193124468E-2</v>
      </c>
      <c r="M138" s="297">
        <f>(29/366)</f>
        <v>7.9234972677595633E-2</v>
      </c>
      <c r="N138" s="304">
        <f>$M138*'MWh Impact Summary'!F$22</f>
        <v>85774.973716867273</v>
      </c>
      <c r="O138" s="304">
        <f>$M138*'MWh Impact Summary'!G$22</f>
        <v>1690.1088318017023</v>
      </c>
      <c r="P138" s="304">
        <f>$M138*'MWh Impact Summary'!H$22</f>
        <v>4639.6445168293658</v>
      </c>
      <c r="Q138" s="304">
        <f>$M138*'MWh Impact Summary'!I$22</f>
        <v>1060.2193428485123</v>
      </c>
      <c r="R138" s="304">
        <f>$M138*'MWh Impact Summary'!J$22</f>
        <v>24689.14205877823</v>
      </c>
      <c r="S138" s="304">
        <f>$M138*'MWh Impact Summary'!K$22</f>
        <v>6244.7884697337795</v>
      </c>
      <c r="T138" s="304">
        <f>$M138*'MWh Impact Summary'!L$22</f>
        <v>2268.2308186963096</v>
      </c>
      <c r="U138" s="304">
        <f>$M138*'MWh Impact Summary'!M$22</f>
        <v>6884.9534452798944</v>
      </c>
      <c r="V138" s="304">
        <f>$M138*'LED Impact Forecast'!$H$23+$D138*'LED Impact Forecast'!$J$23</f>
        <v>9255.2894774143024</v>
      </c>
      <c r="W138" s="304">
        <f>$M138*'CFL Impact Forecast'!$H$23+$D138*'CFL Impact Forecast'!$J$23</f>
        <v>248184.88845444098</v>
      </c>
      <c r="X138" s="304">
        <f>$M138*'EISA Incand Impact Forecast'!$G$23+$D138*'EISA Incand Impact Forecast'!$I$23</f>
        <v>83537.709858898103</v>
      </c>
      <c r="Y138" s="85">
        <f t="shared" si="69"/>
        <v>474229.94899158843</v>
      </c>
      <c r="Z138" s="81">
        <f t="shared" si="70"/>
        <v>517632.4694963576</v>
      </c>
      <c r="AA138" s="81"/>
      <c r="AB138" s="262">
        <v>4826494.7966620158</v>
      </c>
      <c r="AC138" s="308">
        <f t="shared" si="78"/>
        <v>107.24811510298325</v>
      </c>
      <c r="AD138" s="309">
        <f t="shared" si="71"/>
        <v>8.9925551219460917</v>
      </c>
      <c r="AE138" s="107">
        <f t="shared" si="72"/>
        <v>7.0622160643555698E-4</v>
      </c>
      <c r="AF138" s="309">
        <f t="shared" si="79"/>
        <v>98.255559981037152</v>
      </c>
      <c r="AG138" s="107">
        <f t="shared" si="73"/>
        <v>7.7164052341128662E-3</v>
      </c>
      <c r="AH138" s="119">
        <f t="shared" si="80"/>
        <v>8.4226268405484233E-3</v>
      </c>
      <c r="AI138" s="122">
        <f t="shared" si="74"/>
        <v>8.4226268405484233E-3</v>
      </c>
      <c r="AJ138" s="87" t="b">
        <f t="shared" si="81"/>
        <v>1</v>
      </c>
      <c r="AK138" s="88">
        <f t="shared" si="53"/>
        <v>1.1512490020381561E-3</v>
      </c>
      <c r="AL138" s="312">
        <f>+AC138/'MWh by month-WgtbyCDH&amp;DayLtHrs'!AC138-1</f>
        <v>-0.2289212872883386</v>
      </c>
      <c r="AM138" s="89">
        <f t="shared" si="75"/>
        <v>248184.88845444098</v>
      </c>
      <c r="AN138" s="93"/>
      <c r="AO138" s="96">
        <f t="shared" si="62"/>
        <v>51.421352122058565</v>
      </c>
      <c r="AP138" s="92">
        <f t="shared" si="61"/>
        <v>4.0383260828841814E-3</v>
      </c>
      <c r="AR138" s="94">
        <f t="shared" si="76"/>
        <v>8.4226268405484233E-3</v>
      </c>
      <c r="AS138" s="95">
        <v>582164.70607935276</v>
      </c>
      <c r="AU138" s="141">
        <v>107.24811510298325</v>
      </c>
    </row>
    <row r="139" spans="1:47">
      <c r="A139" s="78">
        <v>2016</v>
      </c>
      <c r="B139" s="78">
        <v>3</v>
      </c>
      <c r="C139" s="317">
        <v>64.582270600115152</v>
      </c>
      <c r="D139" s="324">
        <f t="shared" si="82"/>
        <v>5.6112649790650677E-2</v>
      </c>
      <c r="E139" s="321">
        <f>$D139*'MWh Impact Summary'!B$22</f>
        <v>116064.67052325762</v>
      </c>
      <c r="F139" s="319">
        <f>$D139*'MWh Impact Summary'!N$22</f>
        <v>10296.126516252391</v>
      </c>
      <c r="G139" s="319">
        <f>$D139*'MWh Impact Summary'!C$22</f>
        <v>93373.7939503815</v>
      </c>
      <c r="H139" s="319">
        <f>$D139*'MWh Impact Summary'!D$22</f>
        <v>322.34459837777945</v>
      </c>
      <c r="I139" s="319">
        <f>$D139*'MWh Impact Summary'!E$22</f>
        <v>36711.13798798537</v>
      </c>
      <c r="J139" s="104">
        <f t="shared" si="77"/>
        <v>256768.07357625465</v>
      </c>
      <c r="K139" s="298">
        <f t="shared" si="52"/>
        <v>12</v>
      </c>
      <c r="L139" s="300">
        <f t="shared" si="64"/>
        <v>8.4477296726504739E-2</v>
      </c>
      <c r="M139" s="297">
        <f>(31/366)</f>
        <v>8.4699453551912565E-2</v>
      </c>
      <c r="N139" s="304">
        <f>$M139*'MWh Impact Summary'!F$22</f>
        <v>91690.489145616724</v>
      </c>
      <c r="O139" s="304">
        <f>$M139*'MWh Impact Summary'!G$22</f>
        <v>1806.6680615811299</v>
      </c>
      <c r="P139" s="304">
        <f>$M139*'MWh Impact Summary'!H$22</f>
        <v>4959.6200007486323</v>
      </c>
      <c r="Q139" s="304">
        <f>$M139*'MWh Impact Summary'!I$22</f>
        <v>1133.3379182173751</v>
      </c>
      <c r="R139" s="304">
        <f>$M139*'MWh Impact Summary'!J$22</f>
        <v>26391.841511107759</v>
      </c>
      <c r="S139" s="304">
        <f>$M139*'MWh Impact Summary'!K$22</f>
        <v>6675.463536611971</v>
      </c>
      <c r="T139" s="304">
        <f>$M139*'MWh Impact Summary'!L$22</f>
        <v>2424.6605303305378</v>
      </c>
      <c r="U139" s="304">
        <f>$M139*'MWh Impact Summary'!M$22</f>
        <v>7359.7778208164382</v>
      </c>
      <c r="V139" s="304">
        <f>$M139*'LED Impact Forecast'!$H$23+$D139*'LED Impact Forecast'!$J$23</f>
        <v>10355.280075786302</v>
      </c>
      <c r="W139" s="304">
        <f>$M139*'CFL Impact Forecast'!$H$23+$D139*'CFL Impact Forecast'!$J$23</f>
        <v>289277.55632943776</v>
      </c>
      <c r="X139" s="304">
        <f>$M139*'EISA Incand Impact Forecast'!$G$23+$D139*'EISA Incand Impact Forecast'!$I$23</f>
        <v>98009.273786036749</v>
      </c>
      <c r="Y139" s="85">
        <f t="shared" si="69"/>
        <v>540083.96871629136</v>
      </c>
      <c r="Z139" s="81">
        <f t="shared" si="70"/>
        <v>796852.04229254602</v>
      </c>
      <c r="AA139" s="81"/>
      <c r="AB139" s="262">
        <v>4833093.7745679663</v>
      </c>
      <c r="AC139" s="308">
        <f t="shared" si="78"/>
        <v>164.87411158575694</v>
      </c>
      <c r="AD139" s="309">
        <f t="shared" si="71"/>
        <v>53.127062199244698</v>
      </c>
      <c r="AE139" s="107">
        <f t="shared" si="72"/>
        <v>4.4272551832703917E-3</v>
      </c>
      <c r="AF139" s="309">
        <f t="shared" si="79"/>
        <v>111.74704938651222</v>
      </c>
      <c r="AG139" s="107">
        <f t="shared" si="73"/>
        <v>9.3122541155426838E-3</v>
      </c>
      <c r="AH139" s="119">
        <f t="shared" si="80"/>
        <v>1.3739509298813075E-2</v>
      </c>
      <c r="AI139" s="122">
        <f t="shared" si="74"/>
        <v>1.3739509298813077E-2</v>
      </c>
      <c r="AJ139" s="87" t="b">
        <f t="shared" si="81"/>
        <v>1</v>
      </c>
      <c r="AK139" s="88">
        <f t="shared" si="53"/>
        <v>1.4733394299084792E-3</v>
      </c>
      <c r="AL139" s="312">
        <f>+AC139/'MWh by month-WgtbyCDH&amp;DayLtHrs'!AC139-1</f>
        <v>0.12412170141588175</v>
      </c>
      <c r="AM139" s="89">
        <f t="shared" si="75"/>
        <v>289277.55632943776</v>
      </c>
      <c r="AN139" s="93"/>
      <c r="AO139" s="96">
        <f t="shared" si="62"/>
        <v>59.853495467361697</v>
      </c>
      <c r="AP139" s="92">
        <f t="shared" si="61"/>
        <v>4.9877912889468084E-3</v>
      </c>
      <c r="AR139" s="94">
        <f t="shared" si="76"/>
        <v>1.3739509298813077E-2</v>
      </c>
      <c r="AS139" s="95">
        <v>682340.71158247255</v>
      </c>
      <c r="AU139" s="141">
        <v>164.87411158575694</v>
      </c>
    </row>
    <row r="140" spans="1:47">
      <c r="A140" s="78">
        <v>2016</v>
      </c>
      <c r="B140" s="78">
        <v>4</v>
      </c>
      <c r="C140" s="317">
        <f t="shared" ref="C140:C145" si="83">+C128</f>
        <v>114.03392869270741</v>
      </c>
      <c r="D140" s="324">
        <f t="shared" si="82"/>
        <v>5.6895710731417456E-2</v>
      </c>
      <c r="E140" s="321">
        <f>$D140*'MWh Impact Summary'!B$22</f>
        <v>117684.37143613219</v>
      </c>
      <c r="F140" s="319">
        <f>$D140*'MWh Impact Summary'!N$22</f>
        <v>10439.810597224337</v>
      </c>
      <c r="G140" s="319">
        <f>$D140*'MWh Impact Summary'!C$22</f>
        <v>94676.84007646075</v>
      </c>
      <c r="H140" s="319">
        <f>$D140*'MWh Impact Summary'!D$22</f>
        <v>326.84296844938581</v>
      </c>
      <c r="I140" s="319">
        <f>$D140*'MWh Impact Summary'!E$22</f>
        <v>37223.447749808111</v>
      </c>
      <c r="J140" s="104">
        <f t="shared" si="77"/>
        <v>260351.31282807476</v>
      </c>
      <c r="K140" s="298">
        <f t="shared" si="52"/>
        <v>11.2</v>
      </c>
      <c r="L140" s="300">
        <f t="shared" si="64"/>
        <v>7.8845476944737758E-2</v>
      </c>
      <c r="M140" s="297">
        <f>(30/366)</f>
        <v>8.1967213114754092E-2</v>
      </c>
      <c r="N140" s="304">
        <f>$M140*'MWh Impact Summary'!F$22</f>
        <v>88732.731431241991</v>
      </c>
      <c r="O140" s="304">
        <f>$M140*'MWh Impact Summary'!G$22</f>
        <v>1748.388446691416</v>
      </c>
      <c r="P140" s="304">
        <f>$M140*'MWh Impact Summary'!H$22</f>
        <v>4799.6322587889981</v>
      </c>
      <c r="Q140" s="304">
        <f>$M140*'MWh Impact Summary'!I$22</f>
        <v>1096.7786305329437</v>
      </c>
      <c r="R140" s="304">
        <f>$M140*'MWh Impact Summary'!J$22</f>
        <v>25540.491784942991</v>
      </c>
      <c r="S140" s="304">
        <f>$M140*'MWh Impact Summary'!K$22</f>
        <v>6460.1260031728743</v>
      </c>
      <c r="T140" s="304">
        <f>$M140*'MWh Impact Summary'!L$22</f>
        <v>2346.4456745134235</v>
      </c>
      <c r="U140" s="304">
        <f>$M140*'MWh Impact Summary'!M$22</f>
        <v>7122.3656330481654</v>
      </c>
      <c r="V140" s="304">
        <f>$M140*'LED Impact Forecast'!$H$23+$D140*'LED Impact Forecast'!$J$23</f>
        <v>10047.280747142511</v>
      </c>
      <c r="W140" s="304">
        <f>$M140*'CFL Impact Forecast'!$H$23+$D140*'CFL Impact Forecast'!$J$23</f>
        <v>281298.41863031522</v>
      </c>
      <c r="X140" s="304">
        <f>$M140*'EISA Incand Impact Forecast'!$G$23+$D140*'EISA Incand Impact Forecast'!$I$23</f>
        <v>95338.992510882847</v>
      </c>
      <c r="Y140" s="85">
        <f t="shared" si="69"/>
        <v>524531.65175127331</v>
      </c>
      <c r="Z140" s="81">
        <f t="shared" si="70"/>
        <v>784882.9645793481</v>
      </c>
      <c r="AA140" s="81"/>
      <c r="AB140" s="262">
        <v>4838808.8957821839</v>
      </c>
      <c r="AC140" s="308">
        <f t="shared" si="78"/>
        <v>162.20581996191302</v>
      </c>
      <c r="AD140" s="309">
        <f t="shared" si="71"/>
        <v>53.804834709428938</v>
      </c>
      <c r="AE140" s="107">
        <f t="shared" si="72"/>
        <v>4.804003099056155E-3</v>
      </c>
      <c r="AF140" s="309">
        <f t="shared" si="79"/>
        <v>108.40098525248409</v>
      </c>
      <c r="AG140" s="107">
        <f t="shared" si="73"/>
        <v>9.6786593975432232E-3</v>
      </c>
      <c r="AH140" s="119">
        <f t="shared" si="80"/>
        <v>1.4482662496599378E-2</v>
      </c>
      <c r="AI140" s="122">
        <f t="shared" si="74"/>
        <v>1.4482662496599378E-2</v>
      </c>
      <c r="AJ140" s="87" t="b">
        <f t="shared" si="81"/>
        <v>1</v>
      </c>
      <c r="AK140" s="88">
        <f t="shared" si="53"/>
        <v>1.5485607035051561E-3</v>
      </c>
      <c r="AL140" s="312">
        <f>+AC140/'MWh by month-WgtbyCDH&amp;DayLtHrs'!AC140-1</f>
        <v>-6.386309696016057E-3</v>
      </c>
      <c r="AM140" s="89">
        <f t="shared" si="75"/>
        <v>281298.41863031522</v>
      </c>
      <c r="AN140" s="93"/>
      <c r="AO140" s="96">
        <f t="shared" si="62"/>
        <v>58.133814475606378</v>
      </c>
      <c r="AP140" s="92">
        <f t="shared" si="61"/>
        <v>5.1905191496077127E-3</v>
      </c>
      <c r="AR140" s="94">
        <f t="shared" si="76"/>
        <v>1.4482662496599378E-2</v>
      </c>
      <c r="AS140" s="95">
        <v>799569.9281839102</v>
      </c>
      <c r="AU140" s="141">
        <v>162.20581996191302</v>
      </c>
    </row>
    <row r="141" spans="1:47">
      <c r="A141" s="78">
        <v>2016</v>
      </c>
      <c r="B141" s="78">
        <v>5</v>
      </c>
      <c r="C141" s="317">
        <f t="shared" si="83"/>
        <v>208.47875842628665</v>
      </c>
      <c r="D141" s="324">
        <f t="shared" si="82"/>
        <v>0.10401770130213556</v>
      </c>
      <c r="E141" s="321">
        <f>$D141*'MWh Impact Summary'!B$22</f>
        <v>215152.55963247202</v>
      </c>
      <c r="F141" s="319">
        <f>$D141*'MWh Impact Summary'!N$22</f>
        <v>19086.238424530471</v>
      </c>
      <c r="G141" s="319">
        <f>$D141*'MWh Impact Summary'!C$22</f>
        <v>173089.80140510504</v>
      </c>
      <c r="H141" s="319">
        <f>$D141*'MWh Impact Summary'!D$22</f>
        <v>597.53984663906033</v>
      </c>
      <c r="I141" s="319">
        <f>$D141*'MWh Impact Summary'!E$22</f>
        <v>68052.537171965625</v>
      </c>
      <c r="J141" s="104">
        <f t="shared" si="77"/>
        <v>475978.67648071219</v>
      </c>
      <c r="K141" s="298">
        <f t="shared" si="52"/>
        <v>10.533333333333333</v>
      </c>
      <c r="L141" s="300">
        <f t="shared" si="64"/>
        <v>7.4152293793265281E-2</v>
      </c>
      <c r="M141" s="297">
        <f>(31/366)</f>
        <v>8.4699453551912565E-2</v>
      </c>
      <c r="N141" s="304">
        <f>$M141*'MWh Impact Summary'!F$22</f>
        <v>91690.489145616724</v>
      </c>
      <c r="O141" s="304">
        <f>$M141*'MWh Impact Summary'!G$22</f>
        <v>1806.6680615811299</v>
      </c>
      <c r="P141" s="304">
        <f>$M141*'MWh Impact Summary'!H$22</f>
        <v>4959.6200007486323</v>
      </c>
      <c r="Q141" s="304">
        <f>$M141*'MWh Impact Summary'!I$22</f>
        <v>1133.3379182173751</v>
      </c>
      <c r="R141" s="304">
        <f>$M141*'MWh Impact Summary'!J$22</f>
        <v>26391.841511107759</v>
      </c>
      <c r="S141" s="304">
        <f>$M141*'MWh Impact Summary'!K$22</f>
        <v>6675.463536611971</v>
      </c>
      <c r="T141" s="304">
        <f>$M141*'MWh Impact Summary'!L$22</f>
        <v>2424.6605303305378</v>
      </c>
      <c r="U141" s="304">
        <f>$M141*'MWh Impact Summary'!M$22</f>
        <v>7359.7778208164382</v>
      </c>
      <c r="V141" s="304">
        <f>$M141*'LED Impact Forecast'!$H$23+$D141*'LED Impact Forecast'!$J$23</f>
        <v>10836.37193554125</v>
      </c>
      <c r="W141" s="304">
        <f>$M141*'CFL Impact Forecast'!$H$23+$D141*'CFL Impact Forecast'!$J$23</f>
        <v>314261.34344241821</v>
      </c>
      <c r="X141" s="304">
        <f>$M141*'EISA Incand Impact Forecast'!$G$23+$D141*'EISA Incand Impact Forecast'!$I$23</f>
        <v>107085.5621720831</v>
      </c>
      <c r="Y141" s="85">
        <f t="shared" si="69"/>
        <v>574625.13607507315</v>
      </c>
      <c r="Z141" s="81">
        <f t="shared" si="70"/>
        <v>1050603.8125557853</v>
      </c>
      <c r="AA141" s="81"/>
      <c r="AB141" s="262">
        <v>4843834.8322112709</v>
      </c>
      <c r="AC141" s="308">
        <f t="shared" si="78"/>
        <v>216.8950529793708</v>
      </c>
      <c r="AD141" s="309">
        <f t="shared" si="71"/>
        <v>98.264844481375917</v>
      </c>
      <c r="AE141" s="107">
        <f t="shared" si="72"/>
        <v>9.3289409317761952E-3</v>
      </c>
      <c r="AF141" s="309">
        <f t="shared" si="79"/>
        <v>118.63020849799489</v>
      </c>
      <c r="AG141" s="107">
        <f t="shared" si="73"/>
        <v>1.1262361566265337E-2</v>
      </c>
      <c r="AH141" s="119">
        <f t="shared" si="80"/>
        <v>2.059130249804153E-2</v>
      </c>
      <c r="AI141" s="122">
        <f t="shared" si="74"/>
        <v>2.0591302498041534E-2</v>
      </c>
      <c r="AJ141" s="87" t="b">
        <f t="shared" si="81"/>
        <v>1</v>
      </c>
      <c r="AK141" s="88">
        <f t="shared" si="53"/>
        <v>2.1706471800726143E-3</v>
      </c>
      <c r="AL141" s="312">
        <f>+AC141/'MWh by month-WgtbyCDH&amp;DayLtHrs'!AC141-1</f>
        <v>7.0545245194032491E-2</v>
      </c>
      <c r="AM141" s="89">
        <f t="shared" si="75"/>
        <v>314261.34344241821</v>
      </c>
      <c r="AN141" s="93"/>
      <c r="AO141" s="96">
        <f t="shared" si="62"/>
        <v>64.878624959008775</v>
      </c>
      <c r="AP141" s="92">
        <f t="shared" si="61"/>
        <v>6.1593631290198202E-3</v>
      </c>
      <c r="AR141" s="94">
        <f t="shared" si="76"/>
        <v>2.0591302498041534E-2</v>
      </c>
      <c r="AS141" s="95">
        <v>958692.5151507766</v>
      </c>
      <c r="AU141" s="141">
        <v>216.8950529793708</v>
      </c>
    </row>
    <row r="142" spans="1:47">
      <c r="A142" s="78">
        <v>2016</v>
      </c>
      <c r="B142" s="78">
        <v>6</v>
      </c>
      <c r="C142" s="317">
        <f t="shared" si="83"/>
        <v>271.66325293295364</v>
      </c>
      <c r="D142" s="324">
        <f t="shared" si="82"/>
        <v>0.13554276374078555</v>
      </c>
      <c r="E142" s="321">
        <f>$D142*'MWh Impact Summary'!B$22</f>
        <v>280359.70987075358</v>
      </c>
      <c r="F142" s="319">
        <f>$D142*'MWh Impact Summary'!N$22</f>
        <v>24870.78134866766</v>
      </c>
      <c r="G142" s="319">
        <f>$D142*'MWh Impact Summary'!C$22</f>
        <v>225548.82259554384</v>
      </c>
      <c r="H142" s="319">
        <f>$D142*'MWh Impact Summary'!D$22</f>
        <v>778.6386475072062</v>
      </c>
      <c r="I142" s="319">
        <f>$D142*'MWh Impact Summary'!E$22</f>
        <v>88677.492891985181</v>
      </c>
      <c r="J142" s="104">
        <f t="shared" si="77"/>
        <v>620235.44535445748</v>
      </c>
      <c r="K142" s="298">
        <f t="shared" si="52"/>
        <v>10.199999999999999</v>
      </c>
      <c r="L142" s="300">
        <f t="shared" si="64"/>
        <v>7.1805702217529022E-2</v>
      </c>
      <c r="M142" s="297">
        <f>(30/366)</f>
        <v>8.1967213114754092E-2</v>
      </c>
      <c r="N142" s="304">
        <f>$M142*'MWh Impact Summary'!F$22</f>
        <v>88732.731431241991</v>
      </c>
      <c r="O142" s="304">
        <f>$M142*'MWh Impact Summary'!G$22</f>
        <v>1748.388446691416</v>
      </c>
      <c r="P142" s="304">
        <f>$M142*'MWh Impact Summary'!H$22</f>
        <v>4799.6322587889981</v>
      </c>
      <c r="Q142" s="304">
        <f>$M142*'MWh Impact Summary'!I$22</f>
        <v>1096.7786305329437</v>
      </c>
      <c r="R142" s="304">
        <f>$M142*'MWh Impact Summary'!J$22</f>
        <v>25540.491784942991</v>
      </c>
      <c r="S142" s="304">
        <f>$M142*'MWh Impact Summary'!K$22</f>
        <v>6460.1260031728743</v>
      </c>
      <c r="T142" s="304">
        <f>$M142*'MWh Impact Summary'!L$22</f>
        <v>2346.4456745134235</v>
      </c>
      <c r="U142" s="304">
        <f>$M142*'MWh Impact Summary'!M$22</f>
        <v>7122.3656330481654</v>
      </c>
      <c r="V142" s="304">
        <f>$M142*'LED Impact Forecast'!$H$23+$D142*'LED Impact Forecast'!$J$23</f>
        <v>10837.102609403777</v>
      </c>
      <c r="W142" s="304">
        <f>$M142*'CFL Impact Forecast'!$H$23+$D142*'CFL Impact Forecast'!$J$23</f>
        <v>322314.99553511769</v>
      </c>
      <c r="X142" s="304">
        <f>$M142*'EISA Incand Impact Forecast'!$G$23+$D142*'EISA Incand Impact Forecast'!$I$23</f>
        <v>110239.78713072716</v>
      </c>
      <c r="Y142" s="85">
        <f t="shared" si="69"/>
        <v>581238.84513818147</v>
      </c>
      <c r="Z142" s="81">
        <f t="shared" si="70"/>
        <v>1201474.2904926389</v>
      </c>
      <c r="AA142" s="81"/>
      <c r="AB142" s="262">
        <v>4848895.9460375952</v>
      </c>
      <c r="AC142" s="308">
        <f t="shared" si="78"/>
        <v>247.7830631681127</v>
      </c>
      <c r="AD142" s="309">
        <f t="shared" si="71"/>
        <v>127.91271502975836</v>
      </c>
      <c r="AE142" s="107">
        <f t="shared" si="72"/>
        <v>1.2540462257819447E-2</v>
      </c>
      <c r="AF142" s="309">
        <f t="shared" si="79"/>
        <v>119.87034813835432</v>
      </c>
      <c r="AG142" s="107">
        <f t="shared" si="73"/>
        <v>1.1751994915524934E-2</v>
      </c>
      <c r="AH142" s="119">
        <f t="shared" si="80"/>
        <v>2.429245717334438E-2</v>
      </c>
      <c r="AI142" s="122">
        <f t="shared" si="74"/>
        <v>2.4292457173344384E-2</v>
      </c>
      <c r="AJ142" s="87" t="b">
        <f t="shared" si="81"/>
        <v>1</v>
      </c>
      <c r="AK142" s="88">
        <f t="shared" si="53"/>
        <v>2.5464555815205292E-3</v>
      </c>
      <c r="AL142" s="312">
        <f>+AC142/'MWh by month-WgtbyCDH&amp;DayLtHrs'!AC142-1</f>
        <v>7.828692324483999E-2</v>
      </c>
      <c r="AM142" s="89">
        <f t="shared" si="75"/>
        <v>322314.99553511769</v>
      </c>
      <c r="AN142" s="93"/>
      <c r="AO142" s="96">
        <f t="shared" si="62"/>
        <v>66.471831757599588</v>
      </c>
      <c r="AP142" s="92">
        <f t="shared" si="61"/>
        <v>6.5168462507450581E-3</v>
      </c>
      <c r="AR142" s="94">
        <f t="shared" si="76"/>
        <v>2.4292457173344384E-2</v>
      </c>
      <c r="AS142" s="95">
        <v>1168219.7004325814</v>
      </c>
      <c r="AU142" s="141">
        <v>247.7830631681127</v>
      </c>
    </row>
    <row r="143" spans="1:47">
      <c r="A143" s="78">
        <v>2016</v>
      </c>
      <c r="B143" s="78">
        <v>7</v>
      </c>
      <c r="C143" s="317">
        <f t="shared" si="83"/>
        <v>322.31916585708109</v>
      </c>
      <c r="D143" s="324">
        <f t="shared" si="82"/>
        <v>0.16081685717602592</v>
      </c>
      <c r="E143" s="321">
        <f>$D143*'MWh Impact Summary'!B$22</f>
        <v>332637.21482337051</v>
      </c>
      <c r="F143" s="319">
        <f>$D143*'MWh Impact Summary'!N$22</f>
        <v>29508.332142716539</v>
      </c>
      <c r="G143" s="319">
        <f>$D143*'MWh Impact Summary'!C$22</f>
        <v>267605.9701640415</v>
      </c>
      <c r="H143" s="319">
        <f>$D143*'MWh Impact Summary'!D$22</f>
        <v>923.82814627691948</v>
      </c>
      <c r="I143" s="319">
        <f>$D143*'MWh Impact Summary'!E$22</f>
        <v>105212.81487524569</v>
      </c>
      <c r="J143" s="104">
        <f t="shared" si="77"/>
        <v>735888.16015165113</v>
      </c>
      <c r="K143" s="298">
        <f t="shared" si="52"/>
        <v>10.366666666666667</v>
      </c>
      <c r="L143" s="300">
        <f t="shared" si="64"/>
        <v>7.2978998005397158E-2</v>
      </c>
      <c r="M143" s="297">
        <f>(31/366)</f>
        <v>8.4699453551912565E-2</v>
      </c>
      <c r="N143" s="304">
        <f>$M143*'MWh Impact Summary'!F$22</f>
        <v>91690.489145616724</v>
      </c>
      <c r="O143" s="304">
        <f>$M143*'MWh Impact Summary'!G$22</f>
        <v>1806.6680615811299</v>
      </c>
      <c r="P143" s="304">
        <f>$M143*'MWh Impact Summary'!H$22</f>
        <v>4959.6200007486323</v>
      </c>
      <c r="Q143" s="304">
        <f>$M143*'MWh Impact Summary'!I$22</f>
        <v>1133.3379182173751</v>
      </c>
      <c r="R143" s="304">
        <f>$M143*'MWh Impact Summary'!J$22</f>
        <v>26391.841511107759</v>
      </c>
      <c r="S143" s="304">
        <f>$M143*'MWh Impact Summary'!K$22</f>
        <v>6675.463536611971</v>
      </c>
      <c r="T143" s="304">
        <f>$M143*'MWh Impact Summary'!L$22</f>
        <v>2424.6605303305378</v>
      </c>
      <c r="U143" s="304">
        <f>$M143*'MWh Impact Summary'!M$22</f>
        <v>7359.7778208164382</v>
      </c>
      <c r="V143" s="304">
        <f>$M143*'LED Impact Forecast'!$H$23+$D143*'LED Impact Forecast'!$J$23</f>
        <v>11406.783837203227</v>
      </c>
      <c r="W143" s="304">
        <f>$M143*'CFL Impact Forecast'!$H$23+$D143*'CFL Impact Forecast'!$J$23</f>
        <v>343883.64785033773</v>
      </c>
      <c r="X143" s="304">
        <f>$M143*'EISA Incand Impact Forecast'!$G$23+$D143*'EISA Incand Impact Forecast'!$I$23</f>
        <v>117846.96420651852</v>
      </c>
      <c r="Y143" s="85">
        <f t="shared" si="69"/>
        <v>615579.25441908999</v>
      </c>
      <c r="Z143" s="81">
        <f t="shared" si="70"/>
        <v>1351467.4145707411</v>
      </c>
      <c r="AA143" s="81"/>
      <c r="AB143" s="262">
        <v>4855525.4877184592</v>
      </c>
      <c r="AC143" s="308">
        <f t="shared" si="78"/>
        <v>278.33597372501407</v>
      </c>
      <c r="AD143" s="309">
        <f t="shared" si="71"/>
        <v>151.55685249989992</v>
      </c>
      <c r="AE143" s="107">
        <f t="shared" si="72"/>
        <v>1.4619632073945329E-2</v>
      </c>
      <c r="AF143" s="309">
        <f t="shared" si="79"/>
        <v>126.77912122511415</v>
      </c>
      <c r="AG143" s="107">
        <f t="shared" si="73"/>
        <v>1.2229497224287539E-2</v>
      </c>
      <c r="AH143" s="119">
        <f t="shared" si="80"/>
        <v>2.6849129298232868E-2</v>
      </c>
      <c r="AI143" s="122">
        <f t="shared" si="74"/>
        <v>2.6849129298232868E-2</v>
      </c>
      <c r="AJ143" s="87" t="b">
        <f t="shared" si="81"/>
        <v>1</v>
      </c>
      <c r="AK143" s="88">
        <f t="shared" si="53"/>
        <v>2.8377924694647019E-3</v>
      </c>
      <c r="AL143" s="312">
        <f>+AC143/'MWh by month-WgtbyCDH&amp;DayLtHrs'!AC143-1</f>
        <v>9.0575678018903316E-2</v>
      </c>
      <c r="AM143" s="89">
        <f t="shared" si="75"/>
        <v>343883.64785033773</v>
      </c>
      <c r="AN143" s="93"/>
      <c r="AO143" s="96">
        <f t="shared" si="62"/>
        <v>70.823157806535093</v>
      </c>
      <c r="AP143" s="92">
        <f t="shared" si="61"/>
        <v>6.831815865582163E-3</v>
      </c>
      <c r="AR143" s="94">
        <f t="shared" si="76"/>
        <v>2.6849129298232868E-2</v>
      </c>
      <c r="AS143" s="95">
        <v>1227840.8440896038</v>
      </c>
      <c r="AU143" s="141">
        <v>278.33597372501407</v>
      </c>
    </row>
    <row r="144" spans="1:47">
      <c r="A144" s="78">
        <v>2016</v>
      </c>
      <c r="B144" s="78">
        <v>8</v>
      </c>
      <c r="C144" s="317">
        <f t="shared" si="83"/>
        <v>326.45437890907908</v>
      </c>
      <c r="D144" s="324">
        <f t="shared" si="82"/>
        <v>0.16288006668144661</v>
      </c>
      <c r="E144" s="321">
        <f>$D144*'MWh Impact Summary'!B$22</f>
        <v>336904.80390284763</v>
      </c>
      <c r="F144" s="319">
        <f>$D144*'MWh Impact Summary'!N$22</f>
        <v>29886.911058105514</v>
      </c>
      <c r="G144" s="319">
        <f>$D144*'MWh Impact Summary'!C$22</f>
        <v>271039.23699343507</v>
      </c>
      <c r="H144" s="319">
        <f>$D144*'MWh Impact Summary'!D$22</f>
        <v>935.68045483613605</v>
      </c>
      <c r="I144" s="319">
        <f>$D144*'MWh Impact Summary'!E$22</f>
        <v>106562.64898812769</v>
      </c>
      <c r="J144" s="104">
        <f t="shared" si="77"/>
        <v>745329.28139735211</v>
      </c>
      <c r="K144" s="298">
        <f t="shared" si="52"/>
        <v>10.933333333333334</v>
      </c>
      <c r="L144" s="300">
        <f t="shared" si="64"/>
        <v>7.6968203684148764E-2</v>
      </c>
      <c r="M144" s="297">
        <f>(31/366)</f>
        <v>8.4699453551912565E-2</v>
      </c>
      <c r="N144" s="304">
        <f>$M144*'MWh Impact Summary'!F$22</f>
        <v>91690.489145616724</v>
      </c>
      <c r="O144" s="304">
        <f>$M144*'MWh Impact Summary'!G$22</f>
        <v>1806.6680615811299</v>
      </c>
      <c r="P144" s="304">
        <f>$M144*'MWh Impact Summary'!H$22</f>
        <v>4959.6200007486323</v>
      </c>
      <c r="Q144" s="304">
        <f>$M144*'MWh Impact Summary'!I$22</f>
        <v>1133.3379182173751</v>
      </c>
      <c r="R144" s="304">
        <f>$M144*'MWh Impact Summary'!J$22</f>
        <v>26391.841511107759</v>
      </c>
      <c r="S144" s="304">
        <f>$M144*'MWh Impact Summary'!K$22</f>
        <v>6675.463536611971</v>
      </c>
      <c r="T144" s="304">
        <f>$M144*'MWh Impact Summary'!L$22</f>
        <v>2424.6605303305378</v>
      </c>
      <c r="U144" s="304">
        <f>$M144*'MWh Impact Summary'!M$22</f>
        <v>7359.7778208164382</v>
      </c>
      <c r="V144" s="304">
        <f>$M144*'LED Impact Forecast'!$H$23+$D144*'LED Impact Forecast'!$J$23</f>
        <v>11427.503850369041</v>
      </c>
      <c r="W144" s="304">
        <f>$M144*'CFL Impact Forecast'!$H$23+$D144*'CFL Impact Forecast'!$J$23</f>
        <v>344959.66771518538</v>
      </c>
      <c r="X144" s="304">
        <f>$M144*'EISA Incand Impact Forecast'!$G$23+$D144*'EISA Incand Impact Forecast'!$I$23</f>
        <v>118237.86837802411</v>
      </c>
      <c r="Y144" s="85">
        <f t="shared" si="69"/>
        <v>617066.89846860908</v>
      </c>
      <c r="Z144" s="81">
        <f t="shared" si="70"/>
        <v>1362396.1798659612</v>
      </c>
      <c r="AA144" s="81"/>
      <c r="AB144" s="262">
        <v>4862964.3023347482</v>
      </c>
      <c r="AC144" s="308">
        <f t="shared" si="78"/>
        <v>280.15755312286871</v>
      </c>
      <c r="AD144" s="309">
        <f t="shared" si="71"/>
        <v>153.26645129587186</v>
      </c>
      <c r="AE144" s="107">
        <f t="shared" si="72"/>
        <v>1.4018272984378523E-2</v>
      </c>
      <c r="AF144" s="309">
        <f t="shared" si="79"/>
        <v>126.89110182699682</v>
      </c>
      <c r="AG144" s="107">
        <f t="shared" si="73"/>
        <v>1.1605893459786295E-2</v>
      </c>
      <c r="AH144" s="119">
        <f t="shared" si="80"/>
        <v>2.562416644416482E-2</v>
      </c>
      <c r="AI144" s="122">
        <f t="shared" si="74"/>
        <v>2.562416644416482E-2</v>
      </c>
      <c r="AJ144" s="87" t="b">
        <f t="shared" si="81"/>
        <v>1</v>
      </c>
      <c r="AK144" s="88">
        <f t="shared" si="53"/>
        <v>2.7118229755519092E-3</v>
      </c>
      <c r="AL144" s="312">
        <f>+AC144/'MWh by month-WgtbyCDH&amp;DayLtHrs'!AC144-1</f>
        <v>7.0266521672630144E-2</v>
      </c>
      <c r="AM144" s="89">
        <f t="shared" si="75"/>
        <v>344959.66771518538</v>
      </c>
      <c r="AN144" s="93"/>
      <c r="AO144" s="96">
        <f t="shared" si="62"/>
        <v>70.936088827460139</v>
      </c>
      <c r="AP144" s="92">
        <f t="shared" si="61"/>
        <v>6.4880569049506221E-3</v>
      </c>
      <c r="AR144" s="94">
        <f t="shared" si="76"/>
        <v>2.562416644416482E-2</v>
      </c>
      <c r="AS144" s="95">
        <v>1276453.2668340718</v>
      </c>
      <c r="AU144" s="141">
        <v>280.15755312286871</v>
      </c>
    </row>
    <row r="145" spans="1:47">
      <c r="A145" s="78">
        <v>2016</v>
      </c>
      <c r="B145" s="78">
        <v>9</v>
      </c>
      <c r="C145" s="317">
        <f t="shared" si="83"/>
        <v>277.87653293728147</v>
      </c>
      <c r="D145" s="324">
        <f t="shared" si="82"/>
        <v>0.1386427970893879</v>
      </c>
      <c r="E145" s="321">
        <f>$D145*'MWh Impact Summary'!B$22</f>
        <v>286771.88877442374</v>
      </c>
      <c r="F145" s="319">
        <f>$D145*'MWh Impact Summary'!N$22</f>
        <v>25439.607374187657</v>
      </c>
      <c r="G145" s="319">
        <f>$D145*'MWh Impact Summary'!C$22</f>
        <v>230707.40762426113</v>
      </c>
      <c r="H145" s="319">
        <f>$D145*'MWh Impact Summary'!D$22</f>
        <v>796.44709192109747</v>
      </c>
      <c r="I145" s="319">
        <f>$D145*'MWh Impact Summary'!E$22</f>
        <v>90705.658598871087</v>
      </c>
      <c r="J145" s="104">
        <f t="shared" si="77"/>
        <v>634421.00946366473</v>
      </c>
      <c r="K145" s="298">
        <f t="shared" si="52"/>
        <v>11.683333333333334</v>
      </c>
      <c r="L145" s="300">
        <f t="shared" si="64"/>
        <v>8.2248034729555317E-2</v>
      </c>
      <c r="M145" s="297">
        <f>(30/366)</f>
        <v>8.1967213114754092E-2</v>
      </c>
      <c r="N145" s="304">
        <f>$M145*'MWh Impact Summary'!F$22</f>
        <v>88732.731431241991</v>
      </c>
      <c r="O145" s="304">
        <f>$M145*'MWh Impact Summary'!G$22</f>
        <v>1748.388446691416</v>
      </c>
      <c r="P145" s="304">
        <f>$M145*'MWh Impact Summary'!H$22</f>
        <v>4799.6322587889981</v>
      </c>
      <c r="Q145" s="304">
        <f>$M145*'MWh Impact Summary'!I$22</f>
        <v>1096.7786305329437</v>
      </c>
      <c r="R145" s="304">
        <f>$M145*'MWh Impact Summary'!J$22</f>
        <v>25540.491784942991</v>
      </c>
      <c r="S145" s="304">
        <f>$M145*'MWh Impact Summary'!K$22</f>
        <v>6460.1260031728743</v>
      </c>
      <c r="T145" s="304">
        <f>$M145*'MWh Impact Summary'!L$22</f>
        <v>2346.4456745134235</v>
      </c>
      <c r="U145" s="304">
        <f>$M145*'MWh Impact Summary'!M$22</f>
        <v>7122.3656330481654</v>
      </c>
      <c r="V145" s="304">
        <f>$M145*'LED Impact Forecast'!$H$23+$D145*'LED Impact Forecast'!$J$23</f>
        <v>10868.235042454682</v>
      </c>
      <c r="W145" s="304">
        <f>$M145*'CFL Impact Forecast'!$H$23+$D145*'CFL Impact Forecast'!$J$23</f>
        <v>323931.74723000004</v>
      </c>
      <c r="X145" s="304">
        <f>$M145*'EISA Incand Impact Forecast'!$G$23+$D145*'EISA Incand Impact Forecast'!$I$23</f>
        <v>110827.13221836431</v>
      </c>
      <c r="Y145" s="85">
        <f t="shared" si="69"/>
        <v>583474.07435375184</v>
      </c>
      <c r="Z145" s="81">
        <f t="shared" si="70"/>
        <v>1217895.0838174166</v>
      </c>
      <c r="AA145" s="81"/>
      <c r="AB145" s="262">
        <v>4867498.8173319157</v>
      </c>
      <c r="AC145" s="308">
        <f t="shared" si="78"/>
        <v>250.20963117254482</v>
      </c>
      <c r="AD145" s="309">
        <f t="shared" si="71"/>
        <v>130.33819488659231</v>
      </c>
      <c r="AE145" s="107">
        <f t="shared" si="72"/>
        <v>1.1155908264187645E-2</v>
      </c>
      <c r="AF145" s="309">
        <f t="shared" si="79"/>
        <v>119.8714362859525</v>
      </c>
      <c r="AG145" s="107">
        <f t="shared" si="73"/>
        <v>1.0260037342592225E-2</v>
      </c>
      <c r="AH145" s="119">
        <f t="shared" si="80"/>
        <v>2.1415945606779868E-2</v>
      </c>
      <c r="AI145" s="122">
        <f t="shared" si="74"/>
        <v>2.1415945606779872E-2</v>
      </c>
      <c r="AJ145" s="87" t="b">
        <f t="shared" si="81"/>
        <v>1</v>
      </c>
      <c r="AK145" s="88">
        <f t="shared" si="53"/>
        <v>2.26887883382541E-3</v>
      </c>
      <c r="AL145" s="312">
        <f>+AC145/'MWh by month-WgtbyCDH&amp;DayLtHrs'!AC145-1</f>
        <v>2.189898960183001E-2</v>
      </c>
      <c r="AM145" s="89">
        <f t="shared" si="75"/>
        <v>323931.74723000004</v>
      </c>
      <c r="AN145" s="93"/>
      <c r="AO145" s="96">
        <f t="shared" si="62"/>
        <v>66.549938559114196</v>
      </c>
      <c r="AP145" s="92">
        <f t="shared" si="61"/>
        <v>5.6961431006374488E-3</v>
      </c>
      <c r="AR145" s="94">
        <f t="shared" si="76"/>
        <v>2.1415945606779872E-2</v>
      </c>
      <c r="AS145" s="95">
        <v>1206323.4397606517</v>
      </c>
      <c r="AU145" s="141">
        <v>250.20963117254482</v>
      </c>
    </row>
    <row r="146" spans="1:47">
      <c r="A146" s="78">
        <v>2016</v>
      </c>
      <c r="B146" s="78">
        <v>10</v>
      </c>
      <c r="C146" s="317">
        <f t="shared" ref="C146:C209" si="84">+C134</f>
        <v>198.89039579254836</v>
      </c>
      <c r="D146" s="324">
        <f t="shared" si="82"/>
        <v>9.923371540380535E-2</v>
      </c>
      <c r="E146" s="321">
        <f>$D146*'MWh Impact Summary'!B$22</f>
        <v>205257.25529113042</v>
      </c>
      <c r="F146" s="319">
        <f>$D146*'MWh Impact Summary'!N$22</f>
        <v>18208.423453308384</v>
      </c>
      <c r="G146" s="319">
        <f>$D146*'MWh Impact Summary'!C$22</f>
        <v>165129.04896873297</v>
      </c>
      <c r="H146" s="319">
        <f>$D146*'MWh Impact Summary'!D$22</f>
        <v>570.05777229761395</v>
      </c>
      <c r="I146" s="319">
        <f>$D146*'MWh Impact Summary'!E$22</f>
        <v>64922.66240929778</v>
      </c>
      <c r="J146" s="104">
        <f t="shared" si="77"/>
        <v>454087.4478947671</v>
      </c>
      <c r="K146" s="298">
        <f t="shared" ref="K146:K209" si="85">+K134</f>
        <v>12.466666666666667</v>
      </c>
      <c r="L146" s="300">
        <f t="shared" si="64"/>
        <v>8.7762524932535488E-2</v>
      </c>
      <c r="M146" s="297">
        <f>(31/366)</f>
        <v>8.4699453551912565E-2</v>
      </c>
      <c r="N146" s="304">
        <f>$M146*'MWh Impact Summary'!F$22</f>
        <v>91690.489145616724</v>
      </c>
      <c r="O146" s="304">
        <f>$M146*'MWh Impact Summary'!G$22</f>
        <v>1806.6680615811299</v>
      </c>
      <c r="P146" s="304">
        <f>$M146*'MWh Impact Summary'!H$22</f>
        <v>4959.6200007486323</v>
      </c>
      <c r="Q146" s="304">
        <f>$M146*'MWh Impact Summary'!I$22</f>
        <v>1133.3379182173751</v>
      </c>
      <c r="R146" s="304">
        <f>$M146*'MWh Impact Summary'!J$22</f>
        <v>26391.841511107759</v>
      </c>
      <c r="S146" s="304">
        <f>$M146*'MWh Impact Summary'!K$22</f>
        <v>6675.463536611971</v>
      </c>
      <c r="T146" s="304">
        <f>$M146*'MWh Impact Summary'!L$22</f>
        <v>2424.6605303305378</v>
      </c>
      <c r="U146" s="304">
        <f>$M146*'MWh Impact Summary'!M$22</f>
        <v>7359.7778208164382</v>
      </c>
      <c r="V146" s="304">
        <f>$M146*'LED Impact Forecast'!$H$23+$D146*'LED Impact Forecast'!$J$23</f>
        <v>10788.328219894323</v>
      </c>
      <c r="W146" s="304">
        <f>$M146*'CFL Impact Forecast'!$H$23+$D146*'CFL Impact Forecast'!$J$23</f>
        <v>311766.36469875212</v>
      </c>
      <c r="X146" s="304">
        <f>$M146*'EISA Incand Impact Forecast'!$G$23+$D146*'EISA Incand Impact Forecast'!$I$23</f>
        <v>106179.168497971</v>
      </c>
      <c r="Y146" s="85">
        <f t="shared" si="69"/>
        <v>571175.71994164807</v>
      </c>
      <c r="Z146" s="81">
        <f t="shared" si="70"/>
        <v>1025263.1678364151</v>
      </c>
      <c r="AA146" s="81"/>
      <c r="AB146" s="262">
        <v>4872985.9866431234</v>
      </c>
      <c r="AC146" s="308">
        <f t="shared" si="78"/>
        <v>210.3973150439312</v>
      </c>
      <c r="AD146" s="309">
        <f t="shared" si="71"/>
        <v>93.184640616538374</v>
      </c>
      <c r="AE146" s="107">
        <f t="shared" si="72"/>
        <v>7.4747037927704579E-3</v>
      </c>
      <c r="AF146" s="309">
        <f t="shared" si="79"/>
        <v>117.21267442739284</v>
      </c>
      <c r="AG146" s="107">
        <f t="shared" si="73"/>
        <v>9.4020861840154683E-3</v>
      </c>
      <c r="AH146" s="119">
        <f t="shared" si="80"/>
        <v>1.6876789976785926E-2</v>
      </c>
      <c r="AI146" s="122">
        <f t="shared" si="74"/>
        <v>1.6876789976785926E-2</v>
      </c>
      <c r="AJ146" s="87" t="b">
        <f t="shared" si="81"/>
        <v>1</v>
      </c>
      <c r="AK146" s="88">
        <f t="shared" si="53"/>
        <v>1.7986181336211646E-3</v>
      </c>
      <c r="AL146" s="312">
        <f>+AC146/'MWh by month-WgtbyCDH&amp;DayLtHrs'!AC146-1</f>
        <v>-1.5391568457254201E-2</v>
      </c>
      <c r="AM146" s="89">
        <f t="shared" si="75"/>
        <v>311766.36469875212</v>
      </c>
      <c r="AN146" s="93"/>
      <c r="AO146" s="96">
        <f t="shared" si="62"/>
        <v>63.97850631077231</v>
      </c>
      <c r="AP146" s="92">
        <f t="shared" si="61"/>
        <v>5.1319657468533939E-3</v>
      </c>
      <c r="AR146" s="94">
        <f t="shared" si="76"/>
        <v>1.6876789976785926E-2</v>
      </c>
      <c r="AS146" s="95">
        <v>973350.79860718851</v>
      </c>
      <c r="AU146" s="141">
        <v>210.3973150439312</v>
      </c>
    </row>
    <row r="147" spans="1:47">
      <c r="A147" s="78">
        <v>2016</v>
      </c>
      <c r="B147" s="78">
        <v>11</v>
      </c>
      <c r="C147" s="317">
        <f t="shared" si="84"/>
        <v>78.117279066674627</v>
      </c>
      <c r="D147" s="324">
        <f t="shared" si="82"/>
        <v>3.8975576513546578E-2</v>
      </c>
      <c r="E147" s="321">
        <f>$D147*'MWh Impact Summary'!B$22</f>
        <v>80617.961607161968</v>
      </c>
      <c r="F147" s="319">
        <f>$D147*'MWh Impact Summary'!N$22</f>
        <v>7151.639930114542</v>
      </c>
      <c r="G147" s="319">
        <f>$D147*'MWh Impact Summary'!C$22</f>
        <v>64856.987935002056</v>
      </c>
      <c r="H147" s="319">
        <f>$D147*'MWh Impact Summary'!D$22</f>
        <v>223.89900681352046</v>
      </c>
      <c r="I147" s="319">
        <f>$D147*'MWh Impact Summary'!E$22</f>
        <v>25499.379781357111</v>
      </c>
      <c r="J147" s="104">
        <f t="shared" si="77"/>
        <v>178349.86826044921</v>
      </c>
      <c r="K147" s="298">
        <f t="shared" si="85"/>
        <v>13.15</v>
      </c>
      <c r="L147" s="300">
        <f t="shared" si="64"/>
        <v>9.2573037662794788E-2</v>
      </c>
      <c r="M147" s="297">
        <f>(30/366)</f>
        <v>8.1967213114754092E-2</v>
      </c>
      <c r="N147" s="304">
        <f>$M147*'MWh Impact Summary'!F$22</f>
        <v>88732.731431241991</v>
      </c>
      <c r="O147" s="304">
        <f>$M147*'MWh Impact Summary'!G$22</f>
        <v>1748.388446691416</v>
      </c>
      <c r="P147" s="304">
        <f>$M147*'MWh Impact Summary'!H$22</f>
        <v>4799.6322587889981</v>
      </c>
      <c r="Q147" s="304">
        <f>$M147*'MWh Impact Summary'!I$22</f>
        <v>1096.7786305329437</v>
      </c>
      <c r="R147" s="304">
        <f>$M147*'MWh Impact Summary'!J$22</f>
        <v>25540.491784942991</v>
      </c>
      <c r="S147" s="304">
        <f>$M147*'MWh Impact Summary'!K$22</f>
        <v>6460.1260031728743</v>
      </c>
      <c r="T147" s="304">
        <f>$M147*'MWh Impact Summary'!L$22</f>
        <v>2346.4456745134235</v>
      </c>
      <c r="U147" s="304">
        <f>$M147*'MWh Impact Summary'!M$22</f>
        <v>7122.3656330481654</v>
      </c>
      <c r="V147" s="304">
        <f>$M147*'LED Impact Forecast'!$H$23+$D147*'LED Impact Forecast'!$J$23</f>
        <v>9867.3157867485752</v>
      </c>
      <c r="W147" s="304">
        <f>$M147*'CFL Impact Forecast'!$H$23+$D147*'CFL Impact Forecast'!$J$23</f>
        <v>271952.58130817005</v>
      </c>
      <c r="X147" s="304">
        <f>$M147*'EISA Incand Impact Forecast'!$G$23+$D147*'EISA Incand Impact Forecast'!$I$23</f>
        <v>91943.770066772544</v>
      </c>
      <c r="Y147" s="85">
        <f t="shared" si="69"/>
        <v>511610.62702462397</v>
      </c>
      <c r="Z147" s="81">
        <f t="shared" si="70"/>
        <v>689960.49528507318</v>
      </c>
      <c r="AA147" s="81"/>
      <c r="AB147" s="262">
        <v>4878687.6758089541</v>
      </c>
      <c r="AC147" s="308">
        <f t="shared" si="78"/>
        <v>141.42337881275995</v>
      </c>
      <c r="AD147" s="309">
        <f t="shared" si="71"/>
        <v>36.556935002172757</v>
      </c>
      <c r="AE147" s="107">
        <f t="shared" si="72"/>
        <v>2.7799950571994491E-3</v>
      </c>
      <c r="AF147" s="309">
        <f t="shared" si="79"/>
        <v>104.86644381058721</v>
      </c>
      <c r="AG147" s="107">
        <f t="shared" si="73"/>
        <v>7.9746345103108157E-3</v>
      </c>
      <c r="AH147" s="119">
        <f t="shared" si="80"/>
        <v>1.0754629567510264E-2</v>
      </c>
      <c r="AI147" s="122">
        <f t="shared" si="74"/>
        <v>1.0754629567510263E-2</v>
      </c>
      <c r="AJ147" s="87" t="b">
        <f t="shared" si="81"/>
        <v>1</v>
      </c>
      <c r="AK147" s="88">
        <f t="shared" si="53"/>
        <v>1.1626451391445781E-3</v>
      </c>
      <c r="AL147" s="312">
        <f>+AC147/'MWh by month-WgtbyCDH&amp;DayLtHrs'!AC147-1</f>
        <v>-0.12583614110380759</v>
      </c>
      <c r="AM147" s="89">
        <f t="shared" si="75"/>
        <v>271952.58130817005</v>
      </c>
      <c r="AN147" s="93"/>
      <c r="AO147" s="96">
        <f t="shared" si="62"/>
        <v>55.742978312928486</v>
      </c>
      <c r="AP147" s="92">
        <f t="shared" si="61"/>
        <v>4.2390097576371468E-3</v>
      </c>
      <c r="AR147" s="94">
        <f t="shared" si="76"/>
        <v>1.0754629567510263E-2</v>
      </c>
      <c r="AS147" s="95">
        <v>753485.54449138115</v>
      </c>
      <c r="AU147" s="141">
        <v>141.42337881275995</v>
      </c>
    </row>
    <row r="148" spans="1:47">
      <c r="A148" s="78">
        <v>2016</v>
      </c>
      <c r="B148" s="78">
        <v>12</v>
      </c>
      <c r="C148" s="317">
        <f t="shared" si="84"/>
        <v>42.633806123140985</v>
      </c>
      <c r="D148" s="324">
        <f t="shared" ref="D148:D177" si="86">D136</f>
        <v>2.1271570035074034E-2</v>
      </c>
      <c r="E148" s="321">
        <f>$D148*'MWh Impact Summary'!B$22</f>
        <v>43998.595269415069</v>
      </c>
      <c r="F148" s="319">
        <f>$D148*'MWh Impact Summary'!N$22</f>
        <v>3903.1266050981812</v>
      </c>
      <c r="G148" s="319">
        <f>$D148*'MWh Impact Summary'!C$22</f>
        <v>35396.781382921756</v>
      </c>
      <c r="H148" s="319">
        <f>$D148*'MWh Impact Summary'!D$22</f>
        <v>122.19661209018867</v>
      </c>
      <c r="I148" s="319">
        <f>$D148*'MWh Impact Summary'!E$22</f>
        <v>13916.711217384169</v>
      </c>
      <c r="J148" s="104">
        <f t="shared" si="77"/>
        <v>97337.411086909371</v>
      </c>
      <c r="K148" s="298">
        <f t="shared" si="85"/>
        <v>13.483333333333333</v>
      </c>
      <c r="L148" s="300">
        <f t="shared" si="64"/>
        <v>9.491962923853102E-2</v>
      </c>
      <c r="M148" s="297">
        <f>(31/366)</f>
        <v>8.4699453551912565E-2</v>
      </c>
      <c r="N148" s="304">
        <f>$M148*'MWh Impact Summary'!F$22</f>
        <v>91690.489145616724</v>
      </c>
      <c r="O148" s="304">
        <f>$M148*'MWh Impact Summary'!G$22</f>
        <v>1806.6680615811299</v>
      </c>
      <c r="P148" s="304">
        <f>$M148*'MWh Impact Summary'!H$22</f>
        <v>4959.6200007486323</v>
      </c>
      <c r="Q148" s="304">
        <f>$M148*'MWh Impact Summary'!I$22</f>
        <v>1133.3379182173751</v>
      </c>
      <c r="R148" s="304">
        <f>$M148*'MWh Impact Summary'!J$22</f>
        <v>26391.841511107759</v>
      </c>
      <c r="S148" s="304">
        <f>$M148*'MWh Impact Summary'!K$22</f>
        <v>6675.463536611971</v>
      </c>
      <c r="T148" s="304">
        <f>$M148*'MWh Impact Summary'!L$22</f>
        <v>2424.6605303305378</v>
      </c>
      <c r="U148" s="304">
        <f>$M148*'MWh Impact Summary'!M$22</f>
        <v>7359.7778208164382</v>
      </c>
      <c r="V148" s="304">
        <f>$M148*'LED Impact Forecast'!$H$23+$D148*'LED Impact Forecast'!$J$23</f>
        <v>10005.384619532333</v>
      </c>
      <c r="W148" s="304">
        <f>$M148*'CFL Impact Forecast'!$H$23+$D148*'CFL Impact Forecast'!$J$23</f>
        <v>271106.98575420282</v>
      </c>
      <c r="X148" s="304">
        <f>$M148*'EISA Incand Impact Forecast'!$G$23+$D148*'EISA Incand Impact Forecast'!$I$23</f>
        <v>91408.139300938841</v>
      </c>
      <c r="Y148" s="85">
        <f t="shared" si="69"/>
        <v>514962.36819970456</v>
      </c>
      <c r="Z148" s="81">
        <f t="shared" si="70"/>
        <v>612299.77928661392</v>
      </c>
      <c r="AA148" s="81">
        <f>SUM(Z137:Z148)</f>
        <v>11195769.673743742</v>
      </c>
      <c r="AB148" s="262">
        <v>4884563.5171767101</v>
      </c>
      <c r="AC148" s="308">
        <f t="shared" si="78"/>
        <v>125.35404179584192</v>
      </c>
      <c r="AD148" s="309">
        <f t="shared" si="71"/>
        <v>19.927555603406429</v>
      </c>
      <c r="AE148" s="107">
        <f t="shared" si="72"/>
        <v>1.4779398469769911E-3</v>
      </c>
      <c r="AF148" s="309">
        <f t="shared" si="79"/>
        <v>105.42648619243549</v>
      </c>
      <c r="AG148" s="107">
        <f t="shared" si="73"/>
        <v>7.8190224617381079E-3</v>
      </c>
      <c r="AH148" s="119">
        <f t="shared" si="80"/>
        <v>9.2969623087150993E-3</v>
      </c>
      <c r="AI148" s="122">
        <f t="shared" si="74"/>
        <v>9.296962308715101E-3</v>
      </c>
      <c r="AJ148" s="87" t="b">
        <f t="shared" si="81"/>
        <v>1</v>
      </c>
      <c r="AK148" s="88">
        <f t="shared" si="53"/>
        <v>1.0129114465625751E-3</v>
      </c>
      <c r="AL148" s="312">
        <f>+AC148/'MWh by month-WgtbyCDH&amp;DayLtHrs'!AC148-1</f>
        <v>-0.15061943299435032</v>
      </c>
      <c r="AM148" s="89">
        <f t="shared" si="75"/>
        <v>271106.98575420282</v>
      </c>
      <c r="AN148" s="90">
        <f>SUM(AM137:AM148)</f>
        <v>3591361.4449216984</v>
      </c>
      <c r="AO148" s="96">
        <f t="shared" si="62"/>
        <v>55.502806914240594</v>
      </c>
      <c r="AP148" s="92">
        <f t="shared" si="61"/>
        <v>4.1164010072366327E-3</v>
      </c>
      <c r="AR148" s="94">
        <f t="shared" si="76"/>
        <v>9.296962308715101E-3</v>
      </c>
      <c r="AS148" s="95">
        <v>622720.01777752733</v>
      </c>
      <c r="AU148" s="141">
        <v>125.35404179584192</v>
      </c>
    </row>
    <row r="149" spans="1:47">
      <c r="A149" s="78">
        <v>2017</v>
      </c>
      <c r="B149" s="78">
        <v>1</v>
      </c>
      <c r="C149" s="317">
        <f t="shared" si="84"/>
        <v>26.112829868525239</v>
      </c>
      <c r="D149" s="324">
        <f t="shared" si="86"/>
        <v>1.6125648960134388E-2</v>
      </c>
      <c r="E149" s="321">
        <f>$D149*'MWh Impact Summary'!B$23</f>
        <v>37589.100413337794</v>
      </c>
      <c r="F149" s="319">
        <f>$D149*'MWh Impact Summary'!N$23</f>
        <v>3665.4132977843997</v>
      </c>
      <c r="G149" s="319">
        <f>$D149*'MWh Impact Summary'!C$23</f>
        <v>29498.961953989241</v>
      </c>
      <c r="H149" s="319">
        <f>$D149*'MWh Impact Summary'!D$23</f>
        <v>106.48599672962258</v>
      </c>
      <c r="I149" s="319">
        <f>$D149*'MWh Impact Summary'!E$23</f>
        <v>11498.285241880387</v>
      </c>
      <c r="J149" s="104">
        <f t="shared" si="77"/>
        <v>82358.246903721432</v>
      </c>
      <c r="K149" s="298">
        <f t="shared" si="85"/>
        <v>13.3</v>
      </c>
      <c r="L149" s="300">
        <f t="shared" si="64"/>
        <v>9.3629003871876101E-2</v>
      </c>
      <c r="M149" s="297">
        <f>(31/365)</f>
        <v>8.4931506849315067E-2</v>
      </c>
      <c r="N149" s="304">
        <f>$M149*'MWh Impact Summary'!F$23</f>
        <v>103076.02811420627</v>
      </c>
      <c r="O149" s="304">
        <f>$M149*'MWh Impact Summary'!G$23</f>
        <v>3417.8947403267753</v>
      </c>
      <c r="P149" s="304">
        <f>$M149*'MWh Impact Summary'!H$23</f>
        <v>6150.5175305832354</v>
      </c>
      <c r="Q149" s="304">
        <f>$M149*'MWh Impact Summary'!I$23</f>
        <v>1229.0408678070755</v>
      </c>
      <c r="R149" s="304">
        <f>$M149*'MWh Impact Summary'!J$23</f>
        <v>30397.083715572728</v>
      </c>
      <c r="S149" s="304">
        <f>$M149*'MWh Impact Summary'!K$23</f>
        <v>10000.576722944348</v>
      </c>
      <c r="T149" s="304">
        <f>$M149*'MWh Impact Summary'!L$23</f>
        <v>3576.4208897997401</v>
      </c>
      <c r="U149" s="304">
        <f>$M149*'MWh Impact Summary'!M$23</f>
        <v>11025.754594752025</v>
      </c>
      <c r="V149" s="304">
        <f>$M149*'LED Impact Forecast'!$H$24+$D149*'LED Impact Forecast'!$J$24</f>
        <v>22402.821029332499</v>
      </c>
      <c r="W149" s="304">
        <f>$M149*'CFL Impact Forecast'!$H$24+$D149*'CFL Impact Forecast'!$J$24</f>
        <v>282143.23978069914</v>
      </c>
      <c r="X149" s="304">
        <f>$M149*'EISA Incand Impact Forecast'!$G$24+$D149*'EISA Incand Impact Forecast'!$I$24</f>
        <v>106318.36829689729</v>
      </c>
      <c r="Y149" s="85">
        <f t="shared" si="69"/>
        <v>579737.74628292117</v>
      </c>
      <c r="Z149" s="81">
        <f t="shared" si="70"/>
        <v>662095.99318664265</v>
      </c>
      <c r="AA149" s="81"/>
      <c r="AB149" s="262">
        <v>4891015.7222528467</v>
      </c>
      <c r="AC149" s="308">
        <f t="shared" si="78"/>
        <v>135.3698353849648</v>
      </c>
      <c r="AD149" s="309">
        <f t="shared" si="71"/>
        <v>16.838679648689919</v>
      </c>
      <c r="AE149" s="107">
        <f t="shared" si="72"/>
        <v>1.266066138999242E-3</v>
      </c>
      <c r="AF149" s="309">
        <f t="shared" si="79"/>
        <v>118.5311557362749</v>
      </c>
      <c r="AG149" s="107">
        <f t="shared" si="73"/>
        <v>8.9121169726522481E-3</v>
      </c>
      <c r="AH149" s="119">
        <f t="shared" si="80"/>
        <v>1.0178183111651491E-2</v>
      </c>
      <c r="AI149" s="122">
        <f t="shared" si="74"/>
        <v>1.0178183111651489E-2</v>
      </c>
      <c r="AJ149" s="87" t="b">
        <f t="shared" si="81"/>
        <v>1</v>
      </c>
      <c r="AK149" s="88">
        <f t="shared" si="53"/>
        <v>1.0531078299305593E-3</v>
      </c>
      <c r="AL149" s="312">
        <f>+AC149/'MWh by month-WgtbyCDH&amp;DayLtHrs'!AC149-1</f>
        <v>-0.12910267310420431</v>
      </c>
      <c r="AM149" s="89">
        <f t="shared" si="75"/>
        <v>282143.23978069914</v>
      </c>
      <c r="AN149" s="93"/>
      <c r="AO149" s="96">
        <f t="shared" si="62"/>
        <v>57.686021841438972</v>
      </c>
      <c r="AP149" s="92">
        <f t="shared" si="61"/>
        <v>4.337294875296163E-3</v>
      </c>
      <c r="AR149" s="94">
        <f t="shared" si="76"/>
        <v>1.0178183111651489E-2</v>
      </c>
      <c r="AS149" s="95">
        <v>677896.61789944256</v>
      </c>
      <c r="AU149" s="141">
        <v>135.3698353849648</v>
      </c>
    </row>
    <row r="150" spans="1:47">
      <c r="A150" s="78">
        <v>2017</v>
      </c>
      <c r="B150" s="78">
        <v>2</v>
      </c>
      <c r="C150" s="317">
        <f t="shared" si="84"/>
        <v>35.042184420393127</v>
      </c>
      <c r="D150" s="324">
        <f t="shared" si="86"/>
        <v>9.4849425755900163E-3</v>
      </c>
      <c r="E150" s="321">
        <f>$D150*'MWh Impact Summary'!B$23</f>
        <v>22109.526244184388</v>
      </c>
      <c r="F150" s="319">
        <f>$D150*'MWh Impact Summary'!N$23</f>
        <v>2155.9587915647721</v>
      </c>
      <c r="G150" s="319">
        <f>$D150*'MWh Impact Summary'!C$23</f>
        <v>17350.989151804708</v>
      </c>
      <c r="H150" s="319">
        <f>$D150*'MWh Impact Summary'!D$23</f>
        <v>62.633979356854312</v>
      </c>
      <c r="I150" s="319">
        <f>$D150*'MWh Impact Summary'!E$23</f>
        <v>6763.1743383852463</v>
      </c>
      <c r="J150" s="104">
        <f t="shared" si="77"/>
        <v>48442.282505295967</v>
      </c>
      <c r="K150" s="298">
        <f t="shared" si="85"/>
        <v>12.733333333333333</v>
      </c>
      <c r="L150" s="300">
        <f t="shared" si="64"/>
        <v>8.9639798193124468E-2</v>
      </c>
      <c r="M150" s="297">
        <f>(28/365)</f>
        <v>7.6712328767123292E-2</v>
      </c>
      <c r="N150" s="304">
        <f>$M150*'MWh Impact Summary'!F$23</f>
        <v>93100.928619283091</v>
      </c>
      <c r="O150" s="304">
        <f>$M150*'MWh Impact Summary'!G$23</f>
        <v>3087.130733198378</v>
      </c>
      <c r="P150" s="304">
        <f>$M150*'MWh Impact Summary'!H$23</f>
        <v>5555.3061566558263</v>
      </c>
      <c r="Q150" s="304">
        <f>$M150*'MWh Impact Summary'!I$23</f>
        <v>1110.1014289870359</v>
      </c>
      <c r="R150" s="304">
        <f>$M150*'MWh Impact Summary'!J$23</f>
        <v>27455.43045277537</v>
      </c>
      <c r="S150" s="304">
        <f>$M150*'MWh Impact Summary'!K$23</f>
        <v>9032.7789755626382</v>
      </c>
      <c r="T150" s="304">
        <f>$M150*'MWh Impact Summary'!L$23</f>
        <v>3230.3156423997652</v>
      </c>
      <c r="U150" s="304">
        <f>$M150*'MWh Impact Summary'!M$23</f>
        <v>9958.7460855824738</v>
      </c>
      <c r="V150" s="304">
        <f>$M150*'LED Impact Forecast'!$H$24+$D150*'LED Impact Forecast'!$J$24</f>
        <v>20076.245244676655</v>
      </c>
      <c r="W150" s="304">
        <f>$M150*'CFL Impact Forecast'!$H$24+$D150*'CFL Impact Forecast'!$J$24</f>
        <v>252055.09857403336</v>
      </c>
      <c r="X150" s="304">
        <f>$M150*'EISA Incand Impact Forecast'!$G$24+$D150*'EISA Incand Impact Forecast'!$I$24</f>
        <v>94895.114097441314</v>
      </c>
      <c r="Y150" s="85">
        <f t="shared" si="69"/>
        <v>519557.19601059589</v>
      </c>
      <c r="Z150" s="81">
        <f t="shared" si="70"/>
        <v>567999.47851589182</v>
      </c>
      <c r="AA150" s="81"/>
      <c r="AB150" s="262">
        <v>4896910.5000386564</v>
      </c>
      <c r="AC150" s="308">
        <f t="shared" si="78"/>
        <v>115.99139467862604</v>
      </c>
      <c r="AD150" s="309">
        <f t="shared" si="71"/>
        <v>9.8924173731403844</v>
      </c>
      <c r="AE150" s="107">
        <f t="shared" si="72"/>
        <v>7.7689141673877374E-4</v>
      </c>
      <c r="AF150" s="309">
        <f t="shared" si="79"/>
        <v>106.09897730548566</v>
      </c>
      <c r="AG150" s="107">
        <f t="shared" si="73"/>
        <v>8.3323804166611799E-3</v>
      </c>
      <c r="AH150" s="119">
        <f t="shared" si="80"/>
        <v>9.1092718333999536E-3</v>
      </c>
      <c r="AI150" s="122">
        <f t="shared" si="74"/>
        <v>9.1092718333999519E-3</v>
      </c>
      <c r="AJ150" s="87" t="b">
        <f t="shared" si="81"/>
        <v>1</v>
      </c>
      <c r="AK150" s="88">
        <f t="shared" ref="AK150:AK213" si="87">AI150-AI138</f>
        <v>6.8664499285152857E-4</v>
      </c>
      <c r="AL150" s="312">
        <f>+AC150/'MWh by month-WgtbyCDH&amp;DayLtHrs'!AC150-1</f>
        <v>-0.24922050369408655</v>
      </c>
      <c r="AM150" s="89">
        <f t="shared" si="75"/>
        <v>252055.09857403336</v>
      </c>
      <c r="AN150" s="93"/>
      <c r="AO150" s="96">
        <f t="shared" si="62"/>
        <v>51.472269826463773</v>
      </c>
      <c r="AP150" s="92">
        <f t="shared" si="61"/>
        <v>4.0423248554814478E-3</v>
      </c>
      <c r="AR150" s="94">
        <f t="shared" si="76"/>
        <v>9.1092718333999519E-3</v>
      </c>
      <c r="AS150" s="95">
        <v>629113.27704088669</v>
      </c>
      <c r="AU150" s="141">
        <v>115.99139467862604</v>
      </c>
    </row>
    <row r="151" spans="1:47">
      <c r="A151" s="78">
        <v>2017</v>
      </c>
      <c r="B151" s="78">
        <v>3</v>
      </c>
      <c r="C151" s="317">
        <f t="shared" si="84"/>
        <v>64.582270600115152</v>
      </c>
      <c r="D151" s="324">
        <f t="shared" si="86"/>
        <v>5.6112649790650677E-2</v>
      </c>
      <c r="E151" s="321">
        <f>$D151*'MWh Impact Summary'!B$23</f>
        <v>130799.32675290287</v>
      </c>
      <c r="F151" s="319">
        <f>$D151*'MWh Impact Summary'!N$23</f>
        <v>12754.590728412826</v>
      </c>
      <c r="G151" s="319">
        <f>$D151*'MWh Impact Summary'!C$23</f>
        <v>102647.95701581068</v>
      </c>
      <c r="H151" s="319">
        <f>$D151*'MWh Impact Summary'!D$23</f>
        <v>370.54083571269115</v>
      </c>
      <c r="I151" s="319">
        <f>$D151*'MWh Impact Summary'!E$23</f>
        <v>40010.746517283995</v>
      </c>
      <c r="J151" s="104">
        <f t="shared" si="77"/>
        <v>286583.16185012308</v>
      </c>
      <c r="K151" s="298">
        <f t="shared" si="85"/>
        <v>12</v>
      </c>
      <c r="L151" s="300">
        <f t="shared" si="64"/>
        <v>8.4477296726504739E-2</v>
      </c>
      <c r="M151" s="297">
        <f t="shared" ref="M151:M160" si="88">(31/365)</f>
        <v>8.4931506849315067E-2</v>
      </c>
      <c r="N151" s="304">
        <f>$M151*'MWh Impact Summary'!F$23</f>
        <v>103076.02811420627</v>
      </c>
      <c r="O151" s="304">
        <f>$M151*'MWh Impact Summary'!G$23</f>
        <v>3417.8947403267753</v>
      </c>
      <c r="P151" s="304">
        <f>$M151*'MWh Impact Summary'!H$23</f>
        <v>6150.5175305832354</v>
      </c>
      <c r="Q151" s="304">
        <f>$M151*'MWh Impact Summary'!I$23</f>
        <v>1229.0408678070755</v>
      </c>
      <c r="R151" s="304">
        <f>$M151*'MWh Impact Summary'!J$23</f>
        <v>30397.083715572728</v>
      </c>
      <c r="S151" s="304">
        <f>$M151*'MWh Impact Summary'!K$23</f>
        <v>10000.576722944348</v>
      </c>
      <c r="T151" s="304">
        <f>$M151*'MWh Impact Summary'!L$23</f>
        <v>3576.4208897997401</v>
      </c>
      <c r="U151" s="304">
        <f>$M151*'MWh Impact Summary'!M$23</f>
        <v>11025.754594752025</v>
      </c>
      <c r="V151" s="304">
        <f>$M151*'LED Impact Forecast'!$H$24+$D151*'LED Impact Forecast'!$J$24</f>
        <v>23650.886652212699</v>
      </c>
      <c r="W151" s="304">
        <f>$M151*'CFL Impact Forecast'!$H$24+$D151*'CFL Impact Forecast'!$J$24</f>
        <v>304056.34599753213</v>
      </c>
      <c r="X151" s="304">
        <f>$M151*'EISA Incand Impact Forecast'!$G$24+$D151*'EISA Incand Impact Forecast'!$I$24</f>
        <v>115247.3096118254</v>
      </c>
      <c r="Y151" s="85">
        <f t="shared" si="69"/>
        <v>611827.85943756241</v>
      </c>
      <c r="Z151" s="81">
        <f t="shared" si="70"/>
        <v>898411.02128768549</v>
      </c>
      <c r="AA151" s="81"/>
      <c r="AB151" s="262">
        <v>4903267.7157294145</v>
      </c>
      <c r="AC151" s="308">
        <f t="shared" si="78"/>
        <v>183.22699745837497</v>
      </c>
      <c r="AD151" s="309">
        <f t="shared" si="71"/>
        <v>58.44738212657245</v>
      </c>
      <c r="AE151" s="107">
        <f t="shared" si="72"/>
        <v>4.8706151772143708E-3</v>
      </c>
      <c r="AF151" s="309">
        <f t="shared" si="79"/>
        <v>124.77961533180255</v>
      </c>
      <c r="AG151" s="107">
        <f t="shared" si="73"/>
        <v>1.0398301277650212E-2</v>
      </c>
      <c r="AH151" s="119">
        <f t="shared" si="80"/>
        <v>1.5268916454864584E-2</v>
      </c>
      <c r="AI151" s="122">
        <f t="shared" si="74"/>
        <v>1.526891645486458E-2</v>
      </c>
      <c r="AJ151" s="87" t="b">
        <f t="shared" si="81"/>
        <v>1</v>
      </c>
      <c r="AK151" s="88">
        <f t="shared" si="87"/>
        <v>1.5294071560515033E-3</v>
      </c>
      <c r="AL151" s="312">
        <f>+AC151/'MWh by month-WgtbyCDH&amp;DayLtHrs'!AC151-1</f>
        <v>0.12515991637131063</v>
      </c>
      <c r="AM151" s="89">
        <f t="shared" si="75"/>
        <v>304056.34599753213</v>
      </c>
      <c r="AN151" s="93"/>
      <c r="AO151" s="96">
        <f t="shared" si="62"/>
        <v>62.010961592436814</v>
      </c>
      <c r="AP151" s="92">
        <f t="shared" si="61"/>
        <v>5.1675801327030679E-3</v>
      </c>
      <c r="AR151" s="94">
        <f t="shared" si="76"/>
        <v>1.526891645486458E-2</v>
      </c>
      <c r="AS151" s="95">
        <v>759520.3270257822</v>
      </c>
      <c r="AU151" s="141">
        <v>183.22699745837497</v>
      </c>
    </row>
    <row r="152" spans="1:47">
      <c r="A152" s="78">
        <v>2017</v>
      </c>
      <c r="B152" s="78">
        <v>4</v>
      </c>
      <c r="C152" s="317">
        <f t="shared" si="84"/>
        <v>114.03392869270741</v>
      </c>
      <c r="D152" s="324">
        <f t="shared" si="86"/>
        <v>5.6895710731417456E-2</v>
      </c>
      <c r="E152" s="321">
        <f>$D152*'MWh Impact Summary'!B$23</f>
        <v>132624.65213391624</v>
      </c>
      <c r="F152" s="319">
        <f>$D152*'MWh Impact Summary'!N$23</f>
        <v>12932.583067968146</v>
      </c>
      <c r="G152" s="319">
        <f>$D152*'MWh Impact Summary'!C$23</f>
        <v>104080.42556057687</v>
      </c>
      <c r="H152" s="319">
        <f>$D152*'MWh Impact Summary'!D$23</f>
        <v>375.7117919318008</v>
      </c>
      <c r="I152" s="319">
        <f>$D152*'MWh Impact Summary'!E$23</f>
        <v>40569.102840243206</v>
      </c>
      <c r="J152" s="104">
        <f t="shared" si="77"/>
        <v>290582.47539463628</v>
      </c>
      <c r="K152" s="298">
        <f t="shared" si="85"/>
        <v>11.2</v>
      </c>
      <c r="L152" s="300">
        <f t="shared" si="64"/>
        <v>7.8845476944737758E-2</v>
      </c>
      <c r="M152" s="297">
        <f>(30/365)</f>
        <v>8.2191780821917804E-2</v>
      </c>
      <c r="N152" s="304">
        <f>$M152*'MWh Impact Summary'!F$23</f>
        <v>99750.99494923187</v>
      </c>
      <c r="O152" s="304">
        <f>$M152*'MWh Impact Summary'!G$23</f>
        <v>3307.6400712839759</v>
      </c>
      <c r="P152" s="304">
        <f>$M152*'MWh Impact Summary'!H$23</f>
        <v>5952.1137392740984</v>
      </c>
      <c r="Q152" s="304">
        <f>$M152*'MWh Impact Summary'!I$23</f>
        <v>1189.3943882003955</v>
      </c>
      <c r="R152" s="304">
        <f>$M152*'MWh Impact Summary'!J$23</f>
        <v>29416.532627973607</v>
      </c>
      <c r="S152" s="304">
        <f>$M152*'MWh Impact Summary'!K$23</f>
        <v>9677.9774738171109</v>
      </c>
      <c r="T152" s="304">
        <f>$M152*'MWh Impact Summary'!L$23</f>
        <v>3461.0524739997481</v>
      </c>
      <c r="U152" s="304">
        <f>$M152*'MWh Impact Summary'!M$23</f>
        <v>10670.085091695506</v>
      </c>
      <c r="V152" s="304">
        <f>$M152*'LED Impact Forecast'!$H$24+$D152*'LED Impact Forecast'!$J$24</f>
        <v>22968.8915499586</v>
      </c>
      <c r="W152" s="304">
        <f>$M152*'CFL Impact Forecast'!$H$24+$D152*'CFL Impact Forecast'!$J$24</f>
        <v>295669.13590879214</v>
      </c>
      <c r="X152" s="304">
        <f>$M152*'EISA Incand Impact Forecast'!$G$24+$D152*'EISA Incand Impact Forecast'!$I$24</f>
        <v>112108.69394352313</v>
      </c>
      <c r="Y152" s="85">
        <f t="shared" si="69"/>
        <v>594172.51221775019</v>
      </c>
      <c r="Z152" s="81">
        <f t="shared" si="70"/>
        <v>884754.98761238647</v>
      </c>
      <c r="AA152" s="81"/>
      <c r="AB152" s="262">
        <v>4909023.0862381933</v>
      </c>
      <c r="AC152" s="308">
        <f t="shared" si="78"/>
        <v>180.23035786747099</v>
      </c>
      <c r="AD152" s="309">
        <f t="shared" si="71"/>
        <v>59.19354427345155</v>
      </c>
      <c r="AE152" s="107">
        <f t="shared" si="72"/>
        <v>5.2851378815581751E-3</v>
      </c>
      <c r="AF152" s="309">
        <f t="shared" si="79"/>
        <v>121.03681359401943</v>
      </c>
      <c r="AG152" s="107">
        <f t="shared" si="73"/>
        <v>1.0806858356608879E-2</v>
      </c>
      <c r="AH152" s="119">
        <f t="shared" si="80"/>
        <v>1.6091996238167053E-2</v>
      </c>
      <c r="AI152" s="122">
        <f t="shared" si="74"/>
        <v>1.6091996238167053E-2</v>
      </c>
      <c r="AJ152" s="87" t="b">
        <f t="shared" si="81"/>
        <v>1</v>
      </c>
      <c r="AK152" s="88">
        <f t="shared" si="87"/>
        <v>1.6093337415676746E-3</v>
      </c>
      <c r="AL152" s="312">
        <f>+AC152/'MWh by month-WgtbyCDH&amp;DayLtHrs'!AC152-1</f>
        <v>-4.7289346008267952E-3</v>
      </c>
      <c r="AM152" s="89">
        <f t="shared" si="75"/>
        <v>295669.13590879214</v>
      </c>
      <c r="AN152" s="93"/>
      <c r="AO152" s="96">
        <f t="shared" si="62"/>
        <v>60.229730175370747</v>
      </c>
      <c r="AP152" s="92">
        <f t="shared" si="61"/>
        <v>5.3776544799438173E-3</v>
      </c>
      <c r="AR152" s="94">
        <f t="shared" si="76"/>
        <v>1.6091996238167053E-2</v>
      </c>
      <c r="AS152" s="95">
        <v>888047.99240206345</v>
      </c>
      <c r="AU152" s="141">
        <v>180.23035786747099</v>
      </c>
    </row>
    <row r="153" spans="1:47">
      <c r="A153" s="78">
        <v>2017</v>
      </c>
      <c r="B153" s="78">
        <v>5</v>
      </c>
      <c r="C153" s="317">
        <f t="shared" si="84"/>
        <v>208.47875842628665</v>
      </c>
      <c r="D153" s="324">
        <f t="shared" si="86"/>
        <v>0.10401770130213556</v>
      </c>
      <c r="E153" s="321">
        <f>$D153*'MWh Impact Summary'!B$23</f>
        <v>242466.63366396178</v>
      </c>
      <c r="F153" s="319">
        <f>$D153*'MWh Impact Summary'!N$23</f>
        <v>23643.567244975915</v>
      </c>
      <c r="G153" s="319">
        <f>$D153*'MWh Impact Summary'!C$23</f>
        <v>190281.59554004966</v>
      </c>
      <c r="H153" s="319">
        <f>$D153*'MWh Impact Summary'!D$23</f>
        <v>686.88265681989378</v>
      </c>
      <c r="I153" s="319">
        <f>$D153*'MWh Impact Summary'!E$23</f>
        <v>74169.120432514988</v>
      </c>
      <c r="J153" s="104">
        <f t="shared" si="77"/>
        <v>531247.79953832226</v>
      </c>
      <c r="K153" s="298">
        <f t="shared" si="85"/>
        <v>10.533333333333333</v>
      </c>
      <c r="L153" s="300">
        <f t="shared" si="64"/>
        <v>7.4152293793265281E-2</v>
      </c>
      <c r="M153" s="297">
        <f t="shared" si="88"/>
        <v>8.4931506849315067E-2</v>
      </c>
      <c r="N153" s="304">
        <f>$M153*'MWh Impact Summary'!F$23</f>
        <v>103076.02811420627</v>
      </c>
      <c r="O153" s="304">
        <f>$M153*'MWh Impact Summary'!G$23</f>
        <v>3417.8947403267753</v>
      </c>
      <c r="P153" s="304">
        <f>$M153*'MWh Impact Summary'!H$23</f>
        <v>6150.5175305832354</v>
      </c>
      <c r="Q153" s="304">
        <f>$M153*'MWh Impact Summary'!I$23</f>
        <v>1229.0408678070755</v>
      </c>
      <c r="R153" s="304">
        <f>$M153*'MWh Impact Summary'!J$23</f>
        <v>30397.083715572728</v>
      </c>
      <c r="S153" s="304">
        <f>$M153*'MWh Impact Summary'!K$23</f>
        <v>10000.576722944348</v>
      </c>
      <c r="T153" s="304">
        <f>$M153*'MWh Impact Summary'!L$23</f>
        <v>3576.4208897997401</v>
      </c>
      <c r="U153" s="304">
        <f>$M153*'MWh Impact Summary'!M$23</f>
        <v>11025.754594752025</v>
      </c>
      <c r="V153" s="304">
        <f>$M153*'LED Impact Forecast'!$H$24+$D153*'LED Impact Forecast'!$J$24</f>
        <v>25146.088760697952</v>
      </c>
      <c r="W153" s="304">
        <f>$M153*'CFL Impact Forecast'!$H$24+$D153*'CFL Impact Forecast'!$J$24</f>
        <v>330308.58948394289</v>
      </c>
      <c r="X153" s="304">
        <f>$M153*'EISA Incand Impact Forecast'!$G$24+$D153*'EISA Incand Impact Forecast'!$I$24</f>
        <v>125944.32075921368</v>
      </c>
      <c r="Y153" s="85">
        <f t="shared" si="69"/>
        <v>650272.31617984676</v>
      </c>
      <c r="Z153" s="81">
        <f t="shared" si="70"/>
        <v>1181520.1157181691</v>
      </c>
      <c r="AA153" s="81"/>
      <c r="AB153" s="262">
        <v>4914208.6423511496</v>
      </c>
      <c r="AC153" s="308">
        <f t="shared" si="78"/>
        <v>240.42937565485289</v>
      </c>
      <c r="AD153" s="309">
        <f t="shared" si="71"/>
        <v>108.1044453342853</v>
      </c>
      <c r="AE153" s="107">
        <f t="shared" si="72"/>
        <v>1.0263080253254933E-2</v>
      </c>
      <c r="AF153" s="309">
        <f t="shared" si="79"/>
        <v>132.32493032056755</v>
      </c>
      <c r="AG153" s="107">
        <f t="shared" si="73"/>
        <v>1.2562493384864008E-2</v>
      </c>
      <c r="AH153" s="119">
        <f t="shared" si="80"/>
        <v>2.2825573638118941E-2</v>
      </c>
      <c r="AI153" s="122">
        <f t="shared" si="74"/>
        <v>2.2825573638118945E-2</v>
      </c>
      <c r="AJ153" s="87" t="b">
        <f t="shared" si="81"/>
        <v>1</v>
      </c>
      <c r="AK153" s="88">
        <f t="shared" si="87"/>
        <v>2.234271140077411E-3</v>
      </c>
      <c r="AL153" s="312">
        <f>+AC153/'MWh by month-WgtbyCDH&amp;DayLtHrs'!AC153-1</f>
        <v>7.1534826567330123E-2</v>
      </c>
      <c r="AM153" s="89">
        <f t="shared" si="75"/>
        <v>330308.58948394289</v>
      </c>
      <c r="AN153" s="93"/>
      <c r="AO153" s="96">
        <f t="shared" si="62"/>
        <v>67.215011311752178</v>
      </c>
      <c r="AP153" s="92">
        <f t="shared" si="61"/>
        <v>6.381171959976473E-3</v>
      </c>
      <c r="AR153" s="94">
        <f t="shared" si="76"/>
        <v>2.2825573638118945E-2</v>
      </c>
      <c r="AS153" s="95">
        <v>1062138.4092348372</v>
      </c>
      <c r="AU153" s="141">
        <v>240.42937565485289</v>
      </c>
    </row>
    <row r="154" spans="1:47">
      <c r="A154" s="78">
        <v>2017</v>
      </c>
      <c r="B154" s="78">
        <v>6</v>
      </c>
      <c r="C154" s="317">
        <f t="shared" si="84"/>
        <v>271.66325293295364</v>
      </c>
      <c r="D154" s="324">
        <f t="shared" si="86"/>
        <v>0.13554276374078555</v>
      </c>
      <c r="E154" s="321">
        <f>$D154*'MWh Impact Summary'!B$23</f>
        <v>315951.9700043904</v>
      </c>
      <c r="F154" s="319">
        <f>$D154*'MWh Impact Summary'!N$23</f>
        <v>30809.318115640297</v>
      </c>
      <c r="G154" s="319">
        <f>$D154*'MWh Impact Summary'!C$23</f>
        <v>247951.00281624039</v>
      </c>
      <c r="H154" s="319">
        <f>$D154*'MWh Impact Summary'!D$23</f>
        <v>895.05894194443704</v>
      </c>
      <c r="I154" s="319">
        <f>$D154*'MWh Impact Summary'!E$23</f>
        <v>96647.853603739</v>
      </c>
      <c r="J154" s="104">
        <f t="shared" si="77"/>
        <v>692255.20348195452</v>
      </c>
      <c r="K154" s="298">
        <f t="shared" si="85"/>
        <v>10.199999999999999</v>
      </c>
      <c r="L154" s="300">
        <f t="shared" si="64"/>
        <v>7.1805702217529022E-2</v>
      </c>
      <c r="M154" s="297">
        <f>(30/365)</f>
        <v>8.2191780821917804E-2</v>
      </c>
      <c r="N154" s="304">
        <f>$M154*'MWh Impact Summary'!F$23</f>
        <v>99750.99494923187</v>
      </c>
      <c r="O154" s="304">
        <f>$M154*'MWh Impact Summary'!G$23</f>
        <v>3307.6400712839759</v>
      </c>
      <c r="P154" s="304">
        <f>$M154*'MWh Impact Summary'!H$23</f>
        <v>5952.1137392740984</v>
      </c>
      <c r="Q154" s="304">
        <f>$M154*'MWh Impact Summary'!I$23</f>
        <v>1189.3943882003955</v>
      </c>
      <c r="R154" s="304">
        <f>$M154*'MWh Impact Summary'!J$23</f>
        <v>29416.532627973607</v>
      </c>
      <c r="S154" s="304">
        <f>$M154*'MWh Impact Summary'!K$23</f>
        <v>9677.9774738171109</v>
      </c>
      <c r="T154" s="304">
        <f>$M154*'MWh Impact Summary'!L$23</f>
        <v>3461.0524739997481</v>
      </c>
      <c r="U154" s="304">
        <f>$M154*'MWh Impact Summary'!M$23</f>
        <v>10670.085091695506</v>
      </c>
      <c r="V154" s="304">
        <f>$M154*'LED Impact Forecast'!$H$24+$D154*'LED Impact Forecast'!$J$24</f>
        <v>25423.60636135102</v>
      </c>
      <c r="W154" s="304">
        <f>$M154*'CFL Impact Forecast'!$H$24+$D154*'CFL Impact Forecast'!$J$24</f>
        <v>338768.17285681842</v>
      </c>
      <c r="X154" s="304">
        <f>$M154*'EISA Incand Impact Forecast'!$G$24+$D154*'EISA Incand Impact Forecast'!$I$24</f>
        <v>129670.27411526669</v>
      </c>
      <c r="Y154" s="85">
        <f t="shared" si="69"/>
        <v>657287.84414891247</v>
      </c>
      <c r="Z154" s="81">
        <f t="shared" si="70"/>
        <v>1349543.047630867</v>
      </c>
      <c r="AA154" s="81"/>
      <c r="AB154" s="262">
        <v>4919416.2556081917</v>
      </c>
      <c r="AC154" s="308">
        <f t="shared" si="78"/>
        <v>274.32991589040108</v>
      </c>
      <c r="AD154" s="309">
        <f t="shared" si="71"/>
        <v>140.71897304741708</v>
      </c>
      <c r="AE154" s="107">
        <f t="shared" si="72"/>
        <v>1.3795977749746774E-2</v>
      </c>
      <c r="AF154" s="309">
        <f t="shared" si="79"/>
        <v>133.610942842984</v>
      </c>
      <c r="AG154" s="107">
        <f t="shared" si="73"/>
        <v>1.3099112043429806E-2</v>
      </c>
      <c r="AH154" s="119">
        <f t="shared" si="80"/>
        <v>2.689508979317658E-2</v>
      </c>
      <c r="AI154" s="122">
        <f t="shared" si="74"/>
        <v>2.6895089793176577E-2</v>
      </c>
      <c r="AJ154" s="87" t="b">
        <f t="shared" si="81"/>
        <v>1</v>
      </c>
      <c r="AK154" s="88">
        <f t="shared" si="87"/>
        <v>2.6026326198321931E-3</v>
      </c>
      <c r="AL154" s="312">
        <f>+AC154/'MWh by month-WgtbyCDH&amp;DayLtHrs'!AC154-1</f>
        <v>7.8817330285323006E-2</v>
      </c>
      <c r="AM154" s="89">
        <f t="shared" si="75"/>
        <v>338768.17285681842</v>
      </c>
      <c r="AN154" s="93"/>
      <c r="AO154" s="96">
        <f t="shared" si="62"/>
        <v>68.863490148982365</v>
      </c>
      <c r="AP154" s="92">
        <f t="shared" si="61"/>
        <v>6.7513225636257222E-3</v>
      </c>
      <c r="AR154" s="94">
        <f t="shared" si="76"/>
        <v>2.6895089793176577E-2</v>
      </c>
      <c r="AS154" s="95">
        <v>1292227.9054156456</v>
      </c>
      <c r="AU154" s="141">
        <v>274.32991589040108</v>
      </c>
    </row>
    <row r="155" spans="1:47">
      <c r="A155" s="78">
        <v>2017</v>
      </c>
      <c r="B155" s="78">
        <v>7</v>
      </c>
      <c r="C155" s="317">
        <f t="shared" si="84"/>
        <v>322.31916585708109</v>
      </c>
      <c r="D155" s="324">
        <f t="shared" si="86"/>
        <v>0.16081685717602592</v>
      </c>
      <c r="E155" s="321">
        <f>$D155*'MWh Impact Summary'!B$23</f>
        <v>374866.21515148395</v>
      </c>
      <c r="F155" s="319">
        <f>$D155*'MWh Impact Summary'!N$23</f>
        <v>36554.203074751014</v>
      </c>
      <c r="G155" s="319">
        <f>$D155*'MWh Impact Summary'!C$23</f>
        <v>294185.39142973971</v>
      </c>
      <c r="H155" s="319">
        <f>$D155*'MWh Impact Summary'!D$23</f>
        <v>1061.956847110466</v>
      </c>
      <c r="I155" s="319">
        <f>$D155*'MWh Impact Summary'!E$23</f>
        <v>114669.37548275109</v>
      </c>
      <c r="J155" s="104">
        <f t="shared" si="77"/>
        <v>821337.14198583609</v>
      </c>
      <c r="K155" s="298">
        <f t="shared" si="85"/>
        <v>10.366666666666667</v>
      </c>
      <c r="L155" s="300">
        <f t="shared" si="64"/>
        <v>7.2978998005397158E-2</v>
      </c>
      <c r="M155" s="297">
        <f t="shared" si="88"/>
        <v>8.4931506849315067E-2</v>
      </c>
      <c r="N155" s="304">
        <f>$M155*'MWh Impact Summary'!F$23</f>
        <v>103076.02811420627</v>
      </c>
      <c r="O155" s="304">
        <f>$M155*'MWh Impact Summary'!G$23</f>
        <v>3417.8947403267753</v>
      </c>
      <c r="P155" s="304">
        <f>$M155*'MWh Impact Summary'!H$23</f>
        <v>6150.5175305832354</v>
      </c>
      <c r="Q155" s="304">
        <f>$M155*'MWh Impact Summary'!I$23</f>
        <v>1229.0408678070755</v>
      </c>
      <c r="R155" s="304">
        <f>$M155*'MWh Impact Summary'!J$23</f>
        <v>30397.083715572728</v>
      </c>
      <c r="S155" s="304">
        <f>$M155*'MWh Impact Summary'!K$23</f>
        <v>10000.576722944348</v>
      </c>
      <c r="T155" s="304">
        <f>$M155*'MWh Impact Summary'!L$23</f>
        <v>3576.4208897997401</v>
      </c>
      <c r="U155" s="304">
        <f>$M155*'MWh Impact Summary'!M$23</f>
        <v>11025.754594752025</v>
      </c>
      <c r="V155" s="304">
        <f>$M155*'LED Impact Forecast'!$H$24+$D155*'LED Impact Forecast'!$J$24</f>
        <v>26918.891731225245</v>
      </c>
      <c r="W155" s="304">
        <f>$M155*'CFL Impact Forecast'!$H$24+$D155*'CFL Impact Forecast'!$J$24</f>
        <v>361434.8532656756</v>
      </c>
      <c r="X155" s="304">
        <f>$M155*'EISA Incand Impact Forecast'!$G$24+$D155*'EISA Incand Impact Forecast'!$I$24</f>
        <v>138627.35071899957</v>
      </c>
      <c r="Y155" s="85">
        <f t="shared" si="69"/>
        <v>695854.41289189272</v>
      </c>
      <c r="Z155" s="81">
        <f t="shared" si="70"/>
        <v>1517191.5548777287</v>
      </c>
      <c r="AA155" s="81"/>
      <c r="AB155" s="262">
        <v>4925689.6397420345</v>
      </c>
      <c r="AC155" s="308">
        <f t="shared" si="78"/>
        <v>308.01606797077579</v>
      </c>
      <c r="AD155" s="309">
        <f t="shared" si="71"/>
        <v>166.74561372259961</v>
      </c>
      <c r="AE155" s="107">
        <f t="shared" si="72"/>
        <v>1.6084785889639831E-2</v>
      </c>
      <c r="AF155" s="309">
        <f t="shared" si="79"/>
        <v>141.27045424817621</v>
      </c>
      <c r="AG155" s="107">
        <f t="shared" si="73"/>
        <v>1.3627375007862656E-2</v>
      </c>
      <c r="AH155" s="119">
        <f t="shared" si="80"/>
        <v>2.9712160897502487E-2</v>
      </c>
      <c r="AI155" s="122">
        <f t="shared" si="74"/>
        <v>2.9712160897502487E-2</v>
      </c>
      <c r="AJ155" s="87" t="b">
        <f t="shared" si="81"/>
        <v>1</v>
      </c>
      <c r="AK155" s="88">
        <f t="shared" si="87"/>
        <v>2.8630315992696186E-3</v>
      </c>
      <c r="AL155" s="312">
        <f>+AC155/'MWh by month-WgtbyCDH&amp;DayLtHrs'!AC155-1</f>
        <v>9.116158460210344E-2</v>
      </c>
      <c r="AM155" s="89">
        <f t="shared" si="75"/>
        <v>361434.8532656756</v>
      </c>
      <c r="AN155" s="93"/>
      <c r="AO155" s="96">
        <f t="shared" si="62"/>
        <v>73.377512531342617</v>
      </c>
      <c r="AP155" s="92">
        <f t="shared" si="61"/>
        <v>7.078216642894786E-3</v>
      </c>
      <c r="AR155" s="94">
        <f t="shared" si="76"/>
        <v>2.9712160897502487E-2</v>
      </c>
      <c r="AS155" s="95">
        <v>1357227.0173592614</v>
      </c>
      <c r="AU155" s="141">
        <v>308.01606797077579</v>
      </c>
    </row>
    <row r="156" spans="1:47">
      <c r="A156" s="78">
        <v>2017</v>
      </c>
      <c r="B156" s="78">
        <v>8</v>
      </c>
      <c r="C156" s="317">
        <f t="shared" si="84"/>
        <v>326.45437890907908</v>
      </c>
      <c r="D156" s="324">
        <f t="shared" si="86"/>
        <v>0.16288006668144661</v>
      </c>
      <c r="E156" s="321">
        <f>$D156*'MWh Impact Summary'!B$23</f>
        <v>379675.5837210677</v>
      </c>
      <c r="F156" s="319">
        <f>$D156*'MWh Impact Summary'!N$23</f>
        <v>37023.177413457022</v>
      </c>
      <c r="G156" s="319">
        <f>$D156*'MWh Impact Summary'!C$23</f>
        <v>297959.66053692281</v>
      </c>
      <c r="H156" s="319">
        <f>$D156*'MWh Impact Summary'!D$23</f>
        <v>1075.581286113814</v>
      </c>
      <c r="I156" s="319">
        <f>$D156*'MWh Impact Summary'!E$23</f>
        <v>116140.53310659212</v>
      </c>
      <c r="J156" s="104">
        <f t="shared" si="77"/>
        <v>831874.53606415354</v>
      </c>
      <c r="K156" s="298">
        <f t="shared" si="85"/>
        <v>10.933333333333334</v>
      </c>
      <c r="L156" s="300">
        <f>L144</f>
        <v>7.6968203684148764E-2</v>
      </c>
      <c r="M156" s="297">
        <f t="shared" si="88"/>
        <v>8.4931506849315067E-2</v>
      </c>
      <c r="N156" s="304">
        <f>$M156*'MWh Impact Summary'!F$23</f>
        <v>103076.02811420627</v>
      </c>
      <c r="O156" s="304">
        <f>$M156*'MWh Impact Summary'!G$23</f>
        <v>3417.8947403267753</v>
      </c>
      <c r="P156" s="304">
        <f>$M156*'MWh Impact Summary'!H$23</f>
        <v>6150.5175305832354</v>
      </c>
      <c r="Q156" s="304">
        <f>$M156*'MWh Impact Summary'!I$23</f>
        <v>1229.0408678070755</v>
      </c>
      <c r="R156" s="304">
        <f>$M156*'MWh Impact Summary'!J$23</f>
        <v>30397.083715572728</v>
      </c>
      <c r="S156" s="304">
        <f>$M156*'MWh Impact Summary'!K$23</f>
        <v>10000.576722944348</v>
      </c>
      <c r="T156" s="304">
        <f>$M156*'MWh Impact Summary'!L$23</f>
        <v>3576.4208897997401</v>
      </c>
      <c r="U156" s="304">
        <f>$M156*'MWh Impact Summary'!M$23</f>
        <v>11025.754594752025</v>
      </c>
      <c r="V156" s="304">
        <f>$M156*'LED Impact Forecast'!$H$24+$D156*'LED Impact Forecast'!$J$24</f>
        <v>26983.288180146967</v>
      </c>
      <c r="W156" s="304">
        <f>$M156*'CFL Impact Forecast'!$H$24+$D156*'CFL Impact Forecast'!$J$24</f>
        <v>362565.50392966234</v>
      </c>
      <c r="X156" s="304">
        <f>$M156*'EISA Incand Impact Forecast'!$G$24+$D156*'EISA Incand Impact Forecast'!$I$24</f>
        <v>139088.05735394789</v>
      </c>
      <c r="Y156" s="85">
        <f t="shared" si="69"/>
        <v>697510.16663974943</v>
      </c>
      <c r="Z156" s="81">
        <f t="shared" si="70"/>
        <v>1529384.702703903</v>
      </c>
      <c r="AA156" s="81"/>
      <c r="AB156" s="262">
        <v>4932512.8426490845</v>
      </c>
      <c r="AC156" s="308">
        <f t="shared" si="78"/>
        <v>310.06198087920689</v>
      </c>
      <c r="AD156" s="309">
        <f t="shared" si="71"/>
        <v>168.65126611964016</v>
      </c>
      <c r="AE156" s="107">
        <f t="shared" si="72"/>
        <v>1.5425420681674405E-2</v>
      </c>
      <c r="AF156" s="309">
        <f t="shared" si="79"/>
        <v>141.41071475956673</v>
      </c>
      <c r="AG156" s="107">
        <f t="shared" si="73"/>
        <v>1.293390683776525E-2</v>
      </c>
      <c r="AH156" s="119">
        <f t="shared" si="80"/>
        <v>2.8359327519439655E-2</v>
      </c>
      <c r="AI156" s="122">
        <f t="shared" si="74"/>
        <v>2.8359327519439651E-2</v>
      </c>
      <c r="AJ156" s="87" t="b">
        <f t="shared" si="81"/>
        <v>1</v>
      </c>
      <c r="AK156" s="88">
        <f t="shared" si="87"/>
        <v>2.7351610752748313E-3</v>
      </c>
      <c r="AL156" s="312">
        <f>+AC156/'MWh by month-WgtbyCDH&amp;DayLtHrs'!AC156-1</f>
        <v>7.0943566238434785E-2</v>
      </c>
      <c r="AM156" s="89">
        <f t="shared" si="75"/>
        <v>362565.50392966234</v>
      </c>
      <c r="AN156" s="93"/>
      <c r="AO156" s="96">
        <f t="shared" si="62"/>
        <v>73.505232626001799</v>
      </c>
      <c r="AP156" s="92">
        <f t="shared" si="61"/>
        <v>6.7230395694513837E-3</v>
      </c>
      <c r="AR156" s="94">
        <f t="shared" si="76"/>
        <v>2.8359327519439651E-2</v>
      </c>
      <c r="AS156" s="95">
        <v>1410892.9277387722</v>
      </c>
      <c r="AU156" s="141">
        <v>310.06198087920689</v>
      </c>
    </row>
    <row r="157" spans="1:47">
      <c r="A157" s="78">
        <v>2017</v>
      </c>
      <c r="B157" s="78">
        <v>9</v>
      </c>
      <c r="C157" s="317">
        <f t="shared" si="84"/>
        <v>277.87653293728147</v>
      </c>
      <c r="D157" s="324">
        <f t="shared" si="86"/>
        <v>0.1386427970893879</v>
      </c>
      <c r="E157" s="321">
        <f>$D157*'MWh Impact Summary'!B$23</f>
        <v>323178.18862749118</v>
      </c>
      <c r="F157" s="319">
        <f>$D157*'MWh Impact Summary'!N$23</f>
        <v>31513.965940210543</v>
      </c>
      <c r="G157" s="319">
        <f>$D157*'MWh Impact Summary'!C$23</f>
        <v>253621.95386029413</v>
      </c>
      <c r="H157" s="319">
        <f>$D157*'MWh Impact Summary'!D$23</f>
        <v>915.53006480200906</v>
      </c>
      <c r="I157" s="319">
        <f>$D157*'MWh Impact Summary'!E$23</f>
        <v>98858.311476764313</v>
      </c>
      <c r="J157" s="104">
        <f t="shared" si="77"/>
        <v>708087.94996956212</v>
      </c>
      <c r="K157" s="298">
        <f t="shared" si="85"/>
        <v>11.683333333333334</v>
      </c>
      <c r="L157" s="300">
        <f t="shared" si="64"/>
        <v>8.2248034729555317E-2</v>
      </c>
      <c r="M157" s="297">
        <f>(30/365)</f>
        <v>8.2191780821917804E-2</v>
      </c>
      <c r="N157" s="304">
        <f>$M157*'MWh Impact Summary'!F$23</f>
        <v>99750.99494923187</v>
      </c>
      <c r="O157" s="304">
        <f>$M157*'MWh Impact Summary'!G$23</f>
        <v>3307.6400712839759</v>
      </c>
      <c r="P157" s="304">
        <f>$M157*'MWh Impact Summary'!H$23</f>
        <v>5952.1137392740984</v>
      </c>
      <c r="Q157" s="304">
        <f>$M157*'MWh Impact Summary'!I$23</f>
        <v>1189.3943882003955</v>
      </c>
      <c r="R157" s="304">
        <f>$M157*'MWh Impact Summary'!J$23</f>
        <v>29416.532627973607</v>
      </c>
      <c r="S157" s="304">
        <f>$M157*'MWh Impact Summary'!K$23</f>
        <v>9677.9774738171109</v>
      </c>
      <c r="T157" s="304">
        <f>$M157*'MWh Impact Summary'!L$23</f>
        <v>3461.0524739997481</v>
      </c>
      <c r="U157" s="304">
        <f>$M157*'MWh Impact Summary'!M$23</f>
        <v>10670.085091695506</v>
      </c>
      <c r="V157" s="304">
        <f>$M157*'LED Impact Forecast'!$H$24+$D157*'LED Impact Forecast'!$J$24</f>
        <v>25520.363931856784</v>
      </c>
      <c r="W157" s="304">
        <f>$M157*'CFL Impact Forecast'!$H$24+$D157*'CFL Impact Forecast'!$J$24</f>
        <v>340467.00894436525</v>
      </c>
      <c r="X157" s="304">
        <f>$M157*'EISA Incand Impact Forecast'!$G$24+$D157*'EISA Incand Impact Forecast'!$I$24</f>
        <v>130362.49947023419</v>
      </c>
      <c r="Y157" s="85">
        <f t="shared" si="69"/>
        <v>659775.66316193249</v>
      </c>
      <c r="Z157" s="81">
        <f t="shared" si="70"/>
        <v>1367863.6131314947</v>
      </c>
      <c r="AA157" s="81"/>
      <c r="AB157" s="262">
        <v>4937360.4766257806</v>
      </c>
      <c r="AC157" s="308">
        <f t="shared" si="78"/>
        <v>277.04349714937166</v>
      </c>
      <c r="AD157" s="309">
        <f t="shared" si="71"/>
        <v>143.41427030125891</v>
      </c>
      <c r="AE157" s="107">
        <f t="shared" si="72"/>
        <v>1.2275115860307467E-2</v>
      </c>
      <c r="AF157" s="309">
        <f t="shared" si="79"/>
        <v>133.62922684811275</v>
      </c>
      <c r="AG157" s="107">
        <f t="shared" si="73"/>
        <v>1.143759430939624E-2</v>
      </c>
      <c r="AH157" s="119">
        <f t="shared" si="80"/>
        <v>2.3712710169703707E-2</v>
      </c>
      <c r="AI157" s="122">
        <f t="shared" si="74"/>
        <v>2.3712710169703707E-2</v>
      </c>
      <c r="AJ157" s="87" t="b">
        <f t="shared" si="81"/>
        <v>1</v>
      </c>
      <c r="AK157" s="88">
        <f t="shared" si="87"/>
        <v>2.2967645629238358E-3</v>
      </c>
      <c r="AL157" s="312">
        <f>+AC157/'MWh by month-WgtbyCDH&amp;DayLtHrs'!AC157-1</f>
        <v>2.2713841223936049E-2</v>
      </c>
      <c r="AM157" s="89">
        <f t="shared" si="75"/>
        <v>340467.00894436525</v>
      </c>
      <c r="AN157" s="93"/>
      <c r="AO157" s="96">
        <f t="shared" si="62"/>
        <v>68.957292171837182</v>
      </c>
      <c r="AP157" s="92">
        <f t="shared" si="61"/>
        <v>5.9021933385310001E-3</v>
      </c>
      <c r="AR157" s="94">
        <f t="shared" si="76"/>
        <v>2.3712710169703707E-2</v>
      </c>
      <c r="AS157" s="95">
        <v>1334004.0496220316</v>
      </c>
      <c r="AU157" s="141">
        <v>277.04349714937166</v>
      </c>
    </row>
    <row r="158" spans="1:47">
      <c r="A158" s="78">
        <v>2017</v>
      </c>
      <c r="B158" s="78">
        <v>10</v>
      </c>
      <c r="C158" s="317">
        <f t="shared" si="84"/>
        <v>198.89039579254836</v>
      </c>
      <c r="D158" s="324">
        <f t="shared" si="86"/>
        <v>9.923371540380535E-2</v>
      </c>
      <c r="E158" s="321">
        <f>$D158*'MWh Impact Summary'!B$23</f>
        <v>231315.09943716018</v>
      </c>
      <c r="F158" s="319">
        <f>$D158*'MWh Impact Summary'!N$23</f>
        <v>22556.151441028855</v>
      </c>
      <c r="G158" s="319">
        <f>$D158*'MWh Impact Summary'!C$23</f>
        <v>181530.15748306696</v>
      </c>
      <c r="H158" s="319">
        <f>$D158*'MWh Impact Summary'!D$23</f>
        <v>655.29152470585905</v>
      </c>
      <c r="I158" s="319">
        <f>$D158*'MWh Impact Summary'!E$23</f>
        <v>70757.931550249021</v>
      </c>
      <c r="J158" s="104">
        <f t="shared" si="77"/>
        <v>506814.63143621094</v>
      </c>
      <c r="K158" s="298">
        <f t="shared" si="85"/>
        <v>12.466666666666667</v>
      </c>
      <c r="L158" s="300">
        <f t="shared" si="64"/>
        <v>8.7762524932535488E-2</v>
      </c>
      <c r="M158" s="297">
        <f t="shared" si="88"/>
        <v>8.4931506849315067E-2</v>
      </c>
      <c r="N158" s="304">
        <f>$M158*'MWh Impact Summary'!F$23</f>
        <v>103076.02811420627</v>
      </c>
      <c r="O158" s="304">
        <f>$M158*'MWh Impact Summary'!G$23</f>
        <v>3417.8947403267753</v>
      </c>
      <c r="P158" s="304">
        <f>$M158*'MWh Impact Summary'!H$23</f>
        <v>6150.5175305832354</v>
      </c>
      <c r="Q158" s="304">
        <f>$M158*'MWh Impact Summary'!I$23</f>
        <v>1229.0408678070755</v>
      </c>
      <c r="R158" s="304">
        <f>$M158*'MWh Impact Summary'!J$23</f>
        <v>30397.083715572728</v>
      </c>
      <c r="S158" s="304">
        <f>$M158*'MWh Impact Summary'!K$23</f>
        <v>10000.576722944348</v>
      </c>
      <c r="T158" s="304">
        <f>$M158*'MWh Impact Summary'!L$23</f>
        <v>3576.4208897997401</v>
      </c>
      <c r="U158" s="304">
        <f>$M158*'MWh Impact Summary'!M$23</f>
        <v>11025.754594752025</v>
      </c>
      <c r="V158" s="304">
        <f>$M158*'LED Impact Forecast'!$H$24+$D158*'LED Impact Forecast'!$J$24</f>
        <v>24996.772027358627</v>
      </c>
      <c r="W158" s="304">
        <f>$M158*'CFL Impact Forecast'!$H$24+$D158*'CFL Impact Forecast'!$J$24</f>
        <v>327686.93772330531</v>
      </c>
      <c r="X158" s="304">
        <f>$M158*'EISA Incand Impact Forecast'!$G$24+$D158*'EISA Incand Impact Forecast'!$I$24</f>
        <v>124876.07536820062</v>
      </c>
      <c r="Y158" s="85">
        <f t="shared" si="69"/>
        <v>646433.1022948568</v>
      </c>
      <c r="Z158" s="81">
        <f t="shared" si="70"/>
        <v>1153247.7337310677</v>
      </c>
      <c r="AA158" s="81"/>
      <c r="AB158" s="262">
        <v>4942855.5525092389</v>
      </c>
      <c r="AC158" s="308">
        <f t="shared" si="78"/>
        <v>233.31609056340355</v>
      </c>
      <c r="AD158" s="309">
        <f t="shared" si="71"/>
        <v>102.53478501489421</v>
      </c>
      <c r="AE158" s="107">
        <f t="shared" si="72"/>
        <v>8.2247153755262738E-3</v>
      </c>
      <c r="AF158" s="309">
        <f t="shared" si="79"/>
        <v>130.78130554850935</v>
      </c>
      <c r="AG158" s="107">
        <f t="shared" si="73"/>
        <v>1.0490479054693264E-2</v>
      </c>
      <c r="AH158" s="119">
        <f t="shared" si="80"/>
        <v>1.8715194430219538E-2</v>
      </c>
      <c r="AI158" s="122">
        <f t="shared" si="74"/>
        <v>1.8715194430219538E-2</v>
      </c>
      <c r="AJ158" s="87" t="b">
        <f t="shared" si="81"/>
        <v>1</v>
      </c>
      <c r="AK158" s="88">
        <f t="shared" si="87"/>
        <v>1.8384044534336119E-3</v>
      </c>
      <c r="AL158" s="312">
        <f>+AC158/'MWh by month-WgtbyCDH&amp;DayLtHrs'!AC158-1</f>
        <v>-1.3889748202251195E-2</v>
      </c>
      <c r="AM158" s="89">
        <f t="shared" si="75"/>
        <v>327686.93772330531</v>
      </c>
      <c r="AN158" s="93"/>
      <c r="AO158" s="96">
        <f t="shared" si="62"/>
        <v>66.295066534354845</v>
      </c>
      <c r="AP158" s="92">
        <f t="shared" si="61"/>
        <v>5.3177860856434373E-3</v>
      </c>
      <c r="AR158" s="94">
        <f t="shared" si="76"/>
        <v>1.8715194430219538E-2</v>
      </c>
      <c r="AS158" s="95">
        <v>1078209.4451565538</v>
      </c>
      <c r="AU158" s="141">
        <v>233.31609056340355</v>
      </c>
    </row>
    <row r="159" spans="1:47">
      <c r="A159" s="78">
        <v>2017</v>
      </c>
      <c r="B159" s="78">
        <v>11</v>
      </c>
      <c r="C159" s="317">
        <f t="shared" si="84"/>
        <v>78.117279066674627</v>
      </c>
      <c r="D159" s="324">
        <f t="shared" si="86"/>
        <v>3.8975576513546578E-2</v>
      </c>
      <c r="E159" s="321">
        <f>$D159*'MWh Impact Summary'!B$23</f>
        <v>90852.582916651998</v>
      </c>
      <c r="F159" s="319">
        <f>$D159*'MWh Impact Summary'!N$23</f>
        <v>8859.2773410079481</v>
      </c>
      <c r="G159" s="319">
        <f>$D159*'MWh Impact Summary'!C$23</f>
        <v>71298.776970171966</v>
      </c>
      <c r="H159" s="319">
        <f>$D159*'MWh Impact Summary'!D$23</f>
        <v>257.37588133148142</v>
      </c>
      <c r="I159" s="319">
        <f>$D159*'MWh Impact Summary'!E$23</f>
        <v>27791.271987093882</v>
      </c>
      <c r="J159" s="104">
        <f t="shared" si="77"/>
        <v>199059.28509625728</v>
      </c>
      <c r="K159" s="298">
        <f t="shared" si="85"/>
        <v>13.15</v>
      </c>
      <c r="L159" s="300">
        <f t="shared" si="64"/>
        <v>9.2573037662794788E-2</v>
      </c>
      <c r="M159" s="297">
        <f>(30/365)</f>
        <v>8.2191780821917804E-2</v>
      </c>
      <c r="N159" s="304">
        <f>$M159*'MWh Impact Summary'!F$23</f>
        <v>99750.99494923187</v>
      </c>
      <c r="O159" s="304">
        <f>$M159*'MWh Impact Summary'!G$23</f>
        <v>3307.6400712839759</v>
      </c>
      <c r="P159" s="304">
        <f>$M159*'MWh Impact Summary'!H$23</f>
        <v>5952.1137392740984</v>
      </c>
      <c r="Q159" s="304">
        <f>$M159*'MWh Impact Summary'!I$23</f>
        <v>1189.3943882003955</v>
      </c>
      <c r="R159" s="304">
        <f>$M159*'MWh Impact Summary'!J$23</f>
        <v>29416.532627973607</v>
      </c>
      <c r="S159" s="304">
        <f>$M159*'MWh Impact Summary'!K$23</f>
        <v>9677.9774738171109</v>
      </c>
      <c r="T159" s="304">
        <f>$M159*'MWh Impact Summary'!L$23</f>
        <v>3461.0524739997481</v>
      </c>
      <c r="U159" s="304">
        <f>$M159*'MWh Impact Summary'!M$23</f>
        <v>10670.085091695506</v>
      </c>
      <c r="V159" s="304">
        <f>$M159*'LED Impact Forecast'!$H$24+$D159*'LED Impact Forecast'!$J$24</f>
        <v>22409.572195913537</v>
      </c>
      <c r="W159" s="304">
        <f>$M159*'CFL Impact Forecast'!$H$24+$D159*'CFL Impact Forecast'!$J$24</f>
        <v>285848.7993899195</v>
      </c>
      <c r="X159" s="304">
        <f>$M159*'EISA Incand Impact Forecast'!$G$24+$D159*'EISA Incand Impact Forecast'!$I$24</f>
        <v>108107.19787070705</v>
      </c>
      <c r="Y159" s="85">
        <f t="shared" si="69"/>
        <v>579791.36027201638</v>
      </c>
      <c r="Z159" s="81">
        <f t="shared" si="70"/>
        <v>778850.6453682736</v>
      </c>
      <c r="AA159" s="81"/>
      <c r="AB159" s="262">
        <v>4948496.4210517863</v>
      </c>
      <c r="AC159" s="308">
        <f t="shared" si="78"/>
        <v>157.39137287336493</v>
      </c>
      <c r="AD159" s="309">
        <f t="shared" si="71"/>
        <v>40.226215835869581</v>
      </c>
      <c r="AE159" s="107">
        <f t="shared" si="72"/>
        <v>3.0590278202182191E-3</v>
      </c>
      <c r="AF159" s="309">
        <f t="shared" si="79"/>
        <v>117.16515703749538</v>
      </c>
      <c r="AG159" s="107">
        <f t="shared" si="73"/>
        <v>8.9098978735737914E-3</v>
      </c>
      <c r="AH159" s="119">
        <f t="shared" si="80"/>
        <v>1.196892569379201E-2</v>
      </c>
      <c r="AI159" s="122">
        <f t="shared" si="74"/>
        <v>1.196892569379201E-2</v>
      </c>
      <c r="AJ159" s="87" t="b">
        <f t="shared" si="81"/>
        <v>1</v>
      </c>
      <c r="AK159" s="88">
        <f t="shared" si="87"/>
        <v>1.2142961262817473E-3</v>
      </c>
      <c r="AL159" s="312">
        <f>+AC159/'MWh by month-WgtbyCDH&amp;DayLtHrs'!AC159-1</f>
        <v>-0.12312343105928258</v>
      </c>
      <c r="AM159" s="89">
        <f t="shared" si="75"/>
        <v>285848.7993899195</v>
      </c>
      <c r="AN159" s="93"/>
      <c r="AO159" s="96">
        <f t="shared" si="62"/>
        <v>57.764778443380855</v>
      </c>
      <c r="AP159" s="92">
        <f t="shared" si="61"/>
        <v>4.3927588169871369E-3</v>
      </c>
      <c r="AR159" s="94">
        <f t="shared" si="76"/>
        <v>1.196892569379201E-2</v>
      </c>
      <c r="AS159" s="95">
        <v>837522.03634758166</v>
      </c>
      <c r="AU159" s="141">
        <v>157.39137287336493</v>
      </c>
    </row>
    <row r="160" spans="1:47">
      <c r="A160" s="78">
        <v>2017</v>
      </c>
      <c r="B160" s="78">
        <v>12</v>
      </c>
      <c r="C160" s="317">
        <f t="shared" si="84"/>
        <v>42.633806123140985</v>
      </c>
      <c r="D160" s="324">
        <f t="shared" si="86"/>
        <v>2.1271570035074034E-2</v>
      </c>
      <c r="E160" s="321">
        <f>$D160*'MWh Impact Summary'!B$23</f>
        <v>49584.31031051551</v>
      </c>
      <c r="F160" s="319">
        <f>$D160*'MWh Impact Summary'!N$23</f>
        <v>4835.0981634330919</v>
      </c>
      <c r="G160" s="319">
        <f>$D160*'MWh Impact Summary'!C$23</f>
        <v>38912.495039271722</v>
      </c>
      <c r="H160" s="319">
        <f>$D160*'MWh Impact Summary'!D$23</f>
        <v>140.46717392823328</v>
      </c>
      <c r="I160" s="319">
        <f>$D160*'MWh Impact Summary'!E$23</f>
        <v>15167.549560986999</v>
      </c>
      <c r="J160" s="104">
        <f t="shared" si="77"/>
        <v>108639.92024813555</v>
      </c>
      <c r="K160" s="298">
        <f t="shared" si="85"/>
        <v>13.483333333333333</v>
      </c>
      <c r="L160" s="300">
        <f t="shared" si="64"/>
        <v>9.491962923853102E-2</v>
      </c>
      <c r="M160" s="297">
        <f t="shared" si="88"/>
        <v>8.4931506849315067E-2</v>
      </c>
      <c r="N160" s="304">
        <f>$M160*'MWh Impact Summary'!F$23</f>
        <v>103076.02811420627</v>
      </c>
      <c r="O160" s="304">
        <f>$M160*'MWh Impact Summary'!G$23</f>
        <v>3417.8947403267753</v>
      </c>
      <c r="P160" s="304">
        <f>$M160*'MWh Impact Summary'!H$23</f>
        <v>6150.5175305832354</v>
      </c>
      <c r="Q160" s="304">
        <f>$M160*'MWh Impact Summary'!I$23</f>
        <v>1229.0408678070755</v>
      </c>
      <c r="R160" s="304">
        <f>$M160*'MWh Impact Summary'!J$23</f>
        <v>30397.083715572728</v>
      </c>
      <c r="S160" s="304">
        <f>$M160*'MWh Impact Summary'!K$23</f>
        <v>10000.576722944348</v>
      </c>
      <c r="T160" s="304">
        <f>$M160*'MWh Impact Summary'!L$23</f>
        <v>3576.4208897997401</v>
      </c>
      <c r="U160" s="304">
        <f>$M160*'MWh Impact Summary'!M$23</f>
        <v>11025.754594752025</v>
      </c>
      <c r="V160" s="304">
        <f>$M160*'LED Impact Forecast'!$H$24+$D160*'LED Impact Forecast'!$J$24</f>
        <v>22563.434405137006</v>
      </c>
      <c r="W160" s="304">
        <f>$M160*'CFL Impact Forecast'!$H$24+$D160*'CFL Impact Forecast'!$J$24</f>
        <v>284963.2340977657</v>
      </c>
      <c r="X160" s="304">
        <f>$M160*'EISA Incand Impact Forecast'!$G$24+$D160*'EISA Incand Impact Forecast'!$I$24</f>
        <v>107467.43240110794</v>
      </c>
      <c r="Y160" s="85">
        <f t="shared" si="69"/>
        <v>583867.41808000288</v>
      </c>
      <c r="Z160" s="81">
        <f t="shared" si="70"/>
        <v>692507.33832813846</v>
      </c>
      <c r="AA160" s="81">
        <f>SUM(Z149:Z160)</f>
        <v>12583370.23209225</v>
      </c>
      <c r="AB160" s="262">
        <v>4954254.5070241485</v>
      </c>
      <c r="AC160" s="308">
        <f t="shared" si="78"/>
        <v>139.78033170203523</v>
      </c>
      <c r="AD160" s="309">
        <f t="shared" si="71"/>
        <v>21.928611074401957</v>
      </c>
      <c r="AE160" s="107">
        <f t="shared" si="72"/>
        <v>1.6263493998320364E-3</v>
      </c>
      <c r="AF160" s="309">
        <f t="shared" si="79"/>
        <v>117.85172062763327</v>
      </c>
      <c r="AG160" s="107">
        <f t="shared" si="73"/>
        <v>8.7405478833844207E-3</v>
      </c>
      <c r="AH160" s="119">
        <f t="shared" si="80"/>
        <v>1.0366897283216457E-2</v>
      </c>
      <c r="AI160" s="122">
        <f t="shared" si="74"/>
        <v>1.0366897283216459E-2</v>
      </c>
      <c r="AJ160" s="87" t="b">
        <f t="shared" si="81"/>
        <v>1</v>
      </c>
      <c r="AK160" s="88">
        <f t="shared" si="87"/>
        <v>1.0699349745013579E-3</v>
      </c>
      <c r="AL160" s="312">
        <f>+AC160/'MWh by month-WgtbyCDH&amp;DayLtHrs'!AC160-1</f>
        <v>-0.14701185234467484</v>
      </c>
      <c r="AM160" s="89">
        <f t="shared" si="75"/>
        <v>284963.2340977657</v>
      </c>
      <c r="AN160" s="90">
        <f>SUM(AM149:AM160)</f>
        <v>3765966.9199525118</v>
      </c>
      <c r="AO160" s="96">
        <f t="shared" si="62"/>
        <v>57.518892841242703</v>
      </c>
      <c r="AP160" s="92">
        <f t="shared" si="61"/>
        <v>4.2659253034296194E-3</v>
      </c>
      <c r="AR160" s="94">
        <f t="shared" si="76"/>
        <v>1.0366897283216459E-2</v>
      </c>
      <c r="AS160" s="95">
        <v>693785.17810445942</v>
      </c>
      <c r="AU160" s="141">
        <v>139.78033170203523</v>
      </c>
    </row>
    <row r="161" spans="1:47">
      <c r="A161" s="78">
        <v>2018</v>
      </c>
      <c r="B161" s="78">
        <v>1</v>
      </c>
      <c r="C161" s="317">
        <f t="shared" si="84"/>
        <v>26.112829868525239</v>
      </c>
      <c r="D161" s="324">
        <f t="shared" si="86"/>
        <v>1.6125648960134388E-2</v>
      </c>
      <c r="E161" s="321">
        <f>$D161*'MWh Impact Summary'!B$24</f>
        <v>41813.222540021823</v>
      </c>
      <c r="F161" s="319">
        <f>$D161*'MWh Impact Summary'!N$24</f>
        <v>4548.6585106274251</v>
      </c>
      <c r="G161" s="319">
        <f>$D161*'MWh Impact Summary'!C$24</f>
        <v>32127.060255222914</v>
      </c>
      <c r="H161" s="319">
        <f>$D161*'MWh Impact Summary'!D$24</f>
        <v>120.14959204965261</v>
      </c>
      <c r="I161" s="319">
        <f>$D161*'MWh Impact Summary'!E$24</f>
        <v>12433.323315872276</v>
      </c>
      <c r="J161" s="104">
        <f t="shared" si="77"/>
        <v>91042.41421379408</v>
      </c>
      <c r="K161" s="298">
        <f t="shared" si="85"/>
        <v>13.3</v>
      </c>
      <c r="L161" s="300">
        <f t="shared" si="64"/>
        <v>9.3629003871876101E-2</v>
      </c>
      <c r="M161" s="297">
        <f>(31/365)</f>
        <v>8.4931506849315067E-2</v>
      </c>
      <c r="N161" s="304">
        <f>$M161*'MWh Impact Summary'!F$24</f>
        <v>113983.79641755276</v>
      </c>
      <c r="O161" s="304">
        <f>$M161*'MWh Impact Summary'!G$24</f>
        <v>5624.0090521658503</v>
      </c>
      <c r="P161" s="304">
        <f>$M161*'MWh Impact Summary'!H$24</f>
        <v>7316.5057456947579</v>
      </c>
      <c r="Q161" s="304">
        <f>$M161*'MWh Impact Summary'!I$24</f>
        <v>1321.6387820043992</v>
      </c>
      <c r="R161" s="304">
        <f>$M161*'MWh Impact Summary'!J$24</f>
        <v>34717.908095217281</v>
      </c>
      <c r="S161" s="304">
        <f>$M161*'MWh Impact Summary'!K$24</f>
        <v>13300.229568617904</v>
      </c>
      <c r="T161" s="304">
        <f>$M161*'MWh Impact Summary'!L$24</f>
        <v>4853.8089668765797</v>
      </c>
      <c r="U161" s="304">
        <f>$M161*'MWh Impact Summary'!M$24</f>
        <v>15461.815569925069</v>
      </c>
      <c r="V161" s="304">
        <f>$M161*'LED Impact Forecast'!$H$25+$D161*'LED Impact Forecast'!$J$25</f>
        <v>36930.010464530504</v>
      </c>
      <c r="W161" s="304">
        <f>$M161*'CFL Impact Forecast'!$H$25+$D161*'CFL Impact Forecast'!$J$25</f>
        <v>290494.32224483544</v>
      </c>
      <c r="X161" s="304">
        <f>$M161*'EISA Incand Impact Forecast'!$G$25+$D161*'EISA Incand Impact Forecast'!$I$25</f>
        <v>107360.94902393676</v>
      </c>
      <c r="Y161" s="85">
        <f t="shared" si="69"/>
        <v>631364.99393135728</v>
      </c>
      <c r="Z161" s="81">
        <f t="shared" si="70"/>
        <v>722407.40814515133</v>
      </c>
      <c r="AA161" s="81"/>
      <c r="AB161" s="262">
        <v>4960404.0012794416</v>
      </c>
      <c r="AC161" s="308">
        <f t="shared" si="78"/>
        <v>145.63479264165181</v>
      </c>
      <c r="AD161" s="309">
        <f t="shared" si="71"/>
        <v>18.353830492498478</v>
      </c>
      <c r="AE161" s="107">
        <f t="shared" si="72"/>
        <v>1.3799872550750733E-3</v>
      </c>
      <c r="AF161" s="309">
        <f t="shared" si="79"/>
        <v>127.28096214915331</v>
      </c>
      <c r="AG161" s="107">
        <f t="shared" si="73"/>
        <v>9.5699971540716775E-3</v>
      </c>
      <c r="AH161" s="119">
        <f t="shared" si="80"/>
        <v>1.0949984409146751E-2</v>
      </c>
      <c r="AI161" s="122">
        <f t="shared" si="74"/>
        <v>1.0949984409146752E-2</v>
      </c>
      <c r="AJ161" s="87" t="b">
        <f t="shared" si="81"/>
        <v>1</v>
      </c>
      <c r="AK161" s="88">
        <f t="shared" si="87"/>
        <v>7.7180129749526358E-4</v>
      </c>
      <c r="AL161" s="312">
        <f>+AC161/'MWh by month-WgtbyCDH&amp;DayLtHrs'!AC161-1</f>
        <v>-0.12544499254208019</v>
      </c>
      <c r="AM161" s="89">
        <f t="shared" si="75"/>
        <v>290494.32224483544</v>
      </c>
      <c r="AN161" s="93"/>
      <c r="AO161" s="96">
        <f t="shared" si="62"/>
        <v>58.56263364232187</v>
      </c>
      <c r="AP161" s="92">
        <f t="shared" si="61"/>
        <v>4.4032055370166814E-3</v>
      </c>
      <c r="AR161" s="94">
        <f t="shared" si="76"/>
        <v>1.0949984409146752E-2</v>
      </c>
      <c r="AS161" s="95">
        <v>720512.05106462038</v>
      </c>
      <c r="AU161" s="141">
        <v>145.63479264165181</v>
      </c>
    </row>
    <row r="162" spans="1:47">
      <c r="A162" s="78">
        <v>2018</v>
      </c>
      <c r="B162" s="78">
        <v>2</v>
      </c>
      <c r="C162" s="317">
        <f t="shared" si="84"/>
        <v>35.042184420393127</v>
      </c>
      <c r="D162" s="324">
        <f t="shared" si="86"/>
        <v>9.4849425755900163E-3</v>
      </c>
      <c r="E162" s="321">
        <f>$D162*'MWh Impact Summary'!B$24</f>
        <v>24594.111881818364</v>
      </c>
      <c r="F162" s="319">
        <f>$D162*'MWh Impact Summary'!N$24</f>
        <v>2675.4746352180537</v>
      </c>
      <c r="G162" s="319">
        <f>$D162*'MWh Impact Summary'!C$24</f>
        <v>18896.809821213556</v>
      </c>
      <c r="H162" s="319">
        <f>$D162*'MWh Impact Summary'!D$24</f>
        <v>70.670767042545393</v>
      </c>
      <c r="I162" s="319">
        <f>$D162*'MWh Impact Summary'!E$24</f>
        <v>7313.1542157674621</v>
      </c>
      <c r="J162" s="104">
        <f t="shared" si="77"/>
        <v>53550.221321059988</v>
      </c>
      <c r="K162" s="298">
        <f t="shared" si="85"/>
        <v>12.733333333333333</v>
      </c>
      <c r="L162" s="300">
        <f t="shared" si="64"/>
        <v>8.9639798193124468E-2</v>
      </c>
      <c r="M162" s="297">
        <f>(28/365)</f>
        <v>7.6712328767123292E-2</v>
      </c>
      <c r="N162" s="304">
        <f>$M162*'MWh Impact Summary'!F$24</f>
        <v>102953.10644166057</v>
      </c>
      <c r="O162" s="304">
        <f>$M162*'MWh Impact Summary'!G$24</f>
        <v>5079.7501116336716</v>
      </c>
      <c r="P162" s="304">
        <f>$M162*'MWh Impact Summary'!H$24</f>
        <v>6608.4568025630078</v>
      </c>
      <c r="Q162" s="304">
        <f>$M162*'MWh Impact Summary'!I$24</f>
        <v>1193.738254713651</v>
      </c>
      <c r="R162" s="304">
        <f>$M162*'MWh Impact Summary'!J$24</f>
        <v>31358.110537615612</v>
      </c>
      <c r="S162" s="304">
        <f>$M162*'MWh Impact Summary'!K$24</f>
        <v>12013.110578106494</v>
      </c>
      <c r="T162" s="304">
        <f>$M162*'MWh Impact Summary'!L$24</f>
        <v>4384.0855184691691</v>
      </c>
      <c r="U162" s="304">
        <f>$M162*'MWh Impact Summary'!M$24</f>
        <v>13965.510837351676</v>
      </c>
      <c r="V162" s="304">
        <f>$M162*'LED Impact Forecast'!$H$25+$D162*'LED Impact Forecast'!$J$25</f>
        <v>33062.959325504686</v>
      </c>
      <c r="W162" s="304">
        <f>$M162*'CFL Impact Forecast'!$H$25+$D162*'CFL Impact Forecast'!$J$25</f>
        <v>259511.54609365168</v>
      </c>
      <c r="X162" s="304">
        <f>$M162*'EISA Incand Impact Forecast'!$G$25+$D162*'EISA Incand Impact Forecast'!$I$25</f>
        <v>95824.449003627917</v>
      </c>
      <c r="Y162" s="85">
        <f t="shared" si="69"/>
        <v>565954.82350489812</v>
      </c>
      <c r="Z162" s="81">
        <f t="shared" si="70"/>
        <v>619505.04482595809</v>
      </c>
      <c r="AA162" s="81"/>
      <c r="AB162" s="262">
        <v>4966174.0780797284</v>
      </c>
      <c r="AC162" s="308">
        <f t="shared" si="78"/>
        <v>124.74493142727334</v>
      </c>
      <c r="AD162" s="309">
        <f t="shared" si="71"/>
        <v>10.782993201431687</v>
      </c>
      <c r="AE162" s="107">
        <f t="shared" si="72"/>
        <v>8.4683192681400687E-4</v>
      </c>
      <c r="AF162" s="309">
        <f t="shared" si="79"/>
        <v>113.96193822584164</v>
      </c>
      <c r="AG162" s="107">
        <f t="shared" si="73"/>
        <v>8.9498904365844217E-3</v>
      </c>
      <c r="AH162" s="119">
        <f t="shared" si="80"/>
        <v>9.7967223633984284E-3</v>
      </c>
      <c r="AI162" s="122">
        <f t="shared" si="74"/>
        <v>9.7967223633984302E-3</v>
      </c>
      <c r="AJ162" s="87" t="b">
        <f t="shared" si="81"/>
        <v>1</v>
      </c>
      <c r="AK162" s="88">
        <f t="shared" si="87"/>
        <v>6.874505299984783E-4</v>
      </c>
      <c r="AL162" s="312">
        <f>+AC162/'MWh by month-WgtbyCDH&amp;DayLtHrs'!AC162-1</f>
        <v>-0.24715644107222601</v>
      </c>
      <c r="AM162" s="89">
        <f t="shared" si="75"/>
        <v>259511.54609365168</v>
      </c>
      <c r="AN162" s="93"/>
      <c r="AO162" s="96">
        <f t="shared" si="62"/>
        <v>52.255829540714984</v>
      </c>
      <c r="AP162" s="92">
        <f t="shared" si="61"/>
        <v>4.1038609586948943E-3</v>
      </c>
      <c r="AR162" s="94">
        <f t="shared" si="76"/>
        <v>9.7967223633984302E-3</v>
      </c>
      <c r="AS162" s="95">
        <v>669054.7350160582</v>
      </c>
      <c r="AU162" s="141">
        <v>124.74493142727334</v>
      </c>
    </row>
    <row r="163" spans="1:47">
      <c r="A163" s="78">
        <v>2018</v>
      </c>
      <c r="B163" s="78">
        <v>3</v>
      </c>
      <c r="C163" s="317">
        <f t="shared" si="84"/>
        <v>64.582270600115152</v>
      </c>
      <c r="D163" s="324">
        <f t="shared" si="86"/>
        <v>5.6112649790650677E-2</v>
      </c>
      <c r="E163" s="321">
        <f>$D163*'MWh Impact Summary'!B$24</f>
        <v>145498.06453105577</v>
      </c>
      <c r="F163" s="319">
        <f>$D163*'MWh Impact Summary'!N$24</f>
        <v>15828.03164418955</v>
      </c>
      <c r="G163" s="319">
        <f>$D163*'MWh Impact Summary'!C$24</f>
        <v>111792.98801314301</v>
      </c>
      <c r="H163" s="319">
        <f>$D163*'MWh Impact Summary'!D$24</f>
        <v>418.08624247240948</v>
      </c>
      <c r="I163" s="319">
        <f>$D163*'MWh Impact Summary'!E$24</f>
        <v>43264.411787844008</v>
      </c>
      <c r="J163" s="104">
        <f t="shared" si="77"/>
        <v>316801.58221870475</v>
      </c>
      <c r="K163" s="298">
        <f t="shared" si="85"/>
        <v>12</v>
      </c>
      <c r="L163" s="300">
        <f t="shared" si="64"/>
        <v>8.4477296726504739E-2</v>
      </c>
      <c r="M163" s="297">
        <f t="shared" ref="M163:M172" si="89">(31/365)</f>
        <v>8.4931506849315067E-2</v>
      </c>
      <c r="N163" s="304">
        <f>$M163*'MWh Impact Summary'!F$24</f>
        <v>113983.79641755276</v>
      </c>
      <c r="O163" s="304">
        <f>$M163*'MWh Impact Summary'!G$24</f>
        <v>5624.0090521658503</v>
      </c>
      <c r="P163" s="304">
        <f>$M163*'MWh Impact Summary'!H$24</f>
        <v>7316.5057456947579</v>
      </c>
      <c r="Q163" s="304">
        <f>$M163*'MWh Impact Summary'!I$24</f>
        <v>1321.6387820043992</v>
      </c>
      <c r="R163" s="304">
        <f>$M163*'MWh Impact Summary'!J$24</f>
        <v>34717.908095217281</v>
      </c>
      <c r="S163" s="304">
        <f>$M163*'MWh Impact Summary'!K$24</f>
        <v>13300.229568617904</v>
      </c>
      <c r="T163" s="304">
        <f>$M163*'MWh Impact Summary'!L$24</f>
        <v>4853.8089668765797</v>
      </c>
      <c r="U163" s="304">
        <f>$M163*'MWh Impact Summary'!M$24</f>
        <v>15461.815569925069</v>
      </c>
      <c r="V163" s="304">
        <f>$M163*'LED Impact Forecast'!$H$25+$D163*'LED Impact Forecast'!$J$25</f>
        <v>39237.685011174915</v>
      </c>
      <c r="W163" s="304">
        <f>$M163*'CFL Impact Forecast'!$H$25+$D163*'CFL Impact Forecast'!$J$25</f>
        <v>313088.01788533985</v>
      </c>
      <c r="X163" s="304">
        <f>$M163*'EISA Incand Impact Forecast'!$G$25+$D163*'EISA Incand Impact Forecast'!$I$25</f>
        <v>116387.10695170441</v>
      </c>
      <c r="Y163" s="85">
        <f t="shared" si="69"/>
        <v>665292.52204627369</v>
      </c>
      <c r="Z163" s="81">
        <f t="shared" si="70"/>
        <v>982094.10426497844</v>
      </c>
      <c r="AA163" s="81"/>
      <c r="AB163" s="262">
        <v>4972258.3870254578</v>
      </c>
      <c r="AC163" s="308">
        <f t="shared" si="78"/>
        <v>197.51469610421719</v>
      </c>
      <c r="AD163" s="309">
        <f t="shared" si="71"/>
        <v>63.713821277945335</v>
      </c>
      <c r="AE163" s="107">
        <f t="shared" si="72"/>
        <v>5.3094851064954453E-3</v>
      </c>
      <c r="AF163" s="309">
        <f t="shared" si="79"/>
        <v>133.80087482627187</v>
      </c>
      <c r="AG163" s="107">
        <f t="shared" si="73"/>
        <v>1.1150072902189322E-2</v>
      </c>
      <c r="AH163" s="119">
        <f t="shared" si="80"/>
        <v>1.6459558008684767E-2</v>
      </c>
      <c r="AI163" s="122">
        <f t="shared" si="74"/>
        <v>1.6459558008684767E-2</v>
      </c>
      <c r="AJ163" s="87" t="b">
        <f t="shared" si="81"/>
        <v>1</v>
      </c>
      <c r="AK163" s="88">
        <f t="shared" si="87"/>
        <v>1.1906415538201869E-3</v>
      </c>
      <c r="AL163" s="312">
        <f>+AC163/'MWh by month-WgtbyCDH&amp;DayLtHrs'!AC163-1</f>
        <v>0.12824453557726478</v>
      </c>
      <c r="AM163" s="89">
        <f t="shared" si="75"/>
        <v>313088.01788533985</v>
      </c>
      <c r="AN163" s="93"/>
      <c r="AO163" s="96">
        <f t="shared" si="62"/>
        <v>62.966964609543901</v>
      </c>
      <c r="AP163" s="92">
        <f t="shared" si="61"/>
        <v>5.2472470507953254E-3</v>
      </c>
      <c r="AR163" s="94">
        <f t="shared" si="76"/>
        <v>1.6459558008684767E-2</v>
      </c>
      <c r="AS163" s="95">
        <v>809172.95227528678</v>
      </c>
      <c r="AU163" s="141">
        <v>197.51469610421719</v>
      </c>
    </row>
    <row r="164" spans="1:47">
      <c r="A164" s="78">
        <v>2018</v>
      </c>
      <c r="B164" s="78">
        <v>4</v>
      </c>
      <c r="C164" s="317">
        <f t="shared" si="84"/>
        <v>114.03392869270741</v>
      </c>
      <c r="D164" s="324">
        <f t="shared" si="86"/>
        <v>5.6895710731417456E-2</v>
      </c>
      <c r="E164" s="321">
        <f>$D164*'MWh Impact Summary'!B$24</f>
        <v>147528.51313251207</v>
      </c>
      <c r="F164" s="319">
        <f>$D164*'MWh Impact Summary'!N$24</f>
        <v>16048.914339910161</v>
      </c>
      <c r="G164" s="319">
        <f>$D164*'MWh Impact Summary'!C$24</f>
        <v>113353.07691807451</v>
      </c>
      <c r="H164" s="319">
        <f>$D164*'MWh Impact Summary'!D$24</f>
        <v>423.92070239496763</v>
      </c>
      <c r="I164" s="319">
        <f>$D164*'MWh Impact Summary'!E$24</f>
        <v>43868.173526466358</v>
      </c>
      <c r="J164" s="104">
        <f t="shared" si="77"/>
        <v>321222.59861935809</v>
      </c>
      <c r="K164" s="298">
        <f t="shared" si="85"/>
        <v>11.2</v>
      </c>
      <c r="L164" s="300">
        <f t="shared" si="64"/>
        <v>7.8845476944737758E-2</v>
      </c>
      <c r="M164" s="297">
        <f>(30/365)</f>
        <v>8.2191780821917804E-2</v>
      </c>
      <c r="N164" s="304">
        <f>$M164*'MWh Impact Summary'!F$24</f>
        <v>110306.89975892202</v>
      </c>
      <c r="O164" s="304">
        <f>$M164*'MWh Impact Summary'!G$24</f>
        <v>5442.5894053217908</v>
      </c>
      <c r="P164" s="304">
        <f>$M164*'MWh Impact Summary'!H$24</f>
        <v>7080.4894313175073</v>
      </c>
      <c r="Q164" s="304">
        <f>$M164*'MWh Impact Summary'!I$24</f>
        <v>1279.005272907483</v>
      </c>
      <c r="R164" s="304">
        <f>$M164*'MWh Impact Summary'!J$24</f>
        <v>33597.975576016725</v>
      </c>
      <c r="S164" s="304">
        <f>$M164*'MWh Impact Summary'!K$24</f>
        <v>12871.189905114099</v>
      </c>
      <c r="T164" s="304">
        <f>$M164*'MWh Impact Summary'!L$24</f>
        <v>4697.2344840741098</v>
      </c>
      <c r="U164" s="304">
        <f>$M164*'MWh Impact Summary'!M$24</f>
        <v>14963.047325733936</v>
      </c>
      <c r="V164" s="304">
        <f>$M164*'LED Impact Forecast'!$H$25+$D164*'LED Impact Forecast'!$J$25</f>
        <v>38121.605320047645</v>
      </c>
      <c r="W164" s="304">
        <f>$M164*'CFL Impact Forecast'!$H$25+$D164*'CFL Impact Forecast'!$J$25</f>
        <v>304453.5995861034</v>
      </c>
      <c r="X164" s="304">
        <f>$M164*'EISA Incand Impact Forecast'!$G$25+$D164*'EISA Incand Impact Forecast'!$I$25</f>
        <v>113218.02809888296</v>
      </c>
      <c r="Y164" s="85">
        <f t="shared" si="69"/>
        <v>646031.66416444175</v>
      </c>
      <c r="Z164" s="81">
        <f t="shared" si="70"/>
        <v>967254.26278379979</v>
      </c>
      <c r="AA164" s="81"/>
      <c r="AB164" s="262">
        <v>4977933.1022701599</v>
      </c>
      <c r="AC164" s="308">
        <f t="shared" si="78"/>
        <v>194.30840931604496</v>
      </c>
      <c r="AD164" s="309">
        <f t="shared" si="71"/>
        <v>64.529312069876198</v>
      </c>
      <c r="AE164" s="107">
        <f t="shared" si="72"/>
        <v>5.7615457205246615E-3</v>
      </c>
      <c r="AF164" s="309">
        <f t="shared" si="79"/>
        <v>129.77909724616879</v>
      </c>
      <c r="AG164" s="107">
        <f t="shared" si="73"/>
        <v>1.1587419396979357E-2</v>
      </c>
      <c r="AH164" s="119">
        <f t="shared" si="80"/>
        <v>1.7348965117504018E-2</v>
      </c>
      <c r="AI164" s="122">
        <f t="shared" si="74"/>
        <v>1.7348965117504014E-2</v>
      </c>
      <c r="AJ164" s="87" t="b">
        <f t="shared" si="81"/>
        <v>1</v>
      </c>
      <c r="AK164" s="88">
        <f t="shared" si="87"/>
        <v>1.2569688793369616E-3</v>
      </c>
      <c r="AL164" s="312">
        <f>+AC164/'MWh by month-WgtbyCDH&amp;DayLtHrs'!AC164-1</f>
        <v>-4.7041886895197171E-3</v>
      </c>
      <c r="AM164" s="89">
        <f t="shared" si="75"/>
        <v>304453.5995861034</v>
      </c>
      <c r="AN164" s="93"/>
      <c r="AO164" s="96">
        <f t="shared" si="62"/>
        <v>61.16064505713404</v>
      </c>
      <c r="AP164" s="92">
        <f t="shared" si="61"/>
        <v>5.4607718801012546E-3</v>
      </c>
      <c r="AR164" s="94">
        <f t="shared" si="76"/>
        <v>1.7348965117504014E-2</v>
      </c>
      <c r="AS164" s="95">
        <v>948781.63662367896</v>
      </c>
      <c r="AU164" s="141">
        <v>194.30840931604496</v>
      </c>
    </row>
    <row r="165" spans="1:47">
      <c r="A165" s="78">
        <v>2018</v>
      </c>
      <c r="B165" s="78">
        <v>5</v>
      </c>
      <c r="C165" s="317">
        <f t="shared" si="84"/>
        <v>208.47875842628665</v>
      </c>
      <c r="D165" s="324">
        <f t="shared" si="86"/>
        <v>0.10401770130213556</v>
      </c>
      <c r="E165" s="321">
        <f>$D165*'MWh Impact Summary'!B$24</f>
        <v>269714.12458500307</v>
      </c>
      <c r="F165" s="319">
        <f>$D165*'MWh Impact Summary'!N$24</f>
        <v>29340.896819318907</v>
      </c>
      <c r="G165" s="319">
        <f>$D165*'MWh Impact Summary'!C$24</f>
        <v>207234.01368868927</v>
      </c>
      <c r="H165" s="319">
        <f>$D165*'MWh Impact Summary'!D$24</f>
        <v>775.01900285010629</v>
      </c>
      <c r="I165" s="319">
        <f>$D165*'MWh Impact Summary'!E$24</f>
        <v>80200.537296856928</v>
      </c>
      <c r="J165" s="104">
        <f t="shared" si="77"/>
        <v>587264.59139271826</v>
      </c>
      <c r="K165" s="298">
        <f t="shared" si="85"/>
        <v>10.533333333333333</v>
      </c>
      <c r="L165" s="300">
        <f t="shared" si="64"/>
        <v>7.4152293793265281E-2</v>
      </c>
      <c r="M165" s="297">
        <f t="shared" si="89"/>
        <v>8.4931506849315067E-2</v>
      </c>
      <c r="N165" s="304">
        <f>$M165*'MWh Impact Summary'!F$24</f>
        <v>113983.79641755276</v>
      </c>
      <c r="O165" s="304">
        <f>$M165*'MWh Impact Summary'!G$24</f>
        <v>5624.0090521658503</v>
      </c>
      <c r="P165" s="304">
        <f>$M165*'MWh Impact Summary'!H$24</f>
        <v>7316.5057456947579</v>
      </c>
      <c r="Q165" s="304">
        <f>$M165*'MWh Impact Summary'!I$24</f>
        <v>1321.6387820043992</v>
      </c>
      <c r="R165" s="304">
        <f>$M165*'MWh Impact Summary'!J$24</f>
        <v>34717.908095217281</v>
      </c>
      <c r="S165" s="304">
        <f>$M165*'MWh Impact Summary'!K$24</f>
        <v>13300.229568617904</v>
      </c>
      <c r="T165" s="304">
        <f>$M165*'MWh Impact Summary'!L$24</f>
        <v>4853.8089668765797</v>
      </c>
      <c r="U165" s="304">
        <f>$M165*'MWh Impact Summary'!M$24</f>
        <v>15461.815569925069</v>
      </c>
      <c r="V165" s="304">
        <f>$M165*'LED Impact Forecast'!$H$25+$D165*'LED Impact Forecast'!$J$25</f>
        <v>42002.315159289879</v>
      </c>
      <c r="W165" s="304">
        <f>$M165*'CFL Impact Forecast'!$H$25+$D165*'CFL Impact Forecast'!$J$25</f>
        <v>340155.61813074694</v>
      </c>
      <c r="X165" s="304">
        <f>$M165*'EISA Incand Impact Forecast'!$G$25+$D165*'EISA Incand Impact Forecast'!$I$25</f>
        <v>127200.58511960239</v>
      </c>
      <c r="Y165" s="85">
        <f t="shared" si="69"/>
        <v>705938.2306076939</v>
      </c>
      <c r="Z165" s="81">
        <f t="shared" si="70"/>
        <v>1293202.8220004123</v>
      </c>
      <c r="AA165" s="81"/>
      <c r="AB165" s="262">
        <v>4983179.119985274</v>
      </c>
      <c r="AC165" s="308">
        <f t="shared" si="78"/>
        <v>259.51361387230924</v>
      </c>
      <c r="AD165" s="309">
        <f t="shared" si="71"/>
        <v>117.84938434933356</v>
      </c>
      <c r="AE165" s="107">
        <f t="shared" si="72"/>
        <v>1.1188232691392427E-2</v>
      </c>
      <c r="AF165" s="309">
        <f t="shared" si="79"/>
        <v>141.66422952297569</v>
      </c>
      <c r="AG165" s="107">
        <f t="shared" si="73"/>
        <v>1.3449135714206554E-2</v>
      </c>
      <c r="AH165" s="119">
        <f t="shared" si="80"/>
        <v>2.4637368405598981E-2</v>
      </c>
      <c r="AI165" s="122">
        <f t="shared" si="74"/>
        <v>2.4637368405598978E-2</v>
      </c>
      <c r="AJ165" s="87" t="b">
        <f t="shared" si="81"/>
        <v>1</v>
      </c>
      <c r="AK165" s="88">
        <f t="shared" si="87"/>
        <v>1.8117947674800329E-3</v>
      </c>
      <c r="AL165" s="312">
        <f>+AC165/'MWh by month-WgtbyCDH&amp;DayLtHrs'!AC165-1</f>
        <v>6.9508205342342144E-2</v>
      </c>
      <c r="AM165" s="89">
        <f t="shared" si="75"/>
        <v>340155.61813074694</v>
      </c>
      <c r="AN165" s="93"/>
      <c r="AO165" s="96">
        <f t="shared" si="62"/>
        <v>68.260764853211256</v>
      </c>
      <c r="AP165" s="92">
        <f t="shared" si="61"/>
        <v>6.4804523594820815E-3</v>
      </c>
      <c r="AR165" s="94">
        <f t="shared" si="76"/>
        <v>2.4637368405598978E-2</v>
      </c>
      <c r="AS165" s="95">
        <v>1138391.8949239727</v>
      </c>
      <c r="AU165" s="141">
        <v>259.51361387230924</v>
      </c>
    </row>
    <row r="166" spans="1:47">
      <c r="A166" s="78">
        <v>2018</v>
      </c>
      <c r="B166" s="78">
        <v>6</v>
      </c>
      <c r="C166" s="317">
        <f t="shared" si="84"/>
        <v>271.66325293295364</v>
      </c>
      <c r="D166" s="324">
        <f t="shared" si="86"/>
        <v>0.13554276374078555</v>
      </c>
      <c r="E166" s="321">
        <f>$D166*'MWh Impact Summary'!B$24</f>
        <v>351457.46741691662</v>
      </c>
      <c r="F166" s="319">
        <f>$D166*'MWh Impact Summary'!N$24</f>
        <v>38233.360242907613</v>
      </c>
      <c r="G166" s="319">
        <f>$D166*'MWh Impact Summary'!C$24</f>
        <v>270041.25840919773</v>
      </c>
      <c r="H166" s="319">
        <f>$D166*'MWh Impact Summary'!D$24</f>
        <v>1009.9071242961071</v>
      </c>
      <c r="I166" s="319">
        <f>$D166*'MWh Impact Summary'!E$24</f>
        <v>104507.2361975832</v>
      </c>
      <c r="J166" s="104">
        <f t="shared" si="77"/>
        <v>765249.22939090128</v>
      </c>
      <c r="K166" s="298">
        <f t="shared" si="85"/>
        <v>10.199999999999999</v>
      </c>
      <c r="L166" s="300">
        <f t="shared" si="64"/>
        <v>7.1805702217529022E-2</v>
      </c>
      <c r="M166" s="297">
        <f>(30/365)</f>
        <v>8.2191780821917804E-2</v>
      </c>
      <c r="N166" s="304">
        <f>$M166*'MWh Impact Summary'!F$24</f>
        <v>110306.89975892202</v>
      </c>
      <c r="O166" s="304">
        <f>$M166*'MWh Impact Summary'!G$24</f>
        <v>5442.5894053217908</v>
      </c>
      <c r="P166" s="304">
        <f>$M166*'MWh Impact Summary'!H$24</f>
        <v>7080.4894313175073</v>
      </c>
      <c r="Q166" s="304">
        <f>$M166*'MWh Impact Summary'!I$24</f>
        <v>1279.005272907483</v>
      </c>
      <c r="R166" s="304">
        <f>$M166*'MWh Impact Summary'!J$24</f>
        <v>33597.975576016725</v>
      </c>
      <c r="S166" s="304">
        <f>$M166*'MWh Impact Summary'!K$24</f>
        <v>12871.189905114099</v>
      </c>
      <c r="T166" s="304">
        <f>$M166*'MWh Impact Summary'!L$24</f>
        <v>4697.2344840741098</v>
      </c>
      <c r="U166" s="304">
        <f>$M166*'MWh Impact Summary'!M$24</f>
        <v>14963.047325733936</v>
      </c>
      <c r="V166" s="304">
        <f>$M166*'LED Impact Forecast'!$H$25+$D166*'LED Impact Forecast'!$J$25</f>
        <v>42660.375386038853</v>
      </c>
      <c r="W166" s="304">
        <f>$M166*'CFL Impact Forecast'!$H$25+$D166*'CFL Impact Forecast'!$J$25</f>
        <v>348891.23036135797</v>
      </c>
      <c r="X166" s="304">
        <f>$M166*'EISA Incand Impact Forecast'!$G$25+$D166*'EISA Incand Impact Forecast'!$I$25</f>
        <v>130970.81541156185</v>
      </c>
      <c r="Y166" s="85">
        <f t="shared" si="69"/>
        <v>712760.85231836629</v>
      </c>
      <c r="Z166" s="81">
        <f t="shared" si="70"/>
        <v>1478010.0817092676</v>
      </c>
      <c r="AA166" s="81"/>
      <c r="AB166" s="262">
        <v>4988439.4249103442</v>
      </c>
      <c r="AC166" s="308">
        <f t="shared" si="78"/>
        <v>296.28706611704149</v>
      </c>
      <c r="AD166" s="309">
        <f t="shared" si="71"/>
        <v>153.40453480692611</v>
      </c>
      <c r="AE166" s="107">
        <f t="shared" si="72"/>
        <v>1.5039660275188835E-2</v>
      </c>
      <c r="AF166" s="309">
        <f t="shared" si="79"/>
        <v>142.88253131011538</v>
      </c>
      <c r="AG166" s="107">
        <f t="shared" si="73"/>
        <v>1.4008091304913274E-2</v>
      </c>
      <c r="AH166" s="119">
        <f t="shared" si="80"/>
        <v>2.9047751580102109E-2</v>
      </c>
      <c r="AI166" s="122">
        <f t="shared" si="74"/>
        <v>2.9047751580102109E-2</v>
      </c>
      <c r="AJ166" s="87" t="b">
        <f t="shared" si="81"/>
        <v>1</v>
      </c>
      <c r="AK166" s="88">
        <f t="shared" si="87"/>
        <v>2.1526617869255318E-3</v>
      </c>
      <c r="AL166" s="312">
        <f>+AC166/'MWh by month-WgtbyCDH&amp;DayLtHrs'!AC166-1</f>
        <v>7.5968308552713415E-2</v>
      </c>
      <c r="AM166" s="89">
        <f t="shared" si="75"/>
        <v>348891.23036135797</v>
      </c>
      <c r="AN166" s="93"/>
      <c r="AO166" s="96">
        <f t="shared" si="62"/>
        <v>69.939955293258578</v>
      </c>
      <c r="AP166" s="92">
        <f t="shared" si="61"/>
        <v>6.8568583620841747E-3</v>
      </c>
      <c r="AR166" s="94">
        <f t="shared" si="76"/>
        <v>2.9047751580102109E-2</v>
      </c>
      <c r="AS166" s="95">
        <v>1387807.9406546159</v>
      </c>
      <c r="AU166" s="141">
        <v>296.28706611704149</v>
      </c>
    </row>
    <row r="167" spans="1:47">
      <c r="A167" s="78">
        <v>2018</v>
      </c>
      <c r="B167" s="78">
        <v>7</v>
      </c>
      <c r="C167" s="317">
        <f t="shared" si="84"/>
        <v>322.31916585708109</v>
      </c>
      <c r="D167" s="324">
        <f t="shared" si="86"/>
        <v>0.16081685717602592</v>
      </c>
      <c r="E167" s="321">
        <f>$D167*'MWh Impact Summary'!B$24</f>
        <v>416992.27447600587</v>
      </c>
      <c r="F167" s="319">
        <f>$D167*'MWh Impact Summary'!N$24</f>
        <v>45362.575351509404</v>
      </c>
      <c r="G167" s="319">
        <f>$D167*'MWh Impact Summary'!C$24</f>
        <v>320394.72478425479</v>
      </c>
      <c r="H167" s="319">
        <f>$D167*'MWh Impact Summary'!D$24</f>
        <v>1198.2202906794355</v>
      </c>
      <c r="I167" s="319">
        <f>$D167*'MWh Impact Summary'!E$24</f>
        <v>123994.26434589343</v>
      </c>
      <c r="J167" s="104">
        <f t="shared" si="77"/>
        <v>907942.05924834288</v>
      </c>
      <c r="K167" s="298">
        <f t="shared" si="85"/>
        <v>10.366666666666667</v>
      </c>
      <c r="L167" s="300">
        <f t="shared" si="64"/>
        <v>7.2978998005397158E-2</v>
      </c>
      <c r="M167" s="297">
        <f t="shared" si="89"/>
        <v>8.4931506849315067E-2</v>
      </c>
      <c r="N167" s="304">
        <f>$M167*'MWh Impact Summary'!F$24</f>
        <v>113983.79641755276</v>
      </c>
      <c r="O167" s="304">
        <f>$M167*'MWh Impact Summary'!G$24</f>
        <v>5624.0090521658503</v>
      </c>
      <c r="P167" s="304">
        <f>$M167*'MWh Impact Summary'!H$24</f>
        <v>7316.5057456947579</v>
      </c>
      <c r="Q167" s="304">
        <f>$M167*'MWh Impact Summary'!I$24</f>
        <v>1321.6387820043992</v>
      </c>
      <c r="R167" s="304">
        <f>$M167*'MWh Impact Summary'!J$24</f>
        <v>34717.908095217281</v>
      </c>
      <c r="S167" s="304">
        <f>$M167*'MWh Impact Summary'!K$24</f>
        <v>13300.229568617904</v>
      </c>
      <c r="T167" s="304">
        <f>$M167*'MWh Impact Summary'!L$24</f>
        <v>4853.8089668765797</v>
      </c>
      <c r="U167" s="304">
        <f>$M167*'MWh Impact Summary'!M$24</f>
        <v>15461.815569925069</v>
      </c>
      <c r="V167" s="304">
        <f>$M167*'LED Impact Forecast'!$H$25+$D167*'LED Impact Forecast'!$J$25</f>
        <v>45280.229570441108</v>
      </c>
      <c r="W167" s="304">
        <f>$M167*'CFL Impact Forecast'!$H$25+$D167*'CFL Impact Forecast'!$J$25</f>
        <v>372248.61870089441</v>
      </c>
      <c r="X167" s="304">
        <f>$M167*'EISA Incand Impact Forecast'!$G$25+$D167*'EISA Incand Impact Forecast'!$I$25</f>
        <v>140021.70549456115</v>
      </c>
      <c r="Y167" s="85">
        <f t="shared" si="69"/>
        <v>754130.26596395124</v>
      </c>
      <c r="Z167" s="81">
        <f t="shared" si="70"/>
        <v>1662072.3252122942</v>
      </c>
      <c r="AA167" s="81"/>
      <c r="AB167" s="262">
        <v>4994424.4728166815</v>
      </c>
      <c r="AC167" s="308">
        <f t="shared" si="78"/>
        <v>332.78555602522573</v>
      </c>
      <c r="AD167" s="309">
        <f t="shared" si="71"/>
        <v>181.79112812497797</v>
      </c>
      <c r="AE167" s="107">
        <f t="shared" si="72"/>
        <v>1.7536121684081477E-2</v>
      </c>
      <c r="AF167" s="309">
        <f t="shared" si="79"/>
        <v>150.99442790024773</v>
      </c>
      <c r="AG167" s="107">
        <f t="shared" si="73"/>
        <v>1.4565378897130004E-2</v>
      </c>
      <c r="AH167" s="119">
        <f t="shared" si="80"/>
        <v>3.210150058121148E-2</v>
      </c>
      <c r="AI167" s="122">
        <f t="shared" si="74"/>
        <v>3.210150058121148E-2</v>
      </c>
      <c r="AJ167" s="87" t="b">
        <f t="shared" si="81"/>
        <v>1</v>
      </c>
      <c r="AK167" s="88">
        <f t="shared" si="87"/>
        <v>2.3893396837089929E-3</v>
      </c>
      <c r="AL167" s="312">
        <f>+AC167/'MWh by month-WgtbyCDH&amp;DayLtHrs'!AC167-1</f>
        <v>8.804576018954835E-2</v>
      </c>
      <c r="AM167" s="89">
        <f t="shared" si="75"/>
        <v>372248.61870089441</v>
      </c>
      <c r="AN167" s="93"/>
      <c r="AO167" s="96">
        <f t="shared" si="62"/>
        <v>74.532835710489607</v>
      </c>
      <c r="AP167" s="92">
        <f t="shared" si="61"/>
        <v>7.1896626087289001E-3</v>
      </c>
      <c r="AR167" s="94">
        <f t="shared" si="76"/>
        <v>3.210150058121148E-2</v>
      </c>
      <c r="AS167" s="95">
        <v>1458921.5818659998</v>
      </c>
      <c r="AU167" s="141">
        <v>332.78555602522573</v>
      </c>
    </row>
    <row r="168" spans="1:47">
      <c r="A168" s="78">
        <v>2018</v>
      </c>
      <c r="B168" s="78">
        <v>8</v>
      </c>
      <c r="C168" s="317">
        <f t="shared" si="84"/>
        <v>326.45437890907908</v>
      </c>
      <c r="D168" s="324">
        <f t="shared" si="86"/>
        <v>0.16288006668144661</v>
      </c>
      <c r="E168" s="321">
        <f>$D168*'MWh Impact Summary'!B$24</f>
        <v>422342.10184792231</v>
      </c>
      <c r="F168" s="319">
        <f>$D168*'MWh Impact Summary'!N$24</f>
        <v>45944.557230145132</v>
      </c>
      <c r="G168" s="319">
        <f>$D168*'MWh Impact Summary'!C$24</f>
        <v>324505.24810419482</v>
      </c>
      <c r="H168" s="319">
        <f>$D168*'MWh Impact Summary'!D$24</f>
        <v>1213.5929296970714</v>
      </c>
      <c r="I168" s="319">
        <f>$D168*'MWh Impact Summary'!E$24</f>
        <v>125585.05619015932</v>
      </c>
      <c r="J168" s="104">
        <f t="shared" si="77"/>
        <v>919590.55630211858</v>
      </c>
      <c r="K168" s="298">
        <f t="shared" si="85"/>
        <v>10.933333333333334</v>
      </c>
      <c r="L168" s="300">
        <f t="shared" si="64"/>
        <v>7.6968203684148764E-2</v>
      </c>
      <c r="M168" s="297">
        <f t="shared" si="89"/>
        <v>8.4931506849315067E-2</v>
      </c>
      <c r="N168" s="304">
        <f>$M168*'MWh Impact Summary'!F$24</f>
        <v>113983.79641755276</v>
      </c>
      <c r="O168" s="304">
        <f>$M168*'MWh Impact Summary'!G$24</f>
        <v>5624.0090521658503</v>
      </c>
      <c r="P168" s="304">
        <f>$M168*'MWh Impact Summary'!H$24</f>
        <v>7316.5057456947579</v>
      </c>
      <c r="Q168" s="304">
        <f>$M168*'MWh Impact Summary'!I$24</f>
        <v>1321.6387820043992</v>
      </c>
      <c r="R168" s="304">
        <f>$M168*'MWh Impact Summary'!J$24</f>
        <v>34717.908095217281</v>
      </c>
      <c r="S168" s="304">
        <f>$M168*'MWh Impact Summary'!K$24</f>
        <v>13300.229568617904</v>
      </c>
      <c r="T168" s="304">
        <f>$M168*'MWh Impact Summary'!L$24</f>
        <v>4853.8089668765797</v>
      </c>
      <c r="U168" s="304">
        <f>$M168*'MWh Impact Summary'!M$24</f>
        <v>15461.815569925069</v>
      </c>
      <c r="V168" s="304">
        <f>$M168*'LED Impact Forecast'!$H$25+$D168*'LED Impact Forecast'!$J$25</f>
        <v>45399.298666926596</v>
      </c>
      <c r="W168" s="304">
        <f>$M168*'CFL Impact Forecast'!$H$25+$D168*'CFL Impact Forecast'!$J$25</f>
        <v>373414.38574117958</v>
      </c>
      <c r="X168" s="304">
        <f>$M168*'EISA Incand Impact Forecast'!$G$25+$D168*'EISA Incand Impact Forecast'!$I$25</f>
        <v>140487.4282156257</v>
      </c>
      <c r="Y168" s="85">
        <f t="shared" si="69"/>
        <v>755880.82482178649</v>
      </c>
      <c r="Z168" s="81">
        <f t="shared" si="70"/>
        <v>1675471.3811239051</v>
      </c>
      <c r="AA168" s="81"/>
      <c r="AB168" s="262">
        <v>5000782.228093843</v>
      </c>
      <c r="AC168" s="308">
        <f t="shared" si="78"/>
        <v>335.04186039361838</v>
      </c>
      <c r="AD168" s="309">
        <f t="shared" si="71"/>
        <v>183.88934257843908</v>
      </c>
      <c r="AE168" s="107">
        <f t="shared" si="72"/>
        <v>1.6819147187052356E-2</v>
      </c>
      <c r="AF168" s="309">
        <f t="shared" si="79"/>
        <v>151.15251781517927</v>
      </c>
      <c r="AG168" s="107">
        <f t="shared" si="73"/>
        <v>1.3824925409924931E-2</v>
      </c>
      <c r="AH168" s="119">
        <f t="shared" si="80"/>
        <v>3.0644072596977288E-2</v>
      </c>
      <c r="AI168" s="122">
        <f t="shared" si="74"/>
        <v>3.0644072596977288E-2</v>
      </c>
      <c r="AJ168" s="87" t="b">
        <f t="shared" si="81"/>
        <v>1</v>
      </c>
      <c r="AK168" s="88">
        <f t="shared" si="87"/>
        <v>2.2847450775376373E-3</v>
      </c>
      <c r="AL168" s="312">
        <f>+AC168/'MWh by month-WgtbyCDH&amp;DayLtHrs'!AC168-1</f>
        <v>6.8382724692528374E-2</v>
      </c>
      <c r="AM168" s="89">
        <f t="shared" si="75"/>
        <v>373414.38574117958</v>
      </c>
      <c r="AN168" s="93"/>
      <c r="AO168" s="96">
        <f t="shared" si="62"/>
        <v>74.671195166903843</v>
      </c>
      <c r="AP168" s="92">
        <f t="shared" si="61"/>
        <v>6.8296824847777901E-3</v>
      </c>
      <c r="AR168" s="94">
        <f t="shared" si="76"/>
        <v>3.0644072596977288E-2</v>
      </c>
      <c r="AS168" s="95">
        <v>1516703.6736954609</v>
      </c>
      <c r="AU168" s="141">
        <v>335.04186039361838</v>
      </c>
    </row>
    <row r="169" spans="1:47">
      <c r="A169" s="78">
        <v>2018</v>
      </c>
      <c r="B169" s="78">
        <v>9</v>
      </c>
      <c r="C169" s="317">
        <f t="shared" si="84"/>
        <v>277.87653293728147</v>
      </c>
      <c r="D169" s="324">
        <f t="shared" si="86"/>
        <v>0.1386427970893879</v>
      </c>
      <c r="E169" s="321">
        <f>$D169*'MWh Impact Summary'!B$24</f>
        <v>359495.74138697819</v>
      </c>
      <c r="F169" s="319">
        <f>$D169*'MWh Impact Summary'!N$24</f>
        <v>39107.805241010275</v>
      </c>
      <c r="G169" s="319">
        <f>$D169*'MWh Impact Summary'!C$24</f>
        <v>276217.44136034377</v>
      </c>
      <c r="H169" s="319">
        <f>$D169*'MWh Impact Summary'!D$24</f>
        <v>1033.0049694182289</v>
      </c>
      <c r="I169" s="319">
        <f>$D169*'MWh Impact Summary'!E$24</f>
        <v>106897.44802772079</v>
      </c>
      <c r="J169" s="104">
        <f t="shared" si="77"/>
        <v>782751.44098547136</v>
      </c>
      <c r="K169" s="298">
        <f t="shared" si="85"/>
        <v>11.683333333333334</v>
      </c>
      <c r="L169" s="300">
        <f t="shared" si="64"/>
        <v>8.2248034729555317E-2</v>
      </c>
      <c r="M169" s="297">
        <f>(30/365)</f>
        <v>8.2191780821917804E-2</v>
      </c>
      <c r="N169" s="304">
        <f>$M169*'MWh Impact Summary'!F$24</f>
        <v>110306.89975892202</v>
      </c>
      <c r="O169" s="304">
        <f>$M169*'MWh Impact Summary'!G$24</f>
        <v>5442.5894053217908</v>
      </c>
      <c r="P169" s="304">
        <f>$M169*'MWh Impact Summary'!H$24</f>
        <v>7080.4894313175073</v>
      </c>
      <c r="Q169" s="304">
        <f>$M169*'MWh Impact Summary'!I$24</f>
        <v>1279.005272907483</v>
      </c>
      <c r="R169" s="304">
        <f>$M169*'MWh Impact Summary'!J$24</f>
        <v>33597.975576016725</v>
      </c>
      <c r="S169" s="304">
        <f>$M169*'MWh Impact Summary'!K$24</f>
        <v>12871.189905114099</v>
      </c>
      <c r="T169" s="304">
        <f>$M169*'MWh Impact Summary'!L$24</f>
        <v>4697.2344840741098</v>
      </c>
      <c r="U169" s="304">
        <f>$M169*'MWh Impact Summary'!M$24</f>
        <v>14963.047325733936</v>
      </c>
      <c r="V169" s="304">
        <f>$M169*'LED Impact Forecast'!$H$25+$D169*'LED Impact Forecast'!$J$25</f>
        <v>42839.280227705778</v>
      </c>
      <c r="W169" s="304">
        <f>$M169*'CFL Impact Forecast'!$H$25+$D169*'CFL Impact Forecast'!$J$25</f>
        <v>350642.82984366477</v>
      </c>
      <c r="X169" s="304">
        <f>$M169*'EISA Incand Impact Forecast'!$G$25+$D169*'EISA Incand Impact Forecast'!$I$25</f>
        <v>131670.57758438471</v>
      </c>
      <c r="Y169" s="85">
        <f t="shared" si="69"/>
        <v>715391.11881516292</v>
      </c>
      <c r="Z169" s="81">
        <f t="shared" si="70"/>
        <v>1498142.5598006342</v>
      </c>
      <c r="AA169" s="81"/>
      <c r="AB169" s="262">
        <v>5005798.6680340152</v>
      </c>
      <c r="AC169" s="308">
        <f t="shared" si="78"/>
        <v>299.28142523339176</v>
      </c>
      <c r="AD169" s="309">
        <f t="shared" si="71"/>
        <v>156.36894188013565</v>
      </c>
      <c r="AE169" s="107">
        <f t="shared" si="72"/>
        <v>1.338393225792887E-2</v>
      </c>
      <c r="AF169" s="309">
        <f t="shared" si="79"/>
        <v>142.91248335325614</v>
      </c>
      <c r="AG169" s="107">
        <f t="shared" si="73"/>
        <v>1.2232166906127486E-2</v>
      </c>
      <c r="AH169" s="119">
        <f t="shared" si="80"/>
        <v>2.5616099164056355E-2</v>
      </c>
      <c r="AI169" s="122">
        <f t="shared" si="74"/>
        <v>2.5616099164056355E-2</v>
      </c>
      <c r="AJ169" s="87" t="b">
        <f t="shared" si="81"/>
        <v>1</v>
      </c>
      <c r="AK169" s="88">
        <f t="shared" si="87"/>
        <v>1.9033889943526477E-3</v>
      </c>
      <c r="AL169" s="312">
        <f>+AC169/'MWh by month-WgtbyCDH&amp;DayLtHrs'!AC169-1</f>
        <v>2.1342118204200622E-2</v>
      </c>
      <c r="AM169" s="89">
        <f t="shared" si="75"/>
        <v>350642.82984366477</v>
      </c>
      <c r="AN169" s="93"/>
      <c r="AO169" s="96">
        <f t="shared" si="62"/>
        <v>70.047329726382458</v>
      </c>
      <c r="AP169" s="92">
        <f t="shared" ref="AP169:AP232" si="90">+AO169/K169/1000</f>
        <v>5.9954918453394394E-3</v>
      </c>
      <c r="AR169" s="94">
        <f t="shared" si="76"/>
        <v>2.5616099164056355E-2</v>
      </c>
      <c r="AS169" s="95">
        <v>1433185.8171820336</v>
      </c>
      <c r="AU169" s="141">
        <v>299.28142523339176</v>
      </c>
    </row>
    <row r="170" spans="1:47">
      <c r="A170" s="78">
        <v>2018</v>
      </c>
      <c r="B170" s="78">
        <v>10</v>
      </c>
      <c r="C170" s="317">
        <f t="shared" si="84"/>
        <v>198.89039579254836</v>
      </c>
      <c r="D170" s="324">
        <f t="shared" si="86"/>
        <v>9.923371540380535E-2</v>
      </c>
      <c r="E170" s="321">
        <f>$D170*'MWh Impact Summary'!B$24</f>
        <v>257309.42276557689</v>
      </c>
      <c r="F170" s="319">
        <f>$D170*'MWh Impact Summary'!N$24</f>
        <v>27991.449226545566</v>
      </c>
      <c r="G170" s="319">
        <f>$D170*'MWh Impact Summary'!C$24</f>
        <v>197702.89940015707</v>
      </c>
      <c r="H170" s="319">
        <f>$D170*'MWh Impact Summary'!D$24</f>
        <v>739.37430070654216</v>
      </c>
      <c r="I170" s="319">
        <f>$D170*'MWh Impact Summary'!E$24</f>
        <v>76511.951270982187</v>
      </c>
      <c r="J170" s="104">
        <f t="shared" si="77"/>
        <v>560255.09696396824</v>
      </c>
      <c r="K170" s="298">
        <f t="shared" si="85"/>
        <v>12.466666666666667</v>
      </c>
      <c r="L170" s="300">
        <f t="shared" si="64"/>
        <v>8.7762524932535488E-2</v>
      </c>
      <c r="M170" s="297">
        <f t="shared" si="89"/>
        <v>8.4931506849315067E-2</v>
      </c>
      <c r="N170" s="304">
        <f>$M170*'MWh Impact Summary'!F$24</f>
        <v>113983.79641755276</v>
      </c>
      <c r="O170" s="304">
        <f>$M170*'MWh Impact Summary'!G$24</f>
        <v>5624.0090521658503</v>
      </c>
      <c r="P170" s="304">
        <f>$M170*'MWh Impact Summary'!H$24</f>
        <v>7316.5057456947579</v>
      </c>
      <c r="Q170" s="304">
        <f>$M170*'MWh Impact Summary'!I$24</f>
        <v>1321.6387820043992</v>
      </c>
      <c r="R170" s="304">
        <f>$M170*'MWh Impact Summary'!J$24</f>
        <v>34717.908095217281</v>
      </c>
      <c r="S170" s="304">
        <f>$M170*'MWh Impact Summary'!K$24</f>
        <v>13300.229568617904</v>
      </c>
      <c r="T170" s="304">
        <f>$M170*'MWh Impact Summary'!L$24</f>
        <v>4853.8089668765797</v>
      </c>
      <c r="U170" s="304">
        <f>$M170*'MWh Impact Summary'!M$24</f>
        <v>15461.815569925069</v>
      </c>
      <c r="V170" s="304">
        <f>$M170*'LED Impact Forecast'!$H$25+$D170*'LED Impact Forecast'!$J$25</f>
        <v>41726.228374590151</v>
      </c>
      <c r="W170" s="304">
        <f>$M170*'CFL Impact Forecast'!$H$25+$D170*'CFL Impact Forecast'!$J$25</f>
        <v>337452.54165363219</v>
      </c>
      <c r="X170" s="304">
        <f>$M170*'EISA Incand Impact Forecast'!$G$25+$D170*'EISA Incand Impact Forecast'!$I$25</f>
        <v>126120.7088761811</v>
      </c>
      <c r="Y170" s="85">
        <f t="shared" si="69"/>
        <v>701879.19110245816</v>
      </c>
      <c r="Z170" s="81">
        <f t="shared" si="70"/>
        <v>1262134.2880664263</v>
      </c>
      <c r="AA170" s="81"/>
      <c r="AB170" s="262">
        <v>5011255.4649064513</v>
      </c>
      <c r="AC170" s="308">
        <f t="shared" si="78"/>
        <v>251.85989756560684</v>
      </c>
      <c r="AD170" s="309">
        <f t="shared" si="71"/>
        <v>111.79934866370397</v>
      </c>
      <c r="AE170" s="107">
        <f t="shared" si="72"/>
        <v>8.9678621922757197E-3</v>
      </c>
      <c r="AF170" s="309">
        <f t="shared" si="79"/>
        <v>140.06054890190288</v>
      </c>
      <c r="AG170" s="107">
        <f t="shared" si="73"/>
        <v>1.1234803387853171E-2</v>
      </c>
      <c r="AH170" s="119">
        <f t="shared" si="80"/>
        <v>2.0202665580128891E-2</v>
      </c>
      <c r="AI170" s="122">
        <f t="shared" si="74"/>
        <v>2.0202665580128891E-2</v>
      </c>
      <c r="AJ170" s="87" t="b">
        <f t="shared" si="81"/>
        <v>1</v>
      </c>
      <c r="AK170" s="88">
        <f t="shared" si="87"/>
        <v>1.4874711499093529E-3</v>
      </c>
      <c r="AL170" s="312">
        <f>+AC170/'MWh by month-WgtbyCDH&amp;DayLtHrs'!AC170-1</f>
        <v>-1.3819445722721757E-2</v>
      </c>
      <c r="AM170" s="89">
        <f t="shared" si="75"/>
        <v>337452.54165363219</v>
      </c>
      <c r="AN170" s="93"/>
      <c r="AO170" s="96">
        <f t="shared" si="62"/>
        <v>67.338922155694092</v>
      </c>
      <c r="AP170" s="92">
        <f t="shared" si="90"/>
        <v>5.4015178199754623E-3</v>
      </c>
      <c r="AR170" s="94">
        <f t="shared" si="76"/>
        <v>2.0202665580128891E-2</v>
      </c>
      <c r="AS170" s="95">
        <v>1155848.495995641</v>
      </c>
      <c r="AU170" s="141">
        <v>251.85989756560684</v>
      </c>
    </row>
    <row r="171" spans="1:47">
      <c r="A171" s="78">
        <v>2018</v>
      </c>
      <c r="B171" s="78">
        <v>11</v>
      </c>
      <c r="C171" s="317">
        <f t="shared" si="84"/>
        <v>78.117279066674627</v>
      </c>
      <c r="D171" s="324">
        <f t="shared" si="86"/>
        <v>3.8975576513546578E-2</v>
      </c>
      <c r="E171" s="321">
        <f>$D171*'MWh Impact Summary'!B$24</f>
        <v>101062.25544258588</v>
      </c>
      <c r="F171" s="319">
        <f>$D171*'MWh Impact Summary'!N$24</f>
        <v>10994.074610779358</v>
      </c>
      <c r="G171" s="319">
        <f>$D171*'MWh Impact Summary'!C$24</f>
        <v>77650.87149226437</v>
      </c>
      <c r="H171" s="319">
        <f>$D171*'MWh Impact Summary'!D$24</f>
        <v>290.40069206390666</v>
      </c>
      <c r="I171" s="319">
        <f>$D171*'MWh Impact Summary'!E$24</f>
        <v>30051.252226403671</v>
      </c>
      <c r="J171" s="104">
        <f t="shared" si="77"/>
        <v>220048.85446409718</v>
      </c>
      <c r="K171" s="298">
        <f t="shared" si="85"/>
        <v>13.15</v>
      </c>
      <c r="L171" s="300">
        <f t="shared" si="64"/>
        <v>9.2573037662794788E-2</v>
      </c>
      <c r="M171" s="297">
        <f>(30/365)</f>
        <v>8.2191780821917804E-2</v>
      </c>
      <c r="N171" s="304">
        <f>$M171*'MWh Impact Summary'!F$24</f>
        <v>110306.89975892202</v>
      </c>
      <c r="O171" s="304">
        <f>$M171*'MWh Impact Summary'!G$24</f>
        <v>5442.5894053217908</v>
      </c>
      <c r="P171" s="304">
        <f>$M171*'MWh Impact Summary'!H$24</f>
        <v>7080.4894313175073</v>
      </c>
      <c r="Q171" s="304">
        <f>$M171*'MWh Impact Summary'!I$24</f>
        <v>1279.005272907483</v>
      </c>
      <c r="R171" s="304">
        <f>$M171*'MWh Impact Summary'!J$24</f>
        <v>33597.975576016725</v>
      </c>
      <c r="S171" s="304">
        <f>$M171*'MWh Impact Summary'!K$24</f>
        <v>12871.189905114099</v>
      </c>
      <c r="T171" s="304">
        <f>$M171*'MWh Impact Summary'!L$24</f>
        <v>4697.2344840741098</v>
      </c>
      <c r="U171" s="304">
        <f>$M171*'MWh Impact Summary'!M$24</f>
        <v>14963.047325733936</v>
      </c>
      <c r="V171" s="304">
        <f>$M171*'LED Impact Forecast'!$H$25+$D171*'LED Impact Forecast'!$J$25</f>
        <v>37087.423292185413</v>
      </c>
      <c r="W171" s="304">
        <f>$M171*'CFL Impact Forecast'!$H$25+$D171*'CFL Impact Forecast'!$J$25</f>
        <v>294328.25760130078</v>
      </c>
      <c r="X171" s="304">
        <f>$M171*'EISA Incand Impact Forecast'!$G$25+$D171*'EISA Incand Impact Forecast'!$I$25</f>
        <v>109172.96449876782</v>
      </c>
      <c r="Y171" s="85">
        <f t="shared" si="69"/>
        <v>630827.07655166171</v>
      </c>
      <c r="Z171" s="81">
        <f t="shared" si="70"/>
        <v>850875.93101575889</v>
      </c>
      <c r="AA171" s="81"/>
      <c r="AB171" s="262">
        <v>5016812.6063650586</v>
      </c>
      <c r="AC171" s="308">
        <f t="shared" si="78"/>
        <v>169.60488616541383</v>
      </c>
      <c r="AD171" s="309">
        <f t="shared" si="71"/>
        <v>43.862283033037983</v>
      </c>
      <c r="AE171" s="107">
        <f t="shared" si="72"/>
        <v>3.3355348314097325E-3</v>
      </c>
      <c r="AF171" s="309">
        <f t="shared" si="79"/>
        <v>125.74260313237586</v>
      </c>
      <c r="AG171" s="107">
        <f t="shared" si="73"/>
        <v>9.5621751431464522E-3</v>
      </c>
      <c r="AH171" s="119">
        <f t="shared" si="80"/>
        <v>1.2897709974556184E-2</v>
      </c>
      <c r="AI171" s="122">
        <f t="shared" si="74"/>
        <v>1.2897709974556184E-2</v>
      </c>
      <c r="AJ171" s="87" t="b">
        <f t="shared" si="81"/>
        <v>1</v>
      </c>
      <c r="AK171" s="88">
        <f t="shared" si="87"/>
        <v>9.2878428076417427E-4</v>
      </c>
      <c r="AL171" s="312">
        <f>+AC171/'MWh by month-WgtbyCDH&amp;DayLtHrs'!AC171-1</f>
        <v>-0.1207569217971115</v>
      </c>
      <c r="AM171" s="89">
        <f t="shared" si="75"/>
        <v>294328.25760130078</v>
      </c>
      <c r="AN171" s="93"/>
      <c r="AO171" s="96">
        <f t="shared" ref="AO171:AO234" si="91">+AM171*1000/AB171</f>
        <v>58.668377851680788</v>
      </c>
      <c r="AP171" s="92">
        <f t="shared" si="90"/>
        <v>4.461473600888272E-3</v>
      </c>
      <c r="AR171" s="94">
        <f t="shared" si="76"/>
        <v>1.2897709974556184E-2</v>
      </c>
      <c r="AS171" s="95">
        <v>893899.58279067918</v>
      </c>
      <c r="AU171" s="141">
        <v>169.60488616541383</v>
      </c>
    </row>
    <row r="172" spans="1:47">
      <c r="A172" s="78">
        <v>2018</v>
      </c>
      <c r="B172" s="78">
        <v>12</v>
      </c>
      <c r="C172" s="317">
        <f t="shared" si="84"/>
        <v>42.633806123140985</v>
      </c>
      <c r="D172" s="324">
        <f t="shared" si="86"/>
        <v>2.1271570035074034E-2</v>
      </c>
      <c r="E172" s="321">
        <f>$D172*'MWh Impact Summary'!B$24</f>
        <v>55156.409137458861</v>
      </c>
      <c r="F172" s="319">
        <f>$D172*'MWh Impact Summary'!N$24</f>
        <v>6000.1993292579073</v>
      </c>
      <c r="G172" s="319">
        <f>$D172*'MWh Impact Summary'!C$24</f>
        <v>42379.25642121397</v>
      </c>
      <c r="H172" s="319">
        <f>$D172*'MWh Impact Summary'!D$24</f>
        <v>158.49101442603032</v>
      </c>
      <c r="I172" s="319">
        <f>$D172*'MWh Impact Summary'!E$24</f>
        <v>16400.971417406567</v>
      </c>
      <c r="J172" s="104">
        <f t="shared" si="77"/>
        <v>120095.32731976334</v>
      </c>
      <c r="K172" s="298">
        <f t="shared" si="85"/>
        <v>13.483333333333333</v>
      </c>
      <c r="L172" s="300">
        <f t="shared" si="64"/>
        <v>9.491962923853102E-2</v>
      </c>
      <c r="M172" s="297">
        <f t="shared" si="89"/>
        <v>8.4931506849315067E-2</v>
      </c>
      <c r="N172" s="304">
        <f>$M172*'MWh Impact Summary'!F$24</f>
        <v>113983.79641755276</v>
      </c>
      <c r="O172" s="304">
        <f>$M172*'MWh Impact Summary'!G$24</f>
        <v>5624.0090521658503</v>
      </c>
      <c r="P172" s="304">
        <f>$M172*'MWh Impact Summary'!H$24</f>
        <v>7316.5057456947579</v>
      </c>
      <c r="Q172" s="304">
        <f>$M172*'MWh Impact Summary'!I$24</f>
        <v>1321.6387820043992</v>
      </c>
      <c r="R172" s="304">
        <f>$M172*'MWh Impact Summary'!J$24</f>
        <v>34717.908095217281</v>
      </c>
      <c r="S172" s="304">
        <f>$M172*'MWh Impact Summary'!K$24</f>
        <v>13300.229568617904</v>
      </c>
      <c r="T172" s="304">
        <f>$M172*'MWh Impact Summary'!L$24</f>
        <v>4853.8089668765797</v>
      </c>
      <c r="U172" s="304">
        <f>$M172*'MWh Impact Summary'!M$24</f>
        <v>15461.815569925069</v>
      </c>
      <c r="V172" s="304">
        <f>$M172*'LED Impact Forecast'!$H$25+$D172*'LED Impact Forecast'!$J$25</f>
        <v>37226.984752099896</v>
      </c>
      <c r="W172" s="304">
        <f>$M172*'CFL Impact Forecast'!$H$25+$D172*'CFL Impact Forecast'!$J$25</f>
        <v>293401.90151165845</v>
      </c>
      <c r="X172" s="304">
        <f>$M172*'EISA Incand Impact Forecast'!$G$25+$D172*'EISA Incand Impact Forecast'!$I$25</f>
        <v>108522.52391931592</v>
      </c>
      <c r="Y172" s="85">
        <f t="shared" si="69"/>
        <v>635731.12238112884</v>
      </c>
      <c r="Z172" s="81">
        <f t="shared" si="70"/>
        <v>755826.4497008922</v>
      </c>
      <c r="AA172" s="81">
        <f>SUM(Z161:Z172)</f>
        <v>13766996.658649478</v>
      </c>
      <c r="AB172" s="262">
        <v>5022446.1507833218</v>
      </c>
      <c r="AC172" s="308">
        <f t="shared" si="78"/>
        <v>150.48970700920515</v>
      </c>
      <c r="AD172" s="309">
        <f t="shared" si="71"/>
        <v>23.911720248316204</v>
      </c>
      <c r="AE172" s="107">
        <f t="shared" si="72"/>
        <v>1.7734279541396444E-3</v>
      </c>
      <c r="AF172" s="309">
        <f t="shared" si="79"/>
        <v>126.57798676088892</v>
      </c>
      <c r="AG172" s="107">
        <f t="shared" si="73"/>
        <v>9.387736966196953E-3</v>
      </c>
      <c r="AH172" s="119">
        <f t="shared" si="80"/>
        <v>1.1161164920336598E-2</v>
      </c>
      <c r="AI172" s="122">
        <f t="shared" si="74"/>
        <v>1.11611649203366E-2</v>
      </c>
      <c r="AJ172" s="87" t="b">
        <f t="shared" si="81"/>
        <v>1</v>
      </c>
      <c r="AK172" s="88">
        <f t="shared" si="87"/>
        <v>7.9426763712014091E-4</v>
      </c>
      <c r="AL172" s="312">
        <f>+AC172/'MWh by month-WgtbyCDH&amp;DayLtHrs'!AC172-1</f>
        <v>-0.14381018265893541</v>
      </c>
      <c r="AM172" s="89">
        <f t="shared" si="75"/>
        <v>293401.90151165845</v>
      </c>
      <c r="AN172" s="90">
        <f>SUM(AM161:AM172)</f>
        <v>3878082.8693543654</v>
      </c>
      <c r="AO172" s="96">
        <f t="shared" si="91"/>
        <v>58.418127880952639</v>
      </c>
      <c r="AP172" s="92">
        <f t="shared" si="90"/>
        <v>4.3326176425922854E-3</v>
      </c>
      <c r="AR172" s="94">
        <f t="shared" si="76"/>
        <v>1.11611649203366E-2</v>
      </c>
      <c r="AS172" s="95">
        <v>738281.07191137853</v>
      </c>
      <c r="AU172" s="141">
        <v>150.48970700920515</v>
      </c>
    </row>
    <row r="173" spans="1:47">
      <c r="A173" s="78">
        <v>2019</v>
      </c>
      <c r="B173" s="78">
        <v>1</v>
      </c>
      <c r="C173" s="317">
        <f t="shared" si="84"/>
        <v>26.112829868525239</v>
      </c>
      <c r="D173" s="324">
        <f t="shared" si="86"/>
        <v>1.6125648960134388E-2</v>
      </c>
      <c r="E173" s="321">
        <f>$D173*'MWh Impact Summary'!B$25</f>
        <v>46020.646345761939</v>
      </c>
      <c r="F173" s="319">
        <f>$D173*'MWh Impact Summary'!N$25</f>
        <v>5377.3737135091251</v>
      </c>
      <c r="G173" s="319">
        <f>$D173*'MWh Impact Summary'!C$25</f>
        <v>34742.009095421643</v>
      </c>
      <c r="H173" s="319">
        <f>$D173*'MWh Impact Summary'!D$25</f>
        <v>133.74749838179227</v>
      </c>
      <c r="I173" s="319">
        <f>$D173*'MWh Impact Summary'!E$25</f>
        <v>13363.683008270038</v>
      </c>
      <c r="J173" s="104">
        <f t="shared" si="77"/>
        <v>99637.459661344532</v>
      </c>
      <c r="K173" s="298">
        <f t="shared" si="85"/>
        <v>13.3</v>
      </c>
      <c r="L173" s="300">
        <f t="shared" si="64"/>
        <v>9.3629003871876101E-2</v>
      </c>
      <c r="M173" s="297">
        <f>(31/365)</f>
        <v>8.4931506849315067E-2</v>
      </c>
      <c r="N173" s="304">
        <f>$M173*'MWh Impact Summary'!F$25</f>
        <v>124811.28459773332</v>
      </c>
      <c r="O173" s="304">
        <f>$M173*'MWh Impact Summary'!G$25</f>
        <v>8441.7535575178408</v>
      </c>
      <c r="P173" s="304">
        <f>$M173*'MWh Impact Summary'!H$25</f>
        <v>8478.4823916279402</v>
      </c>
      <c r="Q173" s="304">
        <f>$M173*'MWh Impact Summary'!I$25</f>
        <v>1414.2366962017231</v>
      </c>
      <c r="R173" s="304">
        <f>$M173*'MWh Impact Summary'!J$25</f>
        <v>39021.332976499914</v>
      </c>
      <c r="S173" s="304">
        <f>$M173*'MWh Impact Summary'!K$25</f>
        <v>17312.223108981307</v>
      </c>
      <c r="T173" s="304">
        <f>$M173*'MWh Impact Summary'!L$25</f>
        <v>6126.1590904431287</v>
      </c>
      <c r="U173" s="304">
        <f>$M173*'MWh Impact Summary'!M$25</f>
        <v>19857.320630166058</v>
      </c>
      <c r="V173" s="304">
        <f>$M173*'LED Impact Forecast'!$H$26+$D173*'LED Impact Forecast'!$J$26</f>
        <v>55967.873832676851</v>
      </c>
      <c r="W173" s="304">
        <f>$M173*'CFL Impact Forecast'!$H$26+$D173*'CFL Impact Forecast'!$J$26</f>
        <v>297919.09363534988</v>
      </c>
      <c r="X173" s="304">
        <f>$M173*'EISA Incand Impact Forecast'!$G$26+$D173*'EISA Incand Impact Forecast'!$I$26</f>
        <v>108166.38458166213</v>
      </c>
      <c r="Y173" s="85">
        <f t="shared" si="69"/>
        <v>687516.14509886014</v>
      </c>
      <c r="Z173" s="81">
        <f t="shared" si="70"/>
        <v>787153.60476020467</v>
      </c>
      <c r="AA173" s="81"/>
      <c r="AB173" s="262">
        <v>5028344.8487463314</v>
      </c>
      <c r="AC173" s="308">
        <f t="shared" si="78"/>
        <v>156.54328182293585</v>
      </c>
      <c r="AD173" s="309">
        <f t="shared" si="71"/>
        <v>19.81516038745556</v>
      </c>
      <c r="AE173" s="107">
        <f t="shared" si="72"/>
        <v>1.4898616832673352E-3</v>
      </c>
      <c r="AF173" s="309">
        <f t="shared" si="79"/>
        <v>136.72812143548029</v>
      </c>
      <c r="AG173" s="107">
        <f t="shared" si="73"/>
        <v>1.0280309882366938E-2</v>
      </c>
      <c r="AH173" s="119">
        <f t="shared" si="80"/>
        <v>1.1770171565634273E-2</v>
      </c>
      <c r="AI173" s="122">
        <f t="shared" si="74"/>
        <v>1.1770171565634275E-2</v>
      </c>
      <c r="AJ173" s="87" t="b">
        <f t="shared" si="81"/>
        <v>1</v>
      </c>
      <c r="AK173" s="88">
        <f t="shared" si="87"/>
        <v>8.2018715648752259E-4</v>
      </c>
      <c r="AL173" s="312">
        <f>+AC173/'MWh by month-WgtbyCDH&amp;DayLtHrs'!AC173-1</f>
        <v>-0.12264628983253356</v>
      </c>
      <c r="AM173" s="89">
        <f t="shared" si="75"/>
        <v>297919.09363534988</v>
      </c>
      <c r="AN173" s="93"/>
      <c r="AO173" s="96">
        <f t="shared" si="91"/>
        <v>59.247943925251498</v>
      </c>
      <c r="AP173" s="92">
        <f t="shared" si="90"/>
        <v>4.4547326259587591E-3</v>
      </c>
      <c r="AR173" s="94">
        <f t="shared" si="76"/>
        <v>1.1770171565634275E-2</v>
      </c>
      <c r="AS173" s="95">
        <v>761448.87440197717</v>
      </c>
      <c r="AU173" s="141">
        <v>156.54328182293585</v>
      </c>
    </row>
    <row r="174" spans="1:47">
      <c r="A174" s="78">
        <v>2019</v>
      </c>
      <c r="B174" s="78">
        <v>2</v>
      </c>
      <c r="C174" s="317">
        <f t="shared" si="84"/>
        <v>35.042184420393127</v>
      </c>
      <c r="D174" s="324">
        <f t="shared" si="86"/>
        <v>9.4849425755900163E-3</v>
      </c>
      <c r="E174" s="321">
        <f>$D174*'MWh Impact Summary'!B$25</f>
        <v>27068.875737045113</v>
      </c>
      <c r="F174" s="319">
        <f>$D174*'MWh Impact Summary'!N$25</f>
        <v>3162.9164820723117</v>
      </c>
      <c r="G174" s="319">
        <f>$D174*'MWh Impact Summary'!C$25</f>
        <v>20434.896111489837</v>
      </c>
      <c r="H174" s="319">
        <f>$D174*'MWh Impact Summary'!D$25</f>
        <v>78.66891713420668</v>
      </c>
      <c r="I174" s="319">
        <f>$D174*'MWh Impact Summary'!E$25</f>
        <v>7860.382316717194</v>
      </c>
      <c r="J174" s="104">
        <f t="shared" si="77"/>
        <v>58605.739564458665</v>
      </c>
      <c r="K174" s="298">
        <f t="shared" si="85"/>
        <v>12.733333333333333</v>
      </c>
      <c r="L174" s="300">
        <f t="shared" si="64"/>
        <v>8.9639798193124468E-2</v>
      </c>
      <c r="M174" s="297">
        <f>(28/365)</f>
        <v>7.6712328767123292E-2</v>
      </c>
      <c r="N174" s="304">
        <f>$M174*'MWh Impact Summary'!F$25</f>
        <v>112732.77318504945</v>
      </c>
      <c r="O174" s="304">
        <f>$M174*'MWh Impact Summary'!G$25</f>
        <v>7624.8096648548253</v>
      </c>
      <c r="P174" s="304">
        <f>$M174*'MWh Impact Summary'!H$25</f>
        <v>7657.9840956639473</v>
      </c>
      <c r="Q174" s="304">
        <f>$M174*'MWh Impact Summary'!I$25</f>
        <v>1277.3750804402662</v>
      </c>
      <c r="R174" s="304">
        <f>$M174*'MWh Impact Summary'!J$25</f>
        <v>35245.074946516055</v>
      </c>
      <c r="S174" s="304">
        <f>$M174*'MWh Impact Summary'!K$25</f>
        <v>15636.84667907989</v>
      </c>
      <c r="T174" s="304">
        <f>$M174*'MWh Impact Summary'!L$25</f>
        <v>5533.3049849163754</v>
      </c>
      <c r="U174" s="304">
        <f>$M174*'MWh Impact Summary'!M$25</f>
        <v>17935.64444014999</v>
      </c>
      <c r="V174" s="304">
        <f>$M174*'LED Impact Forecast'!$H$26+$D174*'LED Impact Forecast'!$J$26</f>
        <v>50075.591011830889</v>
      </c>
      <c r="W174" s="304">
        <f>$M174*'CFL Impact Forecast'!$H$26+$D174*'CFL Impact Forecast'!$J$26</f>
        <v>266140.56628324301</v>
      </c>
      <c r="X174" s="304">
        <f>$M174*'EISA Incand Impact Forecast'!$G$26+$D174*'EISA Incand Impact Forecast'!$I$26</f>
        <v>96542.165403192455</v>
      </c>
      <c r="Y174" s="85">
        <f t="shared" si="69"/>
        <v>616402.13577493723</v>
      </c>
      <c r="Z174" s="81">
        <f t="shared" si="70"/>
        <v>675007.87533939583</v>
      </c>
      <c r="AA174" s="81"/>
      <c r="AB174" s="262">
        <v>5033985.8735689241</v>
      </c>
      <c r="AC174" s="308">
        <f t="shared" si="78"/>
        <v>134.09014095242946</v>
      </c>
      <c r="AD174" s="309">
        <f t="shared" si="71"/>
        <v>11.642015102221412</v>
      </c>
      <c r="AE174" s="107">
        <f t="shared" si="72"/>
        <v>9.1429437975560832E-4</v>
      </c>
      <c r="AF174" s="309">
        <f t="shared" si="79"/>
        <v>122.44812585020807</v>
      </c>
      <c r="AG174" s="107">
        <f t="shared" si="73"/>
        <v>9.6163449620582271E-3</v>
      </c>
      <c r="AH174" s="119">
        <f t="shared" si="80"/>
        <v>1.0530639341813836E-2</v>
      </c>
      <c r="AI174" s="122">
        <f t="shared" si="74"/>
        <v>1.0530639341813834E-2</v>
      </c>
      <c r="AJ174" s="87" t="b">
        <f t="shared" si="81"/>
        <v>1</v>
      </c>
      <c r="AK174" s="88">
        <f t="shared" si="87"/>
        <v>7.3391697841540364E-4</v>
      </c>
      <c r="AL174" s="312">
        <f>+AC174/'MWh by month-WgtbyCDH&amp;DayLtHrs'!AC174-1</f>
        <v>-0.24527524858749905</v>
      </c>
      <c r="AM174" s="89">
        <f t="shared" si="75"/>
        <v>266140.56628324301</v>
      </c>
      <c r="AN174" s="93"/>
      <c r="AO174" s="96">
        <f t="shared" si="91"/>
        <v>52.86875509139211</v>
      </c>
      <c r="AP174" s="92">
        <f t="shared" si="90"/>
        <v>4.1519964731459771E-3</v>
      </c>
      <c r="AR174" s="94">
        <f t="shared" si="76"/>
        <v>1.0530639341813834E-2</v>
      </c>
      <c r="AS174" s="95">
        <v>707451.56583231059</v>
      </c>
      <c r="AU174" s="141">
        <v>134.09014095242946</v>
      </c>
    </row>
    <row r="175" spans="1:47">
      <c r="A175" s="78">
        <v>2019</v>
      </c>
      <c r="B175" s="78">
        <v>3</v>
      </c>
      <c r="C175" s="317">
        <f t="shared" si="84"/>
        <v>64.582270600115152</v>
      </c>
      <c r="D175" s="324">
        <f t="shared" si="86"/>
        <v>5.6112649790650677E-2</v>
      </c>
      <c r="E175" s="321">
        <f>$D175*'MWh Impact Summary'!B$25</f>
        <v>160138.69692457988</v>
      </c>
      <c r="F175" s="319">
        <f>$D175*'MWh Impact Summary'!N$25</f>
        <v>18711.723709572409</v>
      </c>
      <c r="G175" s="319">
        <f>$D175*'MWh Impact Summary'!C$25</f>
        <v>120892.26264409198</v>
      </c>
      <c r="H175" s="319">
        <f>$D175*'MWh Impact Summary'!D$25</f>
        <v>465.4030703276938</v>
      </c>
      <c r="I175" s="319">
        <f>$D175*'MWh Impact Summary'!E$25</f>
        <v>46501.79762750314</v>
      </c>
      <c r="J175" s="104">
        <f t="shared" si="77"/>
        <v>346709.8839760751</v>
      </c>
      <c r="K175" s="298">
        <f t="shared" si="85"/>
        <v>12</v>
      </c>
      <c r="L175" s="300">
        <f t="shared" si="64"/>
        <v>8.4477296726504739E-2</v>
      </c>
      <c r="M175" s="297">
        <f t="shared" ref="M175:M184" si="92">(31/365)</f>
        <v>8.4931506849315067E-2</v>
      </c>
      <c r="N175" s="304">
        <f>$M175*'MWh Impact Summary'!F$25</f>
        <v>124811.28459773332</v>
      </c>
      <c r="O175" s="304">
        <f>$M175*'MWh Impact Summary'!G$25</f>
        <v>8441.7535575178408</v>
      </c>
      <c r="P175" s="304">
        <f>$M175*'MWh Impact Summary'!H$25</f>
        <v>8478.4823916279402</v>
      </c>
      <c r="Q175" s="304">
        <f>$M175*'MWh Impact Summary'!I$25</f>
        <v>1414.2366962017231</v>
      </c>
      <c r="R175" s="304">
        <f>$M175*'MWh Impact Summary'!J$25</f>
        <v>39021.332976499914</v>
      </c>
      <c r="S175" s="304">
        <f>$M175*'MWh Impact Summary'!K$25</f>
        <v>17312.223108981307</v>
      </c>
      <c r="T175" s="304">
        <f>$M175*'MWh Impact Summary'!L$25</f>
        <v>6126.1590904431287</v>
      </c>
      <c r="U175" s="304">
        <f>$M175*'MWh Impact Summary'!M$25</f>
        <v>19857.320630166058</v>
      </c>
      <c r="V175" s="304">
        <f>$M175*'LED Impact Forecast'!$H$26+$D175*'LED Impact Forecast'!$J$26</f>
        <v>59714.860471005566</v>
      </c>
      <c r="W175" s="304">
        <f>$M175*'CFL Impact Forecast'!$H$26+$D175*'CFL Impact Forecast'!$J$26</f>
        <v>321120.64292783133</v>
      </c>
      <c r="X175" s="304">
        <f>$M175*'EISA Incand Impact Forecast'!$G$26+$D175*'EISA Incand Impact Forecast'!$I$26</f>
        <v>117269.47399100929</v>
      </c>
      <c r="Y175" s="85">
        <f t="shared" si="69"/>
        <v>723567.77043901745</v>
      </c>
      <c r="Z175" s="81">
        <f t="shared" si="70"/>
        <v>1070277.6544150924</v>
      </c>
      <c r="AA175" s="81"/>
      <c r="AB175" s="262">
        <v>5039839.6897841692</v>
      </c>
      <c r="AC175" s="308">
        <f t="shared" si="78"/>
        <v>212.36343223070395</v>
      </c>
      <c r="AD175" s="309">
        <f t="shared" si="71"/>
        <v>68.793831811527909</v>
      </c>
      <c r="AE175" s="107">
        <f t="shared" si="72"/>
        <v>5.7328193176273256E-3</v>
      </c>
      <c r="AF175" s="309">
        <f t="shared" si="79"/>
        <v>143.56960041917606</v>
      </c>
      <c r="AG175" s="107">
        <f t="shared" si="73"/>
        <v>1.1964133368264671E-2</v>
      </c>
      <c r="AH175" s="119">
        <f t="shared" si="80"/>
        <v>1.7696952685891998E-2</v>
      </c>
      <c r="AI175" s="122">
        <f t="shared" si="74"/>
        <v>1.7696952685891998E-2</v>
      </c>
      <c r="AJ175" s="87" t="b">
        <f t="shared" si="81"/>
        <v>1</v>
      </c>
      <c r="AK175" s="88">
        <f t="shared" si="87"/>
        <v>1.2373946772072306E-3</v>
      </c>
      <c r="AL175" s="312">
        <f>+AC175/'MWh by month-WgtbyCDH&amp;DayLtHrs'!AC175-1</f>
        <v>0.12987844315161556</v>
      </c>
      <c r="AM175" s="89">
        <f t="shared" si="75"/>
        <v>321120.64292783133</v>
      </c>
      <c r="AN175" s="93"/>
      <c r="AO175" s="96">
        <f t="shared" si="91"/>
        <v>63.716439945252169</v>
      </c>
      <c r="AP175" s="92">
        <f t="shared" si="90"/>
        <v>5.3097033287710137E-3</v>
      </c>
      <c r="AR175" s="94">
        <f t="shared" si="76"/>
        <v>1.7696952685891998E-2</v>
      </c>
      <c r="AS175" s="95">
        <v>857008.83732047398</v>
      </c>
      <c r="AU175" s="141">
        <v>212.36343223070395</v>
      </c>
    </row>
    <row r="176" spans="1:47">
      <c r="A176" s="78">
        <v>2019</v>
      </c>
      <c r="B176" s="78">
        <v>4</v>
      </c>
      <c r="C176" s="317">
        <f t="shared" si="84"/>
        <v>114.03392869270741</v>
      </c>
      <c r="D176" s="324">
        <f t="shared" si="86"/>
        <v>5.6895710731417456E-2</v>
      </c>
      <c r="E176" s="321">
        <f>$D176*'MWh Impact Summary'!B$25</f>
        <v>162373.45787660716</v>
      </c>
      <c r="F176" s="319">
        <f>$D176*'MWh Impact Summary'!N$25</f>
        <v>18972.848786111335</v>
      </c>
      <c r="G176" s="319">
        <f>$D176*'MWh Impact Summary'!C$25</f>
        <v>122579.33337182798</v>
      </c>
      <c r="H176" s="319">
        <f>$D176*'MWh Impact Summary'!D$25</f>
        <v>471.8978440987816</v>
      </c>
      <c r="I176" s="319">
        <f>$D176*'MWh Impact Summary'!E$25</f>
        <v>47150.737599744592</v>
      </c>
      <c r="J176" s="104">
        <f t="shared" si="77"/>
        <v>351548.27547838987</v>
      </c>
      <c r="K176" s="298">
        <f t="shared" si="85"/>
        <v>11.2</v>
      </c>
      <c r="L176" s="300">
        <f t="shared" si="64"/>
        <v>7.8845476944737758E-2</v>
      </c>
      <c r="M176" s="297">
        <f>(30/365)</f>
        <v>8.2191780821917804E-2</v>
      </c>
      <c r="N176" s="304">
        <f>$M176*'MWh Impact Summary'!F$25</f>
        <v>120785.11412683869</v>
      </c>
      <c r="O176" s="304">
        <f>$M176*'MWh Impact Summary'!G$25</f>
        <v>8169.4389266301687</v>
      </c>
      <c r="P176" s="304">
        <f>$M176*'MWh Impact Summary'!H$25</f>
        <v>8204.9829596399431</v>
      </c>
      <c r="Q176" s="304">
        <f>$M176*'MWh Impact Summary'!I$25</f>
        <v>1368.6161576145707</v>
      </c>
      <c r="R176" s="304">
        <f>$M176*'MWh Impact Summary'!J$25</f>
        <v>37762.580299838621</v>
      </c>
      <c r="S176" s="304">
        <f>$M176*'MWh Impact Summary'!K$25</f>
        <v>16753.764299014165</v>
      </c>
      <c r="T176" s="304">
        <f>$M176*'MWh Impact Summary'!L$25</f>
        <v>5928.5410552675439</v>
      </c>
      <c r="U176" s="304">
        <f>$M176*'MWh Impact Summary'!M$25</f>
        <v>19216.761900160702</v>
      </c>
      <c r="V176" s="304">
        <f>$M176*'LED Impact Forecast'!$H$26+$D176*'LED Impact Forecast'!$J$26</f>
        <v>58031.565740895858</v>
      </c>
      <c r="W176" s="304">
        <f>$M176*'CFL Impact Forecast'!$H$26+$D176*'CFL Impact Forecast'!$J$26</f>
        <v>312266.52684015065</v>
      </c>
      <c r="X176" s="304">
        <f>$M176*'EISA Incand Impact Forecast'!$G$26+$D176*'EISA Incand Impact Forecast'!$I$26</f>
        <v>114076.92067152099</v>
      </c>
      <c r="Y176" s="85">
        <f t="shared" si="69"/>
        <v>702564.81297757186</v>
      </c>
      <c r="Z176" s="81">
        <f t="shared" si="70"/>
        <v>1054113.0884559618</v>
      </c>
      <c r="AA176" s="81"/>
      <c r="AB176" s="262">
        <v>5045414.9673927901</v>
      </c>
      <c r="AC176" s="308">
        <f t="shared" si="78"/>
        <v>208.92495369923418</v>
      </c>
      <c r="AD176" s="309">
        <f t="shared" si="71"/>
        <v>69.676781345113397</v>
      </c>
      <c r="AE176" s="107">
        <f t="shared" si="72"/>
        <v>6.2211411915279822E-3</v>
      </c>
      <c r="AF176" s="309">
        <f t="shared" si="79"/>
        <v>139.24817235412075</v>
      </c>
      <c r="AG176" s="107">
        <f t="shared" si="73"/>
        <v>1.2432872531617924E-2</v>
      </c>
      <c r="AH176" s="119">
        <f t="shared" si="80"/>
        <v>1.8654013723145908E-2</v>
      </c>
      <c r="AI176" s="122">
        <f t="shared" si="74"/>
        <v>1.8654013723145908E-2</v>
      </c>
      <c r="AJ176" s="87" t="b">
        <f t="shared" si="81"/>
        <v>1</v>
      </c>
      <c r="AK176" s="88">
        <f t="shared" si="87"/>
        <v>1.3050486056418939E-3</v>
      </c>
      <c r="AL176" s="312">
        <f>+AC176/'MWh by month-WgtbyCDH&amp;DayLtHrs'!AC176-1</f>
        <v>-4.6750422018756455E-3</v>
      </c>
      <c r="AM176" s="89">
        <f t="shared" si="75"/>
        <v>312266.52684015065</v>
      </c>
      <c r="AN176" s="93"/>
      <c r="AO176" s="96">
        <f t="shared" si="91"/>
        <v>61.891148470095786</v>
      </c>
      <c r="AP176" s="92">
        <f t="shared" si="90"/>
        <v>5.525995399115695E-3</v>
      </c>
      <c r="AR176" s="94">
        <f t="shared" si="76"/>
        <v>1.8654013723145908E-2</v>
      </c>
      <c r="AS176" s="95">
        <v>1007481.0355190123</v>
      </c>
      <c r="AU176" s="141">
        <v>208.92495369923418</v>
      </c>
    </row>
    <row r="177" spans="1:47">
      <c r="A177" s="78">
        <v>2019</v>
      </c>
      <c r="B177" s="78">
        <v>5</v>
      </c>
      <c r="C177" s="317">
        <f t="shared" si="84"/>
        <v>208.47875842628665</v>
      </c>
      <c r="D177" s="324">
        <f t="shared" si="86"/>
        <v>0.10401770130213556</v>
      </c>
      <c r="E177" s="321">
        <f>$D177*'MWh Impact Summary'!B$25</f>
        <v>296853.90381242603</v>
      </c>
      <c r="F177" s="319">
        <f>$D177*'MWh Impact Summary'!N$25</f>
        <v>34686.483260583525</v>
      </c>
      <c r="G177" s="319">
        <f>$D177*'MWh Impact Summary'!C$25</f>
        <v>224101.61188908387</v>
      </c>
      <c r="H177" s="319">
        <f>$D177*'MWh Impact Summary'!D$25</f>
        <v>862.73162531185255</v>
      </c>
      <c r="I177" s="319">
        <f>$D177*'MWh Impact Summary'!E$25</f>
        <v>86201.776492043442</v>
      </c>
      <c r="J177" s="104">
        <f t="shared" si="77"/>
        <v>642706.50707944867</v>
      </c>
      <c r="K177" s="298">
        <f t="shared" si="85"/>
        <v>10.533333333333333</v>
      </c>
      <c r="L177" s="300">
        <f t="shared" si="64"/>
        <v>7.4152293793265281E-2</v>
      </c>
      <c r="M177" s="297">
        <f t="shared" si="92"/>
        <v>8.4931506849315067E-2</v>
      </c>
      <c r="N177" s="304">
        <f>$M177*'MWh Impact Summary'!F$25</f>
        <v>124811.28459773332</v>
      </c>
      <c r="O177" s="304">
        <f>$M177*'MWh Impact Summary'!G$25</f>
        <v>8441.7535575178408</v>
      </c>
      <c r="P177" s="304">
        <f>$M177*'MWh Impact Summary'!H$25</f>
        <v>8478.4823916279402</v>
      </c>
      <c r="Q177" s="304">
        <f>$M177*'MWh Impact Summary'!I$25</f>
        <v>1414.2366962017231</v>
      </c>
      <c r="R177" s="304">
        <f>$M177*'MWh Impact Summary'!J$25</f>
        <v>39021.332976499914</v>
      </c>
      <c r="S177" s="304">
        <f>$M177*'MWh Impact Summary'!K$25</f>
        <v>17312.223108981307</v>
      </c>
      <c r="T177" s="304">
        <f>$M177*'MWh Impact Summary'!L$25</f>
        <v>6126.1590904431287</v>
      </c>
      <c r="U177" s="304">
        <f>$M177*'MWh Impact Summary'!M$25</f>
        <v>19857.320630166058</v>
      </c>
      <c r="V177" s="304">
        <f>$M177*'LED Impact Forecast'!$H$26+$D177*'LED Impact Forecast'!$J$26</f>
        <v>64203.808984118266</v>
      </c>
      <c r="W177" s="304">
        <f>$M177*'CFL Impact Forecast'!$H$26+$D177*'CFL Impact Forecast'!$J$26</f>
        <v>348916.46134175838</v>
      </c>
      <c r="X177" s="304">
        <f>$M177*'EISA Incand Impact Forecast'!$G$26+$D177*'EISA Incand Impact Forecast'!$I$26</f>
        <v>128175.11727535454</v>
      </c>
      <c r="Y177" s="85">
        <f t="shared" si="69"/>
        <v>766758.18065040244</v>
      </c>
      <c r="Z177" s="81">
        <f t="shared" si="70"/>
        <v>1409464.6877298511</v>
      </c>
      <c r="AA177" s="81"/>
      <c r="AB177" s="262">
        <v>5050667.5493750526</v>
      </c>
      <c r="AC177" s="308">
        <f t="shared" si="78"/>
        <v>279.06502931563017</v>
      </c>
      <c r="AD177" s="309">
        <f t="shared" si="71"/>
        <v>127.25179410372682</v>
      </c>
      <c r="AE177" s="107">
        <f t="shared" si="72"/>
        <v>1.2080866528834826E-2</v>
      </c>
      <c r="AF177" s="309">
        <f t="shared" si="79"/>
        <v>151.81323521190336</v>
      </c>
      <c r="AG177" s="107">
        <f t="shared" si="73"/>
        <v>1.4412648912522471E-2</v>
      </c>
      <c r="AH177" s="119">
        <f t="shared" si="80"/>
        <v>2.6493515441357297E-2</v>
      </c>
      <c r="AI177" s="122">
        <f t="shared" si="74"/>
        <v>2.6493515441357297E-2</v>
      </c>
      <c r="AJ177" s="87" t="b">
        <f t="shared" si="81"/>
        <v>1</v>
      </c>
      <c r="AK177" s="88">
        <f t="shared" si="87"/>
        <v>1.8561470357583189E-3</v>
      </c>
      <c r="AL177" s="312">
        <f>+AC177/'MWh by month-WgtbyCDH&amp;DayLtHrs'!AC177-1</f>
        <v>6.8152982358068437E-2</v>
      </c>
      <c r="AM177" s="89">
        <f t="shared" si="75"/>
        <v>348916.46134175838</v>
      </c>
      <c r="AN177" s="93"/>
      <c r="AO177" s="96">
        <f t="shared" si="91"/>
        <v>69.083236607986947</v>
      </c>
      <c r="AP177" s="92">
        <f t="shared" si="90"/>
        <v>6.5585351210114195E-3</v>
      </c>
      <c r="AR177" s="94">
        <f t="shared" si="76"/>
        <v>2.6493515441357297E-2</v>
      </c>
      <c r="AS177" s="95">
        <v>1212333.667608062</v>
      </c>
      <c r="AU177" s="141">
        <v>279.06502931563017</v>
      </c>
    </row>
    <row r="178" spans="1:47">
      <c r="A178" s="78">
        <v>2019</v>
      </c>
      <c r="B178" s="78">
        <v>6</v>
      </c>
      <c r="C178" s="317">
        <f t="shared" si="84"/>
        <v>271.66325293295364</v>
      </c>
      <c r="D178" s="324">
        <f t="shared" ref="D178:D216" si="93">D166</f>
        <v>0.13554276374078555</v>
      </c>
      <c r="E178" s="321">
        <f>$D178*'MWh Impact Summary'!B$25</f>
        <v>386822.60852030059</v>
      </c>
      <c r="F178" s="319">
        <f>$D178*'MWh Impact Summary'!N$25</f>
        <v>45199.055033255776</v>
      </c>
      <c r="G178" s="319">
        <f>$D178*'MWh Impact Summary'!C$25</f>
        <v>292020.98733158299</v>
      </c>
      <c r="H178" s="319">
        <f>$D178*'MWh Impact Summary'!D$25</f>
        <v>1124.2031634758646</v>
      </c>
      <c r="I178" s="319">
        <f>$D178*'MWh Impact Summary'!E$25</f>
        <v>112327.29505489624</v>
      </c>
      <c r="J178" s="104">
        <f t="shared" si="77"/>
        <v>837494.14910351147</v>
      </c>
      <c r="K178" s="298">
        <f t="shared" si="85"/>
        <v>10.199999999999999</v>
      </c>
      <c r="L178" s="300">
        <f t="shared" ref="L178:L216" si="94">L166</f>
        <v>7.1805702217529022E-2</v>
      </c>
      <c r="M178" s="297">
        <f>(30/365)</f>
        <v>8.2191780821917804E-2</v>
      </c>
      <c r="N178" s="304">
        <f>$M178*'MWh Impact Summary'!F$25</f>
        <v>120785.11412683869</v>
      </c>
      <c r="O178" s="304">
        <f>$M178*'MWh Impact Summary'!G$25</f>
        <v>8169.4389266301687</v>
      </c>
      <c r="P178" s="304">
        <f>$M178*'MWh Impact Summary'!H$25</f>
        <v>8204.9829596399431</v>
      </c>
      <c r="Q178" s="304">
        <f>$M178*'MWh Impact Summary'!I$25</f>
        <v>1368.6161576145707</v>
      </c>
      <c r="R178" s="304">
        <f>$M178*'MWh Impact Summary'!J$25</f>
        <v>37762.580299838621</v>
      </c>
      <c r="S178" s="304">
        <f>$M178*'MWh Impact Summary'!K$25</f>
        <v>16753.764299014165</v>
      </c>
      <c r="T178" s="304">
        <f>$M178*'MWh Impact Summary'!L$25</f>
        <v>5928.5410552675439</v>
      </c>
      <c r="U178" s="304">
        <f>$M178*'MWh Impact Summary'!M$25</f>
        <v>19216.761900160702</v>
      </c>
      <c r="V178" s="304">
        <f>$M178*'LED Impact Forecast'!$H$26+$D178*'LED Impact Forecast'!$J$26</f>
        <v>65401.197137335519</v>
      </c>
      <c r="W178" s="304">
        <f>$M178*'CFL Impact Forecast'!$H$26+$D178*'CFL Impact Forecast'!$J$26</f>
        <v>357899.69359950162</v>
      </c>
      <c r="X178" s="304">
        <f>$M178*'EISA Incand Impact Forecast'!$G$26+$D178*'EISA Incand Impact Forecast'!$I$26</f>
        <v>131981.01801456494</v>
      </c>
      <c r="Y178" s="85">
        <f t="shared" si="69"/>
        <v>773471.70847640652</v>
      </c>
      <c r="Z178" s="81">
        <f t="shared" si="70"/>
        <v>1610965.8575799181</v>
      </c>
      <c r="AA178" s="81"/>
      <c r="AB178" s="262">
        <v>5055929.9660004415</v>
      </c>
      <c r="AC178" s="308">
        <f t="shared" si="78"/>
        <v>318.62898980269961</v>
      </c>
      <c r="AD178" s="309">
        <f t="shared" si="71"/>
        <v>165.64591573368293</v>
      </c>
      <c r="AE178" s="107">
        <f t="shared" si="72"/>
        <v>1.6239795660164993E-2</v>
      </c>
      <c r="AF178" s="309">
        <f t="shared" si="79"/>
        <v>152.98307406901668</v>
      </c>
      <c r="AG178" s="107">
        <f t="shared" si="73"/>
        <v>1.4998340595001635E-2</v>
      </c>
      <c r="AH178" s="119">
        <f t="shared" si="80"/>
        <v>3.1238136255166631E-2</v>
      </c>
      <c r="AI178" s="122">
        <f t="shared" si="74"/>
        <v>3.1238136255166631E-2</v>
      </c>
      <c r="AJ178" s="87" t="b">
        <f t="shared" si="81"/>
        <v>1</v>
      </c>
      <c r="AK178" s="88">
        <f t="shared" si="87"/>
        <v>2.1903846750645217E-3</v>
      </c>
      <c r="AL178" s="312">
        <f>+AC178/'MWh by month-WgtbyCDH&amp;DayLtHrs'!AC178-1</f>
        <v>7.4026940425515608E-2</v>
      </c>
      <c r="AM178" s="89">
        <f t="shared" si="75"/>
        <v>357899.69359950162</v>
      </c>
      <c r="AN178" s="93"/>
      <c r="AO178" s="96">
        <f t="shared" si="91"/>
        <v>70.78810347577317</v>
      </c>
      <c r="AP178" s="92">
        <f t="shared" si="90"/>
        <v>6.9400101446836443E-3</v>
      </c>
      <c r="AR178" s="94">
        <f t="shared" si="76"/>
        <v>3.1238136255166631E-2</v>
      </c>
      <c r="AS178" s="95">
        <v>1480669.7439639654</v>
      </c>
      <c r="AU178" s="141">
        <v>318.62898980269961</v>
      </c>
    </row>
    <row r="179" spans="1:47">
      <c r="A179" s="78">
        <v>2019</v>
      </c>
      <c r="B179" s="78">
        <v>7</v>
      </c>
      <c r="C179" s="317">
        <f t="shared" si="84"/>
        <v>322.31916585708109</v>
      </c>
      <c r="D179" s="324">
        <f t="shared" si="93"/>
        <v>0.16081685717602592</v>
      </c>
      <c r="E179" s="321">
        <f>$D179*'MWh Impact Summary'!B$25</f>
        <v>458951.8058362297</v>
      </c>
      <c r="F179" s="319">
        <f>$D179*'MWh Impact Summary'!N$25</f>
        <v>53627.134176453401</v>
      </c>
      <c r="G179" s="319">
        <f>$D179*'MWh Impact Summary'!C$25</f>
        <v>346472.92202124523</v>
      </c>
      <c r="H179" s="319">
        <f>$D179*'MWh Impact Summary'!D$25</f>
        <v>1333.8286352437251</v>
      </c>
      <c r="I179" s="319">
        <f>$D179*'MWh Impact Summary'!E$25</f>
        <v>133272.49693948051</v>
      </c>
      <c r="J179" s="104">
        <f t="shared" si="77"/>
        <v>993658.18760865252</v>
      </c>
      <c r="K179" s="298">
        <f t="shared" si="85"/>
        <v>10.366666666666667</v>
      </c>
      <c r="L179" s="300">
        <f t="shared" si="94"/>
        <v>7.2978998005397158E-2</v>
      </c>
      <c r="M179" s="297">
        <f t="shared" si="92"/>
        <v>8.4931506849315067E-2</v>
      </c>
      <c r="N179" s="304">
        <f>$M179*'MWh Impact Summary'!F$25</f>
        <v>124811.28459773332</v>
      </c>
      <c r="O179" s="304">
        <f>$M179*'MWh Impact Summary'!G$25</f>
        <v>8441.7535575178408</v>
      </c>
      <c r="P179" s="304">
        <f>$M179*'MWh Impact Summary'!H$25</f>
        <v>8478.4823916279402</v>
      </c>
      <c r="Q179" s="304">
        <f>$M179*'MWh Impact Summary'!I$25</f>
        <v>1414.2366962017231</v>
      </c>
      <c r="R179" s="304">
        <f>$M179*'MWh Impact Summary'!J$25</f>
        <v>39021.332976499914</v>
      </c>
      <c r="S179" s="304">
        <f>$M179*'MWh Impact Summary'!K$25</f>
        <v>17312.223108981307</v>
      </c>
      <c r="T179" s="304">
        <f>$M179*'MWh Impact Summary'!L$25</f>
        <v>6126.1590904431287</v>
      </c>
      <c r="U179" s="304">
        <f>$M179*'MWh Impact Summary'!M$25</f>
        <v>19857.320630166058</v>
      </c>
      <c r="V179" s="304">
        <f>$M179*'LED Impact Forecast'!$H$26+$D179*'LED Impact Forecast'!$J$26</f>
        <v>69526.180597580154</v>
      </c>
      <c r="W179" s="304">
        <f>$M179*'CFL Impact Forecast'!$H$26+$D179*'CFL Impact Forecast'!$J$26</f>
        <v>381872.88186364202</v>
      </c>
      <c r="X179" s="304">
        <f>$M179*'EISA Incand Impact Forecast'!$G$26+$D179*'EISA Incand Impact Forecast'!$I$26</f>
        <v>141105.51424328322</v>
      </c>
      <c r="Y179" s="85">
        <f t="shared" si="69"/>
        <v>817967.36975367658</v>
      </c>
      <c r="Z179" s="81">
        <f t="shared" si="70"/>
        <v>1811625.5573623292</v>
      </c>
      <c r="AA179" s="81"/>
      <c r="AB179" s="262">
        <v>5061685.0368930642</v>
      </c>
      <c r="AC179" s="308">
        <f t="shared" si="78"/>
        <v>357.90957836332137</v>
      </c>
      <c r="AD179" s="309">
        <f t="shared" si="71"/>
        <v>196.30976253286877</v>
      </c>
      <c r="AE179" s="107">
        <f t="shared" si="72"/>
        <v>1.8936633041755829E-2</v>
      </c>
      <c r="AF179" s="309">
        <f t="shared" si="79"/>
        <v>161.59981583045254</v>
      </c>
      <c r="AG179" s="107">
        <f t="shared" si="73"/>
        <v>1.5588406671747834E-2</v>
      </c>
      <c r="AH179" s="119">
        <f t="shared" si="80"/>
        <v>3.4525039713503666E-2</v>
      </c>
      <c r="AI179" s="122">
        <f t="shared" si="74"/>
        <v>3.4525039713503666E-2</v>
      </c>
      <c r="AJ179" s="87" t="b">
        <f t="shared" si="81"/>
        <v>1</v>
      </c>
      <c r="AK179" s="88">
        <f t="shared" si="87"/>
        <v>2.4235391322921865E-3</v>
      </c>
      <c r="AL179" s="312">
        <f>+AC179/'MWh by month-WgtbyCDH&amp;DayLtHrs'!AC179-1</f>
        <v>8.5977398793366522E-2</v>
      </c>
      <c r="AM179" s="89">
        <f t="shared" si="75"/>
        <v>381872.88186364202</v>
      </c>
      <c r="AN179" s="93"/>
      <c r="AO179" s="96">
        <f t="shared" si="91"/>
        <v>75.443825342803464</v>
      </c>
      <c r="AP179" s="92">
        <f t="shared" si="90"/>
        <v>7.2775394221353817E-3</v>
      </c>
      <c r="AR179" s="94">
        <f t="shared" si="76"/>
        <v>3.4525039713503666E-2</v>
      </c>
      <c r="AS179" s="95">
        <v>1557805.0600731373</v>
      </c>
      <c r="AU179" s="141">
        <v>357.90957836332137</v>
      </c>
    </row>
    <row r="180" spans="1:47">
      <c r="A180" s="78">
        <v>2019</v>
      </c>
      <c r="B180" s="78">
        <v>8</v>
      </c>
      <c r="C180" s="317">
        <f t="shared" si="84"/>
        <v>326.45437890907908</v>
      </c>
      <c r="D180" s="324">
        <f t="shared" si="93"/>
        <v>0.16288006668144661</v>
      </c>
      <c r="E180" s="321">
        <f>$D180*'MWh Impact Summary'!B$25</f>
        <v>464839.95552998246</v>
      </c>
      <c r="F180" s="319">
        <f>$D180*'MWh Impact Summary'!N$25</f>
        <v>54315.146707753032</v>
      </c>
      <c r="G180" s="319">
        <f>$D180*'MWh Impact Summary'!C$25</f>
        <v>350918.0171352647</v>
      </c>
      <c r="H180" s="319">
        <f>$D180*'MWh Impact Summary'!D$25</f>
        <v>1350.9410696437142</v>
      </c>
      <c r="I180" s="319">
        <f>$D180*'MWh Impact Summary'!E$25</f>
        <v>134982.32442476528</v>
      </c>
      <c r="J180" s="104">
        <f t="shared" si="77"/>
        <v>1006406.3848674092</v>
      </c>
      <c r="K180" s="298">
        <f t="shared" si="85"/>
        <v>10.933333333333334</v>
      </c>
      <c r="L180" s="300">
        <f t="shared" si="94"/>
        <v>7.6968203684148764E-2</v>
      </c>
      <c r="M180" s="297">
        <f t="shared" si="92"/>
        <v>8.4931506849315067E-2</v>
      </c>
      <c r="N180" s="304">
        <f>$M180*'MWh Impact Summary'!F$25</f>
        <v>124811.28459773332</v>
      </c>
      <c r="O180" s="304">
        <f>$M180*'MWh Impact Summary'!G$25</f>
        <v>8441.7535575178408</v>
      </c>
      <c r="P180" s="304">
        <f>$M180*'MWh Impact Summary'!H$25</f>
        <v>8478.4823916279402</v>
      </c>
      <c r="Q180" s="304">
        <f>$M180*'MWh Impact Summary'!I$25</f>
        <v>1414.2366962017231</v>
      </c>
      <c r="R180" s="304">
        <f>$M180*'MWh Impact Summary'!J$25</f>
        <v>39021.332976499914</v>
      </c>
      <c r="S180" s="304">
        <f>$M180*'MWh Impact Summary'!K$25</f>
        <v>17312.223108981307</v>
      </c>
      <c r="T180" s="304">
        <f>$M180*'MWh Impact Summary'!L$25</f>
        <v>6126.1590904431287</v>
      </c>
      <c r="U180" s="304">
        <f>$M180*'MWh Impact Summary'!M$25</f>
        <v>19857.320630166058</v>
      </c>
      <c r="V180" s="304">
        <f>$M180*'LED Impact Forecast'!$H$26+$D180*'LED Impact Forecast'!$J$26</f>
        <v>69719.513888107511</v>
      </c>
      <c r="W180" s="304">
        <f>$M180*'CFL Impact Forecast'!$H$26+$D180*'CFL Impact Forecast'!$J$26</f>
        <v>383070.01233220677</v>
      </c>
      <c r="X180" s="304">
        <f>$M180*'EISA Incand Impact Forecast'!$G$26+$D180*'EISA Incand Impact Forecast'!$I$26</f>
        <v>141575.20639843296</v>
      </c>
      <c r="Y180" s="85">
        <f t="shared" si="69"/>
        <v>819827.5256679185</v>
      </c>
      <c r="Z180" s="81">
        <f t="shared" si="70"/>
        <v>1826233.9105353276</v>
      </c>
      <c r="AA180" s="81"/>
      <c r="AB180" s="262">
        <v>5067694.0549152512</v>
      </c>
      <c r="AC180" s="308">
        <f t="shared" si="78"/>
        <v>360.36783017002165</v>
      </c>
      <c r="AD180" s="309">
        <f t="shared" si="71"/>
        <v>198.59256970954607</v>
      </c>
      <c r="AE180" s="107">
        <f t="shared" si="72"/>
        <v>1.8163954546604823E-2</v>
      </c>
      <c r="AF180" s="309">
        <f t="shared" si="79"/>
        <v>161.77526046047558</v>
      </c>
      <c r="AG180" s="107">
        <f t="shared" si="73"/>
        <v>1.4796517725043496E-2</v>
      </c>
      <c r="AH180" s="119">
        <f t="shared" si="80"/>
        <v>3.2960472271648319E-2</v>
      </c>
      <c r="AI180" s="122">
        <f t="shared" si="74"/>
        <v>3.2960472271648319E-2</v>
      </c>
      <c r="AJ180" s="87" t="b">
        <f t="shared" si="81"/>
        <v>1</v>
      </c>
      <c r="AK180" s="88">
        <f t="shared" si="87"/>
        <v>2.3163996746710311E-3</v>
      </c>
      <c r="AL180" s="312">
        <f>+AC180/'MWh by month-WgtbyCDH&amp;DayLtHrs'!AC180-1</f>
        <v>6.6682895937157038E-2</v>
      </c>
      <c r="AM180" s="89">
        <f t="shared" si="75"/>
        <v>383070.01233220677</v>
      </c>
      <c r="AN180" s="93"/>
      <c r="AO180" s="96">
        <f t="shared" si="91"/>
        <v>75.590595679441222</v>
      </c>
      <c r="AP180" s="92">
        <f t="shared" si="90"/>
        <v>6.9137739950708432E-3</v>
      </c>
      <c r="AR180" s="94">
        <f t="shared" si="76"/>
        <v>3.2960472271648319E-2</v>
      </c>
      <c r="AS180" s="95">
        <v>1619595.3729790451</v>
      </c>
      <c r="AU180" s="141">
        <v>360.36783017002165</v>
      </c>
    </row>
    <row r="181" spans="1:47">
      <c r="A181" s="78">
        <v>2019</v>
      </c>
      <c r="B181" s="78">
        <v>9</v>
      </c>
      <c r="C181" s="317">
        <f t="shared" si="84"/>
        <v>277.87653293728147</v>
      </c>
      <c r="D181" s="324">
        <f t="shared" si="93"/>
        <v>0.1386427970893879</v>
      </c>
      <c r="E181" s="321">
        <f>$D181*'MWh Impact Summary'!B$25</f>
        <v>395669.72771214164</v>
      </c>
      <c r="F181" s="319">
        <f>$D181*'MWh Impact Summary'!N$25</f>
        <v>46232.814225272632</v>
      </c>
      <c r="G181" s="319">
        <f>$D181*'MWh Impact Summary'!C$25</f>
        <v>298699.87430596224</v>
      </c>
      <c r="H181" s="319">
        <f>$D181*'MWh Impact Summary'!D$25</f>
        <v>1149.915102654295</v>
      </c>
      <c r="I181" s="319">
        <f>$D181*'MWh Impact Summary'!E$25</f>
        <v>114896.36145887198</v>
      </c>
      <c r="J181" s="104">
        <f t="shared" si="77"/>
        <v>856648.69280490268</v>
      </c>
      <c r="K181" s="298">
        <f t="shared" si="85"/>
        <v>11.683333333333334</v>
      </c>
      <c r="L181" s="300">
        <f t="shared" si="94"/>
        <v>8.2248034729555317E-2</v>
      </c>
      <c r="M181" s="297">
        <f>(30/365)</f>
        <v>8.2191780821917804E-2</v>
      </c>
      <c r="N181" s="304">
        <f>$M181*'MWh Impact Summary'!F$25</f>
        <v>120785.11412683869</v>
      </c>
      <c r="O181" s="304">
        <f>$M181*'MWh Impact Summary'!G$25</f>
        <v>8169.4389266301687</v>
      </c>
      <c r="P181" s="304">
        <f>$M181*'MWh Impact Summary'!H$25</f>
        <v>8204.9829596399431</v>
      </c>
      <c r="Q181" s="304">
        <f>$M181*'MWh Impact Summary'!I$25</f>
        <v>1368.6161576145707</v>
      </c>
      <c r="R181" s="304">
        <f>$M181*'MWh Impact Summary'!J$25</f>
        <v>37762.580299838621</v>
      </c>
      <c r="S181" s="304">
        <f>$M181*'MWh Impact Summary'!K$25</f>
        <v>16753.764299014165</v>
      </c>
      <c r="T181" s="304">
        <f>$M181*'MWh Impact Summary'!L$25</f>
        <v>5928.5410552675439</v>
      </c>
      <c r="U181" s="304">
        <f>$M181*'MWh Impact Summary'!M$25</f>
        <v>19216.761900160702</v>
      </c>
      <c r="V181" s="304">
        <f>$M181*'LED Impact Forecast'!$H$26+$D181*'LED Impact Forecast'!$J$26</f>
        <v>65691.686128615955</v>
      </c>
      <c r="W181" s="304">
        <f>$M181*'CFL Impact Forecast'!$H$26+$D181*'CFL Impact Forecast'!$J$26</f>
        <v>359698.41756109078</v>
      </c>
      <c r="X181" s="304">
        <f>$M181*'EISA Incand Impact Forecast'!$G$26+$D181*'EISA Incand Impact Forecast'!$I$26</f>
        <v>132686.74437958776</v>
      </c>
      <c r="Y181" s="85">
        <f t="shared" si="69"/>
        <v>776266.64779429883</v>
      </c>
      <c r="Z181" s="81">
        <f t="shared" si="70"/>
        <v>1632915.3405992016</v>
      </c>
      <c r="AA181" s="81"/>
      <c r="AB181" s="262">
        <v>5072789.4203578094</v>
      </c>
      <c r="AC181" s="308">
        <f t="shared" si="78"/>
        <v>321.89692993091438</v>
      </c>
      <c r="AD181" s="309">
        <f t="shared" si="71"/>
        <v>168.87132932564722</v>
      </c>
      <c r="AE181" s="107">
        <f t="shared" si="72"/>
        <v>1.4454036746845696E-2</v>
      </c>
      <c r="AF181" s="309">
        <f t="shared" si="79"/>
        <v>153.02560060526716</v>
      </c>
      <c r="AG181" s="107">
        <f t="shared" si="73"/>
        <v>1.309776895337522E-2</v>
      </c>
      <c r="AH181" s="119">
        <f t="shared" si="80"/>
        <v>2.7551805700220915E-2</v>
      </c>
      <c r="AI181" s="122">
        <f t="shared" si="74"/>
        <v>2.7551805700220918E-2</v>
      </c>
      <c r="AJ181" s="87" t="b">
        <f t="shared" si="81"/>
        <v>1</v>
      </c>
      <c r="AK181" s="88">
        <f t="shared" si="87"/>
        <v>1.935706536164563E-3</v>
      </c>
      <c r="AL181" s="312">
        <f>+AC181/'MWh by month-WgtbyCDH&amp;DayLtHrs'!AC181-1</f>
        <v>2.0396107706845745E-2</v>
      </c>
      <c r="AM181" s="89">
        <f t="shared" si="75"/>
        <v>359698.41756109078</v>
      </c>
      <c r="AN181" s="93"/>
      <c r="AO181" s="96">
        <f t="shared" si="91"/>
        <v>70.907421490348284</v>
      </c>
      <c r="AP181" s="92">
        <f t="shared" si="90"/>
        <v>6.0691088294164003E-3</v>
      </c>
      <c r="AR181" s="94">
        <f t="shared" si="76"/>
        <v>2.7551805700220918E-2</v>
      </c>
      <c r="AS181" s="95">
        <v>1529578.6557736564</v>
      </c>
      <c r="AU181" s="141">
        <v>321.89692993091438</v>
      </c>
    </row>
    <row r="182" spans="1:47">
      <c r="A182" s="78">
        <v>2019</v>
      </c>
      <c r="B182" s="78">
        <v>10</v>
      </c>
      <c r="C182" s="317">
        <f t="shared" si="84"/>
        <v>198.89039579254836</v>
      </c>
      <c r="D182" s="324">
        <f t="shared" si="93"/>
        <v>9.923371540380535E-2</v>
      </c>
      <c r="E182" s="321">
        <f>$D182*'MWh Impact Summary'!B$25</f>
        <v>283200.98828050244</v>
      </c>
      <c r="F182" s="319">
        <f>$D182*'MWh Impact Summary'!N$25</f>
        <v>33091.181261942926</v>
      </c>
      <c r="G182" s="319">
        <f>$D182*'MWh Impact Summary'!C$25</f>
        <v>213794.72241114426</v>
      </c>
      <c r="H182" s="319">
        <f>$D182*'MWh Impact Summary'!D$25</f>
        <v>823.05284104851808</v>
      </c>
      <c r="I182" s="319">
        <f>$D182*'MWh Impact Summary'!E$25</f>
        <v>82237.181255016389</v>
      </c>
      <c r="J182" s="104">
        <f t="shared" si="77"/>
        <v>613147.12604965456</v>
      </c>
      <c r="K182" s="298">
        <f t="shared" si="85"/>
        <v>12.466666666666667</v>
      </c>
      <c r="L182" s="300">
        <f t="shared" si="94"/>
        <v>8.7762524932535488E-2</v>
      </c>
      <c r="M182" s="297">
        <f t="shared" si="92"/>
        <v>8.4931506849315067E-2</v>
      </c>
      <c r="N182" s="304">
        <f>$M182*'MWh Impact Summary'!F$25</f>
        <v>124811.28459773332</v>
      </c>
      <c r="O182" s="304">
        <f>$M182*'MWh Impact Summary'!G$25</f>
        <v>8441.7535575178408</v>
      </c>
      <c r="P182" s="304">
        <f>$M182*'MWh Impact Summary'!H$25</f>
        <v>8478.4823916279402</v>
      </c>
      <c r="Q182" s="304">
        <f>$M182*'MWh Impact Summary'!I$25</f>
        <v>1414.2366962017231</v>
      </c>
      <c r="R182" s="304">
        <f>$M182*'MWh Impact Summary'!J$25</f>
        <v>39021.332976499914</v>
      </c>
      <c r="S182" s="304">
        <f>$M182*'MWh Impact Summary'!K$25</f>
        <v>17312.223108981307</v>
      </c>
      <c r="T182" s="304">
        <f>$M182*'MWh Impact Summary'!L$25</f>
        <v>6126.1590904431287</v>
      </c>
      <c r="U182" s="304">
        <f>$M182*'MWh Impact Summary'!M$25</f>
        <v>19857.320630166058</v>
      </c>
      <c r="V182" s="304">
        <f>$M182*'LED Impact Forecast'!$H$26+$D182*'LED Impact Forecast'!$J$26</f>
        <v>63755.52502016275</v>
      </c>
      <c r="W182" s="304">
        <f>$M182*'CFL Impact Forecast'!$H$26+$D182*'CFL Impact Forecast'!$J$26</f>
        <v>346140.66214878822</v>
      </c>
      <c r="X182" s="304">
        <f>$M182*'EISA Incand Impact Forecast'!$G$26+$D182*'EISA Incand Impact Forecast'!$I$26</f>
        <v>127086.03706275902</v>
      </c>
      <c r="Y182" s="85">
        <f t="shared" si="69"/>
        <v>762445.01728088129</v>
      </c>
      <c r="Z182" s="81">
        <f t="shared" si="70"/>
        <v>1375592.1433305359</v>
      </c>
      <c r="AA182" s="81"/>
      <c r="AB182" s="262">
        <v>5078184.2010707669</v>
      </c>
      <c r="AC182" s="308">
        <f t="shared" si="78"/>
        <v>270.88267949013817</v>
      </c>
      <c r="AD182" s="309">
        <f t="shared" si="71"/>
        <v>120.74141105798579</v>
      </c>
      <c r="AE182" s="107">
        <f t="shared" si="72"/>
        <v>9.6851399244373623E-3</v>
      </c>
      <c r="AF182" s="309">
        <f t="shared" si="79"/>
        <v>150.14126843215237</v>
      </c>
      <c r="AG182" s="107">
        <f t="shared" si="73"/>
        <v>1.2043417253915965E-2</v>
      </c>
      <c r="AH182" s="119">
        <f t="shared" si="80"/>
        <v>2.1728557178353328E-2</v>
      </c>
      <c r="AI182" s="122">
        <f t="shared" si="74"/>
        <v>2.1728557178353331E-2</v>
      </c>
      <c r="AJ182" s="87" t="b">
        <f t="shared" si="81"/>
        <v>1</v>
      </c>
      <c r="AK182" s="88">
        <f t="shared" si="87"/>
        <v>1.5258915982244402E-3</v>
      </c>
      <c r="AL182" s="312">
        <f>+AC182/'MWh by month-WgtbyCDH&amp;DayLtHrs'!AC182-1</f>
        <v>-1.3729649056399618E-2</v>
      </c>
      <c r="AM182" s="89">
        <f t="shared" si="75"/>
        <v>346140.66214878822</v>
      </c>
      <c r="AN182" s="93"/>
      <c r="AO182" s="96">
        <f t="shared" si="91"/>
        <v>68.162289598672359</v>
      </c>
      <c r="AP182" s="92">
        <f t="shared" si="90"/>
        <v>5.4675633367919007E-3</v>
      </c>
      <c r="AR182" s="94">
        <f t="shared" si="76"/>
        <v>2.1728557178353331E-2</v>
      </c>
      <c r="AS182" s="95">
        <v>1231148.637096449</v>
      </c>
      <c r="AU182" s="141">
        <v>270.88267949013817</v>
      </c>
    </row>
    <row r="183" spans="1:47">
      <c r="A183" s="78">
        <v>2019</v>
      </c>
      <c r="B183" s="78">
        <v>11</v>
      </c>
      <c r="C183" s="317">
        <f t="shared" si="84"/>
        <v>78.117279066674627</v>
      </c>
      <c r="D183" s="324">
        <f t="shared" si="93"/>
        <v>3.8975576513546578E-2</v>
      </c>
      <c r="E183" s="321">
        <f>$D183*'MWh Impact Summary'!B$25</f>
        <v>111231.56824797728</v>
      </c>
      <c r="F183" s="319">
        <f>$D183*'MWh Impact Summary'!N$25</f>
        <v>12997.073242196037</v>
      </c>
      <c r="G183" s="319">
        <f>$D183*'MWh Impact Summary'!C$25</f>
        <v>83971.18386246037</v>
      </c>
      <c r="H183" s="319">
        <f>$D183*'MWh Impact Summary'!D$25</f>
        <v>323.2667329893028</v>
      </c>
      <c r="I183" s="319">
        <f>$D183*'MWh Impact Summary'!E$25</f>
        <v>32299.92485135125</v>
      </c>
      <c r="J183" s="104">
        <f t="shared" si="77"/>
        <v>240823.01693697425</v>
      </c>
      <c r="K183" s="298">
        <f t="shared" si="85"/>
        <v>13.15</v>
      </c>
      <c r="L183" s="300">
        <f t="shared" si="94"/>
        <v>9.2573037662794788E-2</v>
      </c>
      <c r="M183" s="297">
        <f>(30/365)</f>
        <v>8.2191780821917804E-2</v>
      </c>
      <c r="N183" s="304">
        <f>$M183*'MWh Impact Summary'!F$25</f>
        <v>120785.11412683869</v>
      </c>
      <c r="O183" s="304">
        <f>$M183*'MWh Impact Summary'!G$25</f>
        <v>8169.4389266301687</v>
      </c>
      <c r="P183" s="304">
        <f>$M183*'MWh Impact Summary'!H$25</f>
        <v>8204.9829596399431</v>
      </c>
      <c r="Q183" s="304">
        <f>$M183*'MWh Impact Summary'!I$25</f>
        <v>1368.6161576145707</v>
      </c>
      <c r="R183" s="304">
        <f>$M183*'MWh Impact Summary'!J$25</f>
        <v>37762.580299838621</v>
      </c>
      <c r="S183" s="304">
        <f>$M183*'MWh Impact Summary'!K$25</f>
        <v>16753.764299014165</v>
      </c>
      <c r="T183" s="304">
        <f>$M183*'MWh Impact Summary'!L$25</f>
        <v>5928.5410552675439</v>
      </c>
      <c r="U183" s="304">
        <f>$M183*'MWh Impact Summary'!M$25</f>
        <v>19216.761900160702</v>
      </c>
      <c r="V183" s="304">
        <f>$M183*'LED Impact Forecast'!$H$26+$D183*'LED Impact Forecast'!$J$26</f>
        <v>56352.357446279872</v>
      </c>
      <c r="W183" s="304">
        <f>$M183*'CFL Impact Forecast'!$H$26+$D183*'CFL Impact Forecast'!$J$26</f>
        <v>301868.77585237176</v>
      </c>
      <c r="X183" s="304">
        <f>$M183*'EISA Incand Impact Forecast'!$G$26+$D183*'EISA Incand Impact Forecast'!$I$26</f>
        <v>109997.38030528557</v>
      </c>
      <c r="Y183" s="85">
        <f t="shared" si="69"/>
        <v>686408.31332894159</v>
      </c>
      <c r="Z183" s="81">
        <f t="shared" si="70"/>
        <v>927231.33026591584</v>
      </c>
      <c r="AA183" s="81"/>
      <c r="AB183" s="262">
        <v>5083645.8651113315</v>
      </c>
      <c r="AC183" s="308">
        <f t="shared" si="78"/>
        <v>182.39494938650876</v>
      </c>
      <c r="AD183" s="309">
        <f t="shared" si="71"/>
        <v>47.37210720945847</v>
      </c>
      <c r="AE183" s="107">
        <f t="shared" si="72"/>
        <v>3.6024416128865753E-3</v>
      </c>
      <c r="AF183" s="309">
        <f t="shared" si="79"/>
        <v>135.02284217705028</v>
      </c>
      <c r="AG183" s="107">
        <f t="shared" si="73"/>
        <v>1.0267896743501922E-2</v>
      </c>
      <c r="AH183" s="119">
        <f t="shared" si="80"/>
        <v>1.3870338356388498E-2</v>
      </c>
      <c r="AI183" s="122">
        <f t="shared" si="74"/>
        <v>1.3870338356388498E-2</v>
      </c>
      <c r="AJ183" s="87" t="b">
        <f t="shared" si="81"/>
        <v>1</v>
      </c>
      <c r="AK183" s="88">
        <f t="shared" si="87"/>
        <v>9.7262838183231372E-4</v>
      </c>
      <c r="AL183" s="312">
        <f>+AC183/'MWh by month-WgtbyCDH&amp;DayLtHrs'!AC183-1</f>
        <v>-0.11897191031131926</v>
      </c>
      <c r="AM183" s="89">
        <f t="shared" si="75"/>
        <v>301868.77585237176</v>
      </c>
      <c r="AN183" s="93"/>
      <c r="AO183" s="96">
        <f t="shared" si="91"/>
        <v>59.380370675320606</v>
      </c>
      <c r="AP183" s="92">
        <f t="shared" si="90"/>
        <v>4.5156175418494754E-3</v>
      </c>
      <c r="AR183" s="94">
        <f t="shared" si="76"/>
        <v>1.3870338356388498E-2</v>
      </c>
      <c r="AS183" s="95">
        <v>948328.38809993269</v>
      </c>
      <c r="AU183" s="141">
        <v>182.39494938650876</v>
      </c>
    </row>
    <row r="184" spans="1:47">
      <c r="A184" s="78">
        <v>2019</v>
      </c>
      <c r="B184" s="78">
        <v>12</v>
      </c>
      <c r="C184" s="317">
        <f t="shared" si="84"/>
        <v>42.633806123140985</v>
      </c>
      <c r="D184" s="324">
        <f t="shared" si="93"/>
        <v>2.1271570035074034E-2</v>
      </c>
      <c r="E184" s="321">
        <f>$D184*'MWh Impact Summary'!B$25</f>
        <v>60706.480974709913</v>
      </c>
      <c r="F184" s="319">
        <f>$D184*'MWh Impact Summary'!N$25</f>
        <v>7093.369193045005</v>
      </c>
      <c r="G184" s="319">
        <f>$D184*'MWh Impact Summary'!C$25</f>
        <v>45828.672164415133</v>
      </c>
      <c r="H184" s="319">
        <f>$D184*'MWh Impact Summary'!D$25</f>
        <v>176.4282036572707</v>
      </c>
      <c r="I184" s="319">
        <f>$D184*'MWh Impact Summary'!E$25</f>
        <v>17628.221954955414</v>
      </c>
      <c r="J184" s="104">
        <f t="shared" si="77"/>
        <v>131433.17249078274</v>
      </c>
      <c r="K184" s="298">
        <f t="shared" si="85"/>
        <v>13.483333333333333</v>
      </c>
      <c r="L184" s="300">
        <f t="shared" si="94"/>
        <v>9.491962923853102E-2</v>
      </c>
      <c r="M184" s="297">
        <f t="shared" si="92"/>
        <v>8.4931506849315067E-2</v>
      </c>
      <c r="N184" s="304">
        <f>$M184*'MWh Impact Summary'!F$25</f>
        <v>124811.28459773332</v>
      </c>
      <c r="O184" s="304">
        <f>$M184*'MWh Impact Summary'!G$25</f>
        <v>8441.7535575178408</v>
      </c>
      <c r="P184" s="304">
        <f>$M184*'MWh Impact Summary'!H$25</f>
        <v>8478.4823916279402</v>
      </c>
      <c r="Q184" s="304">
        <f>$M184*'MWh Impact Summary'!I$25</f>
        <v>1414.2366962017231</v>
      </c>
      <c r="R184" s="304">
        <f>$M184*'MWh Impact Summary'!J$25</f>
        <v>39021.332976499914</v>
      </c>
      <c r="S184" s="304">
        <f>$M184*'MWh Impact Summary'!K$25</f>
        <v>17312.223108981307</v>
      </c>
      <c r="T184" s="304">
        <f>$M184*'MWh Impact Summary'!L$25</f>
        <v>6126.1590904431287</v>
      </c>
      <c r="U184" s="304">
        <f>$M184*'MWh Impact Summary'!M$25</f>
        <v>19857.320630166058</v>
      </c>
      <c r="V184" s="304">
        <f>$M184*'LED Impact Forecast'!$H$26+$D184*'LED Impact Forecast'!$J$26</f>
        <v>56450.07297512862</v>
      </c>
      <c r="W184" s="304">
        <f>$M184*'CFL Impact Forecast'!$H$26+$D184*'CFL Impact Forecast'!$J$26</f>
        <v>300904.89749649656</v>
      </c>
      <c r="X184" s="304">
        <f>$M184*'EISA Incand Impact Forecast'!$G$26+$D184*'EISA Incand Impact Forecast'!$I$26</f>
        <v>109337.85977774311</v>
      </c>
      <c r="Y184" s="85">
        <f t="shared" si="69"/>
        <v>692155.62329853955</v>
      </c>
      <c r="Z184" s="81">
        <f t="shared" si="70"/>
        <v>823588.79578932235</v>
      </c>
      <c r="AA184" s="81">
        <f>SUM(Z173:Z184)</f>
        <v>15004169.846163057</v>
      </c>
      <c r="AB184" s="262">
        <v>5089162.3387235999</v>
      </c>
      <c r="AC184" s="308">
        <f t="shared" si="78"/>
        <v>161.83189707323911</v>
      </c>
      <c r="AD184" s="309">
        <f t="shared" si="71"/>
        <v>25.826091553555582</v>
      </c>
      <c r="AE184" s="107">
        <f t="shared" si="72"/>
        <v>1.9154085206592522E-3</v>
      </c>
      <c r="AF184" s="309">
        <f t="shared" si="79"/>
        <v>136.00580551968349</v>
      </c>
      <c r="AG184" s="107">
        <f t="shared" si="73"/>
        <v>1.008695714608283E-2</v>
      </c>
      <c r="AH184" s="119">
        <f t="shared" si="80"/>
        <v>1.2002365666742083E-2</v>
      </c>
      <c r="AI184" s="122">
        <f t="shared" si="74"/>
        <v>1.2002365666742084E-2</v>
      </c>
      <c r="AJ184" s="87" t="b">
        <f t="shared" si="81"/>
        <v>1</v>
      </c>
      <c r="AK184" s="88">
        <f t="shared" si="87"/>
        <v>8.4120074640548458E-4</v>
      </c>
      <c r="AL184" s="312">
        <f>+AC184/'MWh by month-WgtbyCDH&amp;DayLtHrs'!AC184-1</f>
        <v>-0.14128732253187148</v>
      </c>
      <c r="AM184" s="89">
        <f t="shared" si="75"/>
        <v>300904.89749649656</v>
      </c>
      <c r="AN184" s="90">
        <f>SUM(AM173:AM184)</f>
        <v>3977818.631882431</v>
      </c>
      <c r="AO184" s="96">
        <f t="shared" si="91"/>
        <v>59.126606201358818</v>
      </c>
      <c r="AP184" s="92">
        <f t="shared" si="90"/>
        <v>4.3851623882342761E-3</v>
      </c>
      <c r="AR184" s="94">
        <f t="shared" si="76"/>
        <v>1.2002365666742084E-2</v>
      </c>
      <c r="AS184" s="95">
        <v>781088.61044894578</v>
      </c>
      <c r="AU184" s="141">
        <v>161.83189707323911</v>
      </c>
    </row>
    <row r="185" spans="1:47">
      <c r="A185" s="78">
        <v>2020</v>
      </c>
      <c r="B185" s="78">
        <v>1</v>
      </c>
      <c r="C185" s="317">
        <f t="shared" si="84"/>
        <v>26.112829868525239</v>
      </c>
      <c r="D185" s="324">
        <f t="shared" si="93"/>
        <v>1.6125648960134388E-2</v>
      </c>
      <c r="E185" s="321">
        <f>$D185*'MWh Impact Summary'!B$26</f>
        <v>50199.399705677512</v>
      </c>
      <c r="F185" s="319">
        <f>$D185*'MWh Impact Summary'!N$26</f>
        <v>6108.0169067254355</v>
      </c>
      <c r="G185" s="319">
        <f>$D185*'MWh Impact Summary'!C$26</f>
        <v>36476.569777479694</v>
      </c>
      <c r="H185" s="319">
        <f>$D185*'MWh Impact Summary'!D$26</f>
        <v>147.28780550287647</v>
      </c>
      <c r="I185" s="319">
        <f>$D185*'MWh Impact Summary'!E$26</f>
        <v>13541.53298681567</v>
      </c>
      <c r="J185" s="104">
        <f t="shared" si="77"/>
        <v>106472.80718220117</v>
      </c>
      <c r="K185" s="298">
        <f t="shared" si="85"/>
        <v>13.3</v>
      </c>
      <c r="L185" s="300">
        <f t="shared" si="94"/>
        <v>9.3629003871876101E-2</v>
      </c>
      <c r="M185" s="297">
        <f>(31/366)</f>
        <v>8.4699453551912565E-2</v>
      </c>
      <c r="N185" s="304">
        <f>$M185*'MWh Impact Summary'!F$26</f>
        <v>135198.70467387207</v>
      </c>
      <c r="O185" s="304">
        <f>$M185*'MWh Impact Summary'!G$26</f>
        <v>11832.778480380553</v>
      </c>
      <c r="P185" s="304">
        <f>$M185*'MWh Impact Summary'!H$26</f>
        <v>8983.346128978561</v>
      </c>
      <c r="Q185" s="304">
        <f>$M185*'MWh Impact Summary'!I$26</f>
        <v>1502.7175759444042</v>
      </c>
      <c r="R185" s="304">
        <f>$M185*'MWh Impact Summary'!J$26</f>
        <v>43191.327555275435</v>
      </c>
      <c r="S185" s="304">
        <f>$M185*'MWh Impact Summary'!K$26</f>
        <v>21220.974320283272</v>
      </c>
      <c r="T185" s="304">
        <f>$M185*'MWh Impact Summary'!L$26</f>
        <v>7373.9351174237272</v>
      </c>
      <c r="U185" s="304">
        <f>$M185*'MWh Impact Summary'!M$26</f>
        <v>23506.805879038871</v>
      </c>
      <c r="V185" s="304">
        <f>$M185*'LED Impact Forecast'!$H$27+$D185*'LED Impact Forecast'!$J$27</f>
        <v>78231.602925929808</v>
      </c>
      <c r="W185" s="304">
        <f>$M185*'CFL Impact Forecast'!$H$27+$D185*'CFL Impact Forecast'!$J$27</f>
        <v>303630.49318025151</v>
      </c>
      <c r="X185" s="304">
        <f>$M185*'EISA Incand Impact Forecast'!$G$27+$D185*'EISA Incand Impact Forecast'!$I$27</f>
        <v>108482.65126808514</v>
      </c>
      <c r="Y185" s="85">
        <f t="shared" si="69"/>
        <v>743155.33710546338</v>
      </c>
      <c r="Z185" s="81">
        <f t="shared" si="70"/>
        <v>849628.14428766456</v>
      </c>
      <c r="AA185" s="81"/>
      <c r="AB185" s="262">
        <v>5094859.9289051732</v>
      </c>
      <c r="AC185" s="308">
        <f t="shared" si="78"/>
        <v>166.7618258683394</v>
      </c>
      <c r="AD185" s="309">
        <f t="shared" si="71"/>
        <v>20.898083297273484</v>
      </c>
      <c r="AE185" s="107">
        <f t="shared" si="72"/>
        <v>1.5712844584416152E-3</v>
      </c>
      <c r="AF185" s="309">
        <f t="shared" si="79"/>
        <v>145.86374257106593</v>
      </c>
      <c r="AG185" s="107">
        <f t="shared" si="73"/>
        <v>1.0967198689553828E-2</v>
      </c>
      <c r="AH185" s="119">
        <f t="shared" si="80"/>
        <v>1.2538483147995444E-2</v>
      </c>
      <c r="AI185" s="122">
        <f t="shared" si="74"/>
        <v>1.2538483147995444E-2</v>
      </c>
      <c r="AJ185" s="87" t="b">
        <f t="shared" si="81"/>
        <v>1</v>
      </c>
      <c r="AK185" s="88">
        <f t="shared" si="87"/>
        <v>7.6831158236116866E-4</v>
      </c>
      <c r="AL185" s="312">
        <f>+AC185/'MWh by month-WgtbyCDH&amp;DayLtHrs'!AC185-1</f>
        <v>-0.12328396687261534</v>
      </c>
      <c r="AM185" s="89">
        <f t="shared" si="75"/>
        <v>303630.49318025151</v>
      </c>
      <c r="AN185" s="93"/>
      <c r="AO185" s="96">
        <f t="shared" si="91"/>
        <v>59.595454520277301</v>
      </c>
      <c r="AP185" s="92">
        <f t="shared" si="90"/>
        <v>4.4808612421261126E-3</v>
      </c>
      <c r="AR185" s="94">
        <f t="shared" si="76"/>
        <v>1.2538483147995444E-2</v>
      </c>
      <c r="AS185" s="95">
        <v>791250.87450248061</v>
      </c>
      <c r="AU185" s="141">
        <v>166.7618258683394</v>
      </c>
    </row>
    <row r="186" spans="1:47">
      <c r="A186" s="78">
        <v>2020</v>
      </c>
      <c r="B186" s="78">
        <v>2</v>
      </c>
      <c r="C186" s="317">
        <f t="shared" si="84"/>
        <v>35.042184420393127</v>
      </c>
      <c r="D186" s="324">
        <f t="shared" si="93"/>
        <v>9.4849425755900163E-3</v>
      </c>
      <c r="E186" s="321">
        <f>$D186*'MWh Impact Summary'!B$26</f>
        <v>29526.775927873947</v>
      </c>
      <c r="F186" s="319">
        <f>$D186*'MWh Impact Summary'!N$26</f>
        <v>3592.6733711150378</v>
      </c>
      <c r="G186" s="319">
        <f>$D186*'MWh Impact Summary'!C$26</f>
        <v>21455.147048606836</v>
      </c>
      <c r="H186" s="319">
        <f>$D186*'MWh Impact Summary'!D$26</f>
        <v>86.63318795622672</v>
      </c>
      <c r="I186" s="319">
        <f>$D186*'MWh Impact Summary'!E$26</f>
        <v>7964.9918637652254</v>
      </c>
      <c r="J186" s="104">
        <f t="shared" si="77"/>
        <v>62626.22139931727</v>
      </c>
      <c r="K186" s="298">
        <f t="shared" si="85"/>
        <v>12.733333333333333</v>
      </c>
      <c r="L186" s="300">
        <f t="shared" si="94"/>
        <v>8.9639798193124468E-2</v>
      </c>
      <c r="M186" s="297">
        <f>(29/366)</f>
        <v>7.9234972677595633E-2</v>
      </c>
      <c r="N186" s="304">
        <f>$M186*'MWh Impact Summary'!F$26</f>
        <v>126476.20759813841</v>
      </c>
      <c r="O186" s="304">
        <f>$M186*'MWh Impact Summary'!G$26</f>
        <v>11069.373417130197</v>
      </c>
      <c r="P186" s="304">
        <f>$M186*'MWh Impact Summary'!H$26</f>
        <v>8403.7754109799462</v>
      </c>
      <c r="Q186" s="304">
        <f>$M186*'MWh Impact Summary'!I$26</f>
        <v>1405.768054915733</v>
      </c>
      <c r="R186" s="304">
        <f>$M186*'MWh Impact Summary'!J$26</f>
        <v>40404.790293644764</v>
      </c>
      <c r="S186" s="304">
        <f>$M186*'MWh Impact Summary'!K$26</f>
        <v>19851.879202845645</v>
      </c>
      <c r="T186" s="304">
        <f>$M186*'MWh Impact Summary'!L$26</f>
        <v>6898.1973679125194</v>
      </c>
      <c r="U186" s="304">
        <f>$M186*'MWh Impact Summary'!M$26</f>
        <v>21990.237757810559</v>
      </c>
      <c r="V186" s="304">
        <f>$M186*'LED Impact Forecast'!$H$27+$D186*'LED Impact Forecast'!$J$27</f>
        <v>72415.68424727612</v>
      </c>
      <c r="W186" s="304">
        <f>$M186*'CFL Impact Forecast'!$H$27+$D186*'CFL Impact Forecast'!$J$27</f>
        <v>280717.03025433735</v>
      </c>
      <c r="X186" s="304">
        <f>$M186*'EISA Incand Impact Forecast'!$G$27+$D186*'EISA Incand Impact Forecast'!$I$27</f>
        <v>100200.77456983677</v>
      </c>
      <c r="Y186" s="85">
        <f t="shared" si="69"/>
        <v>689833.7181748281</v>
      </c>
      <c r="Z186" s="81">
        <f t="shared" si="70"/>
        <v>752459.93957414536</v>
      </c>
      <c r="AA186" s="81"/>
      <c r="AB186" s="262">
        <v>5100381.4721688107</v>
      </c>
      <c r="AC186" s="308">
        <f t="shared" si="78"/>
        <v>147.53012959522425</v>
      </c>
      <c r="AD186" s="309">
        <f t="shared" si="71"/>
        <v>12.278732824407157</v>
      </c>
      <c r="AE186" s="107">
        <f t="shared" si="72"/>
        <v>9.6429838935134754E-4</v>
      </c>
      <c r="AF186" s="309">
        <f t="shared" si="79"/>
        <v>135.25139677081711</v>
      </c>
      <c r="AG186" s="107">
        <f t="shared" si="73"/>
        <v>1.0621837442734329E-2</v>
      </c>
      <c r="AH186" s="119">
        <f t="shared" si="80"/>
        <v>1.1586135832085676E-2</v>
      </c>
      <c r="AI186" s="122">
        <f t="shared" si="74"/>
        <v>1.1586135832085676E-2</v>
      </c>
      <c r="AJ186" s="87" t="b">
        <f t="shared" si="81"/>
        <v>1</v>
      </c>
      <c r="AK186" s="88">
        <f t="shared" si="87"/>
        <v>1.0554964902718417E-3</v>
      </c>
      <c r="AL186" s="312">
        <f>+AC186/'MWh by month-WgtbyCDH&amp;DayLtHrs'!AC186-1</f>
        <v>-0.22103083111194455</v>
      </c>
      <c r="AM186" s="89">
        <f t="shared" si="75"/>
        <v>280717.03025433735</v>
      </c>
      <c r="AN186" s="93"/>
      <c r="AO186" s="96">
        <f t="shared" si="91"/>
        <v>55.038438161169424</v>
      </c>
      <c r="AP186" s="92">
        <f t="shared" si="90"/>
        <v>4.3223904315054526E-3</v>
      </c>
      <c r="AR186" s="94">
        <f t="shared" si="76"/>
        <v>1.1586135832085676E-2</v>
      </c>
      <c r="AS186" s="95">
        <v>757160.94458751928</v>
      </c>
      <c r="AU186" s="141">
        <v>147.53012959522425</v>
      </c>
    </row>
    <row r="187" spans="1:47">
      <c r="A187" s="78">
        <v>2020</v>
      </c>
      <c r="B187" s="78">
        <v>3</v>
      </c>
      <c r="C187" s="317">
        <f t="shared" si="84"/>
        <v>64.582270600115152</v>
      </c>
      <c r="D187" s="324">
        <f t="shared" si="93"/>
        <v>5.6112649790650677E-2</v>
      </c>
      <c r="E187" s="321">
        <f>$D187*'MWh Impact Summary'!B$26</f>
        <v>174679.56436043492</v>
      </c>
      <c r="F187" s="319">
        <f>$D187*'MWh Impact Summary'!N$26</f>
        <v>21254.153209571137</v>
      </c>
      <c r="G187" s="319">
        <f>$D187*'MWh Impact Summary'!C$26</f>
        <v>126928.0380931034</v>
      </c>
      <c r="H187" s="319">
        <f>$D187*'MWh Impact Summary'!D$26</f>
        <v>512.5194693899316</v>
      </c>
      <c r="I187" s="319">
        <f>$D187*'MWh Impact Summary'!E$26</f>
        <v>47120.664724639959</v>
      </c>
      <c r="J187" s="104">
        <f t="shared" si="77"/>
        <v>370494.93985713937</v>
      </c>
      <c r="K187" s="298">
        <f t="shared" si="85"/>
        <v>12</v>
      </c>
      <c r="L187" s="300">
        <f t="shared" si="94"/>
        <v>8.4477296726504739E-2</v>
      </c>
      <c r="M187" s="297">
        <f>(31/366)</f>
        <v>8.4699453551912565E-2</v>
      </c>
      <c r="N187" s="304">
        <f>$M187*'MWh Impact Summary'!F$26</f>
        <v>135198.70467387207</v>
      </c>
      <c r="O187" s="304">
        <f>$M187*'MWh Impact Summary'!G$26</f>
        <v>11832.778480380553</v>
      </c>
      <c r="P187" s="304">
        <f>$M187*'MWh Impact Summary'!H$26</f>
        <v>8983.346128978561</v>
      </c>
      <c r="Q187" s="304">
        <f>$M187*'MWh Impact Summary'!I$26</f>
        <v>1502.7175759444042</v>
      </c>
      <c r="R187" s="304">
        <f>$M187*'MWh Impact Summary'!J$26</f>
        <v>43191.327555275435</v>
      </c>
      <c r="S187" s="304">
        <f>$M187*'MWh Impact Summary'!K$26</f>
        <v>21220.974320283272</v>
      </c>
      <c r="T187" s="304">
        <f>$M187*'MWh Impact Summary'!L$26</f>
        <v>7373.9351174237272</v>
      </c>
      <c r="U187" s="304">
        <f>$M187*'MWh Impact Summary'!M$26</f>
        <v>23506.805879038871</v>
      </c>
      <c r="V187" s="304">
        <f>$M187*'LED Impact Forecast'!$H$27+$D187*'LED Impact Forecast'!$J$27</f>
        <v>83720.329730012483</v>
      </c>
      <c r="W187" s="304">
        <f>$M187*'CFL Impact Forecast'!$H$27+$D187*'CFL Impact Forecast'!$J$27</f>
        <v>327367.03303756739</v>
      </c>
      <c r="X187" s="304">
        <f>$M187*'EISA Incand Impact Forecast'!$G$27+$D187*'EISA Incand Impact Forecast'!$I$27</f>
        <v>117643.37065982299</v>
      </c>
      <c r="Y187" s="85">
        <f t="shared" si="69"/>
        <v>781541.32315859979</v>
      </c>
      <c r="Z187" s="81">
        <f t="shared" si="70"/>
        <v>1152036.2630157392</v>
      </c>
      <c r="AA187" s="81"/>
      <c r="AB187" s="262">
        <v>5106049.1589007676</v>
      </c>
      <c r="AC187" s="308">
        <f t="shared" si="78"/>
        <v>225.62185109548574</v>
      </c>
      <c r="AD187" s="309">
        <f t="shared" si="71"/>
        <v>72.560002523927849</v>
      </c>
      <c r="AE187" s="107">
        <f t="shared" si="72"/>
        <v>6.0466668769939879E-3</v>
      </c>
      <c r="AF187" s="309">
        <f t="shared" si="79"/>
        <v>153.06184857155787</v>
      </c>
      <c r="AG187" s="107">
        <f t="shared" si="73"/>
        <v>1.2755154047629823E-2</v>
      </c>
      <c r="AH187" s="119">
        <f t="shared" si="80"/>
        <v>1.8801820924623812E-2</v>
      </c>
      <c r="AI187" s="122">
        <f t="shared" si="74"/>
        <v>1.8801820924623812E-2</v>
      </c>
      <c r="AJ187" s="87" t="b">
        <f t="shared" si="81"/>
        <v>1</v>
      </c>
      <c r="AK187" s="88">
        <f t="shared" si="87"/>
        <v>1.104868238731814E-3</v>
      </c>
      <c r="AL187" s="312">
        <f>+AC187/'MWh by month-WgtbyCDH&amp;DayLtHrs'!AC187-1</f>
        <v>0.12689930032456176</v>
      </c>
      <c r="AM187" s="89">
        <f t="shared" si="75"/>
        <v>327367.03303756739</v>
      </c>
      <c r="AN187" s="93"/>
      <c r="AO187" s="96">
        <f t="shared" si="91"/>
        <v>64.113568602626444</v>
      </c>
      <c r="AP187" s="92">
        <f t="shared" si="90"/>
        <v>5.3427973835522037E-3</v>
      </c>
      <c r="AR187" s="94">
        <f t="shared" si="76"/>
        <v>1.8801820924623812E-2</v>
      </c>
      <c r="AS187" s="95">
        <v>884832.37801699457</v>
      </c>
      <c r="AU187" s="141">
        <v>225.62185109548574</v>
      </c>
    </row>
    <row r="188" spans="1:47">
      <c r="A188" s="78">
        <v>2020</v>
      </c>
      <c r="B188" s="78">
        <v>4</v>
      </c>
      <c r="C188" s="317">
        <f t="shared" si="84"/>
        <v>114.03392869270741</v>
      </c>
      <c r="D188" s="324">
        <f t="shared" si="93"/>
        <v>5.6895710731417456E-2</v>
      </c>
      <c r="E188" s="321">
        <f>$D188*'MWh Impact Summary'!B$26</f>
        <v>177117.2454272022</v>
      </c>
      <c r="F188" s="319">
        <f>$D188*'MWh Impact Summary'!N$26</f>
        <v>21550.758293622275</v>
      </c>
      <c r="G188" s="319">
        <f>$D188*'MWh Impact Summary'!C$26</f>
        <v>128699.33902595344</v>
      </c>
      <c r="H188" s="319">
        <f>$D188*'MWh Impact Summary'!D$26</f>
        <v>519.67175999390588</v>
      </c>
      <c r="I188" s="319">
        <f>$D188*'MWh Impact Summary'!E$26</f>
        <v>47778.241085522852</v>
      </c>
      <c r="J188" s="104">
        <f t="shared" si="77"/>
        <v>375665.25559229468</v>
      </c>
      <c r="K188" s="298">
        <f t="shared" si="85"/>
        <v>11.2</v>
      </c>
      <c r="L188" s="300">
        <f t="shared" si="94"/>
        <v>7.8845476944737758E-2</v>
      </c>
      <c r="M188" s="297">
        <f>(30/366)</f>
        <v>8.1967213114754092E-2</v>
      </c>
      <c r="N188" s="304">
        <f>$M188*'MWh Impact Summary'!F$26</f>
        <v>130837.45613600523</v>
      </c>
      <c r="O188" s="304">
        <f>$M188*'MWh Impact Summary'!G$26</f>
        <v>11451.075948755373</v>
      </c>
      <c r="P188" s="304">
        <f>$M188*'MWh Impact Summary'!H$26</f>
        <v>8693.5607699792527</v>
      </c>
      <c r="Q188" s="304">
        <f>$M188*'MWh Impact Summary'!I$26</f>
        <v>1454.2428154300685</v>
      </c>
      <c r="R188" s="304">
        <f>$M188*'MWh Impact Summary'!J$26</f>
        <v>41798.058924460092</v>
      </c>
      <c r="S188" s="304">
        <f>$M188*'MWh Impact Summary'!K$26</f>
        <v>20536.426761564457</v>
      </c>
      <c r="T188" s="304">
        <f>$M188*'MWh Impact Summary'!L$26</f>
        <v>7136.0662426681229</v>
      </c>
      <c r="U188" s="304">
        <f>$M188*'MWh Impact Summary'!M$26</f>
        <v>22748.521818424713</v>
      </c>
      <c r="V188" s="304">
        <f>$M188*'LED Impact Forecast'!$H$27+$D188*'LED Impact Forecast'!$J$27</f>
        <v>81375.616412454663</v>
      </c>
      <c r="W188" s="304">
        <f>$M188*'CFL Impact Forecast'!$H$27+$D188*'CFL Impact Forecast'!$J$27</f>
        <v>318346.1144912325</v>
      </c>
      <c r="X188" s="304">
        <f>$M188*'EISA Incand Impact Forecast'!$G$27+$D188*'EISA Incand Impact Forecast'!$I$27</f>
        <v>114442.49344657107</v>
      </c>
      <c r="Y188" s="85">
        <f t="shared" si="69"/>
        <v>758819.63376754546</v>
      </c>
      <c r="Z188" s="81">
        <f t="shared" si="70"/>
        <v>1134484.8893598402</v>
      </c>
      <c r="AA188" s="81"/>
      <c r="AB188" s="262">
        <v>5111527.3694814648</v>
      </c>
      <c r="AC188" s="308">
        <f t="shared" si="78"/>
        <v>221.94635915153617</v>
      </c>
      <c r="AD188" s="309">
        <f t="shared" si="71"/>
        <v>73.493738453835917</v>
      </c>
      <c r="AE188" s="107">
        <f t="shared" si="72"/>
        <v>6.5619409333782077E-3</v>
      </c>
      <c r="AF188" s="309">
        <f t="shared" si="79"/>
        <v>148.45262069770027</v>
      </c>
      <c r="AG188" s="107">
        <f t="shared" si="73"/>
        <v>1.3254698276580381E-2</v>
      </c>
      <c r="AH188" s="119">
        <f t="shared" si="80"/>
        <v>1.9816639209958589E-2</v>
      </c>
      <c r="AI188" s="122">
        <f t="shared" si="74"/>
        <v>1.9816639209958589E-2</v>
      </c>
      <c r="AJ188" s="87" t="b">
        <f t="shared" si="81"/>
        <v>1</v>
      </c>
      <c r="AK188" s="88">
        <f t="shared" si="87"/>
        <v>1.1626254868126809E-3</v>
      </c>
      <c r="AL188" s="312">
        <f>+AC188/'MWh by month-WgtbyCDH&amp;DayLtHrs'!AC188-1</f>
        <v>-6.2432438563437831E-3</v>
      </c>
      <c r="AM188" s="89">
        <f t="shared" si="75"/>
        <v>318346.1144912325</v>
      </c>
      <c r="AN188" s="93"/>
      <c r="AO188" s="96">
        <f t="shared" si="91"/>
        <v>62.280037155220576</v>
      </c>
      <c r="AP188" s="92">
        <f t="shared" si="90"/>
        <v>5.5607176031446945E-3</v>
      </c>
      <c r="AR188" s="94">
        <f t="shared" si="76"/>
        <v>1.9816639209958589E-2</v>
      </c>
      <c r="AS188" s="95">
        <v>1032189.2219764603</v>
      </c>
      <c r="AU188" s="141">
        <v>221.94635915153617</v>
      </c>
    </row>
    <row r="189" spans="1:47">
      <c r="A189" s="78">
        <v>2020</v>
      </c>
      <c r="B189" s="78">
        <v>5</v>
      </c>
      <c r="C189" s="317">
        <f t="shared" si="84"/>
        <v>208.47875842628665</v>
      </c>
      <c r="D189" s="324">
        <f t="shared" si="93"/>
        <v>0.10401770130213556</v>
      </c>
      <c r="E189" s="321">
        <f>$D189*'MWh Impact Summary'!B$26</f>
        <v>323808.74574663688</v>
      </c>
      <c r="F189" s="319">
        <f>$D189*'MWh Impact Summary'!N$26</f>
        <v>39399.461052565632</v>
      </c>
      <c r="G189" s="319">
        <f>$D189*'MWh Impact Summary'!C$26</f>
        <v>235290.30980522893</v>
      </c>
      <c r="H189" s="319">
        <f>$D189*'MWh Impact Summary'!D$26</f>
        <v>950.07270691061615</v>
      </c>
      <c r="I189" s="319">
        <f>$D189*'MWh Impact Summary'!E$26</f>
        <v>87348.988985052856</v>
      </c>
      <c r="J189" s="104">
        <f t="shared" si="77"/>
        <v>686797.57829639502</v>
      </c>
      <c r="K189" s="298">
        <f t="shared" si="85"/>
        <v>10.533333333333333</v>
      </c>
      <c r="L189" s="300">
        <f t="shared" si="94"/>
        <v>7.4152293793265281E-2</v>
      </c>
      <c r="M189" s="297">
        <f>(31/366)</f>
        <v>8.4699453551912565E-2</v>
      </c>
      <c r="N189" s="304">
        <f>$M189*'MWh Impact Summary'!F$26</f>
        <v>135198.70467387207</v>
      </c>
      <c r="O189" s="304">
        <f>$M189*'MWh Impact Summary'!G$26</f>
        <v>11832.778480380553</v>
      </c>
      <c r="P189" s="304">
        <f>$M189*'MWh Impact Summary'!H$26</f>
        <v>8983.346128978561</v>
      </c>
      <c r="Q189" s="304">
        <f>$M189*'MWh Impact Summary'!I$26</f>
        <v>1502.7175759444042</v>
      </c>
      <c r="R189" s="304">
        <f>$M189*'MWh Impact Summary'!J$26</f>
        <v>43191.327555275435</v>
      </c>
      <c r="S189" s="304">
        <f>$M189*'MWh Impact Summary'!K$26</f>
        <v>21220.974320283272</v>
      </c>
      <c r="T189" s="304">
        <f>$M189*'MWh Impact Summary'!L$26</f>
        <v>7373.9351174237272</v>
      </c>
      <c r="U189" s="304">
        <f>$M189*'MWh Impact Summary'!M$26</f>
        <v>23506.805879038871</v>
      </c>
      <c r="V189" s="304">
        <f>$M189*'LED Impact Forecast'!$H$27+$D189*'LED Impact Forecast'!$J$27</f>
        <v>90295.910164176632</v>
      </c>
      <c r="W189" s="304">
        <f>$M189*'CFL Impact Forecast'!$H$27+$D189*'CFL Impact Forecast'!$J$27</f>
        <v>355803.77850364265</v>
      </c>
      <c r="X189" s="304">
        <f>$M189*'EISA Incand Impact Forecast'!$G$27+$D189*'EISA Incand Impact Forecast'!$I$27</f>
        <v>128618.0555631367</v>
      </c>
      <c r="Y189" s="85">
        <f t="shared" si="69"/>
        <v>827528.33396215294</v>
      </c>
      <c r="Z189" s="81">
        <f t="shared" si="70"/>
        <v>1514325.912258548</v>
      </c>
      <c r="AA189" s="81"/>
      <c r="AB189" s="262">
        <v>5116441.1678385669</v>
      </c>
      <c r="AC189" s="308">
        <f t="shared" si="78"/>
        <v>295.97250561140976</v>
      </c>
      <c r="AD189" s="309">
        <f t="shared" si="71"/>
        <v>134.23345559283186</v>
      </c>
      <c r="AE189" s="107">
        <f t="shared" si="72"/>
        <v>1.2743682492990367E-2</v>
      </c>
      <c r="AF189" s="309">
        <f t="shared" si="79"/>
        <v>161.73905001857787</v>
      </c>
      <c r="AG189" s="107">
        <f t="shared" si="73"/>
        <v>1.5354973103029546E-2</v>
      </c>
      <c r="AH189" s="119">
        <f t="shared" si="80"/>
        <v>2.8098655596019914E-2</v>
      </c>
      <c r="AI189" s="122">
        <f t="shared" si="74"/>
        <v>2.8098655596019914E-2</v>
      </c>
      <c r="AJ189" s="87" t="b">
        <f t="shared" si="81"/>
        <v>1</v>
      </c>
      <c r="AK189" s="88">
        <f t="shared" si="87"/>
        <v>1.6051401546626175E-3</v>
      </c>
      <c r="AL189" s="312">
        <f>+AC189/'MWh by month-WgtbyCDH&amp;DayLtHrs'!AC189-1</f>
        <v>6.6575152167825724E-2</v>
      </c>
      <c r="AM189" s="89">
        <f t="shared" si="75"/>
        <v>355803.77850364265</v>
      </c>
      <c r="AN189" s="93"/>
      <c r="AO189" s="96">
        <f t="shared" si="91"/>
        <v>69.541262536192022</v>
      </c>
      <c r="AP189" s="92">
        <f t="shared" si="90"/>
        <v>6.6020185952081036E-3</v>
      </c>
      <c r="AR189" s="94">
        <f t="shared" si="76"/>
        <v>2.8098655596019914E-2</v>
      </c>
      <c r="AS189" s="95">
        <v>1231330.71450657</v>
      </c>
      <c r="AU189" s="141">
        <v>295.97250561140976</v>
      </c>
    </row>
    <row r="190" spans="1:47">
      <c r="A190" s="78">
        <v>2020</v>
      </c>
      <c r="B190" s="78">
        <v>6</v>
      </c>
      <c r="C190" s="317">
        <f t="shared" si="84"/>
        <v>271.66325293295364</v>
      </c>
      <c r="D190" s="324">
        <f t="shared" si="93"/>
        <v>0.13554276374078555</v>
      </c>
      <c r="E190" s="321">
        <f>$D190*'MWh Impact Summary'!B$26</f>
        <v>421946.7626423639</v>
      </c>
      <c r="F190" s="319">
        <f>$D190*'MWh Impact Summary'!N$26</f>
        <v>51340.413930609953</v>
      </c>
      <c r="G190" s="319">
        <f>$D190*'MWh Impact Summary'!C$26</f>
        <v>306600.68885574979</v>
      </c>
      <c r="H190" s="319">
        <f>$D190*'MWh Impact Summary'!D$26</f>
        <v>1238.0150574112947</v>
      </c>
      <c r="I190" s="319">
        <f>$D190*'MWh Impact Summary'!E$26</f>
        <v>113822.19784503568</v>
      </c>
      <c r="J190" s="104">
        <f t="shared" si="77"/>
        <v>894948.0783311706</v>
      </c>
      <c r="K190" s="298">
        <f t="shared" si="85"/>
        <v>10.199999999999999</v>
      </c>
      <c r="L190" s="300">
        <f t="shared" si="94"/>
        <v>7.1805702217529022E-2</v>
      </c>
      <c r="M190" s="297">
        <f>(30/366)</f>
        <v>8.1967213114754092E-2</v>
      </c>
      <c r="N190" s="304">
        <f>$M190*'MWh Impact Summary'!F$26</f>
        <v>130837.45613600523</v>
      </c>
      <c r="O190" s="304">
        <f>$M190*'MWh Impact Summary'!G$26</f>
        <v>11451.075948755373</v>
      </c>
      <c r="P190" s="304">
        <f>$M190*'MWh Impact Summary'!H$26</f>
        <v>8693.5607699792527</v>
      </c>
      <c r="Q190" s="304">
        <f>$M190*'MWh Impact Summary'!I$26</f>
        <v>1454.2428154300685</v>
      </c>
      <c r="R190" s="304">
        <f>$M190*'MWh Impact Summary'!J$26</f>
        <v>41798.058924460092</v>
      </c>
      <c r="S190" s="304">
        <f>$M190*'MWh Impact Summary'!K$26</f>
        <v>20536.426761564457</v>
      </c>
      <c r="T190" s="304">
        <f>$M190*'MWh Impact Summary'!L$26</f>
        <v>7136.0662426681229</v>
      </c>
      <c r="U190" s="304">
        <f>$M190*'MWh Impact Summary'!M$26</f>
        <v>22748.521818424713</v>
      </c>
      <c r="V190" s="304">
        <f>$M190*'LED Impact Forecast'!$H$27+$D190*'LED Impact Forecast'!$J$27</f>
        <v>92170.929362887226</v>
      </c>
      <c r="W190" s="304">
        <f>$M190*'CFL Impact Forecast'!$H$27+$D190*'CFL Impact Forecast'!$J$27</f>
        <v>365031.50898555119</v>
      </c>
      <c r="X190" s="304">
        <f>$M190*'EISA Incand Impact Forecast'!$G$27+$D190*'EISA Incand Impact Forecast'!$I$27</f>
        <v>132459.93833221318</v>
      </c>
      <c r="Y190" s="85">
        <f t="shared" si="69"/>
        <v>834317.78609793889</v>
      </c>
      <c r="Z190" s="81">
        <f t="shared" si="70"/>
        <v>1729265.8644291095</v>
      </c>
      <c r="AA190" s="81"/>
      <c r="AB190" s="262">
        <v>5121360.7767743841</v>
      </c>
      <c r="AC190" s="308">
        <f t="shared" si="78"/>
        <v>337.65749764621404</v>
      </c>
      <c r="AD190" s="309">
        <f t="shared" si="71"/>
        <v>174.74810257262149</v>
      </c>
      <c r="AE190" s="107">
        <f t="shared" si="72"/>
        <v>1.7132166918884462E-2</v>
      </c>
      <c r="AF190" s="309">
        <f t="shared" si="79"/>
        <v>162.90939507359255</v>
      </c>
      <c r="AG190" s="107">
        <f t="shared" si="73"/>
        <v>1.5971509320940446E-2</v>
      </c>
      <c r="AH190" s="119">
        <f t="shared" si="80"/>
        <v>3.3103676239824908E-2</v>
      </c>
      <c r="AI190" s="122">
        <f t="shared" si="74"/>
        <v>3.3103676239824908E-2</v>
      </c>
      <c r="AJ190" s="87" t="b">
        <f t="shared" si="81"/>
        <v>1</v>
      </c>
      <c r="AK190" s="88">
        <f t="shared" si="87"/>
        <v>1.8655399846582779E-3</v>
      </c>
      <c r="AL190" s="312">
        <f>+AC190/'MWh by month-WgtbyCDH&amp;DayLtHrs'!AC190-1</f>
        <v>7.2413233517442999E-2</v>
      </c>
      <c r="AM190" s="89">
        <f t="shared" si="75"/>
        <v>365031.50898555119</v>
      </c>
      <c r="AN190" s="93"/>
      <c r="AO190" s="96">
        <f t="shared" si="91"/>
        <v>71.276273025127722</v>
      </c>
      <c r="AP190" s="92">
        <f t="shared" si="90"/>
        <v>6.9878699044242871E-3</v>
      </c>
      <c r="AR190" s="94">
        <f t="shared" si="76"/>
        <v>3.3103676239824908E-2</v>
      </c>
      <c r="AS190" s="95">
        <v>1495581.1010643367</v>
      </c>
      <c r="AU190" s="141">
        <v>337.65749764621404</v>
      </c>
    </row>
    <row r="191" spans="1:47">
      <c r="A191" s="78">
        <v>2020</v>
      </c>
      <c r="B191" s="78">
        <v>7</v>
      </c>
      <c r="C191" s="317">
        <f t="shared" si="84"/>
        <v>322.31916585708109</v>
      </c>
      <c r="D191" s="324">
        <f t="shared" si="93"/>
        <v>0.16081685717602592</v>
      </c>
      <c r="E191" s="321">
        <f>$D191*'MWh Impact Summary'!B$26</f>
        <v>500625.41437854175</v>
      </c>
      <c r="F191" s="319">
        <f>$D191*'MWh Impact Summary'!N$26</f>
        <v>60913.646634995952</v>
      </c>
      <c r="G191" s="319">
        <f>$D191*'MWh Impact Summary'!C$26</f>
        <v>363771.23963682074</v>
      </c>
      <c r="H191" s="319">
        <f>$D191*'MWh Impact Summary'!D$26</f>
        <v>1468.8625580206708</v>
      </c>
      <c r="I191" s="319">
        <f>$D191*'MWh Impact Summary'!E$26</f>
        <v>135046.14801356997</v>
      </c>
      <c r="J191" s="104">
        <f t="shared" si="77"/>
        <v>1061825.3112219491</v>
      </c>
      <c r="K191" s="298">
        <f t="shared" si="85"/>
        <v>10.366666666666667</v>
      </c>
      <c r="L191" s="300">
        <f t="shared" si="94"/>
        <v>7.2978998005397158E-2</v>
      </c>
      <c r="M191" s="297">
        <f>(31/366)</f>
        <v>8.4699453551912565E-2</v>
      </c>
      <c r="N191" s="304">
        <f>$M191*'MWh Impact Summary'!F$26</f>
        <v>135198.70467387207</v>
      </c>
      <c r="O191" s="304">
        <f>$M191*'MWh Impact Summary'!G$26</f>
        <v>11832.778480380553</v>
      </c>
      <c r="P191" s="304">
        <f>$M191*'MWh Impact Summary'!H$26</f>
        <v>8983.346128978561</v>
      </c>
      <c r="Q191" s="304">
        <f>$M191*'MWh Impact Summary'!I$26</f>
        <v>1502.7175759444042</v>
      </c>
      <c r="R191" s="304">
        <f>$M191*'MWh Impact Summary'!J$26</f>
        <v>43191.327555275435</v>
      </c>
      <c r="S191" s="304">
        <f>$M191*'MWh Impact Summary'!K$26</f>
        <v>21220.974320283272</v>
      </c>
      <c r="T191" s="304">
        <f>$M191*'MWh Impact Summary'!L$26</f>
        <v>7373.9351174237272</v>
      </c>
      <c r="U191" s="304">
        <f>$M191*'MWh Impact Summary'!M$26</f>
        <v>23506.805879038871</v>
      </c>
      <c r="V191" s="304">
        <f>$M191*'LED Impact Forecast'!$H$27+$D191*'LED Impact Forecast'!$J$27</f>
        <v>98092.320067876513</v>
      </c>
      <c r="W191" s="304">
        <f>$M191*'CFL Impact Forecast'!$H$27+$D191*'CFL Impact Forecast'!$J$27</f>
        <v>389520.12129656353</v>
      </c>
      <c r="X191" s="304">
        <f>$M191*'EISA Incand Impact Forecast'!$G$27+$D191*'EISA Incand Impact Forecast'!$I$27</f>
        <v>141630.31249267369</v>
      </c>
      <c r="Y191" s="85">
        <f t="shared" si="69"/>
        <v>882053.34358831076</v>
      </c>
      <c r="Z191" s="81">
        <f t="shared" si="70"/>
        <v>1943878.6548102598</v>
      </c>
      <c r="AA191" s="81"/>
      <c r="AB191" s="262">
        <v>5126615.2635603016</v>
      </c>
      <c r="AC191" s="308">
        <f t="shared" si="78"/>
        <v>379.17389054475024</v>
      </c>
      <c r="AD191" s="309">
        <f t="shared" si="71"/>
        <v>207.12014782332992</v>
      </c>
      <c r="AE191" s="107">
        <f t="shared" si="72"/>
        <v>1.9979435481350151E-2</v>
      </c>
      <c r="AF191" s="309">
        <f t="shared" si="79"/>
        <v>172.05374272142035</v>
      </c>
      <c r="AG191" s="107">
        <f t="shared" si="73"/>
        <v>1.6596824056728649E-2</v>
      </c>
      <c r="AH191" s="119">
        <f t="shared" si="80"/>
        <v>3.6576259538078804E-2</v>
      </c>
      <c r="AI191" s="122">
        <f t="shared" si="74"/>
        <v>3.6576259538078804E-2</v>
      </c>
      <c r="AJ191" s="87" t="b">
        <f t="shared" si="81"/>
        <v>1</v>
      </c>
      <c r="AK191" s="88">
        <f t="shared" si="87"/>
        <v>2.0512198245751373E-3</v>
      </c>
      <c r="AL191" s="312">
        <f>+AC191/'MWh by month-WgtbyCDH&amp;DayLtHrs'!AC191-1</f>
        <v>8.4543129877245438E-2</v>
      </c>
      <c r="AM191" s="89">
        <f t="shared" si="75"/>
        <v>389520.12129656353</v>
      </c>
      <c r="AN191" s="93"/>
      <c r="AO191" s="96">
        <f t="shared" si="91"/>
        <v>75.979979239957999</v>
      </c>
      <c r="AP191" s="92">
        <f t="shared" si="90"/>
        <v>7.3292584475843723E-3</v>
      </c>
      <c r="AR191" s="94">
        <f t="shared" si="76"/>
        <v>3.6576259538078804E-2</v>
      </c>
      <c r="AS191" s="95">
        <v>1569649.5181221459</v>
      </c>
      <c r="AU191" s="141">
        <v>379.17389054475024</v>
      </c>
    </row>
    <row r="192" spans="1:47">
      <c r="A192" s="78">
        <v>2020</v>
      </c>
      <c r="B192" s="78">
        <v>8</v>
      </c>
      <c r="C192" s="317">
        <f t="shared" si="84"/>
        <v>326.45437890907908</v>
      </c>
      <c r="D192" s="324">
        <f t="shared" si="93"/>
        <v>0.16288006668144661</v>
      </c>
      <c r="E192" s="321">
        <f>$D192*'MWh Impact Summary'!B$26</f>
        <v>507048.21813020564</v>
      </c>
      <c r="F192" s="319">
        <f>$D192*'MWh Impact Summary'!N$26</f>
        <v>61695.141914496387</v>
      </c>
      <c r="G192" s="319">
        <f>$D192*'MWh Impact Summary'!C$26</f>
        <v>368438.26455321891</v>
      </c>
      <c r="H192" s="319">
        <f>$D192*'MWh Impact Summary'!D$26</f>
        <v>1487.7074182242725</v>
      </c>
      <c r="I192" s="319">
        <f>$D192*'MWh Impact Summary'!E$26</f>
        <v>136778.73066158843</v>
      </c>
      <c r="J192" s="104">
        <f t="shared" si="77"/>
        <v>1075448.0626777338</v>
      </c>
      <c r="K192" s="298">
        <f t="shared" si="85"/>
        <v>10.933333333333334</v>
      </c>
      <c r="L192" s="300">
        <f t="shared" si="94"/>
        <v>7.6968203684148764E-2</v>
      </c>
      <c r="M192" s="297">
        <f>(31/366)</f>
        <v>8.4699453551912565E-2</v>
      </c>
      <c r="N192" s="304">
        <f>$M192*'MWh Impact Summary'!F$26</f>
        <v>135198.70467387207</v>
      </c>
      <c r="O192" s="304">
        <f>$M192*'MWh Impact Summary'!G$26</f>
        <v>11832.778480380553</v>
      </c>
      <c r="P192" s="304">
        <f>$M192*'MWh Impact Summary'!H$26</f>
        <v>8983.346128978561</v>
      </c>
      <c r="Q192" s="304">
        <f>$M192*'MWh Impact Summary'!I$26</f>
        <v>1502.7175759444042</v>
      </c>
      <c r="R192" s="304">
        <f>$M192*'MWh Impact Summary'!J$26</f>
        <v>43191.327555275435</v>
      </c>
      <c r="S192" s="304">
        <f>$M192*'MWh Impact Summary'!K$26</f>
        <v>21220.974320283272</v>
      </c>
      <c r="T192" s="304">
        <f>$M192*'MWh Impact Summary'!L$26</f>
        <v>7373.9351174237272</v>
      </c>
      <c r="U192" s="304">
        <f>$M192*'MWh Impact Summary'!M$26</f>
        <v>23506.805879038871</v>
      </c>
      <c r="V192" s="304">
        <f>$M192*'LED Impact Forecast'!$H$27+$D192*'LED Impact Forecast'!$J$27</f>
        <v>98375.521935474404</v>
      </c>
      <c r="W192" s="304">
        <f>$M192*'CFL Impact Forecast'!$H$27+$D192*'CFL Impact Forecast'!$J$27</f>
        <v>390744.85567629314</v>
      </c>
      <c r="X192" s="304">
        <f>$M192*'EISA Incand Impact Forecast'!$G$27+$D192*'EISA Incand Impact Forecast'!$I$27</f>
        <v>142102.97818234705</v>
      </c>
      <c r="Y192" s="85">
        <f t="shared" si="69"/>
        <v>884033.9455253114</v>
      </c>
      <c r="Z192" s="81">
        <f t="shared" si="70"/>
        <v>1959482.0082030452</v>
      </c>
      <c r="AA192" s="81"/>
      <c r="AB192" s="262">
        <v>5132042.3812502129</v>
      </c>
      <c r="AC192" s="308">
        <f t="shared" si="78"/>
        <v>381.81329432546448</v>
      </c>
      <c r="AD192" s="309">
        <f t="shared" si="71"/>
        <v>209.55556926163669</v>
      </c>
      <c r="AE192" s="107">
        <f t="shared" si="72"/>
        <v>1.9166667920271649E-2</v>
      </c>
      <c r="AF192" s="309">
        <f t="shared" si="79"/>
        <v>172.25772506382782</v>
      </c>
      <c r="AG192" s="107">
        <f t="shared" si="73"/>
        <v>1.5755279731447667E-2</v>
      </c>
      <c r="AH192" s="119">
        <f t="shared" si="80"/>
        <v>3.4921947651719312E-2</v>
      </c>
      <c r="AI192" s="122">
        <f t="shared" si="74"/>
        <v>3.4921947651719312E-2</v>
      </c>
      <c r="AJ192" s="87" t="b">
        <f t="shared" si="81"/>
        <v>1</v>
      </c>
      <c r="AK192" s="88">
        <f t="shared" si="87"/>
        <v>1.9614753800709928E-3</v>
      </c>
      <c r="AL192" s="312">
        <f>+AC192/'MWh by month-WgtbyCDH&amp;DayLtHrs'!AC192-1</f>
        <v>6.5309798023856613E-2</v>
      </c>
      <c r="AM192" s="89">
        <f t="shared" si="75"/>
        <v>390744.85567629314</v>
      </c>
      <c r="AN192" s="93"/>
      <c r="AO192" s="96">
        <f t="shared" si="91"/>
        <v>76.138275300272184</v>
      </c>
      <c r="AP192" s="92">
        <f t="shared" si="90"/>
        <v>6.9638666433175771E-3</v>
      </c>
      <c r="AR192" s="94">
        <f t="shared" si="76"/>
        <v>3.4921947651719312E-2</v>
      </c>
      <c r="AS192" s="95">
        <v>1631630.4343088379</v>
      </c>
      <c r="AU192" s="141">
        <v>381.81329432546448</v>
      </c>
    </row>
    <row r="193" spans="1:47">
      <c r="A193" s="78">
        <v>2020</v>
      </c>
      <c r="B193" s="78">
        <v>9</v>
      </c>
      <c r="C193" s="317">
        <f t="shared" si="84"/>
        <v>277.87653293728147</v>
      </c>
      <c r="D193" s="324">
        <f t="shared" si="93"/>
        <v>0.1386427970893879</v>
      </c>
      <c r="E193" s="321">
        <f>$D193*'MWh Impact Summary'!B$26</f>
        <v>431597.21538086393</v>
      </c>
      <c r="F193" s="319">
        <f>$D193*'MWh Impact Summary'!N$26</f>
        <v>52514.633718693323</v>
      </c>
      <c r="G193" s="319">
        <f>$D193*'MWh Impact Summary'!C$26</f>
        <v>313613.0319268633</v>
      </c>
      <c r="H193" s="319">
        <f>$D193*'MWh Impact Summary'!D$26</f>
        <v>1266.3300176358516</v>
      </c>
      <c r="I193" s="319">
        <f>$D193*'MWh Impact Summary'!E$26</f>
        <v>116425.45455452426</v>
      </c>
      <c r="J193" s="104">
        <f t="shared" si="77"/>
        <v>915416.66559858061</v>
      </c>
      <c r="K193" s="298">
        <f t="shared" si="85"/>
        <v>11.683333333333334</v>
      </c>
      <c r="L193" s="300">
        <f t="shared" si="94"/>
        <v>8.2248034729555317E-2</v>
      </c>
      <c r="M193" s="297">
        <f>(30/366)</f>
        <v>8.1967213114754092E-2</v>
      </c>
      <c r="N193" s="304">
        <f>$M193*'MWh Impact Summary'!F$26</f>
        <v>130837.45613600523</v>
      </c>
      <c r="O193" s="304">
        <f>$M193*'MWh Impact Summary'!G$26</f>
        <v>11451.075948755373</v>
      </c>
      <c r="P193" s="304">
        <f>$M193*'MWh Impact Summary'!H$26</f>
        <v>8693.5607699792527</v>
      </c>
      <c r="Q193" s="304">
        <f>$M193*'MWh Impact Summary'!I$26</f>
        <v>1454.2428154300685</v>
      </c>
      <c r="R193" s="304">
        <f>$M193*'MWh Impact Summary'!J$26</f>
        <v>41798.058924460092</v>
      </c>
      <c r="S193" s="304">
        <f>$M193*'MWh Impact Summary'!K$26</f>
        <v>20536.426761564457</v>
      </c>
      <c r="T193" s="304">
        <f>$M193*'MWh Impact Summary'!L$26</f>
        <v>7136.0662426681229</v>
      </c>
      <c r="U193" s="304">
        <f>$M193*'MWh Impact Summary'!M$26</f>
        <v>22748.521818424713</v>
      </c>
      <c r="V193" s="304">
        <f>$M193*'LED Impact Forecast'!$H$27+$D193*'LED Impact Forecast'!$J$27</f>
        <v>92596.448551138979</v>
      </c>
      <c r="W193" s="304">
        <f>$M193*'CFL Impact Forecast'!$H$27+$D193*'CFL Impact Forecast'!$J$27</f>
        <v>366871.70864068391</v>
      </c>
      <c r="X193" s="304">
        <f>$M193*'EISA Incand Impact Forecast'!$G$27+$D193*'EISA Incand Impact Forecast'!$I$27</f>
        <v>133170.13252086818</v>
      </c>
      <c r="Y193" s="85">
        <f t="shared" si="69"/>
        <v>837293.69912997843</v>
      </c>
      <c r="Z193" s="81">
        <f t="shared" si="70"/>
        <v>1752710.364728559</v>
      </c>
      <c r="AA193" s="81"/>
      <c r="AB193" s="262">
        <v>5136848.4535763171</v>
      </c>
      <c r="AC193" s="308">
        <f t="shared" si="78"/>
        <v>341.20344031335151</v>
      </c>
      <c r="AD193" s="309">
        <f t="shared" si="71"/>
        <v>178.20589294614285</v>
      </c>
      <c r="AE193" s="107">
        <f t="shared" si="72"/>
        <v>1.5253000822779703E-2</v>
      </c>
      <c r="AF193" s="309">
        <f t="shared" si="79"/>
        <v>162.99754736720868</v>
      </c>
      <c r="AG193" s="107">
        <f t="shared" si="73"/>
        <v>1.3951287934425849E-2</v>
      </c>
      <c r="AH193" s="119">
        <f t="shared" si="80"/>
        <v>2.920428875720555E-2</v>
      </c>
      <c r="AI193" s="122">
        <f t="shared" si="74"/>
        <v>2.920428875720555E-2</v>
      </c>
      <c r="AJ193" s="87" t="b">
        <f t="shared" si="81"/>
        <v>1</v>
      </c>
      <c r="AK193" s="88">
        <f t="shared" si="87"/>
        <v>1.652483056984632E-3</v>
      </c>
      <c r="AL193" s="312">
        <f>+AC193/'MWh by month-WgtbyCDH&amp;DayLtHrs'!AC193-1</f>
        <v>1.8981975623777458E-2</v>
      </c>
      <c r="AM193" s="89">
        <f t="shared" si="75"/>
        <v>366871.70864068391</v>
      </c>
      <c r="AN193" s="93"/>
      <c r="AO193" s="96">
        <f t="shared" si="91"/>
        <v>71.419609115636788</v>
      </c>
      <c r="AP193" s="92">
        <f t="shared" si="90"/>
        <v>6.1129479984853166E-3</v>
      </c>
      <c r="AR193" s="94">
        <f t="shared" si="76"/>
        <v>2.920428875720555E-2</v>
      </c>
      <c r="AS193" s="95">
        <v>1543477.4099642611</v>
      </c>
      <c r="AU193" s="141">
        <v>341.20344031335151</v>
      </c>
    </row>
    <row r="194" spans="1:47">
      <c r="A194" s="78">
        <v>2020</v>
      </c>
      <c r="B194" s="78">
        <v>10</v>
      </c>
      <c r="C194" s="317">
        <f t="shared" si="84"/>
        <v>198.89039579254836</v>
      </c>
      <c r="D194" s="324">
        <f t="shared" si="93"/>
        <v>9.923371540380535E-2</v>
      </c>
      <c r="E194" s="321">
        <f>$D194*'MWh Impact Summary'!B$26</f>
        <v>308916.12214492593</v>
      </c>
      <c r="F194" s="319">
        <f>$D194*'MWh Impact Summary'!N$26</f>
        <v>37587.399608044798</v>
      </c>
      <c r="G194" s="319">
        <f>$D194*'MWh Impact Summary'!C$26</f>
        <v>224468.8293261285</v>
      </c>
      <c r="H194" s="319">
        <f>$D194*'MWh Impact Summary'!D$26</f>
        <v>906.37692844838364</v>
      </c>
      <c r="I194" s="319">
        <f>$D194*'MWh Impact Summary'!E$26</f>
        <v>83331.6311093572</v>
      </c>
      <c r="J194" s="104">
        <f t="shared" si="77"/>
        <v>655210.35911690479</v>
      </c>
      <c r="K194" s="298">
        <f t="shared" si="85"/>
        <v>12.466666666666667</v>
      </c>
      <c r="L194" s="300">
        <f t="shared" si="94"/>
        <v>8.7762524932535488E-2</v>
      </c>
      <c r="M194" s="297">
        <f>(31/366)</f>
        <v>8.4699453551912565E-2</v>
      </c>
      <c r="N194" s="304">
        <f>$M194*'MWh Impact Summary'!F$26</f>
        <v>135198.70467387207</v>
      </c>
      <c r="O194" s="304">
        <f>$M194*'MWh Impact Summary'!G$26</f>
        <v>11832.778480380553</v>
      </c>
      <c r="P194" s="304">
        <f>$M194*'MWh Impact Summary'!H$26</f>
        <v>8983.346128978561</v>
      </c>
      <c r="Q194" s="304">
        <f>$M194*'MWh Impact Summary'!I$26</f>
        <v>1502.7175759444042</v>
      </c>
      <c r="R194" s="304">
        <f>$M194*'MWh Impact Summary'!J$26</f>
        <v>43191.327555275435</v>
      </c>
      <c r="S194" s="304">
        <f>$M194*'MWh Impact Summary'!K$26</f>
        <v>21220.974320283272</v>
      </c>
      <c r="T194" s="304">
        <f>$M194*'MWh Impact Summary'!L$26</f>
        <v>7373.9351174237272</v>
      </c>
      <c r="U194" s="304">
        <f>$M194*'MWh Impact Summary'!M$26</f>
        <v>23506.805879038871</v>
      </c>
      <c r="V194" s="304">
        <f>$M194*'LED Impact Forecast'!$H$27+$D194*'LED Impact Forecast'!$J$27</f>
        <v>89639.246971510292</v>
      </c>
      <c r="W194" s="304">
        <f>$M194*'CFL Impact Forecast'!$H$27+$D194*'CFL Impact Forecast'!$J$27</f>
        <v>352963.97382727166</v>
      </c>
      <c r="X194" s="304">
        <f>$M194*'EISA Incand Impact Forecast'!$G$27+$D194*'EISA Incand Impact Forecast'!$I$27</f>
        <v>127522.08058430835</v>
      </c>
      <c r="Y194" s="85">
        <f t="shared" si="69"/>
        <v>822935.89111428731</v>
      </c>
      <c r="Z194" s="81">
        <f t="shared" si="70"/>
        <v>1478146.250231192</v>
      </c>
      <c r="AA194" s="81"/>
      <c r="AB194" s="262">
        <v>5141857.9398052078</v>
      </c>
      <c r="AC194" s="308">
        <f t="shared" si="78"/>
        <v>287.4731794490591</v>
      </c>
      <c r="AD194" s="309">
        <f t="shared" si="71"/>
        <v>127.42677195428827</v>
      </c>
      <c r="AE194" s="107">
        <f t="shared" si="72"/>
        <v>1.0221398819862696E-2</v>
      </c>
      <c r="AF194" s="309">
        <f t="shared" si="79"/>
        <v>160.04640749477085</v>
      </c>
      <c r="AG194" s="107">
        <f t="shared" si="73"/>
        <v>1.2837947125248999E-2</v>
      </c>
      <c r="AH194" s="119">
        <f t="shared" si="80"/>
        <v>2.3059345945111696E-2</v>
      </c>
      <c r="AI194" s="122">
        <f t="shared" si="74"/>
        <v>2.3059345945111696E-2</v>
      </c>
      <c r="AJ194" s="87" t="b">
        <f t="shared" si="81"/>
        <v>1</v>
      </c>
      <c r="AK194" s="88">
        <f t="shared" si="87"/>
        <v>1.3307887667583645E-3</v>
      </c>
      <c r="AL194" s="312">
        <f>+AC194/'MWh by month-WgtbyCDH&amp;DayLtHrs'!AC194-1</f>
        <v>-1.4963595913800254E-2</v>
      </c>
      <c r="AM194" s="89">
        <f t="shared" si="75"/>
        <v>352963.97382727166</v>
      </c>
      <c r="AN194" s="93"/>
      <c r="AO194" s="96">
        <f t="shared" si="91"/>
        <v>68.645220844168861</v>
      </c>
      <c r="AP194" s="92">
        <f t="shared" si="90"/>
        <v>5.5063011372327962E-3</v>
      </c>
      <c r="AR194" s="94">
        <f t="shared" si="76"/>
        <v>2.3059345945111696E-2</v>
      </c>
      <c r="AS194" s="95">
        <v>1249756.1416365989</v>
      </c>
      <c r="AU194" s="141">
        <v>287.4731794490591</v>
      </c>
    </row>
    <row r="195" spans="1:47">
      <c r="A195" s="78">
        <v>2020</v>
      </c>
      <c r="B195" s="78">
        <v>11</v>
      </c>
      <c r="C195" s="317">
        <f t="shared" si="84"/>
        <v>78.117279066674627</v>
      </c>
      <c r="D195" s="324">
        <f t="shared" si="93"/>
        <v>3.8975576513546578E-2</v>
      </c>
      <c r="E195" s="321">
        <f>$D195*'MWh Impact Summary'!B$26</f>
        <v>121331.58479387089</v>
      </c>
      <c r="F195" s="319">
        <f>$D195*'MWh Impact Summary'!N$26</f>
        <v>14763.032537955565</v>
      </c>
      <c r="G195" s="319">
        <f>$D195*'MWh Impact Summary'!C$26</f>
        <v>88163.604443366989</v>
      </c>
      <c r="H195" s="319">
        <f>$D195*'MWh Impact Summary'!D$26</f>
        <v>355.99355703957275</v>
      </c>
      <c r="I195" s="319">
        <f>$D195*'MWh Impact Summary'!E$26</f>
        <v>32729.786958846867</v>
      </c>
      <c r="J195" s="104">
        <f t="shared" si="77"/>
        <v>257344.00229107987</v>
      </c>
      <c r="K195" s="298">
        <f t="shared" si="85"/>
        <v>13.15</v>
      </c>
      <c r="L195" s="300">
        <f t="shared" si="94"/>
        <v>9.2573037662794788E-2</v>
      </c>
      <c r="M195" s="297">
        <f>(30/366)</f>
        <v>8.1967213114754092E-2</v>
      </c>
      <c r="N195" s="304">
        <f>$M195*'MWh Impact Summary'!F$26</f>
        <v>130837.45613600523</v>
      </c>
      <c r="O195" s="304">
        <f>$M195*'MWh Impact Summary'!G$26</f>
        <v>11451.075948755373</v>
      </c>
      <c r="P195" s="304">
        <f>$M195*'MWh Impact Summary'!H$26</f>
        <v>8693.5607699792527</v>
      </c>
      <c r="Q195" s="304">
        <f>$M195*'MWh Impact Summary'!I$26</f>
        <v>1454.2428154300685</v>
      </c>
      <c r="R195" s="304">
        <f>$M195*'MWh Impact Summary'!J$26</f>
        <v>41798.058924460092</v>
      </c>
      <c r="S195" s="304">
        <f>$M195*'MWh Impact Summary'!K$26</f>
        <v>20536.426761564457</v>
      </c>
      <c r="T195" s="304">
        <f>$M195*'MWh Impact Summary'!L$26</f>
        <v>7136.0662426681229</v>
      </c>
      <c r="U195" s="304">
        <f>$M195*'MWh Impact Summary'!M$26</f>
        <v>22748.521818424713</v>
      </c>
      <c r="V195" s="304">
        <f>$M195*'LED Impact Forecast'!$H$27+$D195*'LED Impact Forecast'!$J$27</f>
        <v>78915.84901376233</v>
      </c>
      <c r="W195" s="304">
        <f>$M195*'CFL Impact Forecast'!$H$27+$D195*'CFL Impact Forecast'!$J$27</f>
        <v>307708.60801972123</v>
      </c>
      <c r="X195" s="304">
        <f>$M195*'EISA Incand Impact Forecast'!$G$27+$D195*'EISA Incand Impact Forecast'!$I$27</f>
        <v>110337.12626167048</v>
      </c>
      <c r="Y195" s="85">
        <f t="shared" si="69"/>
        <v>741616.99271244137</v>
      </c>
      <c r="Z195" s="81">
        <f t="shared" si="70"/>
        <v>998960.99500352121</v>
      </c>
      <c r="AA195" s="81"/>
      <c r="AB195" s="262">
        <v>5146914.2029780019</v>
      </c>
      <c r="AC195" s="308">
        <f t="shared" si="78"/>
        <v>194.08930392224585</v>
      </c>
      <c r="AD195" s="309">
        <f t="shared" si="71"/>
        <v>49.99966817830007</v>
      </c>
      <c r="AE195" s="107">
        <f t="shared" si="72"/>
        <v>3.8022561352319441E-3</v>
      </c>
      <c r="AF195" s="309">
        <f t="shared" si="79"/>
        <v>144.08963574394579</v>
      </c>
      <c r="AG195" s="107">
        <f t="shared" si="73"/>
        <v>1.0957386748589034E-2</v>
      </c>
      <c r="AH195" s="119">
        <f t="shared" si="80"/>
        <v>1.4759642883820978E-2</v>
      </c>
      <c r="AI195" s="122">
        <f t="shared" si="74"/>
        <v>1.4759642883820976E-2</v>
      </c>
      <c r="AJ195" s="87" t="b">
        <f t="shared" si="81"/>
        <v>1</v>
      </c>
      <c r="AK195" s="88">
        <f t="shared" si="87"/>
        <v>8.8930452743247838E-4</v>
      </c>
      <c r="AL195" s="312">
        <f>+AC195/'MWh by month-WgtbyCDH&amp;DayLtHrs'!AC195-1</f>
        <v>-0.11983628425342008</v>
      </c>
      <c r="AM195" s="89">
        <f t="shared" si="75"/>
        <v>307708.60801972123</v>
      </c>
      <c r="AN195" s="93"/>
      <c r="AO195" s="96">
        <f t="shared" si="91"/>
        <v>59.785066524264415</v>
      </c>
      <c r="AP195" s="92">
        <f t="shared" si="90"/>
        <v>4.5463928915790422E-3</v>
      </c>
      <c r="AR195" s="94">
        <f t="shared" si="76"/>
        <v>1.4759642883820976E-2</v>
      </c>
      <c r="AS195" s="95">
        <v>974261.26226112701</v>
      </c>
      <c r="AU195" s="141">
        <v>194.08930392224585</v>
      </c>
    </row>
    <row r="196" spans="1:47">
      <c r="A196" s="78">
        <v>2020</v>
      </c>
      <c r="B196" s="78">
        <v>12</v>
      </c>
      <c r="C196" s="317">
        <f t="shared" si="84"/>
        <v>42.633806123140985</v>
      </c>
      <c r="D196" s="324">
        <f t="shared" si="93"/>
        <v>2.1271570035074034E-2</v>
      </c>
      <c r="E196" s="321">
        <f>$D196*'MWh Impact Summary'!B$26</f>
        <v>66218.733224184922</v>
      </c>
      <c r="F196" s="319">
        <f>$D196*'MWh Impact Summary'!N$26</f>
        <v>8057.170891418411</v>
      </c>
      <c r="G196" s="319">
        <f>$D196*'MWh Impact Summary'!C$26</f>
        <v>48116.755522777908</v>
      </c>
      <c r="H196" s="319">
        <f>$D196*'MWh Impact Summary'!D$26</f>
        <v>194.28941296020182</v>
      </c>
      <c r="I196" s="319">
        <f>$D196*'MWh Impact Summary'!E$26</f>
        <v>17862.826359635339</v>
      </c>
      <c r="J196" s="104">
        <f t="shared" si="77"/>
        <v>140449.77541097678</v>
      </c>
      <c r="K196" s="298">
        <f t="shared" si="85"/>
        <v>13.483333333333333</v>
      </c>
      <c r="L196" s="300">
        <f t="shared" si="94"/>
        <v>9.491962923853102E-2</v>
      </c>
      <c r="M196" s="297">
        <f>(31/366)</f>
        <v>8.4699453551912565E-2</v>
      </c>
      <c r="N196" s="304">
        <f>$M196*'MWh Impact Summary'!F$26</f>
        <v>135198.70467387207</v>
      </c>
      <c r="O196" s="304">
        <f>$M196*'MWh Impact Summary'!G$26</f>
        <v>11832.778480380553</v>
      </c>
      <c r="P196" s="304">
        <f>$M196*'MWh Impact Summary'!H$26</f>
        <v>8983.346128978561</v>
      </c>
      <c r="Q196" s="304">
        <f>$M196*'MWh Impact Summary'!I$26</f>
        <v>1502.7175759444042</v>
      </c>
      <c r="R196" s="304">
        <f>$M196*'MWh Impact Summary'!J$26</f>
        <v>43191.327555275435</v>
      </c>
      <c r="S196" s="304">
        <f>$M196*'MWh Impact Summary'!K$26</f>
        <v>21220.974320283272</v>
      </c>
      <c r="T196" s="304">
        <f>$M196*'MWh Impact Summary'!L$26</f>
        <v>7373.9351174237272</v>
      </c>
      <c r="U196" s="304">
        <f>$M196*'MWh Impact Summary'!M$26</f>
        <v>23506.805879038871</v>
      </c>
      <c r="V196" s="304">
        <f>$M196*'LED Impact Forecast'!$H$27+$D196*'LED Impact Forecast'!$J$27</f>
        <v>78937.946346268553</v>
      </c>
      <c r="W196" s="304">
        <f>$M196*'CFL Impact Forecast'!$H$27+$D196*'CFL Impact Forecast'!$J$27</f>
        <v>306685.14489608334</v>
      </c>
      <c r="X196" s="304">
        <f>$M196*'EISA Incand Impact Forecast'!$G$27+$D196*'EISA Incand Impact Forecast'!$I$27</f>
        <v>109661.54285786342</v>
      </c>
      <c r="Y196" s="85">
        <f t="shared" si="69"/>
        <v>748095.22383141215</v>
      </c>
      <c r="Z196" s="81">
        <f t="shared" si="70"/>
        <v>888544.99924238888</v>
      </c>
      <c r="AA196" s="81">
        <f>SUM(Z185:Z196)</f>
        <v>16153924.285144012</v>
      </c>
      <c r="AB196" s="262">
        <v>5152004.6812553955</v>
      </c>
      <c r="AC196" s="308">
        <f t="shared" si="78"/>
        <v>172.46587575418818</v>
      </c>
      <c r="AD196" s="309">
        <f t="shared" si="71"/>
        <v>27.261189401084398</v>
      </c>
      <c r="AE196" s="107">
        <f t="shared" si="72"/>
        <v>2.0218434660878417E-3</v>
      </c>
      <c r="AF196" s="309">
        <f t="shared" si="79"/>
        <v>145.2046863531038</v>
      </c>
      <c r="AG196" s="107">
        <f t="shared" si="73"/>
        <v>1.0769197998994102E-2</v>
      </c>
      <c r="AH196" s="119">
        <f t="shared" si="80"/>
        <v>1.2791041465081945E-2</v>
      </c>
      <c r="AI196" s="122">
        <f t="shared" si="74"/>
        <v>1.2791041465081943E-2</v>
      </c>
      <c r="AJ196" s="87" t="b">
        <f t="shared" si="81"/>
        <v>1</v>
      </c>
      <c r="AK196" s="88">
        <f t="shared" si="87"/>
        <v>7.886757983398586E-4</v>
      </c>
      <c r="AL196" s="312">
        <f>+AC196/'MWh by month-WgtbyCDH&amp;DayLtHrs'!AC196-1</f>
        <v>-0.14174887042764739</v>
      </c>
      <c r="AM196" s="89">
        <f t="shared" si="75"/>
        <v>306685.14489608334</v>
      </c>
      <c r="AN196" s="90">
        <f>SUM(AM185:AM196)</f>
        <v>4065390.3708092002</v>
      </c>
      <c r="AO196" s="96">
        <f t="shared" si="91"/>
        <v>59.527342048406872</v>
      </c>
      <c r="AP196" s="92">
        <f t="shared" si="90"/>
        <v>4.4148832174343783E-3</v>
      </c>
      <c r="AR196" s="94">
        <f t="shared" si="76"/>
        <v>1.2791041465081943E-2</v>
      </c>
      <c r="AS196" s="95">
        <v>809014.09152322926</v>
      </c>
      <c r="AU196" s="141">
        <v>172.46587575418818</v>
      </c>
    </row>
    <row r="197" spans="1:47">
      <c r="A197" s="78">
        <v>2021</v>
      </c>
      <c r="B197" s="78">
        <v>1</v>
      </c>
      <c r="C197" s="317">
        <f t="shared" si="84"/>
        <v>26.112829868525239</v>
      </c>
      <c r="D197" s="324">
        <f t="shared" si="93"/>
        <v>1.6125648960134388E-2</v>
      </c>
      <c r="E197" s="321">
        <f>$D197*'MWh Impact Summary'!B$27</f>
        <v>53653.927238801203</v>
      </c>
      <c r="F197" s="319">
        <f>$D197*'MWh Impact Summary'!N$27</f>
        <v>7050.3582779860926</v>
      </c>
      <c r="G197" s="319">
        <f>$D197*'MWh Impact Summary'!C$27</f>
        <v>37394.291835060889</v>
      </c>
      <c r="H197" s="319">
        <f>$D197*'MWh Impact Summary'!D$27</f>
        <v>160.79575351662427</v>
      </c>
      <c r="I197" s="319">
        <f>$D197*'MWh Impact Summary'!E$27</f>
        <v>13717.089250653467</v>
      </c>
      <c r="J197" s="104">
        <f t="shared" si="77"/>
        <v>111976.46235601828</v>
      </c>
      <c r="K197" s="298">
        <f t="shared" si="85"/>
        <v>13.3</v>
      </c>
      <c r="L197" s="300">
        <f t="shared" si="94"/>
        <v>9.3629003871876101E-2</v>
      </c>
      <c r="M197" s="297">
        <f>(31/365)</f>
        <v>8.4931506849315067E-2</v>
      </c>
      <c r="N197" s="304">
        <f>$M197*'MWh Impact Summary'!F$27</f>
        <v>146287.57986945406</v>
      </c>
      <c r="O197" s="304">
        <f>$M197*'MWh Impact Summary'!G$27</f>
        <v>15670.265720436975</v>
      </c>
      <c r="P197" s="304">
        <f>$M197*'MWh Impact Summary'!H$27</f>
        <v>9566.7797527246166</v>
      </c>
      <c r="Q197" s="304">
        <f>$M197*'MWh Impact Summary'!I$27</f>
        <v>1599.4325245963701</v>
      </c>
      <c r="R197" s="304">
        <f>$M197*'MWh Impact Summary'!J$27</f>
        <v>44687.952157098225</v>
      </c>
      <c r="S197" s="304">
        <f>$M197*'MWh Impact Summary'!K$27</f>
        <v>24615.749176464124</v>
      </c>
      <c r="T197" s="304">
        <f>$M197*'MWh Impact Summary'!L$27</f>
        <v>8659.6462628792251</v>
      </c>
      <c r="U197" s="304">
        <f>$M197*'MWh Impact Summary'!M$27</f>
        <v>27059.567039112593</v>
      </c>
      <c r="V197" s="304">
        <f>$M197*'LED Impact Forecast'!$H$28+$D197*'LED Impact Forecast'!$J$28</f>
        <v>104522.76976204006</v>
      </c>
      <c r="W197" s="304">
        <f>$M197*'CFL Impact Forecast'!$H$28+$D197*'CFL Impact Forecast'!$J$28</f>
        <v>309597.91253177507</v>
      </c>
      <c r="X197" s="304">
        <f>$M197*'EISA Incand Impact Forecast'!$G$28+$D197*'EISA Incand Impact Forecast'!$I$28</f>
        <v>108769.74273953884</v>
      </c>
      <c r="Y197" s="85">
        <f t="shared" ref="Y197:Y260" si="95">SUM(N197:X197)</f>
        <v>801037.39753612014</v>
      </c>
      <c r="Z197" s="81">
        <f t="shared" ref="Z197:Z260" si="96">Y197+J197</f>
        <v>913013.8598921384</v>
      </c>
      <c r="AA197" s="81"/>
      <c r="AB197" s="262">
        <v>5157217.8149424428</v>
      </c>
      <c r="AC197" s="308">
        <f t="shared" si="78"/>
        <v>177.03612541762075</v>
      </c>
      <c r="AD197" s="309">
        <f t="shared" ref="AD197:AD260" si="97">+J197*1000/AB197</f>
        <v>21.712571850577923</v>
      </c>
      <c r="AE197" s="107">
        <f t="shared" ref="AE197:AE260" si="98">+AD197/K197/1000</f>
        <v>1.632524199291573E-3</v>
      </c>
      <c r="AF197" s="309">
        <f t="shared" si="79"/>
        <v>155.32355356704284</v>
      </c>
      <c r="AG197" s="107">
        <f t="shared" ref="AG197:AG260" si="99">+AF197/K197/1000</f>
        <v>1.1678462674213746E-2</v>
      </c>
      <c r="AH197" s="119">
        <f t="shared" si="80"/>
        <v>1.3310986873505319E-2</v>
      </c>
      <c r="AI197" s="122">
        <f t="shared" ref="AI197:AI260" si="100">+AC197/K197/1000</f>
        <v>1.3310986873505319E-2</v>
      </c>
      <c r="AJ197" s="87" t="b">
        <f t="shared" si="81"/>
        <v>1</v>
      </c>
      <c r="AK197" s="88">
        <f t="shared" si="87"/>
        <v>7.7250372550987517E-4</v>
      </c>
      <c r="AL197" s="312">
        <f>+AC197/'MWh by month-WgtbyCDH&amp;DayLtHrs'!AC197-1</f>
        <v>-0.12104925505810782</v>
      </c>
      <c r="AM197" s="89">
        <f t="shared" ref="AM197:AM260" si="101">+W197</f>
        <v>309597.91253177507</v>
      </c>
      <c r="AN197" s="93"/>
      <c r="AO197" s="96">
        <f t="shared" si="91"/>
        <v>60.031963675210861</v>
      </c>
      <c r="AP197" s="92">
        <f t="shared" si="90"/>
        <v>4.5136814793391624E-3</v>
      </c>
      <c r="AR197" s="94">
        <f t="shared" ref="AR197:AR260" si="102">AI197</f>
        <v>1.3310986873505319E-2</v>
      </c>
      <c r="AS197" s="95">
        <v>817529.58394237643</v>
      </c>
      <c r="AU197" s="141">
        <v>177.03612541762075</v>
      </c>
    </row>
    <row r="198" spans="1:47">
      <c r="A198" s="78">
        <v>2021</v>
      </c>
      <c r="B198" s="78">
        <v>2</v>
      </c>
      <c r="C198" s="317">
        <f t="shared" si="84"/>
        <v>35.042184420393127</v>
      </c>
      <c r="D198" s="324">
        <f t="shared" si="93"/>
        <v>9.4849425755900163E-3</v>
      </c>
      <c r="E198" s="321">
        <f>$D198*'MWh Impact Summary'!B$27</f>
        <v>31558.693859268613</v>
      </c>
      <c r="F198" s="319">
        <f>$D198*'MWh Impact Summary'!N$27</f>
        <v>4146.9489736105788</v>
      </c>
      <c r="G198" s="319">
        <f>$D198*'MWh Impact Summary'!C$27</f>
        <v>21994.941821395776</v>
      </c>
      <c r="H198" s="319">
        <f>$D198*'MWh Impact Summary'!D$27</f>
        <v>94.57842548069442</v>
      </c>
      <c r="I198" s="319">
        <f>$D198*'MWh Impact Summary'!E$27</f>
        <v>8068.252271169802</v>
      </c>
      <c r="J198" s="104">
        <f t="shared" ref="J198:J261" si="103">SUM(E198:I198)</f>
        <v>65863.415350925468</v>
      </c>
      <c r="K198" s="298">
        <f t="shared" si="85"/>
        <v>12.733333333333333</v>
      </c>
      <c r="L198" s="300">
        <f t="shared" si="94"/>
        <v>8.9639798193124468E-2</v>
      </c>
      <c r="M198" s="297">
        <f>(28/365)</f>
        <v>7.6712328767123292E-2</v>
      </c>
      <c r="N198" s="304">
        <f>$M198*'MWh Impact Summary'!F$27</f>
        <v>132130.71730144238</v>
      </c>
      <c r="O198" s="304">
        <f>$M198*'MWh Impact Summary'!G$27</f>
        <v>14153.788392652752</v>
      </c>
      <c r="P198" s="304">
        <f>$M198*'MWh Impact Summary'!H$27</f>
        <v>8640.9623572996552</v>
      </c>
      <c r="Q198" s="304">
        <f>$M198*'MWh Impact Summary'!I$27</f>
        <v>1444.6487318934956</v>
      </c>
      <c r="R198" s="304">
        <f>$M198*'MWh Impact Summary'!J$27</f>
        <v>40363.311625766146</v>
      </c>
      <c r="S198" s="304">
        <f>$M198*'MWh Impact Summary'!K$27</f>
        <v>22233.579901322435</v>
      </c>
      <c r="T198" s="304">
        <f>$M198*'MWh Impact Summary'!L$27</f>
        <v>7821.6159793747838</v>
      </c>
      <c r="U198" s="304">
        <f>$M198*'MWh Impact Summary'!M$27</f>
        <v>24440.899261133956</v>
      </c>
      <c r="V198" s="304">
        <f>$M198*'LED Impact Forecast'!$H$28+$D198*'LED Impact Forecast'!$J$28</f>
        <v>93447.883859852125</v>
      </c>
      <c r="W198" s="304">
        <f>$M198*'CFL Impact Forecast'!$H$28+$D198*'CFL Impact Forecast'!$J$28</f>
        <v>276566.63823285728</v>
      </c>
      <c r="X198" s="304">
        <f>$M198*'EISA Incand Impact Forecast'!$G$28+$D198*'EISA Incand Impact Forecast'!$I$28</f>
        <v>97079.812444679061</v>
      </c>
      <c r="Y198" s="85">
        <f t="shared" si="95"/>
        <v>718323.85808827414</v>
      </c>
      <c r="Z198" s="81">
        <f t="shared" si="96"/>
        <v>784187.27343919966</v>
      </c>
      <c r="AA198" s="81"/>
      <c r="AB198" s="262">
        <v>5162310.6728719575</v>
      </c>
      <c r="AC198" s="308">
        <f t="shared" ref="AC198:AC261" si="104">+Z198*1000/AB198</f>
        <v>151.90625344579104</v>
      </c>
      <c r="AD198" s="309">
        <f t="shared" si="97"/>
        <v>12.758514456915387</v>
      </c>
      <c r="AE198" s="107">
        <f t="shared" si="98"/>
        <v>1.0019775751504232E-3</v>
      </c>
      <c r="AF198" s="309">
        <f t="shared" ref="AF198:AF261" si="105">+Y198*1000/AB198</f>
        <v>139.14773898887563</v>
      </c>
      <c r="AG198" s="107">
        <f t="shared" si="99"/>
        <v>1.0927832904885521E-2</v>
      </c>
      <c r="AH198" s="119">
        <f t="shared" ref="AH198:AH261" si="106">AE198+AG198</f>
        <v>1.1929810480035944E-2</v>
      </c>
      <c r="AI198" s="122">
        <f t="shared" si="100"/>
        <v>1.1929810480035948E-2</v>
      </c>
      <c r="AJ198" s="87" t="b">
        <f t="shared" ref="AJ198:AJ261" si="107">AH198=AI198</f>
        <v>1</v>
      </c>
      <c r="AK198" s="88">
        <f t="shared" si="87"/>
        <v>3.4367464795027197E-4</v>
      </c>
      <c r="AL198" s="312">
        <f>+AC198/'MWh by month-WgtbyCDH&amp;DayLtHrs'!AC198-1</f>
        <v>-0.24219838984353781</v>
      </c>
      <c r="AM198" s="89">
        <f t="shared" si="101"/>
        <v>276566.63823285728</v>
      </c>
      <c r="AN198" s="93"/>
      <c r="AO198" s="96">
        <f t="shared" si="91"/>
        <v>53.57419492132086</v>
      </c>
      <c r="AP198" s="92">
        <f t="shared" si="90"/>
        <v>4.2073975069100156E-3</v>
      </c>
      <c r="AR198" s="94">
        <f t="shared" si="102"/>
        <v>1.1929810480035948E-2</v>
      </c>
      <c r="AS198" s="95">
        <v>756573.78368226485</v>
      </c>
      <c r="AU198" s="141">
        <v>151.90625344579104</v>
      </c>
    </row>
    <row r="199" spans="1:47">
      <c r="A199" s="78">
        <v>2021</v>
      </c>
      <c r="B199" s="78">
        <v>3</v>
      </c>
      <c r="C199" s="317">
        <f t="shared" si="84"/>
        <v>64.582270600115152</v>
      </c>
      <c r="D199" s="324">
        <f t="shared" si="93"/>
        <v>5.6112649790650677E-2</v>
      </c>
      <c r="E199" s="321">
        <f>$D199*'MWh Impact Summary'!B$27</f>
        <v>186700.33289741256</v>
      </c>
      <c r="F199" s="319">
        <f>$D199*'MWh Impact Summary'!N$27</f>
        <v>24533.231867398383</v>
      </c>
      <c r="G199" s="319">
        <f>$D199*'MWh Impact Summary'!C$27</f>
        <v>130121.44857534298</v>
      </c>
      <c r="H199" s="319">
        <f>$D199*'MWh Impact Summary'!D$27</f>
        <v>559.52326800663104</v>
      </c>
      <c r="I199" s="319">
        <f>$D199*'MWh Impact Summary'!E$27</f>
        <v>47731.550350120138</v>
      </c>
      <c r="J199" s="104">
        <f t="shared" si="103"/>
        <v>389646.08695828071</v>
      </c>
      <c r="K199" s="298">
        <f t="shared" si="85"/>
        <v>12</v>
      </c>
      <c r="L199" s="300">
        <f t="shared" si="94"/>
        <v>8.4477296726504739E-2</v>
      </c>
      <c r="M199" s="297">
        <f t="shared" ref="M199:M208" si="108">(31/365)</f>
        <v>8.4931506849315067E-2</v>
      </c>
      <c r="N199" s="304">
        <f>$M199*'MWh Impact Summary'!F$27</f>
        <v>146287.57986945406</v>
      </c>
      <c r="O199" s="304">
        <f>$M199*'MWh Impact Summary'!G$27</f>
        <v>15670.265720436975</v>
      </c>
      <c r="P199" s="304">
        <f>$M199*'MWh Impact Summary'!H$27</f>
        <v>9566.7797527246166</v>
      </c>
      <c r="Q199" s="304">
        <f>$M199*'MWh Impact Summary'!I$27</f>
        <v>1599.4325245963701</v>
      </c>
      <c r="R199" s="304">
        <f>$M199*'MWh Impact Summary'!J$27</f>
        <v>44687.952157098225</v>
      </c>
      <c r="S199" s="304">
        <f>$M199*'MWh Impact Summary'!K$27</f>
        <v>24615.749176464124</v>
      </c>
      <c r="T199" s="304">
        <f>$M199*'MWh Impact Summary'!L$27</f>
        <v>8659.6462628792251</v>
      </c>
      <c r="U199" s="304">
        <f>$M199*'MWh Impact Summary'!M$27</f>
        <v>27059.567039112593</v>
      </c>
      <c r="V199" s="304">
        <f>$M199*'LED Impact Forecast'!$H$28+$D199*'LED Impact Forecast'!$J$28</f>
        <v>112077.39242992343</v>
      </c>
      <c r="W199" s="304">
        <f>$M199*'CFL Impact Forecast'!$H$28+$D199*'CFL Impact Forecast'!$J$28</f>
        <v>333763.98932700104</v>
      </c>
      <c r="X199" s="304">
        <f>$M199*'EISA Incand Impact Forecast'!$G$28+$D199*'EISA Incand Impact Forecast'!$I$28</f>
        <v>117930.46213127667</v>
      </c>
      <c r="Y199" s="85">
        <f t="shared" si="95"/>
        <v>841918.81639096723</v>
      </c>
      <c r="Z199" s="81">
        <f t="shared" si="96"/>
        <v>1231564.903349248</v>
      </c>
      <c r="AA199" s="81"/>
      <c r="AB199" s="262">
        <v>5167504.396665371</v>
      </c>
      <c r="AC199" s="308">
        <f t="shared" si="104"/>
        <v>238.32875771600425</v>
      </c>
      <c r="AD199" s="309">
        <f t="shared" si="97"/>
        <v>75.403145706024404</v>
      </c>
      <c r="AE199" s="107">
        <f t="shared" si="98"/>
        <v>6.283595475502033E-3</v>
      </c>
      <c r="AF199" s="309">
        <f t="shared" si="105"/>
        <v>162.92561200997986</v>
      </c>
      <c r="AG199" s="107">
        <f t="shared" si="99"/>
        <v>1.3577134334164988E-2</v>
      </c>
      <c r="AH199" s="119">
        <f t="shared" si="106"/>
        <v>1.9860729809667022E-2</v>
      </c>
      <c r="AI199" s="122">
        <f t="shared" si="100"/>
        <v>1.9860729809667022E-2</v>
      </c>
      <c r="AJ199" s="87" t="b">
        <f t="shared" si="107"/>
        <v>1</v>
      </c>
      <c r="AK199" s="88">
        <f t="shared" si="87"/>
        <v>1.0589088850432096E-3</v>
      </c>
      <c r="AL199" s="312">
        <f>+AC199/'MWh by month-WgtbyCDH&amp;DayLtHrs'!AC199-1</f>
        <v>0.12652664339470099</v>
      </c>
      <c r="AM199" s="89">
        <f t="shared" si="101"/>
        <v>333763.98932700104</v>
      </c>
      <c r="AN199" s="93"/>
      <c r="AO199" s="96">
        <f t="shared" si="91"/>
        <v>64.589009259940141</v>
      </c>
      <c r="AP199" s="92">
        <f t="shared" si="90"/>
        <v>5.3824174383283454E-3</v>
      </c>
      <c r="AR199" s="94">
        <f t="shared" si="102"/>
        <v>1.9860729809667022E-2</v>
      </c>
      <c r="AS199" s="95">
        <v>905658.16661233245</v>
      </c>
      <c r="AU199" s="141">
        <v>238.32875771600425</v>
      </c>
    </row>
    <row r="200" spans="1:47">
      <c r="A200" s="78">
        <v>2021</v>
      </c>
      <c r="B200" s="78">
        <v>4</v>
      </c>
      <c r="C200" s="317">
        <f t="shared" si="84"/>
        <v>114.03392869270741</v>
      </c>
      <c r="D200" s="324">
        <f t="shared" si="93"/>
        <v>5.6895710731417456E-2</v>
      </c>
      <c r="E200" s="321">
        <f>$D200*'MWh Impact Summary'!B$27</f>
        <v>189305.76569849331</v>
      </c>
      <c r="F200" s="319">
        <f>$D200*'MWh Impact Summary'!N$27</f>
        <v>24875.597014968644</v>
      </c>
      <c r="G200" s="319">
        <f>$D200*'MWh Impact Summary'!C$27</f>
        <v>131937.31405871428</v>
      </c>
      <c r="H200" s="319">
        <f>$D200*'MWh Impact Summary'!D$27</f>
        <v>567.33150408638892</v>
      </c>
      <c r="I200" s="319">
        <f>$D200*'MWh Impact Summary'!E$27</f>
        <v>48397.651716939734</v>
      </c>
      <c r="J200" s="104">
        <f t="shared" si="103"/>
        <v>395083.65999320237</v>
      </c>
      <c r="K200" s="298">
        <f t="shared" si="85"/>
        <v>11.2</v>
      </c>
      <c r="L200" s="300">
        <f t="shared" si="94"/>
        <v>7.8845476944737758E-2</v>
      </c>
      <c r="M200" s="297">
        <f>(30/365)</f>
        <v>8.2191780821917804E-2</v>
      </c>
      <c r="N200" s="304">
        <f>$M200*'MWh Impact Summary'!F$27</f>
        <v>141568.62568011682</v>
      </c>
      <c r="O200" s="304">
        <f>$M200*'MWh Impact Summary'!G$27</f>
        <v>15164.773277842232</v>
      </c>
      <c r="P200" s="304">
        <f>$M200*'MWh Impact Summary'!H$27</f>
        <v>9258.1739542496289</v>
      </c>
      <c r="Q200" s="304">
        <f>$M200*'MWh Impact Summary'!I$27</f>
        <v>1547.8379270287451</v>
      </c>
      <c r="R200" s="304">
        <f>$M200*'MWh Impact Summary'!J$27</f>
        <v>43246.405313320865</v>
      </c>
      <c r="S200" s="304">
        <f>$M200*'MWh Impact Summary'!K$27</f>
        <v>23821.692751416893</v>
      </c>
      <c r="T200" s="304">
        <f>$M200*'MWh Impact Summary'!L$27</f>
        <v>8380.302835044411</v>
      </c>
      <c r="U200" s="304">
        <f>$M200*'MWh Impact Summary'!M$27</f>
        <v>26186.67777978638</v>
      </c>
      <c r="V200" s="304">
        <f>$M200*'LED Impact Forecast'!$H$28+$D200*'LED Impact Forecast'!$J$28</f>
        <v>108951.90795415567</v>
      </c>
      <c r="W200" s="304">
        <f>$M200*'CFL Impact Forecast'!$H$28+$D200*'CFL Impact Forecast'!$J$28</f>
        <v>324564.57270868454</v>
      </c>
      <c r="X200" s="304">
        <f>$M200*'EISA Incand Impact Forecast'!$G$28+$D200*'EISA Incand Impact Forecast'!$I$28</f>
        <v>114720.32390281657</v>
      </c>
      <c r="Y200" s="85">
        <f t="shared" si="95"/>
        <v>817411.2940844628</v>
      </c>
      <c r="Z200" s="81">
        <f t="shared" si="96"/>
        <v>1212494.9540776652</v>
      </c>
      <c r="AA200" s="81"/>
      <c r="AB200" s="262">
        <v>5172569.6347586866</v>
      </c>
      <c r="AC200" s="308">
        <f t="shared" si="104"/>
        <v>234.4086285334719</v>
      </c>
      <c r="AD200" s="309">
        <f t="shared" si="97"/>
        <v>76.380539633205743</v>
      </c>
      <c r="AE200" s="107">
        <f t="shared" si="98"/>
        <v>6.8196910386790844E-3</v>
      </c>
      <c r="AF200" s="309">
        <f t="shared" si="105"/>
        <v>158.02808890026611</v>
      </c>
      <c r="AG200" s="107">
        <f t="shared" si="99"/>
        <v>1.4109650794666619E-2</v>
      </c>
      <c r="AH200" s="119">
        <f t="shared" si="106"/>
        <v>2.0929341833345702E-2</v>
      </c>
      <c r="AI200" s="122">
        <f t="shared" si="100"/>
        <v>2.0929341833345706E-2</v>
      </c>
      <c r="AJ200" s="87" t="b">
        <f t="shared" si="107"/>
        <v>1</v>
      </c>
      <c r="AK200" s="88">
        <f t="shared" si="87"/>
        <v>1.1127026233871164E-3</v>
      </c>
      <c r="AL200" s="312">
        <f>+AC200/'MWh by month-WgtbyCDH&amp;DayLtHrs'!AC200-1</f>
        <v>-4.365297143734681E-3</v>
      </c>
      <c r="AM200" s="89">
        <f t="shared" si="101"/>
        <v>324564.57270868454</v>
      </c>
      <c r="AN200" s="93"/>
      <c r="AO200" s="96">
        <f t="shared" si="91"/>
        <v>62.747260187213762</v>
      </c>
      <c r="AP200" s="92">
        <f t="shared" si="90"/>
        <v>5.6024339452869438E-3</v>
      </c>
      <c r="AR200" s="94">
        <f t="shared" si="102"/>
        <v>2.0929341833345706E-2</v>
      </c>
      <c r="AS200" s="95">
        <v>1044428.6427978469</v>
      </c>
      <c r="AU200" s="141">
        <v>234.4086285334719</v>
      </c>
    </row>
    <row r="201" spans="1:47">
      <c r="A201" s="78">
        <v>2021</v>
      </c>
      <c r="B201" s="78">
        <v>5</v>
      </c>
      <c r="C201" s="317">
        <f t="shared" si="84"/>
        <v>208.47875842628665</v>
      </c>
      <c r="D201" s="324">
        <f t="shared" si="93"/>
        <v>0.10401770130213556</v>
      </c>
      <c r="E201" s="321">
        <f>$D201*'MWh Impact Summary'!B$27</f>
        <v>346092.00479368662</v>
      </c>
      <c r="F201" s="319">
        <f>$D201*'MWh Impact Summary'!N$27</f>
        <v>45477.98747483614</v>
      </c>
      <c r="G201" s="319">
        <f>$D201*'MWh Impact Summary'!C$27</f>
        <v>241210.03056188533</v>
      </c>
      <c r="H201" s="319">
        <f>$D201*'MWh Impact Summary'!D$27</f>
        <v>1037.2050576874674</v>
      </c>
      <c r="I201" s="319">
        <f>$D201*'MWh Impact Summary'!E$27</f>
        <v>88481.405984749654</v>
      </c>
      <c r="J201" s="104">
        <f t="shared" si="103"/>
        <v>722298.63387284521</v>
      </c>
      <c r="K201" s="298">
        <f t="shared" si="85"/>
        <v>10.533333333333333</v>
      </c>
      <c r="L201" s="300">
        <f t="shared" si="94"/>
        <v>7.4152293793265281E-2</v>
      </c>
      <c r="M201" s="297">
        <f t="shared" si="108"/>
        <v>8.4931506849315067E-2</v>
      </c>
      <c r="N201" s="304">
        <f>$M201*'MWh Impact Summary'!F$27</f>
        <v>146287.57986945406</v>
      </c>
      <c r="O201" s="304">
        <f>$M201*'MWh Impact Summary'!G$27</f>
        <v>15670.265720436975</v>
      </c>
      <c r="P201" s="304">
        <f>$M201*'MWh Impact Summary'!H$27</f>
        <v>9566.7797527246166</v>
      </c>
      <c r="Q201" s="304">
        <f>$M201*'MWh Impact Summary'!I$27</f>
        <v>1599.4325245963701</v>
      </c>
      <c r="R201" s="304">
        <f>$M201*'MWh Impact Summary'!J$27</f>
        <v>44687.952157098225</v>
      </c>
      <c r="S201" s="304">
        <f>$M201*'MWh Impact Summary'!K$27</f>
        <v>24615.749176464124</v>
      </c>
      <c r="T201" s="304">
        <f>$M201*'MWh Impact Summary'!L$27</f>
        <v>8659.6462628792251</v>
      </c>
      <c r="U201" s="304">
        <f>$M201*'MWh Impact Summary'!M$27</f>
        <v>27059.567039112593</v>
      </c>
      <c r="V201" s="304">
        <f>$M201*'LED Impact Forecast'!$H$28+$D201*'LED Impact Forecast'!$J$28</f>
        <v>121127.94837405904</v>
      </c>
      <c r="W201" s="304">
        <f>$M201*'CFL Impact Forecast'!$H$28+$D201*'CFL Impact Forecast'!$J$28</f>
        <v>362715.32675319555</v>
      </c>
      <c r="X201" s="304">
        <f>$M201*'EISA Incand Impact Forecast'!$G$28+$D201*'EISA Incand Impact Forecast'!$I$28</f>
        <v>128905.14703459037</v>
      </c>
      <c r="Y201" s="85">
        <f t="shared" si="95"/>
        <v>890895.3946646112</v>
      </c>
      <c r="Z201" s="81">
        <f t="shared" si="96"/>
        <v>1613194.0285374564</v>
      </c>
      <c r="AA201" s="81"/>
      <c r="AB201" s="262">
        <v>5177582.9748099707</v>
      </c>
      <c r="AC201" s="308">
        <f t="shared" si="104"/>
        <v>311.57280074235109</v>
      </c>
      <c r="AD201" s="309">
        <f t="shared" si="97"/>
        <v>139.50498473650347</v>
      </c>
      <c r="AE201" s="107">
        <f t="shared" si="98"/>
        <v>1.3244144120554127E-2</v>
      </c>
      <c r="AF201" s="309">
        <f t="shared" si="105"/>
        <v>172.06781600584762</v>
      </c>
      <c r="AG201" s="107">
        <f t="shared" si="99"/>
        <v>1.633555215245389E-2</v>
      </c>
      <c r="AH201" s="119">
        <f t="shared" si="106"/>
        <v>2.9579696273008015E-2</v>
      </c>
      <c r="AI201" s="122">
        <f t="shared" si="100"/>
        <v>2.9579696273008015E-2</v>
      </c>
      <c r="AJ201" s="87" t="b">
        <f t="shared" si="107"/>
        <v>1</v>
      </c>
      <c r="AK201" s="88">
        <f t="shared" si="87"/>
        <v>1.4810406769881004E-3</v>
      </c>
      <c r="AL201" s="312">
        <f>+AC201/'MWh by month-WgtbyCDH&amp;DayLtHrs'!AC201-1</f>
        <v>6.8603142667192918E-2</v>
      </c>
      <c r="AM201" s="89">
        <f t="shared" si="101"/>
        <v>362715.32675319555</v>
      </c>
      <c r="AN201" s="93"/>
      <c r="AO201" s="96">
        <f t="shared" si="91"/>
        <v>70.054951995531852</v>
      </c>
      <c r="AP201" s="92">
        <f t="shared" si="90"/>
        <v>6.6507865818542901E-3</v>
      </c>
      <c r="AR201" s="94">
        <f t="shared" si="102"/>
        <v>2.9579696273008015E-2</v>
      </c>
      <c r="AS201" s="95">
        <v>1229631.339983386</v>
      </c>
      <c r="AU201" s="141">
        <v>311.57280074235109</v>
      </c>
    </row>
    <row r="202" spans="1:47">
      <c r="A202" s="78">
        <v>2021</v>
      </c>
      <c r="B202" s="78">
        <v>6</v>
      </c>
      <c r="C202" s="317">
        <f t="shared" si="84"/>
        <v>271.66325293295364</v>
      </c>
      <c r="D202" s="324">
        <f t="shared" si="93"/>
        <v>0.13554276374078555</v>
      </c>
      <c r="E202" s="321">
        <f>$D202*'MWh Impact Summary'!B$27</f>
        <v>450983.49849192816</v>
      </c>
      <c r="F202" s="319">
        <f>$D202*'MWh Impact Summary'!N$27</f>
        <v>59261.183765282498</v>
      </c>
      <c r="G202" s="319">
        <f>$D202*'MWh Impact Summary'!C$27</f>
        <v>314314.52315401292</v>
      </c>
      <c r="H202" s="319">
        <f>$D202*'MWh Impact Summary'!D$27</f>
        <v>1351.5549596364126</v>
      </c>
      <c r="I202" s="319">
        <f>$D202*'MWh Impact Summary'!E$27</f>
        <v>115297.82101228982</v>
      </c>
      <c r="J202" s="104">
        <f t="shared" si="103"/>
        <v>941208.58138314984</v>
      </c>
      <c r="K202" s="298">
        <f t="shared" si="85"/>
        <v>10.199999999999999</v>
      </c>
      <c r="L202" s="300">
        <f t="shared" si="94"/>
        <v>7.1805702217529022E-2</v>
      </c>
      <c r="M202" s="297">
        <f>(30/365)</f>
        <v>8.2191780821917804E-2</v>
      </c>
      <c r="N202" s="304">
        <f>$M202*'MWh Impact Summary'!F$27</f>
        <v>141568.62568011682</v>
      </c>
      <c r="O202" s="304">
        <f>$M202*'MWh Impact Summary'!G$27</f>
        <v>15164.773277842232</v>
      </c>
      <c r="P202" s="304">
        <f>$M202*'MWh Impact Summary'!H$27</f>
        <v>9258.1739542496289</v>
      </c>
      <c r="Q202" s="304">
        <f>$M202*'MWh Impact Summary'!I$27</f>
        <v>1547.8379270287451</v>
      </c>
      <c r="R202" s="304">
        <f>$M202*'MWh Impact Summary'!J$27</f>
        <v>43246.405313320865</v>
      </c>
      <c r="S202" s="304">
        <f>$M202*'MWh Impact Summary'!K$27</f>
        <v>23821.692751416893</v>
      </c>
      <c r="T202" s="304">
        <f>$M202*'MWh Impact Summary'!L$27</f>
        <v>8380.302835044411</v>
      </c>
      <c r="U202" s="304">
        <f>$M202*'MWh Impact Summary'!M$27</f>
        <v>26186.67777978638</v>
      </c>
      <c r="V202" s="304">
        <f>$M202*'LED Impact Forecast'!$H$28+$D202*'LED Impact Forecast'!$J$28</f>
        <v>123810.4569097295</v>
      </c>
      <c r="W202" s="304">
        <f>$M202*'CFL Impact Forecast'!$H$28+$D202*'CFL Impact Forecast'!$J$28</f>
        <v>372094.78711006441</v>
      </c>
      <c r="X202" s="304">
        <f>$M202*'EISA Incand Impact Forecast'!$G$28+$D202*'EISA Incand Impact Forecast'!$I$28</f>
        <v>132737.76878845866</v>
      </c>
      <c r="Y202" s="85">
        <f t="shared" si="95"/>
        <v>897817.50232705858</v>
      </c>
      <c r="Z202" s="81">
        <f t="shared" si="96"/>
        <v>1839026.0837102085</v>
      </c>
      <c r="AA202" s="81"/>
      <c r="AB202" s="262">
        <v>5182599.1656009592</v>
      </c>
      <c r="AC202" s="308">
        <f t="shared" si="104"/>
        <v>354.84628946737388</v>
      </c>
      <c r="AD202" s="309">
        <f t="shared" si="97"/>
        <v>181.60937230691852</v>
      </c>
      <c r="AE202" s="107">
        <f t="shared" si="98"/>
        <v>1.7804840422246917E-2</v>
      </c>
      <c r="AF202" s="309">
        <f t="shared" si="105"/>
        <v>173.23691716045539</v>
      </c>
      <c r="AG202" s="107">
        <f t="shared" si="99"/>
        <v>1.6984011486319159E-2</v>
      </c>
      <c r="AH202" s="119">
        <f t="shared" si="106"/>
        <v>3.4788851908566079E-2</v>
      </c>
      <c r="AI202" s="122">
        <f t="shared" si="100"/>
        <v>3.4788851908566065E-2</v>
      </c>
      <c r="AJ202" s="87" t="b">
        <f t="shared" si="107"/>
        <v>1</v>
      </c>
      <c r="AK202" s="88">
        <f t="shared" si="87"/>
        <v>1.6851756687411568E-3</v>
      </c>
      <c r="AL202" s="312">
        <f>+AC202/'MWh by month-WgtbyCDH&amp;DayLtHrs'!AC202-1</f>
        <v>7.4253649412663103E-2</v>
      </c>
      <c r="AM202" s="89">
        <f t="shared" si="101"/>
        <v>372094.78711006441</v>
      </c>
      <c r="AN202" s="93"/>
      <c r="AO202" s="96">
        <f t="shared" si="91"/>
        <v>71.796944973057236</v>
      </c>
      <c r="AP202" s="92">
        <f t="shared" si="90"/>
        <v>7.0389161738291413E-3</v>
      </c>
      <c r="AR202" s="94">
        <f t="shared" si="102"/>
        <v>3.4788851908566065E-2</v>
      </c>
      <c r="AS202" s="95">
        <v>1480819.0403773016</v>
      </c>
      <c r="AU202" s="141">
        <v>354.84628946737388</v>
      </c>
    </row>
    <row r="203" spans="1:47">
      <c r="A203" s="78">
        <v>2021</v>
      </c>
      <c r="B203" s="78">
        <v>7</v>
      </c>
      <c r="C203" s="317">
        <f t="shared" si="84"/>
        <v>322.31916585708109</v>
      </c>
      <c r="D203" s="324">
        <f t="shared" si="93"/>
        <v>0.16081685717602592</v>
      </c>
      <c r="E203" s="321">
        <f>$D203*'MWh Impact Summary'!B$27</f>
        <v>535076.50917034922</v>
      </c>
      <c r="F203" s="319">
        <f>$D203*'MWh Impact Summary'!N$27</f>
        <v>70311.369361549863</v>
      </c>
      <c r="G203" s="319">
        <f>$D203*'MWh Impact Summary'!C$27</f>
        <v>372923.44042118493</v>
      </c>
      <c r="H203" s="319">
        <f>$D203*'MWh Impact Summary'!D$27</f>
        <v>1603.573771928304</v>
      </c>
      <c r="I203" s="319">
        <f>$D203*'MWh Impact Summary'!E$27</f>
        <v>136796.92447396272</v>
      </c>
      <c r="J203" s="104">
        <f t="shared" si="103"/>
        <v>1116711.817198975</v>
      </c>
      <c r="K203" s="298">
        <f t="shared" si="85"/>
        <v>10.366666666666667</v>
      </c>
      <c r="L203" s="300">
        <f t="shared" si="94"/>
        <v>7.2978998005397158E-2</v>
      </c>
      <c r="M203" s="297">
        <f t="shared" si="108"/>
        <v>8.4931506849315067E-2</v>
      </c>
      <c r="N203" s="304">
        <f>$M203*'MWh Impact Summary'!F$27</f>
        <v>146287.57986945406</v>
      </c>
      <c r="O203" s="304">
        <f>$M203*'MWh Impact Summary'!G$27</f>
        <v>15670.265720436975</v>
      </c>
      <c r="P203" s="304">
        <f>$M203*'MWh Impact Summary'!H$27</f>
        <v>9566.7797527246166</v>
      </c>
      <c r="Q203" s="304">
        <f>$M203*'MWh Impact Summary'!I$27</f>
        <v>1599.4325245963701</v>
      </c>
      <c r="R203" s="304">
        <f>$M203*'MWh Impact Summary'!J$27</f>
        <v>44687.952157098225</v>
      </c>
      <c r="S203" s="304">
        <f>$M203*'MWh Impact Summary'!K$27</f>
        <v>24615.749176464124</v>
      </c>
      <c r="T203" s="304">
        <f>$M203*'MWh Impact Summary'!L$27</f>
        <v>8659.6462628792251</v>
      </c>
      <c r="U203" s="304">
        <f>$M203*'MWh Impact Summary'!M$27</f>
        <v>27059.567039112593</v>
      </c>
      <c r="V203" s="304">
        <f>$M203*'LED Impact Forecast'!$H$28+$D203*'LED Impact Forecast'!$J$28</f>
        <v>131858.84045321858</v>
      </c>
      <c r="W203" s="304">
        <f>$M203*'CFL Impact Forecast'!$H$28+$D203*'CFL Impact Forecast'!$J$28</f>
        <v>397041.80121348886</v>
      </c>
      <c r="X203" s="304">
        <f>$M203*'EISA Incand Impact Forecast'!$G$28+$D203*'EISA Incand Impact Forecast'!$I$28</f>
        <v>141917.40396412738</v>
      </c>
      <c r="Y203" s="85">
        <f t="shared" si="95"/>
        <v>948965.01813360094</v>
      </c>
      <c r="Z203" s="81">
        <f t="shared" si="96"/>
        <v>2065676.835332576</v>
      </c>
      <c r="AA203" s="81"/>
      <c r="AB203" s="262">
        <v>5187842.8780874414</v>
      </c>
      <c r="AC203" s="308">
        <f t="shared" si="104"/>
        <v>398.17644517678838</v>
      </c>
      <c r="AD203" s="309">
        <f t="shared" si="97"/>
        <v>215.25552015381464</v>
      </c>
      <c r="AE203" s="107">
        <f t="shared" si="98"/>
        <v>2.0764198085576974E-2</v>
      </c>
      <c r="AF203" s="309">
        <f t="shared" si="105"/>
        <v>182.92092502297371</v>
      </c>
      <c r="AG203" s="107">
        <f t="shared" si="99"/>
        <v>1.764510530768235E-2</v>
      </c>
      <c r="AH203" s="119">
        <f t="shared" si="106"/>
        <v>3.840930339325932E-2</v>
      </c>
      <c r="AI203" s="122">
        <f t="shared" si="100"/>
        <v>3.8409303393259327E-2</v>
      </c>
      <c r="AJ203" s="87" t="b">
        <f t="shared" si="107"/>
        <v>1</v>
      </c>
      <c r="AK203" s="88">
        <f t="shared" si="87"/>
        <v>1.8330438551805231E-3</v>
      </c>
      <c r="AL203" s="312">
        <f>+AC203/'MWh by month-WgtbyCDH&amp;DayLtHrs'!AC203-1</f>
        <v>8.6487297108673422E-2</v>
      </c>
      <c r="AM203" s="89">
        <f t="shared" si="101"/>
        <v>397041.80121348886</v>
      </c>
      <c r="AN203" s="93"/>
      <c r="AO203" s="96">
        <f t="shared" si="91"/>
        <v>76.533119939026165</v>
      </c>
      <c r="AP203" s="92">
        <f t="shared" si="90"/>
        <v>7.382616071288697E-3</v>
      </c>
      <c r="AR203" s="94">
        <f t="shared" si="102"/>
        <v>3.8409303393259327E-2</v>
      </c>
      <c r="AS203" s="95">
        <v>1548236.5721445843</v>
      </c>
      <c r="AU203" s="141">
        <v>398.17644517678838</v>
      </c>
    </row>
    <row r="204" spans="1:47">
      <c r="A204" s="78">
        <v>2021</v>
      </c>
      <c r="B204" s="78">
        <v>8</v>
      </c>
      <c r="C204" s="317">
        <f t="shared" si="84"/>
        <v>326.45437890907908</v>
      </c>
      <c r="D204" s="324">
        <f t="shared" si="93"/>
        <v>0.16288006668144661</v>
      </c>
      <c r="E204" s="321">
        <f>$D204*'MWh Impact Summary'!B$27</f>
        <v>541941.30530698306</v>
      </c>
      <c r="F204" s="319">
        <f>$D204*'MWh Impact Summary'!N$27</f>
        <v>71213.43328789006</v>
      </c>
      <c r="G204" s="319">
        <f>$D204*'MWh Impact Summary'!C$27</f>
        <v>377707.88404595363</v>
      </c>
      <c r="H204" s="319">
        <f>$D204*'MWh Impact Summary'!D$27</f>
        <v>1624.1469177227425</v>
      </c>
      <c r="I204" s="319">
        <f>$D204*'MWh Impact Summary'!E$27</f>
        <v>138551.96881348779</v>
      </c>
      <c r="J204" s="104">
        <f t="shared" si="103"/>
        <v>1131038.7383720372</v>
      </c>
      <c r="K204" s="298">
        <f t="shared" si="85"/>
        <v>10.933333333333334</v>
      </c>
      <c r="L204" s="300">
        <f t="shared" si="94"/>
        <v>7.6968203684148764E-2</v>
      </c>
      <c r="M204" s="297">
        <f t="shared" si="108"/>
        <v>8.4931506849315067E-2</v>
      </c>
      <c r="N204" s="304">
        <f>$M204*'MWh Impact Summary'!F$27</f>
        <v>146287.57986945406</v>
      </c>
      <c r="O204" s="304">
        <f>$M204*'MWh Impact Summary'!G$27</f>
        <v>15670.265720436975</v>
      </c>
      <c r="P204" s="304">
        <f>$M204*'MWh Impact Summary'!H$27</f>
        <v>9566.7797527246166</v>
      </c>
      <c r="Q204" s="304">
        <f>$M204*'MWh Impact Summary'!I$27</f>
        <v>1599.4325245963701</v>
      </c>
      <c r="R204" s="304">
        <f>$M204*'MWh Impact Summary'!J$27</f>
        <v>44687.952157098225</v>
      </c>
      <c r="S204" s="304">
        <f>$M204*'MWh Impact Summary'!K$27</f>
        <v>24615.749176464124</v>
      </c>
      <c r="T204" s="304">
        <f>$M204*'MWh Impact Summary'!L$27</f>
        <v>8659.6462628792251</v>
      </c>
      <c r="U204" s="304">
        <f>$M204*'MWh Impact Summary'!M$27</f>
        <v>27059.567039112593</v>
      </c>
      <c r="V204" s="304">
        <f>$M204*'LED Impact Forecast'!$H$28+$D204*'LED Impact Forecast'!$J$28</f>
        <v>132248.6363612515</v>
      </c>
      <c r="W204" s="304">
        <f>$M204*'CFL Impact Forecast'!$H$28+$D204*'CFL Impact Forecast'!$J$28</f>
        <v>398288.69841300539</v>
      </c>
      <c r="X204" s="304">
        <f>$M204*'EISA Incand Impact Forecast'!$G$28+$D204*'EISA Incand Impact Forecast'!$I$28</f>
        <v>142390.06965380075</v>
      </c>
      <c r="Y204" s="85">
        <f t="shared" si="95"/>
        <v>951074.37693082378</v>
      </c>
      <c r="Z204" s="81">
        <f t="shared" si="96"/>
        <v>2082113.115302861</v>
      </c>
      <c r="AA204" s="81"/>
      <c r="AB204" s="262">
        <v>5193203.3234929005</v>
      </c>
      <c r="AC204" s="308">
        <f t="shared" si="104"/>
        <v>400.93040568695682</v>
      </c>
      <c r="AD204" s="309">
        <f t="shared" si="97"/>
        <v>217.79211556294527</v>
      </c>
      <c r="AE204" s="107">
        <f t="shared" si="98"/>
        <v>1.9920010569781578E-2</v>
      </c>
      <c r="AF204" s="309">
        <f t="shared" si="105"/>
        <v>183.13829012401155</v>
      </c>
      <c r="AG204" s="107">
        <f t="shared" si="99"/>
        <v>1.6750453365001056E-2</v>
      </c>
      <c r="AH204" s="119">
        <f t="shared" si="106"/>
        <v>3.6670463934782634E-2</v>
      </c>
      <c r="AI204" s="122">
        <f t="shared" si="100"/>
        <v>3.6670463934782634E-2</v>
      </c>
      <c r="AJ204" s="87" t="b">
        <f t="shared" si="107"/>
        <v>1</v>
      </c>
      <c r="AK204" s="88">
        <f t="shared" si="87"/>
        <v>1.7485162830633214E-3</v>
      </c>
      <c r="AL204" s="312">
        <f>+AC204/'MWh by month-WgtbyCDH&amp;DayLtHrs'!AC204-1</f>
        <v>6.7028653202964694E-2</v>
      </c>
      <c r="AM204" s="89">
        <f t="shared" si="101"/>
        <v>398288.69841300539</v>
      </c>
      <c r="AN204" s="93"/>
      <c r="AO204" s="96">
        <f t="shared" si="91"/>
        <v>76.694223892840014</v>
      </c>
      <c r="AP204" s="92">
        <f t="shared" si="90"/>
        <v>7.0147155999548795E-3</v>
      </c>
      <c r="AR204" s="94">
        <f t="shared" si="102"/>
        <v>3.6670463934782634E-2</v>
      </c>
      <c r="AS204" s="95">
        <v>1608940.8856324463</v>
      </c>
      <c r="AU204" s="141">
        <v>400.93040568695682</v>
      </c>
    </row>
    <row r="205" spans="1:47">
      <c r="A205" s="78">
        <v>2021</v>
      </c>
      <c r="B205" s="78">
        <v>9</v>
      </c>
      <c r="C205" s="317">
        <f t="shared" si="84"/>
        <v>277.87653293728147</v>
      </c>
      <c r="D205" s="324">
        <f t="shared" si="93"/>
        <v>0.1386427970893879</v>
      </c>
      <c r="E205" s="321">
        <f>$D205*'MWh Impact Summary'!B$27</f>
        <v>461298.05787090037</v>
      </c>
      <c r="F205" s="319">
        <f>$D205*'MWh Impact Summary'!N$27</f>
        <v>60616.561513823624</v>
      </c>
      <c r="G205" s="319">
        <f>$D205*'MWh Impact Summary'!C$27</f>
        <v>321503.29130980262</v>
      </c>
      <c r="H205" s="319">
        <f>$D205*'MWh Impact Summary'!D$27</f>
        <v>1382.4667201148586</v>
      </c>
      <c r="I205" s="319">
        <f>$D205*'MWh Impact Summary'!E$27</f>
        <v>117934.82707808638</v>
      </c>
      <c r="J205" s="104">
        <f t="shared" si="103"/>
        <v>962735.20449272776</v>
      </c>
      <c r="K205" s="298">
        <f t="shared" si="85"/>
        <v>11.683333333333334</v>
      </c>
      <c r="L205" s="300">
        <f t="shared" si="94"/>
        <v>8.2248034729555317E-2</v>
      </c>
      <c r="M205" s="297">
        <f>(30/365)</f>
        <v>8.2191780821917804E-2</v>
      </c>
      <c r="N205" s="304">
        <f>$M205*'MWh Impact Summary'!F$27</f>
        <v>141568.62568011682</v>
      </c>
      <c r="O205" s="304">
        <f>$M205*'MWh Impact Summary'!G$27</f>
        <v>15164.773277842232</v>
      </c>
      <c r="P205" s="304">
        <f>$M205*'MWh Impact Summary'!H$27</f>
        <v>9258.1739542496289</v>
      </c>
      <c r="Q205" s="304">
        <f>$M205*'MWh Impact Summary'!I$27</f>
        <v>1547.8379270287451</v>
      </c>
      <c r="R205" s="304">
        <f>$M205*'MWh Impact Summary'!J$27</f>
        <v>43246.405313320865</v>
      </c>
      <c r="S205" s="304">
        <f>$M205*'MWh Impact Summary'!K$27</f>
        <v>23821.692751416893</v>
      </c>
      <c r="T205" s="304">
        <f>$M205*'MWh Impact Summary'!L$27</f>
        <v>8380.302835044411</v>
      </c>
      <c r="U205" s="304">
        <f>$M205*'MWh Impact Summary'!M$27</f>
        <v>26186.67777978638</v>
      </c>
      <c r="V205" s="304">
        <f>$M205*'LED Impact Forecast'!$H$28+$D205*'LED Impact Forecast'!$J$28</f>
        <v>124396.13679869665</v>
      </c>
      <c r="W205" s="304">
        <f>$M205*'CFL Impact Forecast'!$H$28+$D205*'CFL Impact Forecast'!$J$28</f>
        <v>373968.28705790034</v>
      </c>
      <c r="X205" s="304">
        <f>$M205*'EISA Incand Impact Forecast'!$G$28+$D205*'EISA Incand Impact Forecast'!$I$28</f>
        <v>133447.96297711367</v>
      </c>
      <c r="Y205" s="85">
        <f t="shared" si="95"/>
        <v>900986.8763525167</v>
      </c>
      <c r="Z205" s="81">
        <f t="shared" si="96"/>
        <v>1863722.0808452445</v>
      </c>
      <c r="AA205" s="81"/>
      <c r="AB205" s="262">
        <v>5198143.0314946659</v>
      </c>
      <c r="AC205" s="308">
        <f t="shared" si="104"/>
        <v>358.5361290663356</v>
      </c>
      <c r="AD205" s="309">
        <f t="shared" si="97"/>
        <v>185.20752481408815</v>
      </c>
      <c r="AE205" s="107">
        <f t="shared" si="98"/>
        <v>1.5852284577525376E-2</v>
      </c>
      <c r="AF205" s="309">
        <f t="shared" si="105"/>
        <v>173.32860425224743</v>
      </c>
      <c r="AG205" s="107">
        <f t="shared" si="99"/>
        <v>1.4835543873230878E-2</v>
      </c>
      <c r="AH205" s="119">
        <f t="shared" si="106"/>
        <v>3.0687828450756252E-2</v>
      </c>
      <c r="AI205" s="122">
        <f t="shared" si="100"/>
        <v>3.0687828450756256E-2</v>
      </c>
      <c r="AJ205" s="87" t="b">
        <f t="shared" si="107"/>
        <v>1</v>
      </c>
      <c r="AK205" s="88">
        <f t="shared" si="87"/>
        <v>1.4835396935507054E-3</v>
      </c>
      <c r="AL205" s="312">
        <f>+AC205/'MWh by month-WgtbyCDH&amp;DayLtHrs'!AC205-1</f>
        <v>2.0264509588101554E-2</v>
      </c>
      <c r="AM205" s="89">
        <f t="shared" si="101"/>
        <v>373968.28705790034</v>
      </c>
      <c r="AN205" s="93"/>
      <c r="AO205" s="96">
        <f t="shared" si="91"/>
        <v>71.942669678785279</v>
      </c>
      <c r="AP205" s="92">
        <f t="shared" si="90"/>
        <v>6.1577178041756298E-3</v>
      </c>
      <c r="AR205" s="94">
        <f t="shared" si="102"/>
        <v>3.0687828450756256E-2</v>
      </c>
      <c r="AS205" s="95">
        <v>1525924.4689069695</v>
      </c>
      <c r="AU205" s="141">
        <v>358.5361290663356</v>
      </c>
    </row>
    <row r="206" spans="1:47">
      <c r="A206" s="78">
        <v>2021</v>
      </c>
      <c r="B206" s="78">
        <v>10</v>
      </c>
      <c r="C206" s="317">
        <f t="shared" si="84"/>
        <v>198.89039579254836</v>
      </c>
      <c r="D206" s="324">
        <f t="shared" si="93"/>
        <v>9.923371540380535E-2</v>
      </c>
      <c r="E206" s="321">
        <f>$D206*'MWh Impact Summary'!B$27</f>
        <v>330174.52873210178</v>
      </c>
      <c r="F206" s="319">
        <f>$D206*'MWh Impact Summary'!N$27</f>
        <v>43386.362222206313</v>
      </c>
      <c r="G206" s="319">
        <f>$D206*'MWh Impact Summary'!C$27</f>
        <v>230116.29007061987</v>
      </c>
      <c r="H206" s="319">
        <f>$D206*'MWh Impact Summary'!D$27</f>
        <v>989.50188498188345</v>
      </c>
      <c r="I206" s="319">
        <f>$D206*'MWh Impact Summary'!E$27</f>
        <v>84411.965945251475</v>
      </c>
      <c r="J206" s="104">
        <f t="shared" si="103"/>
        <v>689078.64885516139</v>
      </c>
      <c r="K206" s="298">
        <f t="shared" si="85"/>
        <v>12.466666666666667</v>
      </c>
      <c r="L206" s="300">
        <f t="shared" si="94"/>
        <v>8.7762524932535488E-2</v>
      </c>
      <c r="M206" s="297">
        <f t="shared" si="108"/>
        <v>8.4931506849315067E-2</v>
      </c>
      <c r="N206" s="304">
        <f>$M206*'MWh Impact Summary'!F$27</f>
        <v>146287.57986945406</v>
      </c>
      <c r="O206" s="304">
        <f>$M206*'MWh Impact Summary'!G$27</f>
        <v>15670.265720436975</v>
      </c>
      <c r="P206" s="304">
        <f>$M206*'MWh Impact Summary'!H$27</f>
        <v>9566.7797527246166</v>
      </c>
      <c r="Q206" s="304">
        <f>$M206*'MWh Impact Summary'!I$27</f>
        <v>1599.4325245963701</v>
      </c>
      <c r="R206" s="304">
        <f>$M206*'MWh Impact Summary'!J$27</f>
        <v>44687.952157098225</v>
      </c>
      <c r="S206" s="304">
        <f>$M206*'MWh Impact Summary'!K$27</f>
        <v>24615.749176464124</v>
      </c>
      <c r="T206" s="304">
        <f>$M206*'MWh Impact Summary'!L$27</f>
        <v>8659.6462628792251</v>
      </c>
      <c r="U206" s="304">
        <f>$M206*'MWh Impact Summary'!M$27</f>
        <v>27059.567039112593</v>
      </c>
      <c r="V206" s="304">
        <f>$M206*'LED Impact Forecast'!$H$28+$D206*'LED Impact Forecast'!$J$28</f>
        <v>120224.12444228823</v>
      </c>
      <c r="W206" s="304">
        <f>$M206*'CFL Impact Forecast'!$H$28+$D206*'CFL Impact Forecast'!$J$28</f>
        <v>359824.13291006803</v>
      </c>
      <c r="X206" s="304">
        <f>$M206*'EISA Incand Impact Forecast'!$G$28+$D206*'EISA Incand Impact Forecast'!$I$28</f>
        <v>127809.17205576203</v>
      </c>
      <c r="Y206" s="85">
        <f t="shared" si="95"/>
        <v>886004.40191088454</v>
      </c>
      <c r="Z206" s="81">
        <f t="shared" si="96"/>
        <v>1575083.0507660459</v>
      </c>
      <c r="AA206" s="81"/>
      <c r="AB206" s="262">
        <v>5203221.4699283605</v>
      </c>
      <c r="AC206" s="308">
        <f t="shared" si="104"/>
        <v>302.7130518793258</v>
      </c>
      <c r="AD206" s="309">
        <f t="shared" si="97"/>
        <v>132.43308070541323</v>
      </c>
      <c r="AE206" s="107">
        <f t="shared" si="98"/>
        <v>1.062297438813475E-2</v>
      </c>
      <c r="AF206" s="309">
        <f t="shared" si="105"/>
        <v>170.27997117391263</v>
      </c>
      <c r="AG206" s="107">
        <f t="shared" si="99"/>
        <v>1.3658821217158766E-2</v>
      </c>
      <c r="AH206" s="119">
        <f t="shared" si="106"/>
        <v>2.4281795605293519E-2</v>
      </c>
      <c r="AI206" s="122">
        <f t="shared" si="100"/>
        <v>2.4281795605293515E-2</v>
      </c>
      <c r="AJ206" s="87" t="b">
        <f t="shared" si="107"/>
        <v>1</v>
      </c>
      <c r="AK206" s="88">
        <f t="shared" si="87"/>
        <v>1.2224496601818194E-3</v>
      </c>
      <c r="AL206" s="312">
        <f>+AC206/'MWh by month-WgtbyCDH&amp;DayLtHrs'!AC206-1</f>
        <v>-1.3591082888530948E-2</v>
      </c>
      <c r="AM206" s="89">
        <f t="shared" si="101"/>
        <v>359824.13291006803</v>
      </c>
      <c r="AN206" s="93"/>
      <c r="AO206" s="96">
        <f t="shared" si="91"/>
        <v>69.154106737459742</v>
      </c>
      <c r="AP206" s="92">
        <f t="shared" si="90"/>
        <v>5.5471208612935625E-3</v>
      </c>
      <c r="AR206" s="94">
        <f t="shared" si="102"/>
        <v>2.4281795605293515E-2</v>
      </c>
      <c r="AS206" s="95">
        <v>1246983.1319195579</v>
      </c>
      <c r="AU206" s="141">
        <v>302.7130518793258</v>
      </c>
    </row>
    <row r="207" spans="1:47">
      <c r="A207" s="78">
        <v>2021</v>
      </c>
      <c r="B207" s="78">
        <v>11</v>
      </c>
      <c r="C207" s="317">
        <f t="shared" si="84"/>
        <v>78.117279066674627</v>
      </c>
      <c r="D207" s="324">
        <f t="shared" si="93"/>
        <v>3.8975576513546578E-2</v>
      </c>
      <c r="E207" s="321">
        <f>$D207*'MWh Impact Summary'!B$27</f>
        <v>129681.15277208226</v>
      </c>
      <c r="F207" s="319">
        <f>$D207*'MWh Impact Summary'!N$27</f>
        <v>17040.664793764267</v>
      </c>
      <c r="G207" s="319">
        <f>$D207*'MWh Impact Summary'!C$27</f>
        <v>90381.731996673669</v>
      </c>
      <c r="H207" s="319">
        <f>$D207*'MWh Impact Summary'!D$27</f>
        <v>388.6421693622392</v>
      </c>
      <c r="I207" s="319">
        <f>$D207*'MWh Impact Summary'!E$27</f>
        <v>33154.105174539036</v>
      </c>
      <c r="J207" s="104">
        <f t="shared" si="103"/>
        <v>270646.29690642143</v>
      </c>
      <c r="K207" s="298">
        <f t="shared" si="85"/>
        <v>13.15</v>
      </c>
      <c r="L207" s="300">
        <f t="shared" si="94"/>
        <v>9.2573037662794788E-2</v>
      </c>
      <c r="M207" s="297">
        <f>(30/365)</f>
        <v>8.2191780821917804E-2</v>
      </c>
      <c r="N207" s="304">
        <f>$M207*'MWh Impact Summary'!F$27</f>
        <v>141568.62568011682</v>
      </c>
      <c r="O207" s="304">
        <f>$M207*'MWh Impact Summary'!G$27</f>
        <v>15164.773277842232</v>
      </c>
      <c r="P207" s="304">
        <f>$M207*'MWh Impact Summary'!H$27</f>
        <v>9258.1739542496289</v>
      </c>
      <c r="Q207" s="304">
        <f>$M207*'MWh Impact Summary'!I$27</f>
        <v>1547.8379270287451</v>
      </c>
      <c r="R207" s="304">
        <f>$M207*'MWh Impact Summary'!J$27</f>
        <v>43246.405313320865</v>
      </c>
      <c r="S207" s="304">
        <f>$M207*'MWh Impact Summary'!K$27</f>
        <v>23821.692751416893</v>
      </c>
      <c r="T207" s="304">
        <f>$M207*'MWh Impact Summary'!L$27</f>
        <v>8380.302835044411</v>
      </c>
      <c r="U207" s="304">
        <f>$M207*'MWh Impact Summary'!M$27</f>
        <v>26186.67777978638</v>
      </c>
      <c r="V207" s="304">
        <f>$M207*'LED Impact Forecast'!$H$28+$D207*'LED Impact Forecast'!$J$28</f>
        <v>105566.3114012248</v>
      </c>
      <c r="W207" s="304">
        <f>$M207*'CFL Impact Forecast'!$H$28+$D207*'CFL Impact Forecast'!$J$28</f>
        <v>313734.56969032035</v>
      </c>
      <c r="X207" s="304">
        <f>$M207*'EISA Incand Impact Forecast'!$G$28+$D207*'EISA Incand Impact Forecast'!$I$28</f>
        <v>110614.95671791598</v>
      </c>
      <c r="Y207" s="85">
        <f t="shared" si="95"/>
        <v>799090.32732826716</v>
      </c>
      <c r="Z207" s="81">
        <f t="shared" si="96"/>
        <v>1069736.6242346885</v>
      </c>
      <c r="AA207" s="81"/>
      <c r="AB207" s="262">
        <v>5208331.8045660509</v>
      </c>
      <c r="AC207" s="308">
        <f t="shared" si="104"/>
        <v>205.38949213966546</v>
      </c>
      <c r="AD207" s="309">
        <f t="shared" si="97"/>
        <v>51.964104258709227</v>
      </c>
      <c r="AE207" s="107">
        <f t="shared" si="98"/>
        <v>3.9516429094075458E-3</v>
      </c>
      <c r="AF207" s="309">
        <f t="shared" si="105"/>
        <v>153.42538788095627</v>
      </c>
      <c r="AG207" s="107">
        <f t="shared" si="99"/>
        <v>1.1667329876878803E-2</v>
      </c>
      <c r="AH207" s="119">
        <f t="shared" si="106"/>
        <v>1.5618972786286349E-2</v>
      </c>
      <c r="AI207" s="122">
        <f t="shared" si="100"/>
        <v>1.5618972786286347E-2</v>
      </c>
      <c r="AJ207" s="87" t="b">
        <f t="shared" si="107"/>
        <v>1</v>
      </c>
      <c r="AK207" s="88">
        <f t="shared" si="87"/>
        <v>8.5932990246537048E-4</v>
      </c>
      <c r="AL207" s="312">
        <f>+AC207/'MWh by month-WgtbyCDH&amp;DayLtHrs'!AC207-1</f>
        <v>-0.11812679782524926</v>
      </c>
      <c r="AM207" s="89">
        <f t="shared" si="101"/>
        <v>313734.56969032035</v>
      </c>
      <c r="AN207" s="93"/>
      <c r="AO207" s="96">
        <f t="shared" si="91"/>
        <v>60.237055061521794</v>
      </c>
      <c r="AP207" s="92">
        <f t="shared" si="90"/>
        <v>4.5807646434617329E-3</v>
      </c>
      <c r="AR207" s="94">
        <f t="shared" si="102"/>
        <v>1.5618972786286347E-2</v>
      </c>
      <c r="AS207" s="95">
        <v>989876.09988125623</v>
      </c>
      <c r="AU207" s="141">
        <v>205.38949213966546</v>
      </c>
    </row>
    <row r="208" spans="1:47">
      <c r="A208" s="78">
        <v>2021</v>
      </c>
      <c r="B208" s="78">
        <v>12</v>
      </c>
      <c r="C208" s="317">
        <f t="shared" si="84"/>
        <v>42.633806123140985</v>
      </c>
      <c r="D208" s="324">
        <f t="shared" si="93"/>
        <v>2.1271570035074034E-2</v>
      </c>
      <c r="E208" s="321">
        <f>$D208*'MWh Impact Summary'!B$27</f>
        <v>70775.649013471688</v>
      </c>
      <c r="F208" s="319">
        <f>$D208*'MWh Impact Summary'!N$27</f>
        <v>9300.2266298431987</v>
      </c>
      <c r="G208" s="319">
        <f>$D208*'MWh Impact Summary'!C$27</f>
        <v>49327.335578739141</v>
      </c>
      <c r="H208" s="319">
        <f>$D208*'MWh Impact Summary'!D$27</f>
        <v>212.1079369101478</v>
      </c>
      <c r="I208" s="319">
        <f>$D208*'MWh Impact Summary'!E$27</f>
        <v>18094.405093027945</v>
      </c>
      <c r="J208" s="104">
        <f t="shared" si="103"/>
        <v>147709.72425199213</v>
      </c>
      <c r="K208" s="298">
        <f t="shared" si="85"/>
        <v>13.483333333333333</v>
      </c>
      <c r="L208" s="300">
        <f t="shared" si="94"/>
        <v>9.491962923853102E-2</v>
      </c>
      <c r="M208" s="297">
        <f t="shared" si="108"/>
        <v>8.4931506849315067E-2</v>
      </c>
      <c r="N208" s="304">
        <f>$M208*'MWh Impact Summary'!F$27</f>
        <v>146287.57986945406</v>
      </c>
      <c r="O208" s="304">
        <f>$M208*'MWh Impact Summary'!G$27</f>
        <v>15670.265720436975</v>
      </c>
      <c r="P208" s="304">
        <f>$M208*'MWh Impact Summary'!H$27</f>
        <v>9566.7797527246166</v>
      </c>
      <c r="Q208" s="304">
        <f>$M208*'MWh Impact Summary'!I$27</f>
        <v>1599.4325245963701</v>
      </c>
      <c r="R208" s="304">
        <f>$M208*'MWh Impact Summary'!J$27</f>
        <v>44687.952157098225</v>
      </c>
      <c r="S208" s="304">
        <f>$M208*'MWh Impact Summary'!K$27</f>
        <v>24615.749176464124</v>
      </c>
      <c r="T208" s="304">
        <f>$M208*'MWh Impact Summary'!L$27</f>
        <v>8659.6462628792251</v>
      </c>
      <c r="U208" s="304">
        <f>$M208*'MWh Impact Summary'!M$27</f>
        <v>27059.567039112593</v>
      </c>
      <c r="V208" s="304">
        <f>$M208*'LED Impact Forecast'!$H$28+$D208*'LED Impact Forecast'!$J$28</f>
        <v>105494.97300790614</v>
      </c>
      <c r="W208" s="304">
        <f>$M208*'CFL Impact Forecast'!$H$28+$D208*'CFL Impact Forecast'!$J$28</f>
        <v>312707.84129102976</v>
      </c>
      <c r="X208" s="304">
        <f>$M208*'EISA Incand Impact Forecast'!$G$28+$D208*'EISA Incand Impact Forecast'!$I$28</f>
        <v>109948.63432931709</v>
      </c>
      <c r="Y208" s="85">
        <f t="shared" si="95"/>
        <v>806298.42113101925</v>
      </c>
      <c r="Z208" s="81">
        <f t="shared" si="96"/>
        <v>954008.14538301132</v>
      </c>
      <c r="AA208" s="81">
        <f>SUM(Z197:Z208)</f>
        <v>17203820.954870343</v>
      </c>
      <c r="AB208" s="262">
        <v>5213464.9586801976</v>
      </c>
      <c r="AC208" s="308">
        <f t="shared" si="104"/>
        <v>182.98926969761797</v>
      </c>
      <c r="AD208" s="309">
        <f t="shared" si="97"/>
        <v>28.332351981394201</v>
      </c>
      <c r="AE208" s="107">
        <f t="shared" si="98"/>
        <v>2.1012869207461707E-3</v>
      </c>
      <c r="AF208" s="309">
        <f t="shared" si="105"/>
        <v>154.65691771622377</v>
      </c>
      <c r="AG208" s="107">
        <f t="shared" si="99"/>
        <v>1.1470228755220553E-2</v>
      </c>
      <c r="AH208" s="119">
        <f t="shared" si="106"/>
        <v>1.3571515675966725E-2</v>
      </c>
      <c r="AI208" s="122">
        <f t="shared" si="100"/>
        <v>1.3571515675966723E-2</v>
      </c>
      <c r="AJ208" s="87" t="b">
        <f t="shared" si="107"/>
        <v>1</v>
      </c>
      <c r="AK208" s="88">
        <f t="shared" si="87"/>
        <v>7.8047421088477988E-4</v>
      </c>
      <c r="AL208" s="312">
        <f>+AC208/'MWh by month-WgtbyCDH&amp;DayLtHrs'!AC208-1</f>
        <v>-0.13942995985225992</v>
      </c>
      <c r="AM208" s="89">
        <f t="shared" si="101"/>
        <v>312707.84129102976</v>
      </c>
      <c r="AN208" s="90">
        <f>SUM(AM197:AM208)</f>
        <v>4134868.5572393909</v>
      </c>
      <c r="AO208" s="96">
        <f t="shared" si="91"/>
        <v>59.980808113111891</v>
      </c>
      <c r="AP208" s="92">
        <f t="shared" si="90"/>
        <v>4.4485148167944548E-3</v>
      </c>
      <c r="AR208" s="94">
        <f t="shared" si="102"/>
        <v>1.3571515675966723E-2</v>
      </c>
      <c r="AS208" s="95">
        <v>831922.77553708537</v>
      </c>
      <c r="AU208" s="141">
        <v>182.98926969761797</v>
      </c>
    </row>
    <row r="209" spans="1:47">
      <c r="A209" s="78">
        <v>2022</v>
      </c>
      <c r="B209" s="78">
        <v>1</v>
      </c>
      <c r="C209" s="317">
        <f t="shared" si="84"/>
        <v>26.112829868525239</v>
      </c>
      <c r="D209" s="324">
        <f t="shared" si="93"/>
        <v>1.6125648960134388E-2</v>
      </c>
      <c r="E209" s="321">
        <f>$D209*'MWh Impact Summary'!B$28</f>
        <v>56961.712989209038</v>
      </c>
      <c r="F209" s="319">
        <f>$D209*'MWh Impact Summary'!N$28</f>
        <v>7883.7773204150844</v>
      </c>
      <c r="G209" s="319">
        <f>$D209*'MWh Impact Summary'!C$28</f>
        <v>38316.672515717881</v>
      </c>
      <c r="H209" s="319">
        <f>$D209*'MWh Impact Summary'!D$28</f>
        <v>174.32732367872816</v>
      </c>
      <c r="I209" s="319">
        <f>$D209*'MWh Impact Summary'!E$28</f>
        <v>13894.302982914816</v>
      </c>
      <c r="J209" s="104">
        <f t="shared" si="103"/>
        <v>117230.79313193556</v>
      </c>
      <c r="K209" s="298">
        <f t="shared" si="85"/>
        <v>13.3</v>
      </c>
      <c r="L209" s="300">
        <f t="shared" si="94"/>
        <v>9.3629003871876101E-2</v>
      </c>
      <c r="M209" s="297">
        <f>(31/365)</f>
        <v>8.4931506849315067E-2</v>
      </c>
      <c r="N209" s="304">
        <f>$M209*'MWh Impact Summary'!F$28</f>
        <v>157034.48949249662</v>
      </c>
      <c r="O209" s="304">
        <f>$M209*'MWh Impact Summary'!G$28</f>
        <v>19880.627707039388</v>
      </c>
      <c r="P209" s="304">
        <f>$M209*'MWh Impact Summary'!H$28</f>
        <v>10124.650232578459</v>
      </c>
      <c r="Q209" s="304">
        <f>$M209*'MWh Impact Summary'!I$28</f>
        <v>1692.030438793694</v>
      </c>
      <c r="R209" s="304">
        <f>$M209*'MWh Impact Summary'!J$28</f>
        <v>46094.558607231847</v>
      </c>
      <c r="S209" s="304">
        <f>$M209*'MWh Impact Summary'!K$28</f>
        <v>27781.869342715021</v>
      </c>
      <c r="T209" s="304">
        <f>$M209*'MWh Impact Summary'!L$28</f>
        <v>9926.9397048067713</v>
      </c>
      <c r="U209" s="304">
        <f>$M209*'MWh Impact Summary'!M$28</f>
        <v>30833.507467980115</v>
      </c>
      <c r="V209" s="304">
        <f>$M209*'LED Impact Forecast'!$H$29+$D209*'LED Impact Forecast'!$J$29</f>
        <v>148050.02318712769</v>
      </c>
      <c r="W209" s="304">
        <f>$M209*'CFL Impact Forecast'!$H$29+$D209*'CFL Impact Forecast'!$J$29</f>
        <v>313459.95208278351</v>
      </c>
      <c r="X209" s="304">
        <f>$M209*'EISA Incand Impact Forecast'!$G$29+$D209*'EISA Incand Impact Forecast'!$I$29</f>
        <v>108769.74273953884</v>
      </c>
      <c r="Y209" s="85">
        <f t="shared" si="95"/>
        <v>873648.39100309205</v>
      </c>
      <c r="Z209" s="81">
        <f t="shared" si="96"/>
        <v>990879.18413502758</v>
      </c>
      <c r="AA209" s="81"/>
      <c r="AB209" s="262">
        <v>5218681.4177877083</v>
      </c>
      <c r="AC209" s="308">
        <f t="shared" si="104"/>
        <v>189.87156042092312</v>
      </c>
      <c r="AD209" s="309">
        <f t="shared" si="97"/>
        <v>22.4636807168106</v>
      </c>
      <c r="AE209" s="107">
        <f t="shared" si="98"/>
        <v>1.6889985501361354E-3</v>
      </c>
      <c r="AF209" s="309">
        <f t="shared" si="105"/>
        <v>167.40787970411253</v>
      </c>
      <c r="AG209" s="107">
        <f t="shared" si="99"/>
        <v>1.2587058624369362E-2</v>
      </c>
      <c r="AH209" s="119">
        <f t="shared" si="106"/>
        <v>1.4276057174505497E-2</v>
      </c>
      <c r="AI209" s="122">
        <f t="shared" si="100"/>
        <v>1.4276057174505497E-2</v>
      </c>
      <c r="AJ209" s="87" t="b">
        <f t="shared" si="107"/>
        <v>1</v>
      </c>
      <c r="AK209" s="88">
        <f t="shared" si="87"/>
        <v>9.6507030100017807E-4</v>
      </c>
      <c r="AL209" s="312">
        <f>+AC209/'MWh by month-WgtbyCDH&amp;DayLtHrs'!AC209-1</f>
        <v>-0.12269880373444686</v>
      </c>
      <c r="AM209" s="89">
        <f t="shared" si="101"/>
        <v>313459.95208278351</v>
      </c>
      <c r="AN209" s="93"/>
      <c r="AO209" s="96">
        <f t="shared" si="91"/>
        <v>60.064971778956526</v>
      </c>
      <c r="AP209" s="92">
        <f t="shared" si="90"/>
        <v>4.5161632916508668E-3</v>
      </c>
      <c r="AR209" s="94">
        <f t="shared" si="102"/>
        <v>1.4276057174505497E-2</v>
      </c>
      <c r="AS209" s="95">
        <v>840001.90652615612</v>
      </c>
      <c r="AU209" s="141">
        <v>189.87156042092312</v>
      </c>
    </row>
    <row r="210" spans="1:47">
      <c r="A210" s="78">
        <v>2022</v>
      </c>
      <c r="B210" s="78">
        <v>2</v>
      </c>
      <c r="C210" s="317">
        <f t="shared" ref="C210:C267" si="109">+C198</f>
        <v>35.042184420393127</v>
      </c>
      <c r="D210" s="324">
        <f t="shared" si="93"/>
        <v>9.4849425755900163E-3</v>
      </c>
      <c r="E210" s="321">
        <f>$D210*'MWh Impact Summary'!B$28</f>
        <v>33504.299767752418</v>
      </c>
      <c r="F210" s="319">
        <f>$D210*'MWh Impact Summary'!N$28</f>
        <v>4637.1575710062352</v>
      </c>
      <c r="G210" s="319">
        <f>$D210*'MWh Impact Summary'!C$28</f>
        <v>22537.47674885784</v>
      </c>
      <c r="H210" s="319">
        <f>$D210*'MWh Impact Summary'!D$28</f>
        <v>102.53755731237563</v>
      </c>
      <c r="I210" s="319">
        <f>$D210*'MWh Impact Summary'!E$28</f>
        <v>8172.4875846297609</v>
      </c>
      <c r="J210" s="104">
        <f t="shared" si="103"/>
        <v>68953.959229558634</v>
      </c>
      <c r="K210" s="298">
        <f t="shared" ref="K210:K268" si="110">+K198</f>
        <v>12.733333333333333</v>
      </c>
      <c r="L210" s="300">
        <f t="shared" si="94"/>
        <v>8.9639798193124468E-2</v>
      </c>
      <c r="M210" s="297">
        <f>(28/365)</f>
        <v>7.6712328767123292E-2</v>
      </c>
      <c r="N210" s="304">
        <f>$M210*'MWh Impact Summary'!F$28</f>
        <v>141837.60341257759</v>
      </c>
      <c r="O210" s="304">
        <f>$M210*'MWh Impact Summary'!G$28</f>
        <v>17956.69599345493</v>
      </c>
      <c r="P210" s="304">
        <f>$M210*'MWh Impact Summary'!H$28</f>
        <v>9144.8453713611889</v>
      </c>
      <c r="Q210" s="304">
        <f>$M210*'MWh Impact Summary'!I$28</f>
        <v>1528.2855576201107</v>
      </c>
      <c r="R210" s="304">
        <f>$M210*'MWh Impact Summary'!J$28</f>
        <v>41633.794871048121</v>
      </c>
      <c r="S210" s="304">
        <f>$M210*'MWh Impact Summary'!K$28</f>
        <v>25093.301341807117</v>
      </c>
      <c r="T210" s="304">
        <f>$M210*'MWh Impact Summary'!L$28</f>
        <v>8966.2681204706332</v>
      </c>
      <c r="U210" s="304">
        <f>$M210*'MWh Impact Summary'!M$28</f>
        <v>27849.61964849817</v>
      </c>
      <c r="V210" s="304">
        <f>$M210*'LED Impact Forecast'!$H$29+$D210*'LED Impact Forecast'!$J$29</f>
        <v>132296.49677002453</v>
      </c>
      <c r="W210" s="304">
        <f>$M210*'CFL Impact Forecast'!$H$29+$D210*'CFL Impact Forecast'!$J$29</f>
        <v>280013.67368131038</v>
      </c>
      <c r="X210" s="304">
        <f>$M210*'EISA Incand Impact Forecast'!$G$29+$D210*'EISA Incand Impact Forecast'!$I$29</f>
        <v>97079.812444679061</v>
      </c>
      <c r="Y210" s="85">
        <f t="shared" si="95"/>
        <v>783400.39721285191</v>
      </c>
      <c r="Z210" s="81">
        <f t="shared" si="96"/>
        <v>852354.3564424105</v>
      </c>
      <c r="AA210" s="81"/>
      <c r="AB210" s="262">
        <v>5223815.6567590404</v>
      </c>
      <c r="AC210" s="308">
        <f t="shared" si="104"/>
        <v>163.16700520232908</v>
      </c>
      <c r="AD210" s="309">
        <f t="shared" si="97"/>
        <v>13.1999220034382</v>
      </c>
      <c r="AE210" s="107">
        <f t="shared" si="98"/>
        <v>1.0366430892752513E-3</v>
      </c>
      <c r="AF210" s="309">
        <f t="shared" si="105"/>
        <v>149.96708319889089</v>
      </c>
      <c r="AG210" s="107">
        <f t="shared" si="99"/>
        <v>1.1777519622949548E-2</v>
      </c>
      <c r="AH210" s="119">
        <f t="shared" si="106"/>
        <v>1.2814162712224799E-2</v>
      </c>
      <c r="AI210" s="122">
        <f t="shared" si="100"/>
        <v>1.2814162712224799E-2</v>
      </c>
      <c r="AJ210" s="87" t="b">
        <f t="shared" si="107"/>
        <v>1</v>
      </c>
      <c r="AK210" s="88">
        <f t="shared" si="87"/>
        <v>8.8435223218885119E-4</v>
      </c>
      <c r="AL210" s="312">
        <f>+AC210/'MWh by month-WgtbyCDH&amp;DayLtHrs'!AC210-1</f>
        <v>-0.24151282709047395</v>
      </c>
      <c r="AM210" s="89">
        <f t="shared" si="101"/>
        <v>280013.67368131038</v>
      </c>
      <c r="AN210" s="93"/>
      <c r="AO210" s="96">
        <f t="shared" si="91"/>
        <v>53.603283898237031</v>
      </c>
      <c r="AP210" s="92">
        <f t="shared" si="90"/>
        <v>4.2096819815369392E-3</v>
      </c>
      <c r="AR210" s="94">
        <f t="shared" si="102"/>
        <v>1.2814162712224799E-2</v>
      </c>
      <c r="AS210" s="95">
        <v>775729.3207495173</v>
      </c>
      <c r="AU210" s="141">
        <v>163.16700520232908</v>
      </c>
    </row>
    <row r="211" spans="1:47">
      <c r="A211" s="78">
        <v>2022</v>
      </c>
      <c r="B211" s="78">
        <v>3</v>
      </c>
      <c r="C211" s="317">
        <f t="shared" si="109"/>
        <v>64.582270600115152</v>
      </c>
      <c r="D211" s="324">
        <f t="shared" si="93"/>
        <v>5.6112649790650677E-2</v>
      </c>
      <c r="E211" s="321">
        <f>$D211*'MWh Impact Summary'!B$28</f>
        <v>198210.48196824986</v>
      </c>
      <c r="F211" s="319">
        <f>$D211*'MWh Impact Summary'!N$28</f>
        <v>27433.291950083436</v>
      </c>
      <c r="G211" s="319">
        <f>$D211*'MWh Impact Summary'!C$28</f>
        <v>133331.06973448649</v>
      </c>
      <c r="H211" s="319">
        <f>$D211*'MWh Impact Summary'!D$28</f>
        <v>606.60926494857529</v>
      </c>
      <c r="I211" s="319">
        <f>$D211*'MWh Impact Summary'!E$28</f>
        <v>48348.203492022112</v>
      </c>
      <c r="J211" s="104">
        <f t="shared" si="103"/>
        <v>407929.65640979045</v>
      </c>
      <c r="K211" s="298">
        <f t="shared" si="110"/>
        <v>12</v>
      </c>
      <c r="L211" s="300">
        <f t="shared" si="94"/>
        <v>8.4477296726504739E-2</v>
      </c>
      <c r="M211" s="297">
        <f t="shared" ref="M211:M220" si="111">(31/365)</f>
        <v>8.4931506849315067E-2</v>
      </c>
      <c r="N211" s="304">
        <f>$M211*'MWh Impact Summary'!F$28</f>
        <v>157034.48949249662</v>
      </c>
      <c r="O211" s="304">
        <f>$M211*'MWh Impact Summary'!G$28</f>
        <v>19880.627707039388</v>
      </c>
      <c r="P211" s="304">
        <f>$M211*'MWh Impact Summary'!H$28</f>
        <v>10124.650232578459</v>
      </c>
      <c r="Q211" s="304">
        <f>$M211*'MWh Impact Summary'!I$28</f>
        <v>1692.030438793694</v>
      </c>
      <c r="R211" s="304">
        <f>$M211*'MWh Impact Summary'!J$28</f>
        <v>46094.558607231847</v>
      </c>
      <c r="S211" s="304">
        <f>$M211*'MWh Impact Summary'!K$28</f>
        <v>27781.869342715021</v>
      </c>
      <c r="T211" s="304">
        <f>$M211*'MWh Impact Summary'!L$28</f>
        <v>9926.9397048067713</v>
      </c>
      <c r="U211" s="304">
        <f>$M211*'MWh Impact Summary'!M$28</f>
        <v>30833.507467980115</v>
      </c>
      <c r="V211" s="304">
        <f>$M211*'LED Impact Forecast'!$H$29+$D211*'LED Impact Forecast'!$J$29</f>
        <v>159275.19282745101</v>
      </c>
      <c r="W211" s="304">
        <f>$M211*'CFL Impact Forecast'!$H$29+$D211*'CFL Impact Forecast'!$J$29</f>
        <v>337950.78190781327</v>
      </c>
      <c r="X211" s="304">
        <f>$M211*'EISA Incand Impact Forecast'!$G$29+$D211*'EISA Incand Impact Forecast'!$I$29</f>
        <v>117930.46213127667</v>
      </c>
      <c r="Y211" s="85">
        <f t="shared" si="95"/>
        <v>918525.10986018297</v>
      </c>
      <c r="Z211" s="81">
        <f t="shared" si="96"/>
        <v>1326454.7662699735</v>
      </c>
      <c r="AA211" s="81"/>
      <c r="AB211" s="262">
        <v>5229019.600151482</v>
      </c>
      <c r="AC211" s="308">
        <f t="shared" si="104"/>
        <v>253.67179083274937</v>
      </c>
      <c r="AD211" s="309">
        <f t="shared" si="97"/>
        <v>78.012646270817754</v>
      </c>
      <c r="AE211" s="107">
        <f t="shared" si="98"/>
        <v>6.5010538559014796E-3</v>
      </c>
      <c r="AF211" s="309">
        <f t="shared" si="105"/>
        <v>175.65914456193161</v>
      </c>
      <c r="AG211" s="107">
        <f t="shared" si="99"/>
        <v>1.4638262046827635E-2</v>
      </c>
      <c r="AH211" s="119">
        <f t="shared" si="106"/>
        <v>2.1139315902729112E-2</v>
      </c>
      <c r="AI211" s="122">
        <f t="shared" si="100"/>
        <v>2.1139315902729112E-2</v>
      </c>
      <c r="AJ211" s="87" t="b">
        <f t="shared" si="107"/>
        <v>1</v>
      </c>
      <c r="AK211" s="88">
        <f t="shared" si="87"/>
        <v>1.278586093062091E-3</v>
      </c>
      <c r="AL211" s="312">
        <f>+AC211/'MWh by month-WgtbyCDH&amp;DayLtHrs'!AC211-1</f>
        <v>0.12139085434050867</v>
      </c>
      <c r="AM211" s="89">
        <f t="shared" si="101"/>
        <v>337950.78190781327</v>
      </c>
      <c r="AN211" s="93"/>
      <c r="AO211" s="96">
        <f t="shared" si="91"/>
        <v>64.629855642159569</v>
      </c>
      <c r="AP211" s="92">
        <f t="shared" si="90"/>
        <v>5.3858213035132968E-3</v>
      </c>
      <c r="AR211" s="94">
        <f t="shared" si="102"/>
        <v>2.1139315902729112E-2</v>
      </c>
      <c r="AS211" s="95">
        <v>922588.25556952658</v>
      </c>
      <c r="AU211" s="141">
        <v>253.67179083274937</v>
      </c>
    </row>
    <row r="212" spans="1:47">
      <c r="A212" s="78">
        <v>2022</v>
      </c>
      <c r="B212" s="78">
        <v>4</v>
      </c>
      <c r="C212" s="317">
        <f t="shared" si="109"/>
        <v>114.03392869270741</v>
      </c>
      <c r="D212" s="324">
        <f t="shared" si="93"/>
        <v>5.6895710731417456E-2</v>
      </c>
      <c r="E212" s="321">
        <f>$D212*'MWh Impact Summary'!B$28</f>
        <v>200976.54072788724</v>
      </c>
      <c r="F212" s="319">
        <f>$D212*'MWh Impact Summary'!N$28</f>
        <v>27816.127896753365</v>
      </c>
      <c r="G212" s="319">
        <f>$D212*'MWh Impact Summary'!C$28</f>
        <v>135191.72599095016</v>
      </c>
      <c r="H212" s="319">
        <f>$D212*'MWh Impact Summary'!D$28</f>
        <v>615.07459359480185</v>
      </c>
      <c r="I212" s="319">
        <f>$D212*'MWh Impact Summary'!E$28</f>
        <v>49022.910351386192</v>
      </c>
      <c r="J212" s="104">
        <f t="shared" si="103"/>
        <v>413622.3795605718</v>
      </c>
      <c r="K212" s="298">
        <f t="shared" si="110"/>
        <v>11.2</v>
      </c>
      <c r="L212" s="300">
        <f t="shared" si="94"/>
        <v>7.8845476944737758E-2</v>
      </c>
      <c r="M212" s="297">
        <f>(30/365)</f>
        <v>8.2191780821917804E-2</v>
      </c>
      <c r="N212" s="304">
        <f>$M212*'MWh Impact Summary'!F$28</f>
        <v>151968.86079919027</v>
      </c>
      <c r="O212" s="304">
        <f>$M212*'MWh Impact Summary'!G$28</f>
        <v>19239.317135844569</v>
      </c>
      <c r="P212" s="304">
        <f>$M212*'MWh Impact Summary'!H$28</f>
        <v>9798.0486121727008</v>
      </c>
      <c r="Q212" s="304">
        <f>$M212*'MWh Impact Summary'!I$28</f>
        <v>1637.4488117358328</v>
      </c>
      <c r="R212" s="304">
        <f>$M212*'MWh Impact Summary'!J$28</f>
        <v>44607.637361837267</v>
      </c>
      <c r="S212" s="304">
        <f>$M212*'MWh Impact Summary'!K$28</f>
        <v>26885.680009079049</v>
      </c>
      <c r="T212" s="304">
        <f>$M212*'MWh Impact Summary'!L$28</f>
        <v>9606.7158433613913</v>
      </c>
      <c r="U212" s="304">
        <f>$M212*'MWh Impact Summary'!M$28</f>
        <v>29838.878194819466</v>
      </c>
      <c r="V212" s="304">
        <f>$M212*'LED Impact Forecast'!$H$29+$D212*'LED Impact Forecast'!$J$29</f>
        <v>154865.23266087944</v>
      </c>
      <c r="W212" s="304">
        <f>$M212*'CFL Impact Forecast'!$H$29+$D212*'CFL Impact Forecast'!$J$29</f>
        <v>328637.36761231837</v>
      </c>
      <c r="X212" s="304">
        <f>$M212*'EISA Incand Impact Forecast'!$G$29+$D212*'EISA Incand Impact Forecast'!$I$29</f>
        <v>114720.32390281657</v>
      </c>
      <c r="Y212" s="85">
        <f t="shared" si="95"/>
        <v>891805.51094405493</v>
      </c>
      <c r="Z212" s="81">
        <f t="shared" si="96"/>
        <v>1305427.8905046268</v>
      </c>
      <c r="AA212" s="81"/>
      <c r="AB212" s="262">
        <v>5234136.2560332026</v>
      </c>
      <c r="AC212" s="308">
        <f t="shared" si="104"/>
        <v>249.40655471089551</v>
      </c>
      <c r="AD212" s="309">
        <f t="shared" si="97"/>
        <v>79.023999247976008</v>
      </c>
      <c r="AE212" s="107">
        <f t="shared" si="98"/>
        <v>7.0557142185692871E-3</v>
      </c>
      <c r="AF212" s="309">
        <f t="shared" si="105"/>
        <v>170.3825554629195</v>
      </c>
      <c r="AG212" s="107">
        <f t="shared" si="99"/>
        <v>1.5212728166332099E-2</v>
      </c>
      <c r="AH212" s="119">
        <f t="shared" si="106"/>
        <v>2.2268442384901388E-2</v>
      </c>
      <c r="AI212" s="122">
        <f t="shared" si="100"/>
        <v>2.2268442384901388E-2</v>
      </c>
      <c r="AJ212" s="87" t="b">
        <f t="shared" si="107"/>
        <v>1</v>
      </c>
      <c r="AK212" s="88">
        <f t="shared" si="87"/>
        <v>1.3391005515556824E-3</v>
      </c>
      <c r="AL212" s="312">
        <f>+AC212/'MWh by month-WgtbyCDH&amp;DayLtHrs'!AC212-1</f>
        <v>-4.2813591423387365E-3</v>
      </c>
      <c r="AM212" s="89">
        <f t="shared" si="101"/>
        <v>328637.36761231837</v>
      </c>
      <c r="AN212" s="93"/>
      <c r="AO212" s="96">
        <f t="shared" si="91"/>
        <v>62.787316098909308</v>
      </c>
      <c r="AP212" s="92">
        <f t="shared" si="90"/>
        <v>5.606010365974046E-3</v>
      </c>
      <c r="AR212" s="94">
        <f t="shared" si="102"/>
        <v>2.2268442384901388E-2</v>
      </c>
      <c r="AS212" s="95">
        <v>1052631.7288214653</v>
      </c>
      <c r="AU212" s="141">
        <v>249.40655471089551</v>
      </c>
    </row>
    <row r="213" spans="1:47">
      <c r="A213" s="78">
        <v>2022</v>
      </c>
      <c r="B213" s="78">
        <v>5</v>
      </c>
      <c r="C213" s="317">
        <f t="shared" si="109"/>
        <v>208.47875842628665</v>
      </c>
      <c r="D213" s="324">
        <f t="shared" si="93"/>
        <v>0.10401770130213556</v>
      </c>
      <c r="E213" s="321">
        <f>$D213*'MWh Impact Summary'!B$28</f>
        <v>367428.71322681592</v>
      </c>
      <c r="F213" s="319">
        <f>$D213*'MWh Impact Summary'!N$28</f>
        <v>50853.91580052433</v>
      </c>
      <c r="G213" s="319">
        <f>$D213*'MWh Impact Summary'!C$28</f>
        <v>247159.80153635159</v>
      </c>
      <c r="H213" s="319">
        <f>$D213*'MWh Impact Summary'!D$28</f>
        <v>1124.4897819643179</v>
      </c>
      <c r="I213" s="319">
        <f>$D213*'MWh Impact Summary'!E$28</f>
        <v>89624.514402560817</v>
      </c>
      <c r="J213" s="104">
        <f t="shared" si="103"/>
        <v>756191.434748217</v>
      </c>
      <c r="K213" s="298">
        <f t="shared" si="110"/>
        <v>10.533333333333333</v>
      </c>
      <c r="L213" s="300">
        <f t="shared" si="94"/>
        <v>7.4152293793265281E-2</v>
      </c>
      <c r="M213" s="297">
        <f t="shared" si="111"/>
        <v>8.4931506849315067E-2</v>
      </c>
      <c r="N213" s="304">
        <f>$M213*'MWh Impact Summary'!F$28</f>
        <v>157034.48949249662</v>
      </c>
      <c r="O213" s="304">
        <f>$M213*'MWh Impact Summary'!G$28</f>
        <v>19880.627707039388</v>
      </c>
      <c r="P213" s="304">
        <f>$M213*'MWh Impact Summary'!H$28</f>
        <v>10124.650232578459</v>
      </c>
      <c r="Q213" s="304">
        <f>$M213*'MWh Impact Summary'!I$28</f>
        <v>1692.030438793694</v>
      </c>
      <c r="R213" s="304">
        <f>$M213*'MWh Impact Summary'!J$28</f>
        <v>46094.558607231847</v>
      </c>
      <c r="S213" s="304">
        <f>$M213*'MWh Impact Summary'!K$28</f>
        <v>27781.869342715021</v>
      </c>
      <c r="T213" s="304">
        <f>$M213*'MWh Impact Summary'!L$28</f>
        <v>9926.9397048067713</v>
      </c>
      <c r="U213" s="304">
        <f>$M213*'MWh Impact Summary'!M$28</f>
        <v>30833.507467980115</v>
      </c>
      <c r="V213" s="304">
        <f>$M213*'LED Impact Forecast'!$H$29+$D213*'LED Impact Forecast'!$J$29</f>
        <v>172723.12137113072</v>
      </c>
      <c r="W213" s="304">
        <f>$M213*'CFL Impact Forecast'!$H$29+$D213*'CFL Impact Forecast'!$J$29</f>
        <v>367291.17853570182</v>
      </c>
      <c r="X213" s="304">
        <f>$M213*'EISA Incand Impact Forecast'!$G$29+$D213*'EISA Incand Impact Forecast'!$I$29</f>
        <v>128905.14703459037</v>
      </c>
      <c r="Y213" s="85">
        <f t="shared" si="95"/>
        <v>972288.11993506481</v>
      </c>
      <c r="Z213" s="81">
        <f t="shared" si="96"/>
        <v>1728479.5546832818</v>
      </c>
      <c r="AA213" s="81"/>
      <c r="AB213" s="262">
        <v>5239238.1846235972</v>
      </c>
      <c r="AC213" s="308">
        <f t="shared" si="104"/>
        <v>329.91047434264743</v>
      </c>
      <c r="AD213" s="309">
        <f t="shared" si="97"/>
        <v>144.33232620870893</v>
      </c>
      <c r="AE213" s="107">
        <f t="shared" si="98"/>
        <v>1.3702436032472367E-2</v>
      </c>
      <c r="AF213" s="309">
        <f t="shared" si="105"/>
        <v>185.57814813393847</v>
      </c>
      <c r="AG213" s="107">
        <f t="shared" si="99"/>
        <v>1.7618178620310617E-2</v>
      </c>
      <c r="AH213" s="119">
        <f t="shared" si="106"/>
        <v>3.1320614652782984E-2</v>
      </c>
      <c r="AI213" s="122">
        <f t="shared" si="100"/>
        <v>3.1320614652782984E-2</v>
      </c>
      <c r="AJ213" s="87" t="b">
        <f t="shared" si="107"/>
        <v>1</v>
      </c>
      <c r="AK213" s="88">
        <f t="shared" si="87"/>
        <v>1.7409183797749694E-3</v>
      </c>
      <c r="AL213" s="312">
        <f>+AC213/'MWh by month-WgtbyCDH&amp;DayLtHrs'!AC213-1</f>
        <v>7.0474883767079666E-2</v>
      </c>
      <c r="AM213" s="89">
        <f t="shared" si="101"/>
        <v>367291.17853570182</v>
      </c>
      <c r="AN213" s="93"/>
      <c r="AO213" s="96">
        <f t="shared" si="91"/>
        <v>70.103928394331845</v>
      </c>
      <c r="AP213" s="92">
        <f t="shared" si="90"/>
        <v>6.6554362399682135E-3</v>
      </c>
      <c r="AR213" s="94">
        <f t="shared" si="102"/>
        <v>3.1320614652782984E-2</v>
      </c>
      <c r="AS213" s="95">
        <v>1223803.9997503732</v>
      </c>
      <c r="AU213" s="141">
        <v>329.91047434264743</v>
      </c>
    </row>
    <row r="214" spans="1:47">
      <c r="A214" s="78">
        <v>2022</v>
      </c>
      <c r="B214" s="78">
        <v>6</v>
      </c>
      <c r="C214" s="317">
        <f t="shared" si="109"/>
        <v>271.66325293295364</v>
      </c>
      <c r="D214" s="324">
        <f t="shared" si="93"/>
        <v>0.13554276374078555</v>
      </c>
      <c r="E214" s="321">
        <f>$D214*'MWh Impact Summary'!B$28</f>
        <v>478786.80883193755</v>
      </c>
      <c r="F214" s="319">
        <f>$D214*'MWh Impact Summary'!N$28</f>
        <v>66266.41627681072</v>
      </c>
      <c r="G214" s="319">
        <f>$D214*'MWh Impact Summary'!C$28</f>
        <v>322067.51511027053</v>
      </c>
      <c r="H214" s="319">
        <f>$D214*'MWh Impact Summary'!D$28</f>
        <v>1465.2934158100627</v>
      </c>
      <c r="I214" s="319">
        <f>$D214*'MWh Impact Summary'!E$28</f>
        <v>116787.3758886799</v>
      </c>
      <c r="J214" s="104">
        <f t="shared" si="103"/>
        <v>985373.40952350886</v>
      </c>
      <c r="K214" s="298">
        <f t="shared" si="110"/>
        <v>10.199999999999999</v>
      </c>
      <c r="L214" s="300">
        <f t="shared" si="94"/>
        <v>7.1805702217529022E-2</v>
      </c>
      <c r="M214" s="297">
        <f>(30/365)</f>
        <v>8.2191780821917804E-2</v>
      </c>
      <c r="N214" s="304">
        <f>$M214*'MWh Impact Summary'!F$28</f>
        <v>151968.86079919027</v>
      </c>
      <c r="O214" s="304">
        <f>$M214*'MWh Impact Summary'!G$28</f>
        <v>19239.317135844569</v>
      </c>
      <c r="P214" s="304">
        <f>$M214*'MWh Impact Summary'!H$28</f>
        <v>9798.0486121727008</v>
      </c>
      <c r="Q214" s="304">
        <f>$M214*'MWh Impact Summary'!I$28</f>
        <v>1637.4488117358328</v>
      </c>
      <c r="R214" s="304">
        <f>$M214*'MWh Impact Summary'!J$28</f>
        <v>44607.637361837267</v>
      </c>
      <c r="S214" s="304">
        <f>$M214*'MWh Impact Summary'!K$28</f>
        <v>26885.680009079049</v>
      </c>
      <c r="T214" s="304">
        <f>$M214*'MWh Impact Summary'!L$28</f>
        <v>9606.7158433613913</v>
      </c>
      <c r="U214" s="304">
        <f>$M214*'MWh Impact Summary'!M$28</f>
        <v>29838.878194819466</v>
      </c>
      <c r="V214" s="304">
        <f>$M214*'LED Impact Forecast'!$H$29+$D214*'LED Impact Forecast'!$J$29</f>
        <v>176943.07029325128</v>
      </c>
      <c r="W214" s="304">
        <f>$M214*'CFL Impact Forecast'!$H$29+$D214*'CFL Impact Forecast'!$J$29</f>
        <v>376806.31130620476</v>
      </c>
      <c r="X214" s="304">
        <f>$M214*'EISA Incand Impact Forecast'!$G$29+$D214*'EISA Incand Impact Forecast'!$I$29</f>
        <v>132737.76878845866</v>
      </c>
      <c r="Y214" s="85">
        <f t="shared" si="95"/>
        <v>980069.73715595528</v>
      </c>
      <c r="Z214" s="81">
        <f t="shared" si="96"/>
        <v>1965443.1466794643</v>
      </c>
      <c r="AA214" s="81"/>
      <c r="AB214" s="262">
        <v>5244340.260228348</v>
      </c>
      <c r="AC214" s="308">
        <f t="shared" si="104"/>
        <v>374.77414682354828</v>
      </c>
      <c r="AD214" s="309">
        <f t="shared" si="97"/>
        <v>187.89273018692421</v>
      </c>
      <c r="AE214" s="107">
        <f t="shared" si="98"/>
        <v>1.8420855900678844E-2</v>
      </c>
      <c r="AF214" s="309">
        <f t="shared" si="105"/>
        <v>186.88141663662407</v>
      </c>
      <c r="AG214" s="107">
        <f t="shared" si="99"/>
        <v>1.8321707513394517E-2</v>
      </c>
      <c r="AH214" s="119">
        <f t="shared" si="106"/>
        <v>3.6742563414073365E-2</v>
      </c>
      <c r="AI214" s="122">
        <f t="shared" si="100"/>
        <v>3.6742563414073365E-2</v>
      </c>
      <c r="AJ214" s="87" t="b">
        <f t="shared" si="107"/>
        <v>1</v>
      </c>
      <c r="AK214" s="88">
        <f t="shared" ref="AK214:AK268" si="112">AI214-AI202</f>
        <v>1.9537115055072996E-3</v>
      </c>
      <c r="AL214" s="312">
        <f>+AC214/'MWh by month-WgtbyCDH&amp;DayLtHrs'!AC214-1</f>
        <v>7.6645499625496605E-2</v>
      </c>
      <c r="AM214" s="89">
        <f t="shared" si="101"/>
        <v>376806.31130620476</v>
      </c>
      <c r="AN214" s="93"/>
      <c r="AO214" s="96">
        <f t="shared" si="91"/>
        <v>71.850088401738816</v>
      </c>
      <c r="AP214" s="92">
        <f t="shared" si="90"/>
        <v>7.0441263138959626E-3</v>
      </c>
      <c r="AR214" s="94">
        <f t="shared" si="102"/>
        <v>3.6742563414073365E-2</v>
      </c>
      <c r="AS214" s="95">
        <v>1461578.3906399433</v>
      </c>
      <c r="AU214" s="141">
        <v>374.77414682354828</v>
      </c>
    </row>
    <row r="215" spans="1:47">
      <c r="A215" s="78">
        <v>2022</v>
      </c>
      <c r="B215" s="78">
        <v>7</v>
      </c>
      <c r="C215" s="317">
        <f t="shared" si="109"/>
        <v>322.31916585708109</v>
      </c>
      <c r="D215" s="324">
        <f t="shared" si="93"/>
        <v>0.16081685717602592</v>
      </c>
      <c r="E215" s="321">
        <f>$D215*'MWh Impact Summary'!B$28</f>
        <v>568064.18674582569</v>
      </c>
      <c r="F215" s="319">
        <f>$D215*'MWh Impact Summary'!N$28</f>
        <v>78622.838341522409</v>
      </c>
      <c r="G215" s="319">
        <f>$D215*'MWh Impact Summary'!C$28</f>
        <v>382122.1004285962</v>
      </c>
      <c r="H215" s="319">
        <f>$D215*'MWh Impact Summary'!D$28</f>
        <v>1738.5205633105404</v>
      </c>
      <c r="I215" s="319">
        <f>$D215*'MWh Impact Summary'!E$28</f>
        <v>138564.23043114672</v>
      </c>
      <c r="J215" s="104">
        <f t="shared" si="103"/>
        <v>1169111.8765104017</v>
      </c>
      <c r="K215" s="298">
        <f t="shared" si="110"/>
        <v>10.366666666666667</v>
      </c>
      <c r="L215" s="300">
        <f t="shared" si="94"/>
        <v>7.2978998005397158E-2</v>
      </c>
      <c r="M215" s="297">
        <f t="shared" si="111"/>
        <v>8.4931506849315067E-2</v>
      </c>
      <c r="N215" s="304">
        <f>$M215*'MWh Impact Summary'!F$28</f>
        <v>157034.48949249662</v>
      </c>
      <c r="O215" s="304">
        <f>$M215*'MWh Impact Summary'!G$28</f>
        <v>19880.627707039388</v>
      </c>
      <c r="P215" s="304">
        <f>$M215*'MWh Impact Summary'!H$28</f>
        <v>10124.650232578459</v>
      </c>
      <c r="Q215" s="304">
        <f>$M215*'MWh Impact Summary'!I$28</f>
        <v>1692.030438793694</v>
      </c>
      <c r="R215" s="304">
        <f>$M215*'MWh Impact Summary'!J$28</f>
        <v>46094.558607231847</v>
      </c>
      <c r="S215" s="304">
        <f>$M215*'MWh Impact Summary'!K$28</f>
        <v>27781.869342715021</v>
      </c>
      <c r="T215" s="304">
        <f>$M215*'MWh Impact Summary'!L$28</f>
        <v>9926.9397048067713</v>
      </c>
      <c r="U215" s="304">
        <f>$M215*'MWh Impact Summary'!M$28</f>
        <v>30833.507467980115</v>
      </c>
      <c r="V215" s="304">
        <f>$M215*'LED Impact Forecast'!$H$29+$D215*'LED Impact Forecast'!$J$29</f>
        <v>188667.80706571307</v>
      </c>
      <c r="W215" s="304">
        <f>$M215*'CFL Impact Forecast'!$H$29+$D215*'CFL Impact Forecast'!$J$29</f>
        <v>402078.94535544276</v>
      </c>
      <c r="X215" s="304">
        <f>$M215*'EISA Incand Impact Forecast'!$G$29+$D215*'EISA Incand Impact Forecast'!$I$29</f>
        <v>141917.40396412738</v>
      </c>
      <c r="Y215" s="85">
        <f t="shared" si="95"/>
        <v>1036032.8293789253</v>
      </c>
      <c r="Z215" s="81">
        <f t="shared" si="96"/>
        <v>2205144.705889327</v>
      </c>
      <c r="AA215" s="81"/>
      <c r="AB215" s="262">
        <v>5249596.8518007202</v>
      </c>
      <c r="AC215" s="308">
        <f t="shared" si="104"/>
        <v>420.05981947602641</v>
      </c>
      <c r="AD215" s="309">
        <f t="shared" si="97"/>
        <v>222.7050780307772</v>
      </c>
      <c r="AE215" s="107">
        <f t="shared" si="98"/>
        <v>2.1482804954737349E-2</v>
      </c>
      <c r="AF215" s="309">
        <f t="shared" si="105"/>
        <v>197.3547414452492</v>
      </c>
      <c r="AG215" s="107">
        <f t="shared" si="99"/>
        <v>1.9037434866101207E-2</v>
      </c>
      <c r="AH215" s="119">
        <f t="shared" si="106"/>
        <v>4.0520239820838556E-2</v>
      </c>
      <c r="AI215" s="122">
        <f t="shared" si="100"/>
        <v>4.0520239820838556E-2</v>
      </c>
      <c r="AJ215" s="87" t="b">
        <f t="shared" si="107"/>
        <v>1</v>
      </c>
      <c r="AK215" s="88">
        <f t="shared" si="112"/>
        <v>2.1109364275792297E-3</v>
      </c>
      <c r="AL215" s="312">
        <f>+AC215/'MWh by month-WgtbyCDH&amp;DayLtHrs'!AC215-1</f>
        <v>8.9386030349152046E-2</v>
      </c>
      <c r="AM215" s="89">
        <f t="shared" si="101"/>
        <v>402078.94535544276</v>
      </c>
      <c r="AN215" s="93"/>
      <c r="AO215" s="96">
        <f t="shared" si="91"/>
        <v>76.592347318541499</v>
      </c>
      <c r="AP215" s="92">
        <f t="shared" si="90"/>
        <v>7.3883293233319765E-3</v>
      </c>
      <c r="AR215" s="94">
        <f t="shared" si="102"/>
        <v>4.0520239820838556E-2</v>
      </c>
      <c r="AS215" s="95">
        <v>1522372.7740701623</v>
      </c>
      <c r="AU215" s="141">
        <v>420.05981947602641</v>
      </c>
    </row>
    <row r="216" spans="1:47">
      <c r="A216" s="78">
        <v>2022</v>
      </c>
      <c r="B216" s="78">
        <v>8</v>
      </c>
      <c r="C216" s="317">
        <f t="shared" si="109"/>
        <v>326.45437890907908</v>
      </c>
      <c r="D216" s="324">
        <f t="shared" si="93"/>
        <v>0.16288006668144661</v>
      </c>
      <c r="E216" s="321">
        <f>$D216*'MWh Impact Summary'!B$28</f>
        <v>575352.20026856335</v>
      </c>
      <c r="F216" s="319">
        <f>$D216*'MWh Impact Summary'!N$28</f>
        <v>79631.534757171336</v>
      </c>
      <c r="G216" s="319">
        <f>$D216*'MWh Impact Summary'!C$28</f>
        <v>387024.5588131214</v>
      </c>
      <c r="H216" s="319">
        <f>$D216*'MWh Impact Summary'!D$28</f>
        <v>1760.8250170511424</v>
      </c>
      <c r="I216" s="319">
        <f>$D216*'MWh Impact Summary'!E$28</f>
        <v>140341.94852834794</v>
      </c>
      <c r="J216" s="104">
        <f t="shared" si="103"/>
        <v>1184111.0673842551</v>
      </c>
      <c r="K216" s="298">
        <f t="shared" si="110"/>
        <v>10.933333333333334</v>
      </c>
      <c r="L216" s="300">
        <f t="shared" si="94"/>
        <v>7.6968203684148764E-2</v>
      </c>
      <c r="M216" s="297">
        <f t="shared" si="111"/>
        <v>8.4931506849315067E-2</v>
      </c>
      <c r="N216" s="304">
        <f>$M216*'MWh Impact Summary'!F$28</f>
        <v>157034.48949249662</v>
      </c>
      <c r="O216" s="304">
        <f>$M216*'MWh Impact Summary'!G$28</f>
        <v>19880.627707039388</v>
      </c>
      <c r="P216" s="304">
        <f>$M216*'MWh Impact Summary'!H$28</f>
        <v>10124.650232578459</v>
      </c>
      <c r="Q216" s="304">
        <f>$M216*'MWh Impact Summary'!I$28</f>
        <v>1692.030438793694</v>
      </c>
      <c r="R216" s="304">
        <f>$M216*'MWh Impact Summary'!J$28</f>
        <v>46094.558607231847</v>
      </c>
      <c r="S216" s="304">
        <f>$M216*'MWh Impact Summary'!K$28</f>
        <v>27781.869342715021</v>
      </c>
      <c r="T216" s="304">
        <f>$M216*'MWh Impact Summary'!L$28</f>
        <v>9926.9397048067713</v>
      </c>
      <c r="U216" s="304">
        <f>$M216*'MWh Impact Summary'!M$28</f>
        <v>30833.507467980115</v>
      </c>
      <c r="V216" s="304">
        <f>$M216*'LED Impact Forecast'!$H$29+$D216*'LED Impact Forecast'!$J$29</f>
        <v>189246.99220640509</v>
      </c>
      <c r="W216" s="304">
        <f>$M216*'CFL Impact Forecast'!$H$29+$D216*'CFL Impact Forecast'!$J$29</f>
        <v>403342.59883885377</v>
      </c>
      <c r="X216" s="304">
        <f>$M216*'EISA Incand Impact Forecast'!$G$29+$D216*'EISA Incand Impact Forecast'!$I$29</f>
        <v>142390.06965380075</v>
      </c>
      <c r="Y216" s="85">
        <f t="shared" si="95"/>
        <v>1038348.3336927015</v>
      </c>
      <c r="Z216" s="81">
        <f t="shared" si="96"/>
        <v>2222459.4010769567</v>
      </c>
      <c r="AA216" s="81"/>
      <c r="AB216" s="262">
        <v>5254931.9503803095</v>
      </c>
      <c r="AC216" s="308">
        <f t="shared" si="104"/>
        <v>422.92829328001346</v>
      </c>
      <c r="AD216" s="309">
        <f t="shared" si="97"/>
        <v>225.33328282178016</v>
      </c>
      <c r="AE216" s="107">
        <f t="shared" si="98"/>
        <v>2.0609751477601843E-2</v>
      </c>
      <c r="AF216" s="309">
        <f t="shared" si="105"/>
        <v>197.5950104582333</v>
      </c>
      <c r="AG216" s="107">
        <f t="shared" si="99"/>
        <v>1.8072714371179875E-2</v>
      </c>
      <c r="AH216" s="119">
        <f t="shared" si="106"/>
        <v>3.8682465848781718E-2</v>
      </c>
      <c r="AI216" s="122">
        <f t="shared" si="100"/>
        <v>3.8682465848781718E-2</v>
      </c>
      <c r="AJ216" s="87" t="b">
        <f t="shared" si="107"/>
        <v>1</v>
      </c>
      <c r="AK216" s="88">
        <f t="shared" si="112"/>
        <v>2.0120019139990841E-3</v>
      </c>
      <c r="AL216" s="312">
        <f>+AC216/'MWh by month-WgtbyCDH&amp;DayLtHrs'!AC216-1</f>
        <v>6.9404890660709428E-2</v>
      </c>
      <c r="AM216" s="89">
        <f t="shared" si="101"/>
        <v>403342.59883885377</v>
      </c>
      <c r="AN216" s="93"/>
      <c r="AO216" s="96">
        <f t="shared" si="91"/>
        <v>76.755056515938918</v>
      </c>
      <c r="AP216" s="92">
        <f t="shared" si="90"/>
        <v>7.0202795593846574E-3</v>
      </c>
      <c r="AR216" s="94">
        <f t="shared" si="102"/>
        <v>3.8682465848781718E-2</v>
      </c>
      <c r="AS216" s="95">
        <v>1581642.9044645752</v>
      </c>
      <c r="AU216" s="141">
        <v>422.92829328001346</v>
      </c>
    </row>
    <row r="217" spans="1:47">
      <c r="A217" s="78">
        <v>2022</v>
      </c>
      <c r="B217" s="78">
        <v>9</v>
      </c>
      <c r="C217" s="317">
        <f t="shared" si="109"/>
        <v>277.87653293728147</v>
      </c>
      <c r="D217" s="324">
        <f>D205</f>
        <v>0.1386427970893879</v>
      </c>
      <c r="E217" s="321">
        <f>$D217*'MWh Impact Summary'!B$28</f>
        <v>489737.26485988469</v>
      </c>
      <c r="F217" s="319">
        <f>$D217*'MWh Impact Summary'!N$28</f>
        <v>67782.01249663801</v>
      </c>
      <c r="G217" s="319">
        <f>$D217*'MWh Impact Summary'!C$28</f>
        <v>329433.60393558565</v>
      </c>
      <c r="H217" s="319">
        <f>$D217*'MWh Impact Summary'!D$28</f>
        <v>1498.8065177207313</v>
      </c>
      <c r="I217" s="319">
        <f>$D217*'MWh Impact Summary'!E$28</f>
        <v>119458.44994648092</v>
      </c>
      <c r="J217" s="104">
        <f t="shared" si="103"/>
        <v>1007910.1377563101</v>
      </c>
      <c r="K217" s="298">
        <f t="shared" si="110"/>
        <v>11.683333333333334</v>
      </c>
      <c r="L217" s="300">
        <f>L205</f>
        <v>8.2248034729555317E-2</v>
      </c>
      <c r="M217" s="297">
        <f>(30/365)</f>
        <v>8.2191780821917804E-2</v>
      </c>
      <c r="N217" s="304">
        <f>$M217*'MWh Impact Summary'!F$28</f>
        <v>151968.86079919027</v>
      </c>
      <c r="O217" s="304">
        <f>$M217*'MWh Impact Summary'!G$28</f>
        <v>19239.317135844569</v>
      </c>
      <c r="P217" s="304">
        <f>$M217*'MWh Impact Summary'!H$28</f>
        <v>9798.0486121727008</v>
      </c>
      <c r="Q217" s="304">
        <f>$M217*'MWh Impact Summary'!I$28</f>
        <v>1637.4488117358328</v>
      </c>
      <c r="R217" s="304">
        <f>$M217*'MWh Impact Summary'!J$28</f>
        <v>44607.637361837267</v>
      </c>
      <c r="S217" s="304">
        <f>$M217*'MWh Impact Summary'!K$28</f>
        <v>26885.680009079049</v>
      </c>
      <c r="T217" s="304">
        <f>$M217*'MWh Impact Summary'!L$28</f>
        <v>9606.7158433613913</v>
      </c>
      <c r="U217" s="304">
        <f>$M217*'MWh Impact Summary'!M$28</f>
        <v>29838.878194819466</v>
      </c>
      <c r="V217" s="304">
        <f>$M217*'LED Impact Forecast'!$H$29+$D217*'LED Impact Forecast'!$J$29</f>
        <v>177813.31310981594</v>
      </c>
      <c r="W217" s="304">
        <f>$M217*'CFL Impact Forecast'!$H$29+$D217*'CFL Impact Forecast'!$J$29</f>
        <v>378704.98806654324</v>
      </c>
      <c r="X217" s="304">
        <f>$M217*'EISA Incand Impact Forecast'!$G$29+$D217*'EISA Incand Impact Forecast'!$I$29</f>
        <v>133447.96297711367</v>
      </c>
      <c r="Y217" s="85">
        <f t="shared" si="95"/>
        <v>983548.8509215134</v>
      </c>
      <c r="Z217" s="81">
        <f t="shared" si="96"/>
        <v>1991458.9886778235</v>
      </c>
      <c r="AA217" s="81"/>
      <c r="AB217" s="262">
        <v>5259983.1400663005</v>
      </c>
      <c r="AC217" s="308">
        <f t="shared" si="104"/>
        <v>378.60558401955672</v>
      </c>
      <c r="AD217" s="309">
        <f t="shared" si="97"/>
        <v>191.61851110868878</v>
      </c>
      <c r="AE217" s="107">
        <f t="shared" si="98"/>
        <v>1.6401013789616725E-2</v>
      </c>
      <c r="AF217" s="309">
        <f t="shared" si="105"/>
        <v>186.98707291086794</v>
      </c>
      <c r="AG217" s="107">
        <f t="shared" si="99"/>
        <v>1.6004599678533633E-2</v>
      </c>
      <c r="AH217" s="119">
        <f t="shared" si="106"/>
        <v>3.2405613468150359E-2</v>
      </c>
      <c r="AI217" s="122">
        <f t="shared" si="100"/>
        <v>3.2405613468150365E-2</v>
      </c>
      <c r="AJ217" s="87" t="b">
        <f t="shared" si="107"/>
        <v>1</v>
      </c>
      <c r="AK217" s="88">
        <f t="shared" si="112"/>
        <v>1.7177850173941099E-3</v>
      </c>
      <c r="AL217" s="312">
        <f>+AC217/'MWh by month-WgtbyCDH&amp;DayLtHrs'!AC217-1</f>
        <v>2.1334545697959006E-2</v>
      </c>
      <c r="AM217" s="89">
        <f t="shared" si="101"/>
        <v>378704.98806654324</v>
      </c>
      <c r="AN217" s="93"/>
      <c r="AO217" s="96">
        <f t="shared" si="91"/>
        <v>71.9973767942096</v>
      </c>
      <c r="AP217" s="92">
        <f t="shared" si="90"/>
        <v>6.1624002962233602E-3</v>
      </c>
      <c r="AR217" s="94">
        <f t="shared" si="102"/>
        <v>3.2405613468150365E-2</v>
      </c>
      <c r="AS217" s="95">
        <v>1503847.2272812007</v>
      </c>
      <c r="AU217" s="141">
        <v>378.60558401955672</v>
      </c>
    </row>
    <row r="218" spans="1:47">
      <c r="A218" s="78">
        <v>2022</v>
      </c>
      <c r="B218" s="78">
        <v>10</v>
      </c>
      <c r="C218" s="317">
        <f t="shared" si="109"/>
        <v>198.89039579254836</v>
      </c>
      <c r="D218" s="324">
        <f>D206</f>
        <v>9.923371540380535E-2</v>
      </c>
      <c r="E218" s="321">
        <f>$D218*'MWh Impact Summary'!B$28</f>
        <v>350529.91849559057</v>
      </c>
      <c r="F218" s="319">
        <f>$D218*'MWh Impact Summary'!N$28</f>
        <v>48515.040656976184</v>
      </c>
      <c r="G218" s="319">
        <f>$D218*'MWh Impact Summary'!C$28</f>
        <v>235792.41896221158</v>
      </c>
      <c r="H218" s="319">
        <f>$D218*'MWh Impact Summary'!D$28</f>
        <v>1072.7722070478335</v>
      </c>
      <c r="I218" s="319">
        <f>$D218*'MWh Impact Summary'!E$28</f>
        <v>85502.500479169685</v>
      </c>
      <c r="J218" s="104">
        <f t="shared" si="103"/>
        <v>721412.65080099576</v>
      </c>
      <c r="K218" s="298">
        <f t="shared" si="110"/>
        <v>12.466666666666667</v>
      </c>
      <c r="L218" s="300">
        <f>L206</f>
        <v>8.7762524932535488E-2</v>
      </c>
      <c r="M218" s="297">
        <f t="shared" si="111"/>
        <v>8.4931506849315067E-2</v>
      </c>
      <c r="N218" s="304">
        <f>$M218*'MWh Impact Summary'!F$28</f>
        <v>157034.48949249662</v>
      </c>
      <c r="O218" s="304">
        <f>$M218*'MWh Impact Summary'!G$28</f>
        <v>19880.627707039388</v>
      </c>
      <c r="P218" s="304">
        <f>$M218*'MWh Impact Summary'!H$28</f>
        <v>10124.650232578459</v>
      </c>
      <c r="Q218" s="304">
        <f>$M218*'MWh Impact Summary'!I$28</f>
        <v>1692.030438793694</v>
      </c>
      <c r="R218" s="304">
        <f>$M218*'MWh Impact Summary'!J$28</f>
        <v>46094.558607231847</v>
      </c>
      <c r="S218" s="304">
        <f>$M218*'MWh Impact Summary'!K$28</f>
        <v>27781.869342715021</v>
      </c>
      <c r="T218" s="304">
        <f>$M218*'MWh Impact Summary'!L$28</f>
        <v>9926.9397048067713</v>
      </c>
      <c r="U218" s="304">
        <f>$M218*'MWh Impact Summary'!M$28</f>
        <v>30833.507467980115</v>
      </c>
      <c r="V218" s="304">
        <f>$M218*'LED Impact Forecast'!$H$29+$D218*'LED Impact Forecast'!$J$29</f>
        <v>171380.15860447357</v>
      </c>
      <c r="W218" s="304">
        <f>$M218*'CFL Impact Forecast'!$H$29+$D218*'CFL Impact Forecast'!$J$29</f>
        <v>364361.13171828882</v>
      </c>
      <c r="X218" s="304">
        <f>$M218*'EISA Incand Impact Forecast'!$G$29+$D218*'EISA Incand Impact Forecast'!$I$29</f>
        <v>127809.17205576203</v>
      </c>
      <c r="Y218" s="85">
        <f t="shared" si="95"/>
        <v>966919.13537216629</v>
      </c>
      <c r="Z218" s="81">
        <f t="shared" si="96"/>
        <v>1688331.7861731621</v>
      </c>
      <c r="AA218" s="81"/>
      <c r="AB218" s="262">
        <v>5265129.0517696831</v>
      </c>
      <c r="AC218" s="308">
        <f t="shared" si="104"/>
        <v>320.6629447393488</v>
      </c>
      <c r="AD218" s="309">
        <f t="shared" si="97"/>
        <v>137.01708803481634</v>
      </c>
      <c r="AE218" s="107">
        <f t="shared" si="98"/>
        <v>1.0990675510814145E-2</v>
      </c>
      <c r="AF218" s="309">
        <f t="shared" si="105"/>
        <v>183.64585670453249</v>
      </c>
      <c r="AG218" s="107">
        <f t="shared" si="99"/>
        <v>1.4730951072556082E-2</v>
      </c>
      <c r="AH218" s="119">
        <f t="shared" si="106"/>
        <v>2.5721626583370225E-2</v>
      </c>
      <c r="AI218" s="122">
        <f t="shared" si="100"/>
        <v>2.5721626583370225E-2</v>
      </c>
      <c r="AJ218" s="87" t="b">
        <f t="shared" si="107"/>
        <v>1</v>
      </c>
      <c r="AK218" s="88">
        <f t="shared" si="112"/>
        <v>1.4398309780767095E-3</v>
      </c>
      <c r="AL218" s="312">
        <f>+AC218/'MWh by month-WgtbyCDH&amp;DayLtHrs'!AC218-1</f>
        <v>-1.3447370074731957E-2</v>
      </c>
      <c r="AM218" s="89">
        <f t="shared" si="101"/>
        <v>364361.13171828882</v>
      </c>
      <c r="AN218" s="93"/>
      <c r="AO218" s="96">
        <f t="shared" si="91"/>
        <v>69.202697243635839</v>
      </c>
      <c r="AP218" s="92">
        <f t="shared" si="90"/>
        <v>5.5510184954788112E-3</v>
      </c>
      <c r="AR218" s="94">
        <f t="shared" si="102"/>
        <v>2.5721626583370225E-2</v>
      </c>
      <c r="AS218" s="95">
        <v>1240064.5715416537</v>
      </c>
      <c r="AU218" s="141">
        <v>320.6629447393488</v>
      </c>
    </row>
    <row r="219" spans="1:47">
      <c r="A219" s="78">
        <v>2022</v>
      </c>
      <c r="B219" s="78">
        <v>11</v>
      </c>
      <c r="C219" s="317">
        <f t="shared" si="109"/>
        <v>78.117279066674627</v>
      </c>
      <c r="D219" s="324">
        <f>D207</f>
        <v>3.8975576513546578E-2</v>
      </c>
      <c r="E219" s="321">
        <f>$D219*'MWh Impact Summary'!B$28</f>
        <v>137676.04692636782</v>
      </c>
      <c r="F219" s="319">
        <f>$D219*'MWh Impact Summary'!N$28</f>
        <v>19055.032571231201</v>
      </c>
      <c r="G219" s="319">
        <f>$D219*'MWh Impact Summary'!C$28</f>
        <v>92611.119408147148</v>
      </c>
      <c r="H219" s="319">
        <f>$D219*'MWh Impact Summary'!D$28</f>
        <v>421.34787624605747</v>
      </c>
      <c r="I219" s="319">
        <f>$D219*'MWh Impact Summary'!E$28</f>
        <v>33582.42947938275</v>
      </c>
      <c r="J219" s="104">
        <f t="shared" si="103"/>
        <v>283345.97626137495</v>
      </c>
      <c r="K219" s="298">
        <f t="shared" si="110"/>
        <v>13.15</v>
      </c>
      <c r="L219" s="300">
        <f>L207</f>
        <v>9.2573037662794788E-2</v>
      </c>
      <c r="M219" s="297">
        <f>(30/365)</f>
        <v>8.2191780821917804E-2</v>
      </c>
      <c r="N219" s="304">
        <f>$M219*'MWh Impact Summary'!F$28</f>
        <v>151968.86079919027</v>
      </c>
      <c r="O219" s="304">
        <f>$M219*'MWh Impact Summary'!G$28</f>
        <v>19239.317135844569</v>
      </c>
      <c r="P219" s="304">
        <f>$M219*'MWh Impact Summary'!H$28</f>
        <v>9798.0486121727008</v>
      </c>
      <c r="Q219" s="304">
        <f>$M219*'MWh Impact Summary'!I$28</f>
        <v>1637.4488117358328</v>
      </c>
      <c r="R219" s="304">
        <f>$M219*'MWh Impact Summary'!J$28</f>
        <v>44607.637361837267</v>
      </c>
      <c r="S219" s="304">
        <f>$M219*'MWh Impact Summary'!K$28</f>
        <v>26885.680009079049</v>
      </c>
      <c r="T219" s="304">
        <f>$M219*'MWh Impact Summary'!L$28</f>
        <v>9606.7158433613913</v>
      </c>
      <c r="U219" s="304">
        <f>$M219*'MWh Impact Summary'!M$28</f>
        <v>29838.878194819466</v>
      </c>
      <c r="V219" s="304">
        <f>$M219*'LED Impact Forecast'!$H$29+$D219*'LED Impact Forecast'!$J$29</f>
        <v>149834.68417274553</v>
      </c>
      <c r="W219" s="304">
        <f>$M219*'CFL Impact Forecast'!$H$29+$D219*'CFL Impact Forecast'!$J$29</f>
        <v>317661.82685016561</v>
      </c>
      <c r="X219" s="304">
        <f>$M219*'EISA Incand Impact Forecast'!$G$29+$D219*'EISA Incand Impact Forecast'!$I$29</f>
        <v>110614.95671791598</v>
      </c>
      <c r="Y219" s="85">
        <f t="shared" si="95"/>
        <v>871694.05450886767</v>
      </c>
      <c r="Z219" s="81">
        <f t="shared" si="96"/>
        <v>1155040.0307702427</v>
      </c>
      <c r="AA219" s="81"/>
      <c r="AB219" s="262">
        <v>5270297.39460182</v>
      </c>
      <c r="AC219" s="308">
        <f t="shared" si="104"/>
        <v>219.16031379051009</v>
      </c>
      <c r="AD219" s="309">
        <f t="shared" si="97"/>
        <v>53.762805975920116</v>
      </c>
      <c r="AE219" s="107">
        <f t="shared" si="98"/>
        <v>4.0884263099559021E-3</v>
      </c>
      <c r="AF219" s="309">
        <f t="shared" si="105"/>
        <v>165.39750781458994</v>
      </c>
      <c r="AG219" s="107">
        <f t="shared" si="99"/>
        <v>1.2577757248257789E-2</v>
      </c>
      <c r="AH219" s="119">
        <f t="shared" si="106"/>
        <v>1.6666183558213692E-2</v>
      </c>
      <c r="AI219" s="122">
        <f t="shared" si="100"/>
        <v>1.6666183558213695E-2</v>
      </c>
      <c r="AJ219" s="87" t="b">
        <f t="shared" si="107"/>
        <v>1</v>
      </c>
      <c r="AK219" s="88">
        <f t="shared" si="112"/>
        <v>1.0472107719273482E-3</v>
      </c>
      <c r="AL219" s="312">
        <f>+AC219/'MWh by month-WgtbyCDH&amp;DayLtHrs'!AC219-1</f>
        <v>-0.11929433561457625</v>
      </c>
      <c r="AM219" s="89">
        <f t="shared" si="101"/>
        <v>317661.82685016561</v>
      </c>
      <c r="AN219" s="93"/>
      <c r="AO219" s="96">
        <f t="shared" si="91"/>
        <v>60.273985140864241</v>
      </c>
      <c r="AP219" s="92">
        <f t="shared" si="90"/>
        <v>4.5835730145143911E-3</v>
      </c>
      <c r="AR219" s="94">
        <f t="shared" si="102"/>
        <v>1.6666183558213695E-2</v>
      </c>
      <c r="AS219" s="95">
        <v>1001509.8882787043</v>
      </c>
      <c r="AU219" s="141">
        <v>219.16031379051009</v>
      </c>
    </row>
    <row r="220" spans="1:47">
      <c r="A220" s="78">
        <v>2022</v>
      </c>
      <c r="B220" s="78">
        <v>12</v>
      </c>
      <c r="C220" s="317">
        <f t="shared" si="109"/>
        <v>42.633806123140985</v>
      </c>
      <c r="D220" s="324">
        <f>D208</f>
        <v>2.1271570035074034E-2</v>
      </c>
      <c r="E220" s="321">
        <f>$D220*'MWh Impact Summary'!B$28</f>
        <v>75138.995656125742</v>
      </c>
      <c r="F220" s="319">
        <f>$D220*'MWh Impact Summary'!N$28</f>
        <v>10399.601394444604</v>
      </c>
      <c r="G220" s="319">
        <f>$D220*'MWh Impact Summary'!C$28</f>
        <v>50544.06088983205</v>
      </c>
      <c r="H220" s="319">
        <f>$D220*'MWh Impact Summary'!D$28</f>
        <v>229.9576211677736</v>
      </c>
      <c r="I220" s="319">
        <f>$D220*'MWh Impact Summary'!E$28</f>
        <v>18328.170216297916</v>
      </c>
      <c r="J220" s="104">
        <f t="shared" si="103"/>
        <v>154640.78577786806</v>
      </c>
      <c r="K220" s="298">
        <f t="shared" si="110"/>
        <v>13.483333333333333</v>
      </c>
      <c r="L220" s="300">
        <f>L208</f>
        <v>9.491962923853102E-2</v>
      </c>
      <c r="M220" s="297">
        <f t="shared" si="111"/>
        <v>8.4931506849315067E-2</v>
      </c>
      <c r="N220" s="304">
        <f>$M220*'MWh Impact Summary'!F$28</f>
        <v>157034.48949249662</v>
      </c>
      <c r="O220" s="304">
        <f>$M220*'MWh Impact Summary'!G$28</f>
        <v>19880.627707039388</v>
      </c>
      <c r="P220" s="304">
        <f>$M220*'MWh Impact Summary'!H$28</f>
        <v>10124.650232578459</v>
      </c>
      <c r="Q220" s="304">
        <f>$M220*'MWh Impact Summary'!I$28</f>
        <v>1692.030438793694</v>
      </c>
      <c r="R220" s="304">
        <f>$M220*'MWh Impact Summary'!J$28</f>
        <v>46094.558607231847</v>
      </c>
      <c r="S220" s="304">
        <f>$M220*'MWh Impact Summary'!K$28</f>
        <v>27781.869342715021</v>
      </c>
      <c r="T220" s="304">
        <f>$M220*'MWh Impact Summary'!L$28</f>
        <v>9926.9397048067713</v>
      </c>
      <c r="U220" s="304">
        <f>$M220*'MWh Impact Summary'!M$28</f>
        <v>30833.507467980115</v>
      </c>
      <c r="V220" s="304">
        <f>$M220*'LED Impact Forecast'!$H$29+$D220*'LED Impact Forecast'!$J$29</f>
        <v>149494.58856643041</v>
      </c>
      <c r="W220" s="304">
        <f>$M220*'CFL Impact Forecast'!$H$29+$D220*'CFL Impact Forecast'!$J$29</f>
        <v>316611.67326021183</v>
      </c>
      <c r="X220" s="304">
        <f>$M220*'EISA Incand Impact Forecast'!$G$29+$D220*'EISA Incand Impact Forecast'!$I$29</f>
        <v>109948.63432931709</v>
      </c>
      <c r="Y220" s="85">
        <f t="shared" si="95"/>
        <v>879423.56914960127</v>
      </c>
      <c r="Z220" s="81">
        <f t="shared" si="96"/>
        <v>1034064.3549274693</v>
      </c>
      <c r="AA220" s="81">
        <f>SUM(Z209:Z220)</f>
        <v>18465538.166229766</v>
      </c>
      <c r="AB220" s="262">
        <v>5275479.2526890254</v>
      </c>
      <c r="AC220" s="308">
        <f t="shared" si="104"/>
        <v>196.01334881572785</v>
      </c>
      <c r="AD220" s="309">
        <f t="shared" si="97"/>
        <v>29.313125570353503</v>
      </c>
      <c r="AE220" s="107">
        <f t="shared" si="98"/>
        <v>2.1740266183204082E-3</v>
      </c>
      <c r="AF220" s="309">
        <f t="shared" si="105"/>
        <v>166.70022324537436</v>
      </c>
      <c r="AG220" s="107">
        <f t="shared" si="99"/>
        <v>1.236342817641837E-2</v>
      </c>
      <c r="AH220" s="119">
        <f t="shared" si="106"/>
        <v>1.4537454794738778E-2</v>
      </c>
      <c r="AI220" s="122">
        <f t="shared" si="100"/>
        <v>1.4537454794738778E-2</v>
      </c>
      <c r="AJ220" s="87" t="b">
        <f t="shared" si="107"/>
        <v>1</v>
      </c>
      <c r="AK220" s="88">
        <f t="shared" si="112"/>
        <v>9.6593911877205542E-4</v>
      </c>
      <c r="AL220" s="312">
        <f>+AC220/'MWh by month-WgtbyCDH&amp;DayLtHrs'!AC220-1</f>
        <v>-0.14048247488240639</v>
      </c>
      <c r="AM220" s="89">
        <f t="shared" si="101"/>
        <v>316611.67326021183</v>
      </c>
      <c r="AN220" s="90">
        <f>SUM(AM209:AM220)</f>
        <v>4186920.429215638</v>
      </c>
      <c r="AO220" s="96">
        <f t="shared" si="91"/>
        <v>60.0157176428716</v>
      </c>
      <c r="AP220" s="92">
        <f t="shared" si="90"/>
        <v>4.4511039042920844E-3</v>
      </c>
      <c r="AR220" s="94">
        <f t="shared" si="102"/>
        <v>1.4537454794738778E-2</v>
      </c>
      <c r="AS220" s="95">
        <v>851106.54648590065</v>
      </c>
      <c r="AU220" s="141">
        <v>196.01334881572785</v>
      </c>
    </row>
    <row r="221" spans="1:47">
      <c r="A221" s="78">
        <f>+A209+1</f>
        <v>2023</v>
      </c>
      <c r="B221" s="78">
        <f>+B209</f>
        <v>1</v>
      </c>
      <c r="C221" s="317">
        <f t="shared" si="109"/>
        <v>26.112829868525239</v>
      </c>
      <c r="D221" s="324">
        <f t="shared" ref="D221:D267" si="113">D209</f>
        <v>1.6125648960134388E-2</v>
      </c>
      <c r="E221" s="321">
        <f>$D221*'MWh Impact Summary'!B$29</f>
        <v>56720.423166029686</v>
      </c>
      <c r="F221" s="321">
        <f>$D221*'MWh Impact Summary'!N$29</f>
        <v>8638.6123680228902</v>
      </c>
      <c r="G221" s="321">
        <f>$D221*'MWh Impact Summary'!C$29</f>
        <v>39232.628416187144</v>
      </c>
      <c r="H221" s="321">
        <f>$D221*'MWh Impact Summary'!D$29</f>
        <v>187.82621114242079</v>
      </c>
      <c r="I221" s="321">
        <f>$D221*'MWh Impact Summary'!E$29</f>
        <v>14069.230874463956</v>
      </c>
      <c r="J221" s="104">
        <f t="shared" si="103"/>
        <v>118848.7210358461</v>
      </c>
      <c r="K221" s="298">
        <f t="shared" si="110"/>
        <v>13.3</v>
      </c>
      <c r="L221" s="300">
        <f t="shared" ref="L221:L267" si="114">L209</f>
        <v>9.3629003871876101E-2</v>
      </c>
      <c r="M221" s="297">
        <f>(31/365)</f>
        <v>8.4931506849315067E-2</v>
      </c>
      <c r="N221" s="304">
        <f>$M221*'MWh Impact Summary'!F$29</f>
        <v>167742.1745310929</v>
      </c>
      <c r="O221" s="304">
        <f>$M221*'MWh Impact Summary'!G$29</f>
        <v>24469.376538334716</v>
      </c>
      <c r="P221" s="304">
        <f>$M221*'MWh Impact Summary'!H$29</f>
        <v>10691.42619664053</v>
      </c>
      <c r="Q221" s="304">
        <f>$M221*'MWh Impact Summary'!I$29</f>
        <v>1784.6283529910179</v>
      </c>
      <c r="R221" s="304">
        <f>$M221*'MWh Impact Summary'!J$29</f>
        <v>47543.000571588018</v>
      </c>
      <c r="S221" s="304">
        <f>$M221*'MWh Impact Summary'!K$29</f>
        <v>31211.432652914413</v>
      </c>
      <c r="T221" s="304">
        <f>$M221*'MWh Impact Summary'!L$29</f>
        <v>11191.771620454721</v>
      </c>
      <c r="U221" s="304">
        <f>$M221*'MWh Impact Summary'!M$29</f>
        <v>34640.438961680789</v>
      </c>
      <c r="V221" s="304">
        <f>$M221*'LED Impact Forecast'!$H$30+$D221*'LED Impact Forecast'!$J$30</f>
        <v>184568.22665467535</v>
      </c>
      <c r="W221" s="304">
        <f>$M221*'CFL Impact Forecast'!$H$30+$D221*'CFL Impact Forecast'!$J$30</f>
        <v>316239.24730292382</v>
      </c>
      <c r="X221" s="304">
        <f>$M221*'EISA Incand Impact Forecast'!$G$30+$D221*'EISA Incand Impact Forecast'!$I$30</f>
        <v>108769.74273953884</v>
      </c>
      <c r="Y221" s="85">
        <f t="shared" si="95"/>
        <v>938851.46612283518</v>
      </c>
      <c r="Z221" s="81">
        <f t="shared" si="96"/>
        <v>1057700.1871586812</v>
      </c>
      <c r="AA221" s="81"/>
      <c r="AB221" s="262">
        <v>5280717.4207708379</v>
      </c>
      <c r="AC221" s="308">
        <f t="shared" si="104"/>
        <v>200.29479005984882</v>
      </c>
      <c r="AD221" s="309">
        <f t="shared" si="97"/>
        <v>22.506169439851885</v>
      </c>
      <c r="AE221" s="107">
        <f t="shared" si="98"/>
        <v>1.692193190966307E-3</v>
      </c>
      <c r="AF221" s="309">
        <f t="shared" si="105"/>
        <v>177.78862061999692</v>
      </c>
      <c r="AG221" s="107">
        <f t="shared" si="99"/>
        <v>1.3367565460150143E-2</v>
      </c>
      <c r="AH221" s="119">
        <f t="shared" si="106"/>
        <v>1.505975865111645E-2</v>
      </c>
      <c r="AI221" s="122">
        <f t="shared" si="100"/>
        <v>1.5059758651116452E-2</v>
      </c>
      <c r="AJ221" s="87" t="b">
        <f t="shared" si="107"/>
        <v>1</v>
      </c>
      <c r="AK221" s="88">
        <f t="shared" si="112"/>
        <v>7.8370147661095506E-4</v>
      </c>
      <c r="AL221" s="312">
        <f>+AC221/'MWh by month-WgtbyCDH&amp;DayLtHrs'!AC221-1</f>
        <v>-0.1241730209070141</v>
      </c>
      <c r="AM221" s="89">
        <f t="shared" si="101"/>
        <v>316239.24730292382</v>
      </c>
      <c r="AN221" s="90"/>
      <c r="AO221" s="96">
        <f t="shared" si="91"/>
        <v>59.885659864897988</v>
      </c>
      <c r="AP221" s="92">
        <f t="shared" si="90"/>
        <v>4.5026811928494722E-3</v>
      </c>
      <c r="AR221" s="94">
        <f t="shared" si="102"/>
        <v>1.5059758651116452E-2</v>
      </c>
      <c r="AS221" s="95"/>
    </row>
    <row r="222" spans="1:47">
      <c r="A222" s="78">
        <f t="shared" ref="A222:A268" si="115">+A210+1</f>
        <v>2023</v>
      </c>
      <c r="B222" s="78">
        <f t="shared" ref="B222:B268" si="116">+B210</f>
        <v>2</v>
      </c>
      <c r="C222" s="317">
        <f t="shared" si="109"/>
        <v>35.042184420393127</v>
      </c>
      <c r="D222" s="324">
        <f t="shared" si="113"/>
        <v>9.4849425755900163E-3</v>
      </c>
      <c r="E222" s="321">
        <f>$D222*'MWh Impact Summary'!B$29</f>
        <v>33362.375549844153</v>
      </c>
      <c r="F222" s="321">
        <f>$D222*'MWh Impact Summary'!N$29</f>
        <v>5081.1438625534829</v>
      </c>
      <c r="G222" s="321">
        <f>$D222*'MWh Impact Summary'!C$29</f>
        <v>23076.232686011226</v>
      </c>
      <c r="H222" s="321">
        <f>$D222*'MWh Impact Summary'!D$29</f>
        <v>110.47746551352809</v>
      </c>
      <c r="I222" s="321">
        <f>$D222*'MWh Impact Summary'!E$29</f>
        <v>8275.3783898503407</v>
      </c>
      <c r="J222" s="104">
        <f t="shared" si="103"/>
        <v>69905.607953772735</v>
      </c>
      <c r="K222" s="298">
        <f t="shared" si="110"/>
        <v>12.733333333333333</v>
      </c>
      <c r="L222" s="300">
        <f t="shared" si="114"/>
        <v>8.9639798193124468E-2</v>
      </c>
      <c r="M222" s="297">
        <f>(28/365)</f>
        <v>7.6712328767123292E-2</v>
      </c>
      <c r="N222" s="304">
        <f>$M222*'MWh Impact Summary'!F$29</f>
        <v>151509.06086679359</v>
      </c>
      <c r="O222" s="304">
        <f>$M222*'MWh Impact Summary'!G$29</f>
        <v>22101.372357205553</v>
      </c>
      <c r="P222" s="304">
        <f>$M222*'MWh Impact Summary'!H$29</f>
        <v>9656.7720485785449</v>
      </c>
      <c r="Q222" s="304">
        <f>$M222*'MWh Impact Summary'!I$29</f>
        <v>1611.9223833467258</v>
      </c>
      <c r="R222" s="304">
        <f>$M222*'MWh Impact Summary'!J$29</f>
        <v>42942.065032402083</v>
      </c>
      <c r="S222" s="304">
        <f>$M222*'MWh Impact Summary'!K$29</f>
        <v>28190.971428438825</v>
      </c>
      <c r="T222" s="304">
        <f>$M222*'MWh Impact Summary'!L$29</f>
        <v>10108.696947507491</v>
      </c>
      <c r="U222" s="304">
        <f>$M222*'MWh Impact Summary'!M$29</f>
        <v>31288.138417002003</v>
      </c>
      <c r="V222" s="304">
        <f>$M222*'LED Impact Forecast'!$H$30+$D222*'LED Impact Forecast'!$J$30</f>
        <v>164890.94164665055</v>
      </c>
      <c r="W222" s="304">
        <f>$M222*'CFL Impact Forecast'!$H$30+$D222*'CFL Impact Forecast'!$J$30</f>
        <v>282493.8656759173</v>
      </c>
      <c r="X222" s="304">
        <f>$M222*'EISA Incand Impact Forecast'!$G$30+$D222*'EISA Incand Impact Forecast'!$I$30</f>
        <v>97079.812444679061</v>
      </c>
      <c r="Y222" s="85">
        <f t="shared" si="95"/>
        <v>841873.61924852175</v>
      </c>
      <c r="Z222" s="81">
        <f t="shared" si="96"/>
        <v>911779.22720229451</v>
      </c>
      <c r="AA222" s="81"/>
      <c r="AB222" s="262">
        <v>5285898.8015586017</v>
      </c>
      <c r="AC222" s="308">
        <f t="shared" si="104"/>
        <v>172.49275126747546</v>
      </c>
      <c r="AD222" s="309">
        <f t="shared" si="97"/>
        <v>13.224923627588245</v>
      </c>
      <c r="AE222" s="107">
        <f t="shared" si="98"/>
        <v>1.0386065676116422E-3</v>
      </c>
      <c r="AF222" s="309">
        <f t="shared" si="105"/>
        <v>159.26782763988723</v>
      </c>
      <c r="AG222" s="107">
        <f t="shared" si="99"/>
        <v>1.2507944579048736E-2</v>
      </c>
      <c r="AH222" s="119">
        <f t="shared" si="106"/>
        <v>1.3546551146660379E-2</v>
      </c>
      <c r="AI222" s="122">
        <f t="shared" si="100"/>
        <v>1.3546551146660377E-2</v>
      </c>
      <c r="AJ222" s="87" t="b">
        <f t="shared" si="107"/>
        <v>1</v>
      </c>
      <c r="AK222" s="88">
        <f t="shared" si="112"/>
        <v>7.3238843443557827E-4</v>
      </c>
      <c r="AL222" s="312">
        <f>+AC222/'MWh by month-WgtbyCDH&amp;DayLtHrs'!AC222-1</f>
        <v>-0.2399153991348193</v>
      </c>
      <c r="AM222" s="89">
        <f t="shared" si="101"/>
        <v>282493.8656759173</v>
      </c>
      <c r="AN222" s="90"/>
      <c r="AO222" s="96">
        <f t="shared" si="91"/>
        <v>53.442919791166091</v>
      </c>
      <c r="AP222" s="92">
        <f t="shared" si="90"/>
        <v>4.1970879417146147E-3</v>
      </c>
      <c r="AR222" s="94">
        <f t="shared" si="102"/>
        <v>1.3546551146660377E-2</v>
      </c>
      <c r="AS222" s="95"/>
    </row>
    <row r="223" spans="1:47">
      <c r="A223" s="78">
        <f t="shared" si="115"/>
        <v>2023</v>
      </c>
      <c r="B223" s="78">
        <f t="shared" si="116"/>
        <v>3</v>
      </c>
      <c r="C223" s="317">
        <f t="shared" si="109"/>
        <v>64.582270600115152</v>
      </c>
      <c r="D223" s="324">
        <f t="shared" si="113"/>
        <v>5.6112649790650677E-2</v>
      </c>
      <c r="E223" s="321">
        <f>$D223*'MWh Impact Summary'!B$29</f>
        <v>197370.86234242379</v>
      </c>
      <c r="F223" s="321">
        <f>$D223*'MWh Impact Summary'!N$29</f>
        <v>30059.902189512391</v>
      </c>
      <c r="G223" s="321">
        <f>$D223*'MWh Impact Summary'!C$29</f>
        <v>136518.3344947311</v>
      </c>
      <c r="H223" s="321">
        <f>$D223*'MWh Impact Summary'!D$29</f>
        <v>653.58153544052061</v>
      </c>
      <c r="I223" s="321">
        <f>$D223*'MWh Impact Summary'!E$29</f>
        <v>48956.902561521885</v>
      </c>
      <c r="J223" s="104">
        <f t="shared" si="103"/>
        <v>413559.58312362968</v>
      </c>
      <c r="K223" s="298">
        <f t="shared" si="110"/>
        <v>12</v>
      </c>
      <c r="L223" s="300">
        <f t="shared" si="114"/>
        <v>8.4477296726504739E-2</v>
      </c>
      <c r="M223" s="297">
        <f t="shared" ref="M223:M232" si="117">(31/365)</f>
        <v>8.4931506849315067E-2</v>
      </c>
      <c r="N223" s="304">
        <f>$M223*'MWh Impact Summary'!F$29</f>
        <v>167742.1745310929</v>
      </c>
      <c r="O223" s="304">
        <f>$M223*'MWh Impact Summary'!G$29</f>
        <v>24469.376538334716</v>
      </c>
      <c r="P223" s="304">
        <f>$M223*'MWh Impact Summary'!H$29</f>
        <v>10691.42619664053</v>
      </c>
      <c r="Q223" s="304">
        <f>$M223*'MWh Impact Summary'!I$29</f>
        <v>1784.6283529910179</v>
      </c>
      <c r="R223" s="304">
        <f>$M223*'MWh Impact Summary'!J$29</f>
        <v>47543.000571588018</v>
      </c>
      <c r="S223" s="304">
        <f>$M223*'MWh Impact Summary'!K$29</f>
        <v>31211.432652914413</v>
      </c>
      <c r="T223" s="304">
        <f>$M223*'MWh Impact Summary'!L$29</f>
        <v>11191.771620454721</v>
      </c>
      <c r="U223" s="304">
        <f>$M223*'MWh Impact Summary'!M$29</f>
        <v>34640.438961680789</v>
      </c>
      <c r="V223" s="304">
        <f>$M223*'LED Impact Forecast'!$H$30+$D223*'LED Impact Forecast'!$J$30</f>
        <v>198861.11278919419</v>
      </c>
      <c r="W223" s="304">
        <f>$M223*'CFL Impact Forecast'!$H$30+$D223*'CFL Impact Forecast'!$J$30</f>
        <v>340967.30886144581</v>
      </c>
      <c r="X223" s="304">
        <f>$M223*'EISA Incand Impact Forecast'!$G$30+$D223*'EISA Incand Impact Forecast'!$I$30</f>
        <v>117930.46213127667</v>
      </c>
      <c r="Y223" s="85">
        <f t="shared" si="95"/>
        <v>987033.13320761384</v>
      </c>
      <c r="Z223" s="81">
        <f t="shared" si="96"/>
        <v>1400592.7163312435</v>
      </c>
      <c r="AA223" s="81"/>
      <c r="AB223" s="262">
        <v>5291129.8776962366</v>
      </c>
      <c r="AC223" s="308">
        <f t="shared" si="104"/>
        <v>264.70579038990877</v>
      </c>
      <c r="AD223" s="309">
        <f t="shared" si="97"/>
        <v>78.160920764185434</v>
      </c>
      <c r="AE223" s="107">
        <f t="shared" si="98"/>
        <v>6.5134100636821193E-3</v>
      </c>
      <c r="AF223" s="309">
        <f t="shared" si="105"/>
        <v>186.54486962572332</v>
      </c>
      <c r="AG223" s="107">
        <f t="shared" si="99"/>
        <v>1.554540580214361E-2</v>
      </c>
      <c r="AH223" s="119">
        <f t="shared" si="106"/>
        <v>2.205881586582573E-2</v>
      </c>
      <c r="AI223" s="122">
        <f t="shared" si="100"/>
        <v>2.2058815865825733E-2</v>
      </c>
      <c r="AJ223" s="87" t="b">
        <f t="shared" si="107"/>
        <v>1</v>
      </c>
      <c r="AK223" s="88">
        <f t="shared" si="112"/>
        <v>9.1949996309662052E-4</v>
      </c>
      <c r="AL223" s="312">
        <f>+AC223/'MWh by month-WgtbyCDH&amp;DayLtHrs'!AC223-1</f>
        <v>0.11465200332831227</v>
      </c>
      <c r="AM223" s="89">
        <f t="shared" si="101"/>
        <v>340967.30886144581</v>
      </c>
      <c r="AN223" s="90"/>
      <c r="AO223" s="96">
        <f t="shared" si="91"/>
        <v>64.44130398286562</v>
      </c>
      <c r="AP223" s="92">
        <f t="shared" si="90"/>
        <v>5.3701086652388017E-3</v>
      </c>
      <c r="AR223" s="94">
        <f t="shared" si="102"/>
        <v>2.2058815865825733E-2</v>
      </c>
      <c r="AS223" s="95"/>
    </row>
    <row r="224" spans="1:47">
      <c r="A224" s="78">
        <f t="shared" si="115"/>
        <v>2023</v>
      </c>
      <c r="B224" s="78">
        <f t="shared" si="116"/>
        <v>4</v>
      </c>
      <c r="C224" s="317">
        <f t="shared" si="109"/>
        <v>114.03392869270741</v>
      </c>
      <c r="D224" s="324">
        <f t="shared" si="113"/>
        <v>5.6895710731417456E-2</v>
      </c>
      <c r="E224" s="321">
        <f>$D224*'MWh Impact Summary'!B$29</f>
        <v>200125.20407681752</v>
      </c>
      <c r="F224" s="321">
        <f>$D224*'MWh Impact Summary'!N$29</f>
        <v>30479.392899284558</v>
      </c>
      <c r="G224" s="321">
        <f>$D224*'MWh Impact Summary'!C$29</f>
        <v>138423.46953718938</v>
      </c>
      <c r="H224" s="321">
        <f>$D224*'MWh Impact Summary'!D$29</f>
        <v>662.70236958254191</v>
      </c>
      <c r="I224" s="321">
        <f>$D224*'MWh Impact Summary'!E$29</f>
        <v>49640.103913086648</v>
      </c>
      <c r="J224" s="104">
        <f t="shared" si="103"/>
        <v>419330.87279596063</v>
      </c>
      <c r="K224" s="298">
        <f t="shared" si="110"/>
        <v>11.2</v>
      </c>
      <c r="L224" s="300">
        <f t="shared" si="114"/>
        <v>7.8845476944737758E-2</v>
      </c>
      <c r="M224" s="297">
        <f>(30/365)</f>
        <v>8.2191780821917804E-2</v>
      </c>
      <c r="N224" s="304">
        <f>$M224*'MWh Impact Summary'!F$29</f>
        <v>162331.13664299314</v>
      </c>
      <c r="O224" s="304">
        <f>$M224*'MWh Impact Summary'!G$29</f>
        <v>23680.04181129166</v>
      </c>
      <c r="P224" s="304">
        <f>$M224*'MWh Impact Summary'!H$29</f>
        <v>10346.541480619868</v>
      </c>
      <c r="Q224" s="304">
        <f>$M224*'MWh Impact Summary'!I$29</f>
        <v>1727.0596964429205</v>
      </c>
      <c r="R224" s="304">
        <f>$M224*'MWh Impact Summary'!J$29</f>
        <v>46009.355391859368</v>
      </c>
      <c r="S224" s="304">
        <f>$M224*'MWh Impact Summary'!K$29</f>
        <v>30204.612244755881</v>
      </c>
      <c r="T224" s="304">
        <f>$M224*'MWh Impact Summary'!L$29</f>
        <v>10830.74672947231</v>
      </c>
      <c r="U224" s="304">
        <f>$M224*'MWh Impact Summary'!M$29</f>
        <v>33523.005446787858</v>
      </c>
      <c r="V224" s="304">
        <f>$M224*'LED Impact Forecast'!$H$30+$D224*'LED Impact Forecast'!$J$30</f>
        <v>193373.12806508187</v>
      </c>
      <c r="W224" s="304">
        <f>$M224*'CFL Impact Forecast'!$H$30+$D224*'CFL Impact Forecast'!$J$30</f>
        <v>331571.97165997943</v>
      </c>
      <c r="X224" s="304">
        <f>$M224*'EISA Incand Impact Forecast'!$G$30+$D224*'EISA Incand Impact Forecast'!$I$30</f>
        <v>114720.32390281657</v>
      </c>
      <c r="Y224" s="85">
        <f t="shared" si="95"/>
        <v>958317.92307210085</v>
      </c>
      <c r="Z224" s="81">
        <f t="shared" si="96"/>
        <v>1377648.7958680615</v>
      </c>
      <c r="AA224" s="81"/>
      <c r="AB224" s="262">
        <v>5296301.965313198</v>
      </c>
      <c r="AC224" s="308">
        <f t="shared" si="104"/>
        <v>260.11522849162054</v>
      </c>
      <c r="AD224" s="309">
        <f t="shared" si="97"/>
        <v>79.174275851766581</v>
      </c>
      <c r="AE224" s="107">
        <f t="shared" si="98"/>
        <v>7.069131772479159E-3</v>
      </c>
      <c r="AF224" s="309">
        <f t="shared" si="105"/>
        <v>180.94095263985398</v>
      </c>
      <c r="AG224" s="107">
        <f t="shared" si="99"/>
        <v>1.6155442199986964E-2</v>
      </c>
      <c r="AH224" s="119">
        <f t="shared" si="106"/>
        <v>2.3224573972466123E-2</v>
      </c>
      <c r="AI224" s="122">
        <f t="shared" si="100"/>
        <v>2.322457397246612E-2</v>
      </c>
      <c r="AJ224" s="87" t="b">
        <f t="shared" si="107"/>
        <v>1</v>
      </c>
      <c r="AK224" s="88">
        <f t="shared" si="112"/>
        <v>9.5613158756473193E-4</v>
      </c>
      <c r="AL224" s="312">
        <f>+AC224/'MWh by month-WgtbyCDH&amp;DayLtHrs'!AC224-1</f>
        <v>-4.0353328536628652E-3</v>
      </c>
      <c r="AM224" s="89">
        <f t="shared" si="101"/>
        <v>331571.97165997943</v>
      </c>
      <c r="AN224" s="90"/>
      <c r="AO224" s="96">
        <f t="shared" si="91"/>
        <v>62.604431135446383</v>
      </c>
      <c r="AP224" s="92">
        <f t="shared" si="90"/>
        <v>5.5896813513791411E-3</v>
      </c>
      <c r="AR224" s="94">
        <f t="shared" si="102"/>
        <v>2.322457397246612E-2</v>
      </c>
      <c r="AS224" s="95"/>
    </row>
    <row r="225" spans="1:45">
      <c r="A225" s="78">
        <f t="shared" si="115"/>
        <v>2023</v>
      </c>
      <c r="B225" s="78">
        <f t="shared" si="116"/>
        <v>5</v>
      </c>
      <c r="C225" s="317">
        <f t="shared" si="109"/>
        <v>208.47875842628665</v>
      </c>
      <c r="D225" s="324">
        <f t="shared" si="113"/>
        <v>0.10401770130213556</v>
      </c>
      <c r="E225" s="321">
        <f>$D225*'MWh Impact Summary'!B$29</f>
        <v>365872.28515271097</v>
      </c>
      <c r="F225" s="321">
        <f>$D225*'MWh Impact Summary'!N$29</f>
        <v>55722.941953118789</v>
      </c>
      <c r="G225" s="321">
        <f>$D225*'MWh Impact Summary'!C$29</f>
        <v>253068.12978388314</v>
      </c>
      <c r="H225" s="321">
        <f>$D225*'MWh Impact Summary'!D$29</f>
        <v>1211.5636881110272</v>
      </c>
      <c r="I225" s="321">
        <f>$D225*'MWh Impact Summary'!E$29</f>
        <v>90752.878117878805</v>
      </c>
      <c r="J225" s="104">
        <f t="shared" si="103"/>
        <v>766627.79869570269</v>
      </c>
      <c r="K225" s="298">
        <f t="shared" si="110"/>
        <v>10.533333333333333</v>
      </c>
      <c r="L225" s="300">
        <f t="shared" si="114"/>
        <v>7.4152293793265281E-2</v>
      </c>
      <c r="M225" s="297">
        <f t="shared" si="117"/>
        <v>8.4931506849315067E-2</v>
      </c>
      <c r="N225" s="304">
        <f>$M225*'MWh Impact Summary'!F$29</f>
        <v>167742.1745310929</v>
      </c>
      <c r="O225" s="304">
        <f>$M225*'MWh Impact Summary'!G$29</f>
        <v>24469.376538334716</v>
      </c>
      <c r="P225" s="304">
        <f>$M225*'MWh Impact Summary'!H$29</f>
        <v>10691.42619664053</v>
      </c>
      <c r="Q225" s="304">
        <f>$M225*'MWh Impact Summary'!I$29</f>
        <v>1784.6283529910179</v>
      </c>
      <c r="R225" s="304">
        <f>$M225*'MWh Impact Summary'!J$29</f>
        <v>47543.000571588018</v>
      </c>
      <c r="S225" s="304">
        <f>$M225*'MWh Impact Summary'!K$29</f>
        <v>31211.432652914413</v>
      </c>
      <c r="T225" s="304">
        <f>$M225*'MWh Impact Summary'!L$29</f>
        <v>11191.771620454721</v>
      </c>
      <c r="U225" s="304">
        <f>$M225*'MWh Impact Summary'!M$29</f>
        <v>34640.438961680789</v>
      </c>
      <c r="V225" s="304">
        <f>$M225*'LED Impact Forecast'!$H$30+$D225*'LED Impact Forecast'!$J$30</f>
        <v>215984.2136044816</v>
      </c>
      <c r="W225" s="304">
        <f>$M225*'CFL Impact Forecast'!$H$30+$D225*'CFL Impact Forecast'!$J$30</f>
        <v>370591.9128111407</v>
      </c>
      <c r="X225" s="304">
        <f>$M225*'EISA Incand Impact Forecast'!$G$30+$D225*'EISA Incand Impact Forecast'!$I$30</f>
        <v>128905.14703459037</v>
      </c>
      <c r="Y225" s="85">
        <f t="shared" si="95"/>
        <v>1044755.5228759099</v>
      </c>
      <c r="Z225" s="81">
        <f t="shared" si="96"/>
        <v>1811383.3215716127</v>
      </c>
      <c r="AA225" s="81"/>
      <c r="AB225" s="262">
        <v>5301485.111214349</v>
      </c>
      <c r="AC225" s="308">
        <f t="shared" si="104"/>
        <v>341.67469748051417</v>
      </c>
      <c r="AD225" s="309">
        <f t="shared" si="97"/>
        <v>144.60623440666424</v>
      </c>
      <c r="AE225" s="107">
        <f t="shared" si="98"/>
        <v>1.3728439975316226E-2</v>
      </c>
      <c r="AF225" s="309">
        <f t="shared" si="105"/>
        <v>197.0684630738499</v>
      </c>
      <c r="AG225" s="107">
        <f t="shared" si="99"/>
        <v>1.8709031304479422E-2</v>
      </c>
      <c r="AH225" s="119">
        <f t="shared" si="106"/>
        <v>3.2437471279795647E-2</v>
      </c>
      <c r="AI225" s="122">
        <f t="shared" si="100"/>
        <v>3.2437471279795654E-2</v>
      </c>
      <c r="AJ225" s="87" t="b">
        <f t="shared" si="107"/>
        <v>0</v>
      </c>
      <c r="AK225" s="88">
        <f t="shared" si="112"/>
        <v>1.1168566270126704E-3</v>
      </c>
      <c r="AL225" s="312">
        <f>+AC225/'MWh by month-WgtbyCDH&amp;DayLtHrs'!AC225-1</f>
        <v>7.2863761224149171E-2</v>
      </c>
      <c r="AM225" s="89">
        <f t="shared" si="101"/>
        <v>370591.9128111407</v>
      </c>
      <c r="AN225" s="90"/>
      <c r="AO225" s="96">
        <f t="shared" si="91"/>
        <v>69.903414804885415</v>
      </c>
      <c r="AP225" s="92">
        <f t="shared" si="90"/>
        <v>6.6364001397043113E-3</v>
      </c>
      <c r="AR225" s="94">
        <f t="shared" si="102"/>
        <v>3.2437471279795654E-2</v>
      </c>
      <c r="AS225" s="95"/>
    </row>
    <row r="226" spans="1:45">
      <c r="A226" s="78">
        <f t="shared" si="115"/>
        <v>2023</v>
      </c>
      <c r="B226" s="78">
        <f t="shared" si="116"/>
        <v>6</v>
      </c>
      <c r="C226" s="317">
        <f t="shared" si="109"/>
        <v>271.66325293295364</v>
      </c>
      <c r="D226" s="324">
        <f t="shared" si="113"/>
        <v>0.13554276374078555</v>
      </c>
      <c r="E226" s="321">
        <f>$D226*'MWh Impact Summary'!B$29</f>
        <v>476758.66785124852</v>
      </c>
      <c r="F226" s="321">
        <f>$D226*'MWh Impact Summary'!N$29</f>
        <v>72611.117738073124</v>
      </c>
      <c r="G226" s="321">
        <f>$D226*'MWh Impact Summary'!C$29</f>
        <v>329766.50412591931</v>
      </c>
      <c r="H226" s="321">
        <f>$D226*'MWh Impact Summary'!D$29</f>
        <v>1578.7571603562849</v>
      </c>
      <c r="I226" s="321">
        <f>$D226*'MWh Impact Summary'!E$29</f>
        <v>118257.71732638171</v>
      </c>
      <c r="J226" s="104">
        <f t="shared" si="103"/>
        <v>998972.76420197892</v>
      </c>
      <c r="K226" s="298">
        <f t="shared" si="110"/>
        <v>10.199999999999999</v>
      </c>
      <c r="L226" s="300">
        <f t="shared" si="114"/>
        <v>7.1805702217529022E-2</v>
      </c>
      <c r="M226" s="297">
        <f>(30/365)</f>
        <v>8.2191780821917804E-2</v>
      </c>
      <c r="N226" s="304">
        <f>$M226*'MWh Impact Summary'!F$29</f>
        <v>162331.13664299314</v>
      </c>
      <c r="O226" s="304">
        <f>$M226*'MWh Impact Summary'!G$29</f>
        <v>23680.04181129166</v>
      </c>
      <c r="P226" s="304">
        <f>$M226*'MWh Impact Summary'!H$29</f>
        <v>10346.541480619868</v>
      </c>
      <c r="Q226" s="304">
        <f>$M226*'MWh Impact Summary'!I$29</f>
        <v>1727.0596964429205</v>
      </c>
      <c r="R226" s="304">
        <f>$M226*'MWh Impact Summary'!J$29</f>
        <v>46009.355391859368</v>
      </c>
      <c r="S226" s="304">
        <f>$M226*'MWh Impact Summary'!K$29</f>
        <v>30204.612244755881</v>
      </c>
      <c r="T226" s="304">
        <f>$M226*'MWh Impact Summary'!L$29</f>
        <v>10830.74672947231</v>
      </c>
      <c r="U226" s="304">
        <f>$M226*'MWh Impact Summary'!M$29</f>
        <v>33523.005446787858</v>
      </c>
      <c r="V226" s="304">
        <f>$M226*'LED Impact Forecast'!$H$30+$D226*'LED Impact Forecast'!$J$30</f>
        <v>221484.59804610896</v>
      </c>
      <c r="W226" s="304">
        <f>$M226*'CFL Impact Forecast'!$H$30+$D226*'CFL Impact Forecast'!$J$30</f>
        <v>380207.5064042561</v>
      </c>
      <c r="X226" s="304">
        <f>$M226*'EISA Incand Impact Forecast'!$G$30+$D226*'EISA Incand Impact Forecast'!$I$30</f>
        <v>132737.76878845866</v>
      </c>
      <c r="Y226" s="85">
        <f t="shared" si="95"/>
        <v>1053082.3726830469</v>
      </c>
      <c r="Z226" s="81">
        <f t="shared" si="96"/>
        <v>2052055.1368850258</v>
      </c>
      <c r="AA226" s="81"/>
      <c r="AB226" s="262">
        <v>5306665.8266493091</v>
      </c>
      <c r="AC226" s="308">
        <f t="shared" si="104"/>
        <v>386.69386841355288</v>
      </c>
      <c r="AD226" s="309">
        <f t="shared" si="97"/>
        <v>188.24866626899362</v>
      </c>
      <c r="AE226" s="107">
        <f t="shared" si="98"/>
        <v>1.8455751594999376E-2</v>
      </c>
      <c r="AF226" s="309">
        <f t="shared" si="105"/>
        <v>198.44520214455926</v>
      </c>
      <c r="AG226" s="107">
        <f t="shared" si="99"/>
        <v>1.9455411974956791E-2</v>
      </c>
      <c r="AH226" s="119">
        <f t="shared" si="106"/>
        <v>3.7911163569956163E-2</v>
      </c>
      <c r="AI226" s="122">
        <f t="shared" si="100"/>
        <v>3.7911163569956163E-2</v>
      </c>
      <c r="AJ226" s="87" t="b">
        <f t="shared" si="107"/>
        <v>1</v>
      </c>
      <c r="AK226" s="88">
        <f t="shared" si="112"/>
        <v>1.1686001558827985E-3</v>
      </c>
      <c r="AL226" s="312">
        <f>+AC226/'MWh by month-WgtbyCDH&amp;DayLtHrs'!AC226-1</f>
        <v>7.9596267856778091E-2</v>
      </c>
      <c r="AM226" s="89">
        <f t="shared" si="101"/>
        <v>380207.5064042561</v>
      </c>
      <c r="AN226" s="90"/>
      <c r="AO226" s="96">
        <f t="shared" si="91"/>
        <v>71.647154507998025</v>
      </c>
      <c r="AP226" s="92">
        <f t="shared" si="90"/>
        <v>7.0242308341174533E-3</v>
      </c>
      <c r="AR226" s="94">
        <f t="shared" si="102"/>
        <v>3.7911163569956163E-2</v>
      </c>
      <c r="AS226" s="95"/>
    </row>
    <row r="227" spans="1:45">
      <c r="A227" s="78">
        <f t="shared" si="115"/>
        <v>2023</v>
      </c>
      <c r="B227" s="78">
        <f t="shared" si="116"/>
        <v>7</v>
      </c>
      <c r="C227" s="317">
        <f t="shared" si="109"/>
        <v>322.31916585708109</v>
      </c>
      <c r="D227" s="324">
        <f t="shared" si="113"/>
        <v>0.16081685717602592</v>
      </c>
      <c r="E227" s="321">
        <f>$D227*'MWh Impact Summary'!B$29</f>
        <v>565657.86678138946</v>
      </c>
      <c r="F227" s="321">
        <f>$D227*'MWh Impact Summary'!N$29</f>
        <v>86150.609803167288</v>
      </c>
      <c r="G227" s="321">
        <f>$D227*'MWh Impact Summary'!C$29</f>
        <v>391256.68779245729</v>
      </c>
      <c r="H227" s="321">
        <f>$D227*'MWh Impact Summary'!D$29</f>
        <v>1873.1414187347561</v>
      </c>
      <c r="I227" s="321">
        <f>$D227*'MWh Impact Summary'!E$29</f>
        <v>140308.74029992206</v>
      </c>
      <c r="J227" s="104">
        <f t="shared" si="103"/>
        <v>1185247.0460956709</v>
      </c>
      <c r="K227" s="298">
        <f t="shared" si="110"/>
        <v>10.366666666666667</v>
      </c>
      <c r="L227" s="300">
        <f t="shared" si="114"/>
        <v>7.2978998005397158E-2</v>
      </c>
      <c r="M227" s="297">
        <f t="shared" si="117"/>
        <v>8.4931506849315067E-2</v>
      </c>
      <c r="N227" s="304">
        <f>$M227*'MWh Impact Summary'!F$29</f>
        <v>167742.1745310929</v>
      </c>
      <c r="O227" s="304">
        <f>$M227*'MWh Impact Summary'!G$29</f>
        <v>24469.376538334716</v>
      </c>
      <c r="P227" s="304">
        <f>$M227*'MWh Impact Summary'!H$29</f>
        <v>10691.42619664053</v>
      </c>
      <c r="Q227" s="304">
        <f>$M227*'MWh Impact Summary'!I$29</f>
        <v>1784.6283529910179</v>
      </c>
      <c r="R227" s="304">
        <f>$M227*'MWh Impact Summary'!J$29</f>
        <v>47543.000571588018</v>
      </c>
      <c r="S227" s="304">
        <f>$M227*'MWh Impact Summary'!K$29</f>
        <v>31211.432652914413</v>
      </c>
      <c r="T227" s="304">
        <f>$M227*'MWh Impact Summary'!L$29</f>
        <v>11191.771620454721</v>
      </c>
      <c r="U227" s="304">
        <f>$M227*'MWh Impact Summary'!M$29</f>
        <v>34640.438961680789</v>
      </c>
      <c r="V227" s="304">
        <f>$M227*'LED Impact Forecast'!$H$30+$D227*'LED Impact Forecast'!$J$30</f>
        <v>236286.40808221183</v>
      </c>
      <c r="W227" s="304">
        <f>$M227*'CFL Impact Forecast'!$H$30+$D227*'CFL Impact Forecast'!$J$30</f>
        <v>405716.65319551504</v>
      </c>
      <c r="X227" s="304">
        <f>$M227*'EISA Incand Impact Forecast'!$G$30+$D227*'EISA Incand Impact Forecast'!$I$30</f>
        <v>141917.40396412738</v>
      </c>
      <c r="Y227" s="85">
        <f t="shared" si="95"/>
        <v>1113194.7146675515</v>
      </c>
      <c r="Z227" s="81">
        <f t="shared" si="96"/>
        <v>2298441.7607632224</v>
      </c>
      <c r="AA227" s="81"/>
      <c r="AB227" s="262">
        <v>5311951.1835386856</v>
      </c>
      <c r="AC227" s="308">
        <f t="shared" si="104"/>
        <v>432.69256085897598</v>
      </c>
      <c r="AD227" s="309">
        <f t="shared" si="97"/>
        <v>223.12837696412899</v>
      </c>
      <c r="AE227" s="107">
        <f t="shared" si="98"/>
        <v>2.1523637649272891E-2</v>
      </c>
      <c r="AF227" s="309">
        <f t="shared" si="105"/>
        <v>209.56418389484705</v>
      </c>
      <c r="AG227" s="107">
        <f t="shared" si="99"/>
        <v>2.0215194587927369E-2</v>
      </c>
      <c r="AH227" s="119">
        <f t="shared" si="106"/>
        <v>4.1738832237200263E-2</v>
      </c>
      <c r="AI227" s="122">
        <f t="shared" si="100"/>
        <v>4.1738832237200256E-2</v>
      </c>
      <c r="AJ227" s="87" t="b">
        <f t="shared" si="107"/>
        <v>1</v>
      </c>
      <c r="AK227" s="88">
        <f t="shared" si="112"/>
        <v>1.2185924163616996E-3</v>
      </c>
      <c r="AL227" s="312">
        <f>+AC227/'MWh by month-WgtbyCDH&amp;DayLtHrs'!AC227-1</f>
        <v>9.3005891346381819E-2</v>
      </c>
      <c r="AM227" s="89">
        <f t="shared" si="101"/>
        <v>405716.65319551504</v>
      </c>
      <c r="AN227" s="90"/>
      <c r="AO227" s="96">
        <f t="shared" si="91"/>
        <v>76.378083904987434</v>
      </c>
      <c r="AP227" s="92">
        <f t="shared" si="90"/>
        <v>7.3676608268476622E-3</v>
      </c>
      <c r="AR227" s="94">
        <f t="shared" si="102"/>
        <v>4.1738832237200256E-2</v>
      </c>
      <c r="AS227" s="95"/>
    </row>
    <row r="228" spans="1:45">
      <c r="A228" s="78">
        <f t="shared" si="115"/>
        <v>2023</v>
      </c>
      <c r="B228" s="78">
        <f t="shared" si="116"/>
        <v>8</v>
      </c>
      <c r="C228" s="317">
        <f t="shared" si="109"/>
        <v>326.45437890907908</v>
      </c>
      <c r="D228" s="324">
        <f t="shared" si="113"/>
        <v>0.16288006668144661</v>
      </c>
      <c r="E228" s="321">
        <f>$D228*'MWh Impact Summary'!B$29</f>
        <v>572915.00827795477</v>
      </c>
      <c r="F228" s="321">
        <f>$D228*'MWh Impact Summary'!N$29</f>
        <v>87255.884213853773</v>
      </c>
      <c r="G228" s="321">
        <f>$D228*'MWh Impact Summary'!C$29</f>
        <v>396276.33891291928</v>
      </c>
      <c r="H228" s="321">
        <f>$D228*'MWh Impact Summary'!D$29</f>
        <v>1897.1729988066174</v>
      </c>
      <c r="I228" s="321">
        <f>$D228*'MWh Impact Summary'!E$29</f>
        <v>142108.83969101723</v>
      </c>
      <c r="J228" s="104">
        <f t="shared" si="103"/>
        <v>1200453.2440945518</v>
      </c>
      <c r="K228" s="298">
        <f t="shared" si="110"/>
        <v>10.933333333333334</v>
      </c>
      <c r="L228" s="300">
        <f t="shared" si="114"/>
        <v>7.6968203684148764E-2</v>
      </c>
      <c r="M228" s="297">
        <f t="shared" si="117"/>
        <v>8.4931506849315067E-2</v>
      </c>
      <c r="N228" s="304">
        <f>$M228*'MWh Impact Summary'!F$29</f>
        <v>167742.1745310929</v>
      </c>
      <c r="O228" s="304">
        <f>$M228*'MWh Impact Summary'!G$29</f>
        <v>24469.376538334716</v>
      </c>
      <c r="P228" s="304">
        <f>$M228*'MWh Impact Summary'!H$29</f>
        <v>10691.42619664053</v>
      </c>
      <c r="Q228" s="304">
        <f>$M228*'MWh Impact Summary'!I$29</f>
        <v>1784.6283529910179</v>
      </c>
      <c r="R228" s="304">
        <f>$M228*'MWh Impact Summary'!J$29</f>
        <v>47543.000571588018</v>
      </c>
      <c r="S228" s="304">
        <f>$M228*'MWh Impact Summary'!K$29</f>
        <v>31211.432652914413</v>
      </c>
      <c r="T228" s="304">
        <f>$M228*'MWh Impact Summary'!L$29</f>
        <v>11191.771620454721</v>
      </c>
      <c r="U228" s="304">
        <f>$M228*'MWh Impact Summary'!M$29</f>
        <v>34640.438961680789</v>
      </c>
      <c r="V228" s="304">
        <f>$M228*'LED Impact Forecast'!$H$30+$D228*'LED Impact Forecast'!$J$30</f>
        <v>237023.87820800656</v>
      </c>
      <c r="W228" s="304">
        <f>$M228*'CFL Impact Forecast'!$H$30+$D228*'CFL Impact Forecast'!$J$30</f>
        <v>406992.54712600546</v>
      </c>
      <c r="X228" s="304">
        <f>$M228*'EISA Incand Impact Forecast'!$G$30+$D228*'EISA Incand Impact Forecast'!$I$30</f>
        <v>142390.06965380075</v>
      </c>
      <c r="Y228" s="85">
        <f t="shared" si="95"/>
        <v>1115680.7444135097</v>
      </c>
      <c r="Z228" s="81">
        <f t="shared" si="96"/>
        <v>2316133.9885080615</v>
      </c>
      <c r="AA228" s="81"/>
      <c r="AB228" s="262">
        <v>5317288.920798488</v>
      </c>
      <c r="AC228" s="308">
        <f t="shared" si="104"/>
        <v>435.5855066382685</v>
      </c>
      <c r="AD228" s="309">
        <f t="shared" si="97"/>
        <v>225.76415575219144</v>
      </c>
      <c r="AE228" s="107">
        <f t="shared" si="98"/>
        <v>2.0649160587090681E-2</v>
      </c>
      <c r="AF228" s="309">
        <f t="shared" si="105"/>
        <v>209.82135088607711</v>
      </c>
      <c r="AG228" s="107">
        <f t="shared" si="99"/>
        <v>1.9190977215189978E-2</v>
      </c>
      <c r="AH228" s="119">
        <f t="shared" si="106"/>
        <v>3.9840137802280656E-2</v>
      </c>
      <c r="AI228" s="122">
        <f t="shared" si="100"/>
        <v>3.9840137802280649E-2</v>
      </c>
      <c r="AJ228" s="87" t="b">
        <f t="shared" si="107"/>
        <v>0</v>
      </c>
      <c r="AK228" s="88">
        <f t="shared" si="112"/>
        <v>1.1576719534989316E-3</v>
      </c>
      <c r="AL228" s="312">
        <f>+AC228/'MWh by month-WgtbyCDH&amp;DayLtHrs'!AC228-1</f>
        <v>7.232521979923745E-2</v>
      </c>
      <c r="AM228" s="89">
        <f t="shared" si="101"/>
        <v>406992.54712600546</v>
      </c>
      <c r="AN228" s="90"/>
      <c r="AO228" s="96">
        <f t="shared" si="91"/>
        <v>76.541364065070979</v>
      </c>
      <c r="AP228" s="92">
        <f t="shared" si="90"/>
        <v>7.0007345181467354E-3</v>
      </c>
      <c r="AR228" s="94">
        <f t="shared" si="102"/>
        <v>3.9840137802280649E-2</v>
      </c>
      <c r="AS228" s="95"/>
    </row>
    <row r="229" spans="1:45">
      <c r="A229" s="78">
        <f t="shared" si="115"/>
        <v>2023</v>
      </c>
      <c r="B229" s="78">
        <f t="shared" si="116"/>
        <v>9</v>
      </c>
      <c r="C229" s="317">
        <f t="shared" si="109"/>
        <v>277.87653293728147</v>
      </c>
      <c r="D229" s="324">
        <f t="shared" si="113"/>
        <v>0.1386427970893879</v>
      </c>
      <c r="E229" s="321">
        <f>$D229*'MWh Impact Summary'!B$29</f>
        <v>487662.73774612386</v>
      </c>
      <c r="F229" s="321">
        <f>$D229*'MWh Impact Summary'!N$29</f>
        <v>74271.825253952004</v>
      </c>
      <c r="G229" s="321">
        <f>$D229*'MWh Impact Summary'!C$29</f>
        <v>337308.67850564059</v>
      </c>
      <c r="H229" s="321">
        <f>$D229*'MWh Impact Summary'!D$29</f>
        <v>1614.8653206990161</v>
      </c>
      <c r="I229" s="321">
        <f>$D229*'MWh Impact Summary'!E$29</f>
        <v>120962.41994069811</v>
      </c>
      <c r="J229" s="104">
        <f t="shared" si="103"/>
        <v>1021820.5267671136</v>
      </c>
      <c r="K229" s="298">
        <f t="shared" si="110"/>
        <v>11.683333333333334</v>
      </c>
      <c r="L229" s="300">
        <f t="shared" si="114"/>
        <v>8.2248034729555317E-2</v>
      </c>
      <c r="M229" s="297">
        <f>(30/365)</f>
        <v>8.2191780821917804E-2</v>
      </c>
      <c r="N229" s="304">
        <f>$M229*'MWh Impact Summary'!F$29</f>
        <v>162331.13664299314</v>
      </c>
      <c r="O229" s="304">
        <f>$M229*'MWh Impact Summary'!G$29</f>
        <v>23680.04181129166</v>
      </c>
      <c r="P229" s="304">
        <f>$M229*'MWh Impact Summary'!H$29</f>
        <v>10346.541480619868</v>
      </c>
      <c r="Q229" s="304">
        <f>$M229*'MWh Impact Summary'!I$29</f>
        <v>1727.0596964429205</v>
      </c>
      <c r="R229" s="304">
        <f>$M229*'MWh Impact Summary'!J$29</f>
        <v>46009.355391859368</v>
      </c>
      <c r="S229" s="304">
        <f>$M229*'MWh Impact Summary'!K$29</f>
        <v>30204.612244755881</v>
      </c>
      <c r="T229" s="304">
        <f>$M229*'MWh Impact Summary'!L$29</f>
        <v>10830.74672947231</v>
      </c>
      <c r="U229" s="304">
        <f>$M229*'MWh Impact Summary'!M$29</f>
        <v>33523.005446787858</v>
      </c>
      <c r="V229" s="304">
        <f>$M229*'LED Impact Forecast'!$H$30+$D229*'LED Impact Forecast'!$J$30</f>
        <v>222592.66873769657</v>
      </c>
      <c r="W229" s="304">
        <f>$M229*'CFL Impact Forecast'!$H$30+$D229*'CFL Impact Forecast'!$J$30</f>
        <v>382124.5747986231</v>
      </c>
      <c r="X229" s="304">
        <f>$M229*'EISA Incand Impact Forecast'!$G$30+$D229*'EISA Incand Impact Forecast'!$I$30</f>
        <v>133447.96297711367</v>
      </c>
      <c r="Y229" s="85">
        <f t="shared" si="95"/>
        <v>1056817.7059576563</v>
      </c>
      <c r="Z229" s="81">
        <f t="shared" si="96"/>
        <v>2078638.23272477</v>
      </c>
      <c r="AA229" s="81"/>
      <c r="AB229" s="262">
        <v>5322436.1862808531</v>
      </c>
      <c r="AC229" s="308">
        <f t="shared" si="104"/>
        <v>390.54263122640754</v>
      </c>
      <c r="AD229" s="309">
        <f t="shared" si="97"/>
        <v>191.98361257969893</v>
      </c>
      <c r="AE229" s="107">
        <f t="shared" si="98"/>
        <v>1.6432263558890065E-2</v>
      </c>
      <c r="AF229" s="309">
        <f t="shared" si="105"/>
        <v>198.55901864670855</v>
      </c>
      <c r="AG229" s="107">
        <f t="shared" si="99"/>
        <v>1.699506579001785E-2</v>
      </c>
      <c r="AH229" s="119">
        <f t="shared" si="106"/>
        <v>3.3427329348907915E-2</v>
      </c>
      <c r="AI229" s="122">
        <f t="shared" si="100"/>
        <v>3.3427329348907915E-2</v>
      </c>
      <c r="AJ229" s="87" t="b">
        <f t="shared" si="107"/>
        <v>1</v>
      </c>
      <c r="AK229" s="88">
        <f t="shared" si="112"/>
        <v>1.0217158807575497E-3</v>
      </c>
      <c r="AL229" s="312">
        <f>+AC229/'MWh by month-WgtbyCDH&amp;DayLtHrs'!AC229-1</f>
        <v>2.2536770005042506E-2</v>
      </c>
      <c r="AM229" s="89">
        <f t="shared" si="101"/>
        <v>382124.5747986231</v>
      </c>
      <c r="AN229" s="90"/>
      <c r="AO229" s="96">
        <f t="shared" si="91"/>
        <v>71.795050504051119</v>
      </c>
      <c r="AP229" s="92">
        <f t="shared" si="90"/>
        <v>6.1450827820871143E-3</v>
      </c>
      <c r="AR229" s="94">
        <f t="shared" si="102"/>
        <v>3.3427329348907915E-2</v>
      </c>
      <c r="AS229" s="95"/>
    </row>
    <row r="230" spans="1:45">
      <c r="A230" s="78">
        <f t="shared" si="115"/>
        <v>2023</v>
      </c>
      <c r="B230" s="78">
        <f t="shared" si="116"/>
        <v>10</v>
      </c>
      <c r="C230" s="317">
        <f t="shared" si="109"/>
        <v>198.89039579254836</v>
      </c>
      <c r="D230" s="324">
        <f t="shared" si="113"/>
        <v>9.923371540380535E-2</v>
      </c>
      <c r="E230" s="321">
        <f>$D230*'MWh Impact Summary'!B$29</f>
        <v>349045.07371803105</v>
      </c>
      <c r="F230" s="321">
        <f>$D230*'MWh Impact Summary'!N$29</f>
        <v>53160.130381818279</v>
      </c>
      <c r="G230" s="321">
        <f>$D230*'MWh Impact Summary'!C$29</f>
        <v>241429.01116227178</v>
      </c>
      <c r="H230" s="321">
        <f>$D230*'MWh Impact Summary'!D$29</f>
        <v>1155.8414069387447</v>
      </c>
      <c r="I230" s="321">
        <f>$D230*'MWh Impact Summary'!E$29</f>
        <v>86578.968449487598</v>
      </c>
      <c r="J230" s="104">
        <f t="shared" si="103"/>
        <v>731369.02511854738</v>
      </c>
      <c r="K230" s="298">
        <f t="shared" si="110"/>
        <v>12.466666666666667</v>
      </c>
      <c r="L230" s="300">
        <f t="shared" si="114"/>
        <v>8.7762524932535488E-2</v>
      </c>
      <c r="M230" s="297">
        <f t="shared" si="117"/>
        <v>8.4931506849315067E-2</v>
      </c>
      <c r="N230" s="304">
        <f>$M230*'MWh Impact Summary'!F$29</f>
        <v>167742.1745310929</v>
      </c>
      <c r="O230" s="304">
        <f>$M230*'MWh Impact Summary'!G$29</f>
        <v>24469.376538334716</v>
      </c>
      <c r="P230" s="304">
        <f>$M230*'MWh Impact Summary'!H$29</f>
        <v>10691.42619664053</v>
      </c>
      <c r="Q230" s="304">
        <f>$M230*'MWh Impact Summary'!I$29</f>
        <v>1784.6283529910179</v>
      </c>
      <c r="R230" s="304">
        <f>$M230*'MWh Impact Summary'!J$29</f>
        <v>47543.000571588018</v>
      </c>
      <c r="S230" s="304">
        <f>$M230*'MWh Impact Summary'!K$29</f>
        <v>31211.432652914413</v>
      </c>
      <c r="T230" s="304">
        <f>$M230*'MWh Impact Summary'!L$29</f>
        <v>11191.771620454721</v>
      </c>
      <c r="U230" s="304">
        <f>$M230*'MWh Impact Summary'!M$29</f>
        <v>34640.438961680789</v>
      </c>
      <c r="V230" s="304">
        <f>$M230*'LED Impact Forecast'!$H$30+$D230*'LED Impact Forecast'!$J$30</f>
        <v>214274.23375368482</v>
      </c>
      <c r="W230" s="304">
        <f>$M230*'CFL Impact Forecast'!$H$30+$D230*'CFL Impact Forecast'!$J$30</f>
        <v>367633.48393845739</v>
      </c>
      <c r="X230" s="304">
        <f>$M230*'EISA Incand Impact Forecast'!$G$30+$D230*'EISA Incand Impact Forecast'!$I$30</f>
        <v>127809.17205576203</v>
      </c>
      <c r="Y230" s="85">
        <f t="shared" si="95"/>
        <v>1038991.1391736013</v>
      </c>
      <c r="Z230" s="81">
        <f t="shared" si="96"/>
        <v>1770360.1642921488</v>
      </c>
      <c r="AA230" s="81"/>
      <c r="AB230" s="262">
        <v>5327648.4322968516</v>
      </c>
      <c r="AC230" s="308">
        <f t="shared" si="104"/>
        <v>332.29673218675816</v>
      </c>
      <c r="AD230" s="309">
        <f t="shared" si="97"/>
        <v>137.27801945130227</v>
      </c>
      <c r="AE230" s="107">
        <f t="shared" si="98"/>
        <v>1.1011605838339754E-2</v>
      </c>
      <c r="AF230" s="309">
        <f t="shared" si="105"/>
        <v>195.01871273545584</v>
      </c>
      <c r="AG230" s="107">
        <f t="shared" si="99"/>
        <v>1.5643212251507152E-2</v>
      </c>
      <c r="AH230" s="119">
        <f t="shared" si="106"/>
        <v>2.6654818089846904E-2</v>
      </c>
      <c r="AI230" s="122">
        <f t="shared" si="100"/>
        <v>2.6654818089846911E-2</v>
      </c>
      <c r="AJ230" s="87" t="b">
        <f t="shared" si="107"/>
        <v>1</v>
      </c>
      <c r="AK230" s="88">
        <f t="shared" si="112"/>
        <v>9.3319150647668686E-4</v>
      </c>
      <c r="AL230" s="312">
        <f>+AC230/'MWh by month-WgtbyCDH&amp;DayLtHrs'!AC230-1</f>
        <v>-1.3283638022771216E-2</v>
      </c>
      <c r="AM230" s="89">
        <f t="shared" si="101"/>
        <v>367633.48393845739</v>
      </c>
      <c r="AN230" s="90"/>
      <c r="AO230" s="96">
        <f t="shared" si="91"/>
        <v>69.004831795923053</v>
      </c>
      <c r="AP230" s="92">
        <f t="shared" si="90"/>
        <v>5.5351469355018491E-3</v>
      </c>
      <c r="AR230" s="94">
        <f t="shared" si="102"/>
        <v>2.6654818089846911E-2</v>
      </c>
      <c r="AS230" s="95"/>
    </row>
    <row r="231" spans="1:45">
      <c r="A231" s="78">
        <f t="shared" si="115"/>
        <v>2023</v>
      </c>
      <c r="B231" s="78">
        <f t="shared" si="116"/>
        <v>11</v>
      </c>
      <c r="C231" s="317">
        <f t="shared" si="109"/>
        <v>78.117279066674627</v>
      </c>
      <c r="D231" s="324">
        <f t="shared" si="113"/>
        <v>3.8975576513546578E-2</v>
      </c>
      <c r="E231" s="321">
        <f>$D231*'MWh Impact Summary'!B$29</f>
        <v>137092.85117477257</v>
      </c>
      <c r="F231" s="321">
        <f>$D231*'MWh Impact Summary'!N$29</f>
        <v>20879.463403495793</v>
      </c>
      <c r="G231" s="321">
        <f>$D231*'MWh Impact Summary'!C$29</f>
        <v>94824.978172531191</v>
      </c>
      <c r="H231" s="321">
        <f>$D231*'MWh Impact Summary'!D$29</f>
        <v>453.97458928499259</v>
      </c>
      <c r="I231" s="321">
        <f>$D231*'MWh Impact Summary'!E$29</f>
        <v>34005.228923813294</v>
      </c>
      <c r="J231" s="104">
        <f t="shared" si="103"/>
        <v>287256.49626389786</v>
      </c>
      <c r="K231" s="298">
        <f t="shared" si="110"/>
        <v>13.15</v>
      </c>
      <c r="L231" s="300">
        <f t="shared" si="114"/>
        <v>9.2573037662794788E-2</v>
      </c>
      <c r="M231" s="297">
        <f>(30/365)</f>
        <v>8.2191780821917804E-2</v>
      </c>
      <c r="N231" s="304">
        <f>$M231*'MWh Impact Summary'!F$29</f>
        <v>162331.13664299314</v>
      </c>
      <c r="O231" s="304">
        <f>$M231*'MWh Impact Summary'!G$29</f>
        <v>23680.04181129166</v>
      </c>
      <c r="P231" s="304">
        <f>$M231*'MWh Impact Summary'!H$29</f>
        <v>10346.541480619868</v>
      </c>
      <c r="Q231" s="304">
        <f>$M231*'MWh Impact Summary'!I$29</f>
        <v>1727.0596964429205</v>
      </c>
      <c r="R231" s="304">
        <f>$M231*'MWh Impact Summary'!J$29</f>
        <v>46009.355391859368</v>
      </c>
      <c r="S231" s="304">
        <f>$M231*'MWh Impact Summary'!K$29</f>
        <v>30204.612244755881</v>
      </c>
      <c r="T231" s="304">
        <f>$M231*'MWh Impact Summary'!L$29</f>
        <v>10830.74672947231</v>
      </c>
      <c r="U231" s="304">
        <f>$M231*'MWh Impact Summary'!M$29</f>
        <v>33523.005446787858</v>
      </c>
      <c r="V231" s="304">
        <f>$M231*'LED Impact Forecast'!$H$30+$D231*'LED Impact Forecast'!$J$30</f>
        <v>186967.78551446338</v>
      </c>
      <c r="W231" s="304">
        <f>$M231*'CFL Impact Forecast'!$H$30+$D231*'CFL Impact Forecast'!$J$30</f>
        <v>320490.11573498318</v>
      </c>
      <c r="X231" s="304">
        <f>$M231*'EISA Incand Impact Forecast'!$G$30+$D231*'EISA Incand Impact Forecast'!$I$30</f>
        <v>110614.95671791598</v>
      </c>
      <c r="Y231" s="85">
        <f t="shared" si="95"/>
        <v>936725.35741158552</v>
      </c>
      <c r="Z231" s="81">
        <f t="shared" si="96"/>
        <v>1223981.8536754833</v>
      </c>
      <c r="AA231" s="81"/>
      <c r="AB231" s="262">
        <v>5332876.5569538418</v>
      </c>
      <c r="AC231" s="308">
        <f t="shared" si="104"/>
        <v>229.51625461486887</v>
      </c>
      <c r="AD231" s="309">
        <f t="shared" si="97"/>
        <v>53.86520636584541</v>
      </c>
      <c r="AE231" s="107">
        <f t="shared" si="98"/>
        <v>4.0962134118513616E-3</v>
      </c>
      <c r="AF231" s="309">
        <f t="shared" si="105"/>
        <v>175.65104824902349</v>
      </c>
      <c r="AG231" s="107">
        <f t="shared" si="99"/>
        <v>1.335749416342384E-2</v>
      </c>
      <c r="AH231" s="119">
        <f t="shared" si="106"/>
        <v>1.7453707575275201E-2</v>
      </c>
      <c r="AI231" s="122">
        <f t="shared" si="100"/>
        <v>1.7453707575275198E-2</v>
      </c>
      <c r="AJ231" s="87" t="b">
        <f t="shared" si="107"/>
        <v>1</v>
      </c>
      <c r="AK231" s="88">
        <f t="shared" si="112"/>
        <v>7.8752401706150277E-4</v>
      </c>
      <c r="AL231" s="312">
        <f>+AC231/'MWh by month-WgtbyCDH&amp;DayLtHrs'!AC231-1</f>
        <v>-0.12044611880221712</v>
      </c>
      <c r="AM231" s="89">
        <f t="shared" si="101"/>
        <v>320490.11573498318</v>
      </c>
      <c r="AN231" s="90"/>
      <c r="AO231" s="96">
        <f t="shared" si="91"/>
        <v>60.097043745945676</v>
      </c>
      <c r="AP231" s="92">
        <f t="shared" si="90"/>
        <v>4.5701173951289489E-3</v>
      </c>
      <c r="AR231" s="94">
        <f t="shared" si="102"/>
        <v>1.7453707575275198E-2</v>
      </c>
      <c r="AS231" s="95"/>
    </row>
    <row r="232" spans="1:45">
      <c r="A232" s="78">
        <f t="shared" si="115"/>
        <v>2023</v>
      </c>
      <c r="B232" s="78">
        <f t="shared" si="116"/>
        <v>12</v>
      </c>
      <c r="C232" s="317">
        <f t="shared" si="109"/>
        <v>42.633806123140985</v>
      </c>
      <c r="D232" s="324">
        <f t="shared" si="113"/>
        <v>2.1271570035074034E-2</v>
      </c>
      <c r="E232" s="321">
        <f>$D232*'MWh Impact Summary'!B$29</f>
        <v>74820.70686134923</v>
      </c>
      <c r="F232" s="321">
        <f>$D232*'MWh Impact Summary'!N$29</f>
        <v>11395.314907730959</v>
      </c>
      <c r="G232" s="321">
        <f>$D232*'MWh Impact Summary'!C$29</f>
        <v>51752.311183140475</v>
      </c>
      <c r="H232" s="321">
        <f>$D232*'MWh Impact Summary'!D$29</f>
        <v>247.76419321888241</v>
      </c>
      <c r="I232" s="321">
        <f>$D232*'MWh Impact Summary'!E$29</f>
        <v>18558.920054978786</v>
      </c>
      <c r="J232" s="104">
        <f t="shared" si="103"/>
        <v>156775.01720041831</v>
      </c>
      <c r="K232" s="298">
        <f t="shared" si="110"/>
        <v>13.483333333333333</v>
      </c>
      <c r="L232" s="300">
        <f t="shared" si="114"/>
        <v>9.491962923853102E-2</v>
      </c>
      <c r="M232" s="297">
        <f t="shared" si="117"/>
        <v>8.4931506849315067E-2</v>
      </c>
      <c r="N232" s="304">
        <f>$M232*'MWh Impact Summary'!F$29</f>
        <v>167742.1745310929</v>
      </c>
      <c r="O232" s="304">
        <f>$M232*'MWh Impact Summary'!G$29</f>
        <v>24469.376538334716</v>
      </c>
      <c r="P232" s="304">
        <f>$M232*'MWh Impact Summary'!H$29</f>
        <v>10691.42619664053</v>
      </c>
      <c r="Q232" s="304">
        <f>$M232*'MWh Impact Summary'!I$29</f>
        <v>1784.6283529910179</v>
      </c>
      <c r="R232" s="304">
        <f>$M232*'MWh Impact Summary'!J$29</f>
        <v>47543.000571588018</v>
      </c>
      <c r="S232" s="304">
        <f>$M232*'MWh Impact Summary'!K$29</f>
        <v>31211.432652914413</v>
      </c>
      <c r="T232" s="304">
        <f>$M232*'MWh Impact Summary'!L$29</f>
        <v>11191.771620454721</v>
      </c>
      <c r="U232" s="304">
        <f>$M232*'MWh Impact Summary'!M$29</f>
        <v>34640.438961680789</v>
      </c>
      <c r="V232" s="304">
        <f>$M232*'LED Impact Forecast'!$H$30+$D232*'LED Impact Forecast'!$J$30</f>
        <v>186407.57600455717</v>
      </c>
      <c r="W232" s="304">
        <f>$M232*'CFL Impact Forecast'!$H$30+$D232*'CFL Impact Forecast'!$J$30</f>
        <v>319421.4977961714</v>
      </c>
      <c r="X232" s="304">
        <f>$M232*'EISA Incand Impact Forecast'!$G$30+$D232*'EISA Incand Impact Forecast'!$I$30</f>
        <v>109948.63432931709</v>
      </c>
      <c r="Y232" s="85">
        <f t="shared" si="95"/>
        <v>945051.95755574293</v>
      </c>
      <c r="Z232" s="81">
        <f t="shared" si="96"/>
        <v>1101826.9747561612</v>
      </c>
      <c r="AA232" s="81">
        <f>SUM(Z221:Z232)</f>
        <v>19400542.35973677</v>
      </c>
      <c r="AB232" s="262">
        <v>5338112.0890329443</v>
      </c>
      <c r="AC232" s="308">
        <f t="shared" si="104"/>
        <v>206.40761309974081</v>
      </c>
      <c r="AD232" s="309">
        <f t="shared" si="97"/>
        <v>29.369000610255036</v>
      </c>
      <c r="AE232" s="107">
        <f t="shared" si="98"/>
        <v>2.1781706262241065E-3</v>
      </c>
      <c r="AF232" s="309">
        <f t="shared" si="105"/>
        <v>177.03861248948581</v>
      </c>
      <c r="AG232" s="107">
        <f t="shared" si="99"/>
        <v>1.3130181396006366E-2</v>
      </c>
      <c r="AH232" s="119">
        <f t="shared" si="106"/>
        <v>1.5308352022230472E-2</v>
      </c>
      <c r="AI232" s="122">
        <f t="shared" si="100"/>
        <v>1.530835202223047E-2</v>
      </c>
      <c r="AJ232" s="87" t="b">
        <f t="shared" si="107"/>
        <v>1</v>
      </c>
      <c r="AK232" s="88">
        <f t="shared" si="112"/>
        <v>7.7089722749169171E-4</v>
      </c>
      <c r="AL232" s="312">
        <f>+AC232/'MWh by month-WgtbyCDH&amp;DayLtHrs'!AC232-1</f>
        <v>-0.14123076436277826</v>
      </c>
      <c r="AM232" s="89">
        <f t="shared" si="101"/>
        <v>319421.4977961714</v>
      </c>
      <c r="AN232" s="90">
        <f>SUM(AM221:AM232)</f>
        <v>4224450.6853054194</v>
      </c>
      <c r="AO232" s="96">
        <f t="shared" si="91"/>
        <v>59.837915065968204</v>
      </c>
      <c r="AP232" s="92">
        <f t="shared" si="90"/>
        <v>4.4379170629889894E-3</v>
      </c>
      <c r="AR232" s="94">
        <f t="shared" si="102"/>
        <v>1.530835202223047E-2</v>
      </c>
      <c r="AS232" s="95"/>
    </row>
    <row r="233" spans="1:45">
      <c r="A233" s="78">
        <f t="shared" si="115"/>
        <v>2024</v>
      </c>
      <c r="B233" s="78">
        <f t="shared" si="116"/>
        <v>1</v>
      </c>
      <c r="C233" s="317">
        <f t="shared" si="109"/>
        <v>26.112829868525239</v>
      </c>
      <c r="D233" s="324">
        <f t="shared" si="113"/>
        <v>1.6125648960134388E-2</v>
      </c>
      <c r="E233" s="321">
        <f>$D233*'MWh Impact Summary'!B$30</f>
        <v>55462.895639936512</v>
      </c>
      <c r="F233" s="321">
        <f>$D233*'MWh Impact Summary'!N$30</f>
        <v>9568.1297999007766</v>
      </c>
      <c r="G233" s="321">
        <f>$D233*'MWh Impact Summary'!C$30</f>
        <v>40027.914144523107</v>
      </c>
      <c r="H233" s="321">
        <f>$D233*'MWh Impact Summary'!D$30</f>
        <v>201.28529690409181</v>
      </c>
      <c r="I233" s="321">
        <f>$D233*'MWh Impact Summary'!E$30</f>
        <v>14241.333259885696</v>
      </c>
      <c r="J233" s="104">
        <f t="shared" si="103"/>
        <v>119501.55814115019</v>
      </c>
      <c r="K233" s="298">
        <f t="shared" si="110"/>
        <v>13.3</v>
      </c>
      <c r="L233" s="300">
        <f t="shared" si="114"/>
        <v>9.3629003871876101E-2</v>
      </c>
      <c r="M233" s="297">
        <f>(31/366)</f>
        <v>8.4699453551912565E-2</v>
      </c>
      <c r="N233" s="304">
        <f>$M233*'MWh Impact Summary'!F$30</f>
        <v>177913.93898184501</v>
      </c>
      <c r="O233" s="304">
        <f>$M233*'MWh Impact Summary'!G$30</f>
        <v>29348.910303715045</v>
      </c>
      <c r="P233" s="304">
        <f>$M233*'MWh Impact Summary'!H$30</f>
        <v>11256.233754500045</v>
      </c>
      <c r="Q233" s="304">
        <f>$M233*'MWh Impact Summary'!I$30</f>
        <v>1872.0972336714331</v>
      </c>
      <c r="R233" s="304">
        <f>$M233*'MWh Impact Summary'!J$30</f>
        <v>48841.629368224894</v>
      </c>
      <c r="S233" s="304">
        <f>$M233*'MWh Impact Summary'!K$30</f>
        <v>34576.912314095389</v>
      </c>
      <c r="T233" s="304">
        <f>$M233*'MWh Impact Summary'!L$30</f>
        <v>12419.534744117105</v>
      </c>
      <c r="U233" s="304">
        <f>$M233*'MWh Impact Summary'!M$30</f>
        <v>38381.159252237456</v>
      </c>
      <c r="V233" s="304">
        <f>$M233*'LED Impact Forecast'!$H$31+$D233*'LED Impact Forecast'!$J$31</f>
        <v>215018.96989634266</v>
      </c>
      <c r="W233" s="304">
        <f>$M233*'CFL Impact Forecast'!$H$31+$D233*'CFL Impact Forecast'!$J$31</f>
        <v>317250.60109060077</v>
      </c>
      <c r="X233" s="304">
        <f>$M233*'EISA Incand Impact Forecast'!$G$31+$D233*'EISA Incand Impact Forecast'!$I$31</f>
        <v>108482.65126808514</v>
      </c>
      <c r="Y233" s="85">
        <f t="shared" si="95"/>
        <v>995362.63820743479</v>
      </c>
      <c r="Z233" s="81">
        <f t="shared" si="96"/>
        <v>1114864.196348585</v>
      </c>
      <c r="AA233" s="81"/>
      <c r="AB233" s="262">
        <v>5343385.5298156925</v>
      </c>
      <c r="AC233" s="308">
        <f t="shared" si="104"/>
        <v>208.64378774986866</v>
      </c>
      <c r="AD233" s="309">
        <f t="shared" si="97"/>
        <v>22.364390043417309</v>
      </c>
      <c r="AE233" s="107">
        <f t="shared" si="98"/>
        <v>1.681533085971226E-3</v>
      </c>
      <c r="AF233" s="309">
        <f t="shared" si="105"/>
        <v>186.27939770645136</v>
      </c>
      <c r="AG233" s="107">
        <f t="shared" si="99"/>
        <v>1.4005969752364763E-2</v>
      </c>
      <c r="AH233" s="119">
        <f t="shared" si="106"/>
        <v>1.568750283833599E-2</v>
      </c>
      <c r="AI233" s="122">
        <f t="shared" si="100"/>
        <v>1.568750283833599E-2</v>
      </c>
      <c r="AJ233" s="87" t="b">
        <f t="shared" si="107"/>
        <v>1</v>
      </c>
      <c r="AK233" s="88">
        <f t="shared" si="112"/>
        <v>6.2774418721953801E-4</v>
      </c>
      <c r="AL233" s="312">
        <f>+AC233/'MWh by month-WgtbyCDH&amp;DayLtHrs'!AC233-1</f>
        <v>-0.12722173414623883</v>
      </c>
      <c r="AM233" s="89">
        <f t="shared" si="101"/>
        <v>317250.60109060077</v>
      </c>
      <c r="AN233" s="93"/>
      <c r="AO233" s="96">
        <f t="shared" si="91"/>
        <v>59.372583041288358</v>
      </c>
      <c r="AP233" s="92">
        <f t="shared" ref="AP233:AP268" si="118">+AO233/K233/1000</f>
        <v>4.4641039880667938E-3</v>
      </c>
      <c r="AR233" s="94">
        <f t="shared" si="102"/>
        <v>1.568750283833599E-2</v>
      </c>
      <c r="AS233" s="95"/>
    </row>
    <row r="234" spans="1:45">
      <c r="A234" s="78">
        <f t="shared" si="115"/>
        <v>2024</v>
      </c>
      <c r="B234" s="78">
        <f t="shared" si="116"/>
        <v>2</v>
      </c>
      <c r="C234" s="317">
        <f t="shared" si="109"/>
        <v>35.042184420393127</v>
      </c>
      <c r="D234" s="324">
        <f t="shared" si="113"/>
        <v>9.4849425755900163E-3</v>
      </c>
      <c r="E234" s="321">
        <f>$D234*'MWh Impact Summary'!B$30</f>
        <v>32622.710659351698</v>
      </c>
      <c r="F234" s="321">
        <f>$D234*'MWh Impact Summary'!N$30</f>
        <v>5627.8765544387825</v>
      </c>
      <c r="G234" s="321">
        <f>$D234*'MWh Impact Summary'!C$30</f>
        <v>23544.011656215851</v>
      </c>
      <c r="H234" s="321">
        <f>$D234*'MWh Impact Summary'!D$30</f>
        <v>118.3939627586924</v>
      </c>
      <c r="I234" s="321">
        <f>$D234*'MWh Impact Summary'!E$30</f>
        <v>8376.6072611275722</v>
      </c>
      <c r="J234" s="104">
        <f t="shared" si="103"/>
        <v>70289.600093892601</v>
      </c>
      <c r="K234" s="298">
        <f t="shared" si="110"/>
        <v>12.733333333333333</v>
      </c>
      <c r="L234" s="300">
        <f t="shared" si="114"/>
        <v>8.9639798193124468E-2</v>
      </c>
      <c r="M234" s="297">
        <f>(29/366)</f>
        <v>7.9234972677595633E-2</v>
      </c>
      <c r="N234" s="304">
        <f>$M234*'MWh Impact Summary'!F$30</f>
        <v>166435.62033785501</v>
      </c>
      <c r="O234" s="304">
        <f>$M234*'MWh Impact Summary'!G$30</f>
        <v>27455.432219604401</v>
      </c>
      <c r="P234" s="304">
        <f>$M234*'MWh Impact Summary'!H$30</f>
        <v>10530.025125177463</v>
      </c>
      <c r="Q234" s="304">
        <f>$M234*'MWh Impact Summary'!I$30</f>
        <v>1751.3167669829536</v>
      </c>
      <c r="R234" s="304">
        <f>$M234*'MWh Impact Summary'!J$30</f>
        <v>45690.556505758774</v>
      </c>
      <c r="S234" s="304">
        <f>$M234*'MWh Impact Summary'!K$30</f>
        <v>32346.143777702142</v>
      </c>
      <c r="T234" s="304">
        <f>$M234*'MWh Impact Summary'!L$30</f>
        <v>11618.274438045035</v>
      </c>
      <c r="U234" s="304">
        <f>$M234*'MWh Impact Summary'!M$30</f>
        <v>35904.955429512462</v>
      </c>
      <c r="V234" s="304">
        <f>$M234*'LED Impact Forecast'!$H$31+$D234*'LED Impact Forecast'!$J$31</f>
        <v>198781.58237110171</v>
      </c>
      <c r="W234" s="304">
        <f>$M234*'CFL Impact Forecast'!$H$31+$D234*'CFL Impact Forecast'!$J$31</f>
        <v>293296.78368643828</v>
      </c>
      <c r="X234" s="304">
        <f>$M234*'EISA Incand Impact Forecast'!$G$31+$D234*'EISA Incand Impact Forecast'!$I$31</f>
        <v>100200.77456983677</v>
      </c>
      <c r="Y234" s="85">
        <f t="shared" si="95"/>
        <v>924011.46522801521</v>
      </c>
      <c r="Z234" s="81">
        <f t="shared" si="96"/>
        <v>994301.06532190787</v>
      </c>
      <c r="AA234" s="81"/>
      <c r="AB234" s="262">
        <v>5348619.574030689</v>
      </c>
      <c r="AC234" s="308">
        <f t="shared" si="104"/>
        <v>185.89863263963795</v>
      </c>
      <c r="AD234" s="309">
        <f t="shared" si="97"/>
        <v>13.141633859168406</v>
      </c>
      <c r="AE234" s="107">
        <f t="shared" si="98"/>
        <v>1.0320654863221262E-3</v>
      </c>
      <c r="AF234" s="309">
        <f t="shared" si="105"/>
        <v>172.75699878046953</v>
      </c>
      <c r="AG234" s="107">
        <f t="shared" si="99"/>
        <v>1.3567303569146823E-2</v>
      </c>
      <c r="AH234" s="119">
        <f t="shared" si="106"/>
        <v>1.459936905546895E-2</v>
      </c>
      <c r="AI234" s="122">
        <f t="shared" si="100"/>
        <v>1.459936905546895E-2</v>
      </c>
      <c r="AJ234" s="87" t="b">
        <f t="shared" si="107"/>
        <v>1</v>
      </c>
      <c r="AK234" s="88">
        <f t="shared" si="112"/>
        <v>1.0528179088085728E-3</v>
      </c>
      <c r="AL234" s="312">
        <f>+AC234/'MWh by month-WgtbyCDH&amp;DayLtHrs'!AC234-1</f>
        <v>-0.21521610245762635</v>
      </c>
      <c r="AM234" s="89">
        <f t="shared" si="101"/>
        <v>293296.78368643828</v>
      </c>
      <c r="AN234" s="93"/>
      <c r="AO234" s="96">
        <f t="shared" si="91"/>
        <v>54.835977699833208</v>
      </c>
      <c r="AP234" s="92">
        <f t="shared" si="118"/>
        <v>4.3064903952748593E-3</v>
      </c>
      <c r="AR234" s="94">
        <f t="shared" si="102"/>
        <v>1.459936905546895E-2</v>
      </c>
      <c r="AS234" s="95"/>
    </row>
    <row r="235" spans="1:45">
      <c r="A235" s="78">
        <f t="shared" si="115"/>
        <v>2024</v>
      </c>
      <c r="B235" s="78">
        <f t="shared" si="116"/>
        <v>3</v>
      </c>
      <c r="C235" s="317">
        <f t="shared" si="109"/>
        <v>64.582270600115152</v>
      </c>
      <c r="D235" s="324">
        <f t="shared" si="113"/>
        <v>5.6112649790650677E-2</v>
      </c>
      <c r="E235" s="321">
        <f>$D235*'MWh Impact Summary'!B$30</f>
        <v>192995.02594363978</v>
      </c>
      <c r="F235" s="321">
        <f>$D235*'MWh Impact Summary'!N$30</f>
        <v>33294.357203274158</v>
      </c>
      <c r="G235" s="321">
        <f>$D235*'MWh Impact Summary'!C$30</f>
        <v>139285.70154259016</v>
      </c>
      <c r="H235" s="321">
        <f>$D235*'MWh Impact Summary'!D$30</f>
        <v>700.41530738446136</v>
      </c>
      <c r="I235" s="321">
        <f>$D235*'MWh Impact Summary'!E$30</f>
        <v>49555.769677206954</v>
      </c>
      <c r="J235" s="104">
        <f t="shared" si="103"/>
        <v>415831.2696740955</v>
      </c>
      <c r="K235" s="298">
        <f t="shared" si="110"/>
        <v>12</v>
      </c>
      <c r="L235" s="300">
        <f t="shared" si="114"/>
        <v>8.4477296726504739E-2</v>
      </c>
      <c r="M235" s="297">
        <f>(31/366)</f>
        <v>8.4699453551912565E-2</v>
      </c>
      <c r="N235" s="304">
        <f>$M235*'MWh Impact Summary'!F$30</f>
        <v>177913.93898184501</v>
      </c>
      <c r="O235" s="304">
        <f>$M235*'MWh Impact Summary'!G$30</f>
        <v>29348.910303715045</v>
      </c>
      <c r="P235" s="304">
        <f>$M235*'MWh Impact Summary'!H$30</f>
        <v>11256.233754500045</v>
      </c>
      <c r="Q235" s="304">
        <f>$M235*'MWh Impact Summary'!I$30</f>
        <v>1872.0972336714331</v>
      </c>
      <c r="R235" s="304">
        <f>$M235*'MWh Impact Summary'!J$30</f>
        <v>48841.629368224894</v>
      </c>
      <c r="S235" s="304">
        <f>$M235*'MWh Impact Summary'!K$30</f>
        <v>34576.912314095389</v>
      </c>
      <c r="T235" s="304">
        <f>$M235*'MWh Impact Summary'!L$30</f>
        <v>12419.534744117105</v>
      </c>
      <c r="U235" s="304">
        <f>$M235*'MWh Impact Summary'!M$30</f>
        <v>38381.159252237456</v>
      </c>
      <c r="V235" s="304">
        <f>$M235*'LED Impact Forecast'!$H$31+$D235*'LED Impact Forecast'!$J$31</f>
        <v>231906.70501459061</v>
      </c>
      <c r="W235" s="304">
        <f>$M235*'CFL Impact Forecast'!$H$31+$D235*'CFL Impact Forecast'!$J$31</f>
        <v>342141.25126325362</v>
      </c>
      <c r="X235" s="304">
        <f>$M235*'EISA Incand Impact Forecast'!$G$31+$D235*'EISA Incand Impact Forecast'!$I$31</f>
        <v>117643.37065982299</v>
      </c>
      <c r="Y235" s="85">
        <f t="shared" si="95"/>
        <v>1046301.7428900736</v>
      </c>
      <c r="Z235" s="81">
        <f t="shared" si="96"/>
        <v>1462133.012564169</v>
      </c>
      <c r="AA235" s="81"/>
      <c r="AB235" s="262">
        <v>5353889.4374803631</v>
      </c>
      <c r="AC235" s="308">
        <f t="shared" si="104"/>
        <v>273.09734906521999</v>
      </c>
      <c r="AD235" s="309">
        <f t="shared" si="97"/>
        <v>77.669005781672098</v>
      </c>
      <c r="AE235" s="107">
        <f t="shared" si="98"/>
        <v>6.4724171484726754E-3</v>
      </c>
      <c r="AF235" s="309">
        <f t="shared" si="105"/>
        <v>195.42834328354789</v>
      </c>
      <c r="AG235" s="107">
        <f t="shared" si="99"/>
        <v>1.628569527362899E-2</v>
      </c>
      <c r="AH235" s="119">
        <f t="shared" si="106"/>
        <v>2.2758112422101667E-2</v>
      </c>
      <c r="AI235" s="122">
        <f t="shared" si="100"/>
        <v>2.2758112422101663E-2</v>
      </c>
      <c r="AJ235" s="87" t="b">
        <f t="shared" si="107"/>
        <v>1</v>
      </c>
      <c r="AK235" s="88">
        <f t="shared" si="112"/>
        <v>6.9929655627593013E-4</v>
      </c>
      <c r="AL235" s="312">
        <f>+AC235/'MWh by month-WgtbyCDH&amp;DayLtHrs'!AC235-1</f>
        <v>0.10658695752482905</v>
      </c>
      <c r="AM235" s="89">
        <f t="shared" si="101"/>
        <v>342141.25126325362</v>
      </c>
      <c r="AN235" s="93"/>
      <c r="AO235" s="96">
        <f t="shared" ref="AO235:AO268" si="119">+AM235*1000/AB235</f>
        <v>63.905176836126721</v>
      </c>
      <c r="AP235" s="92">
        <f t="shared" si="118"/>
        <v>5.3254314030105601E-3</v>
      </c>
      <c r="AR235" s="94">
        <f t="shared" si="102"/>
        <v>2.2758112422101663E-2</v>
      </c>
      <c r="AS235" s="95"/>
    </row>
    <row r="236" spans="1:45">
      <c r="A236" s="78">
        <f t="shared" si="115"/>
        <v>2024</v>
      </c>
      <c r="B236" s="78">
        <f t="shared" si="116"/>
        <v>4</v>
      </c>
      <c r="C236" s="317">
        <f t="shared" si="109"/>
        <v>114.03392869270741</v>
      </c>
      <c r="D236" s="324">
        <f t="shared" si="113"/>
        <v>5.6895710731417456E-2</v>
      </c>
      <c r="E236" s="321">
        <f>$D236*'MWh Impact Summary'!B$30</f>
        <v>195688.30218603023</v>
      </c>
      <c r="F236" s="321">
        <f>$D236*'MWh Impact Summary'!N$30</f>
        <v>33758.985246524484</v>
      </c>
      <c r="G236" s="321">
        <f>$D236*'MWh Impact Summary'!C$30</f>
        <v>141229.45563177014</v>
      </c>
      <c r="H236" s="321">
        <f>$D236*'MWh Impact Summary'!D$30</f>
        <v>710.18971425304073</v>
      </c>
      <c r="I236" s="321">
        <f>$D236*'MWh Impact Summary'!E$30</f>
        <v>50247.328314495215</v>
      </c>
      <c r="J236" s="104">
        <f t="shared" si="103"/>
        <v>421634.26109307312</v>
      </c>
      <c r="K236" s="298">
        <f t="shared" si="110"/>
        <v>11.2</v>
      </c>
      <c r="L236" s="300">
        <f t="shared" si="114"/>
        <v>7.8845476944737758E-2</v>
      </c>
      <c r="M236" s="297">
        <f>(30/366)</f>
        <v>8.1967213114754092E-2</v>
      </c>
      <c r="N236" s="304">
        <f>$M236*'MWh Impact Summary'!F$30</f>
        <v>172174.77965985</v>
      </c>
      <c r="O236" s="304">
        <f>$M236*'MWh Impact Summary'!G$30</f>
        <v>28402.171261659721</v>
      </c>
      <c r="P236" s="304">
        <f>$M236*'MWh Impact Summary'!H$30</f>
        <v>10893.129439838753</v>
      </c>
      <c r="Q236" s="304">
        <f>$M236*'MWh Impact Summary'!I$30</f>
        <v>1811.7070003271933</v>
      </c>
      <c r="R236" s="304">
        <f>$M236*'MWh Impact Summary'!J$30</f>
        <v>47266.09293699183</v>
      </c>
      <c r="S236" s="304">
        <f>$M236*'MWh Impact Summary'!K$30</f>
        <v>33461.528045898762</v>
      </c>
      <c r="T236" s="304">
        <f>$M236*'MWh Impact Summary'!L$30</f>
        <v>12018.904591081069</v>
      </c>
      <c r="U236" s="304">
        <f>$M236*'MWh Impact Summary'!M$30</f>
        <v>37143.057340874955</v>
      </c>
      <c r="V236" s="304">
        <f>$M236*'LED Impact Forecast'!$H$31+$D236*'LED Impact Forecast'!$J$31</f>
        <v>225521.00871414421</v>
      </c>
      <c r="W236" s="304">
        <f>$M236*'CFL Impact Forecast'!$H$31+$D236*'CFL Impact Forecast'!$J$31</f>
        <v>332718.58878063492</v>
      </c>
      <c r="X236" s="304">
        <f>$M236*'EISA Incand Impact Forecast'!$G$31+$D236*'EISA Incand Impact Forecast'!$I$31</f>
        <v>114442.49344657107</v>
      </c>
      <c r="Y236" s="85">
        <f t="shared" si="95"/>
        <v>1015853.4612178724</v>
      </c>
      <c r="Z236" s="81">
        <f t="shared" si="96"/>
        <v>1437487.7223109456</v>
      </c>
      <c r="AA236" s="81"/>
      <c r="AB236" s="262">
        <v>5359119.6367630055</v>
      </c>
      <c r="AC236" s="308">
        <f t="shared" si="104"/>
        <v>268.23206417149726</v>
      </c>
      <c r="AD236" s="309">
        <f t="shared" si="97"/>
        <v>78.676030704876553</v>
      </c>
      <c r="AE236" s="107">
        <f t="shared" si="98"/>
        <v>7.0246455986496927E-3</v>
      </c>
      <c r="AF236" s="309">
        <f t="shared" si="105"/>
        <v>189.5560334666207</v>
      </c>
      <c r="AG236" s="107">
        <f t="shared" si="99"/>
        <v>1.6924645845233992E-2</v>
      </c>
      <c r="AH236" s="119">
        <f t="shared" si="106"/>
        <v>2.3949291443883684E-2</v>
      </c>
      <c r="AI236" s="122">
        <f t="shared" si="100"/>
        <v>2.3949291443883684E-2</v>
      </c>
      <c r="AJ236" s="87" t="b">
        <f t="shared" si="107"/>
        <v>1</v>
      </c>
      <c r="AK236" s="88">
        <f t="shared" si="112"/>
        <v>7.2471747141756443E-4</v>
      </c>
      <c r="AL236" s="312">
        <f>+AC236/'MWh by month-WgtbyCDH&amp;DayLtHrs'!AC236-1</f>
        <v>-5.5354437410339852E-3</v>
      </c>
      <c r="AM236" s="89">
        <f t="shared" si="101"/>
        <v>332718.58878063492</v>
      </c>
      <c r="AN236" s="93"/>
      <c r="AO236" s="96">
        <f t="shared" si="119"/>
        <v>62.084560773418808</v>
      </c>
      <c r="AP236" s="92">
        <f t="shared" si="118"/>
        <v>5.5432643547695367E-3</v>
      </c>
      <c r="AR236" s="94">
        <f t="shared" si="102"/>
        <v>2.3949291443883684E-2</v>
      </c>
      <c r="AS236" s="95"/>
    </row>
    <row r="237" spans="1:45">
      <c r="A237" s="78">
        <f t="shared" si="115"/>
        <v>2024</v>
      </c>
      <c r="B237" s="78">
        <f t="shared" si="116"/>
        <v>5</v>
      </c>
      <c r="C237" s="317">
        <f t="shared" si="109"/>
        <v>208.47875842628665</v>
      </c>
      <c r="D237" s="324">
        <f t="shared" si="113"/>
        <v>0.10401770130213556</v>
      </c>
      <c r="E237" s="321">
        <f>$D237*'MWh Impact Summary'!B$30</f>
        <v>357760.66602273064</v>
      </c>
      <c r="F237" s="321">
        <f>$D237*'MWh Impact Summary'!N$30</f>
        <v>61718.748188466503</v>
      </c>
      <c r="G237" s="321">
        <f>$D237*'MWh Impact Summary'!C$30</f>
        <v>258198.08105247459</v>
      </c>
      <c r="H237" s="321">
        <f>$D237*'MWh Impact Summary'!D$30</f>
        <v>1298.3808553467982</v>
      </c>
      <c r="I237" s="321">
        <f>$D237*'MWh Impact Summary'!E$30</f>
        <v>91863.016045626078</v>
      </c>
      <c r="J237" s="104">
        <f t="shared" si="103"/>
        <v>770838.89216464455</v>
      </c>
      <c r="K237" s="298">
        <f t="shared" si="110"/>
        <v>10.533333333333333</v>
      </c>
      <c r="L237" s="300">
        <f t="shared" si="114"/>
        <v>7.4152293793265281E-2</v>
      </c>
      <c r="M237" s="297">
        <f>(31/366)</f>
        <v>8.4699453551912565E-2</v>
      </c>
      <c r="N237" s="304">
        <f>$M237*'MWh Impact Summary'!F$30</f>
        <v>177913.93898184501</v>
      </c>
      <c r="O237" s="304">
        <f>$M237*'MWh Impact Summary'!G$30</f>
        <v>29348.910303715045</v>
      </c>
      <c r="P237" s="304">
        <f>$M237*'MWh Impact Summary'!H$30</f>
        <v>11256.233754500045</v>
      </c>
      <c r="Q237" s="304">
        <f>$M237*'MWh Impact Summary'!I$30</f>
        <v>1872.0972336714331</v>
      </c>
      <c r="R237" s="304">
        <f>$M237*'MWh Impact Summary'!J$30</f>
        <v>48841.629368224894</v>
      </c>
      <c r="S237" s="304">
        <f>$M237*'MWh Impact Summary'!K$30</f>
        <v>34576.912314095389</v>
      </c>
      <c r="T237" s="304">
        <f>$M237*'MWh Impact Summary'!L$30</f>
        <v>12419.534744117105</v>
      </c>
      <c r="U237" s="304">
        <f>$M237*'MWh Impact Summary'!M$30</f>
        <v>38381.159252237456</v>
      </c>
      <c r="V237" s="304">
        <f>$M237*'LED Impact Forecast'!$H$31+$D237*'LED Impact Forecast'!$J$31</f>
        <v>252138.4754387076</v>
      </c>
      <c r="W237" s="304">
        <f>$M237*'CFL Impact Forecast'!$H$31+$D237*'CFL Impact Forecast'!$J$31</f>
        <v>371960.63891198434</v>
      </c>
      <c r="X237" s="304">
        <f>$M237*'EISA Incand Impact Forecast'!$G$31+$D237*'EISA Incand Impact Forecast'!$I$31</f>
        <v>128618.0555631367</v>
      </c>
      <c r="Y237" s="85">
        <f t="shared" si="95"/>
        <v>1107327.585866235</v>
      </c>
      <c r="Z237" s="81">
        <f t="shared" si="96"/>
        <v>1878166.4780308795</v>
      </c>
      <c r="AA237" s="81"/>
      <c r="AB237" s="262">
        <v>5364378.1867245836</v>
      </c>
      <c r="AC237" s="308">
        <f t="shared" si="104"/>
        <v>350.11820804857581</v>
      </c>
      <c r="AD237" s="309">
        <f t="shared" si="97"/>
        <v>143.69585165942752</v>
      </c>
      <c r="AE237" s="107">
        <f t="shared" si="98"/>
        <v>1.3642011233489954E-2</v>
      </c>
      <c r="AF237" s="309">
        <f t="shared" si="105"/>
        <v>206.42235638914829</v>
      </c>
      <c r="AG237" s="107">
        <f t="shared" si="99"/>
        <v>1.9597059150868509E-2</v>
      </c>
      <c r="AH237" s="119">
        <f t="shared" si="106"/>
        <v>3.3239070384358464E-2</v>
      </c>
      <c r="AI237" s="122">
        <f t="shared" si="100"/>
        <v>3.3239070384358464E-2</v>
      </c>
      <c r="AJ237" s="87" t="b">
        <f t="shared" si="107"/>
        <v>1</v>
      </c>
      <c r="AK237" s="88">
        <f t="shared" si="112"/>
        <v>8.0159910456280986E-4</v>
      </c>
      <c r="AL237" s="312">
        <f>+AC237/'MWh by month-WgtbyCDH&amp;DayLtHrs'!AC237-1</f>
        <v>7.3468516737043021E-2</v>
      </c>
      <c r="AM237" s="89">
        <f t="shared" si="101"/>
        <v>371960.63891198434</v>
      </c>
      <c r="AN237" s="93"/>
      <c r="AO237" s="96">
        <f t="shared" si="119"/>
        <v>69.339003695244401</v>
      </c>
      <c r="AP237" s="92">
        <f t="shared" si="118"/>
        <v>6.582816806510545E-3</v>
      </c>
      <c r="AR237" s="94">
        <f t="shared" si="102"/>
        <v>3.3239070384358464E-2</v>
      </c>
      <c r="AS237" s="95"/>
    </row>
    <row r="238" spans="1:45">
      <c r="A238" s="78">
        <f t="shared" si="115"/>
        <v>2024</v>
      </c>
      <c r="B238" s="78">
        <f t="shared" si="116"/>
        <v>6</v>
      </c>
      <c r="C238" s="317">
        <f t="shared" si="109"/>
        <v>271.66325293295364</v>
      </c>
      <c r="D238" s="324">
        <f t="shared" si="113"/>
        <v>0.13554276374078555</v>
      </c>
      <c r="E238" s="321">
        <f>$D238*'MWh Impact Summary'!B$30</f>
        <v>466188.62773762812</v>
      </c>
      <c r="F238" s="321">
        <f>$D238*'MWh Impact Summary'!N$30</f>
        <v>80424.097046591836</v>
      </c>
      <c r="G238" s="321">
        <f>$D238*'MWh Impact Summary'!C$30</f>
        <v>336451.21032588376</v>
      </c>
      <c r="H238" s="321">
        <f>$D238*'MWh Impact Summary'!D$30</f>
        <v>1691.8863550988412</v>
      </c>
      <c r="I238" s="321">
        <f>$D238*'MWh Impact Summary'!E$30</f>
        <v>119704.30921388428</v>
      </c>
      <c r="J238" s="104">
        <f t="shared" si="103"/>
        <v>1004460.1306790869</v>
      </c>
      <c r="K238" s="298">
        <f t="shared" si="110"/>
        <v>10.199999999999999</v>
      </c>
      <c r="L238" s="300">
        <f t="shared" si="114"/>
        <v>7.1805702217529022E-2</v>
      </c>
      <c r="M238" s="297">
        <f>(30/366)</f>
        <v>8.1967213114754092E-2</v>
      </c>
      <c r="N238" s="304">
        <f>$M238*'MWh Impact Summary'!F$30</f>
        <v>172174.77965985</v>
      </c>
      <c r="O238" s="304">
        <f>$M238*'MWh Impact Summary'!G$30</f>
        <v>28402.171261659721</v>
      </c>
      <c r="P238" s="304">
        <f>$M238*'MWh Impact Summary'!H$30</f>
        <v>10893.129439838753</v>
      </c>
      <c r="Q238" s="304">
        <f>$M238*'MWh Impact Summary'!I$30</f>
        <v>1811.7070003271933</v>
      </c>
      <c r="R238" s="304">
        <f>$M238*'MWh Impact Summary'!J$30</f>
        <v>47266.09293699183</v>
      </c>
      <c r="S238" s="304">
        <f>$M238*'MWh Impact Summary'!K$30</f>
        <v>33461.528045898762</v>
      </c>
      <c r="T238" s="304">
        <f>$M238*'MWh Impact Summary'!L$30</f>
        <v>12018.904591081069</v>
      </c>
      <c r="U238" s="304">
        <f>$M238*'MWh Impact Summary'!M$30</f>
        <v>37143.057340874955</v>
      </c>
      <c r="V238" s="304">
        <f>$M238*'LED Impact Forecast'!$H$31+$D238*'LED Impact Forecast'!$J$31</f>
        <v>258736.06789506215</v>
      </c>
      <c r="W238" s="304">
        <f>$M238*'CFL Impact Forecast'!$H$31+$D238*'CFL Impact Forecast'!$J$31</f>
        <v>381673.90533121576</v>
      </c>
      <c r="X238" s="304">
        <f>$M238*'EISA Incand Impact Forecast'!$G$31+$D238*'EISA Incand Impact Forecast'!$I$31</f>
        <v>132459.93833221318</v>
      </c>
      <c r="Y238" s="85">
        <f t="shared" si="95"/>
        <v>1116041.2818350133</v>
      </c>
      <c r="Z238" s="81">
        <f t="shared" si="96"/>
        <v>2120501.4125141003</v>
      </c>
      <c r="AA238" s="81"/>
      <c r="AB238" s="262">
        <v>5369633.722238888</v>
      </c>
      <c r="AC238" s="308">
        <f t="shared" si="104"/>
        <v>394.90615602547086</v>
      </c>
      <c r="AD238" s="309">
        <f t="shared" si="97"/>
        <v>187.06306288993463</v>
      </c>
      <c r="AE238" s="107">
        <f t="shared" si="98"/>
        <v>1.8339515969601435E-2</v>
      </c>
      <c r="AF238" s="309">
        <f t="shared" si="105"/>
        <v>207.84309313553624</v>
      </c>
      <c r="AG238" s="107">
        <f t="shared" si="99"/>
        <v>2.0376773836817279E-2</v>
      </c>
      <c r="AH238" s="119">
        <f t="shared" si="106"/>
        <v>3.8716289806418711E-2</v>
      </c>
      <c r="AI238" s="122">
        <f t="shared" si="100"/>
        <v>3.8716289806418717E-2</v>
      </c>
      <c r="AJ238" s="87" t="b">
        <f t="shared" si="107"/>
        <v>1</v>
      </c>
      <c r="AK238" s="88">
        <f t="shared" si="112"/>
        <v>8.0512623646255416E-4</v>
      </c>
      <c r="AL238" s="312">
        <f>+AC238/'MWh by month-WgtbyCDH&amp;DayLtHrs'!AC238-1</f>
        <v>8.0866622955300116E-2</v>
      </c>
      <c r="AM238" s="89">
        <f t="shared" si="101"/>
        <v>381673.90533121576</v>
      </c>
      <c r="AN238" s="93"/>
      <c r="AO238" s="96">
        <f t="shared" si="119"/>
        <v>71.080063385045079</v>
      </c>
      <c r="AP238" s="92">
        <f t="shared" si="118"/>
        <v>6.968633665200499E-3</v>
      </c>
      <c r="AR238" s="94">
        <f t="shared" si="102"/>
        <v>3.8716289806418717E-2</v>
      </c>
      <c r="AS238" s="95"/>
    </row>
    <row r="239" spans="1:45">
      <c r="A239" s="78">
        <f t="shared" si="115"/>
        <v>2024</v>
      </c>
      <c r="B239" s="78">
        <f t="shared" si="116"/>
        <v>7</v>
      </c>
      <c r="C239" s="317">
        <f t="shared" si="109"/>
        <v>322.31916585708109</v>
      </c>
      <c r="D239" s="324">
        <f t="shared" si="113"/>
        <v>0.16081685717602592</v>
      </c>
      <c r="E239" s="321">
        <f>$D239*'MWh Impact Summary'!B$30</f>
        <v>553116.87540432287</v>
      </c>
      <c r="F239" s="321">
        <f>$D239*'MWh Impact Summary'!N$30</f>
        <v>95420.442754044503</v>
      </c>
      <c r="G239" s="321">
        <f>$D239*'MWh Impact Summary'!C$30</f>
        <v>399187.86325734045</v>
      </c>
      <c r="H239" s="321">
        <f>$D239*'MWh Impact Summary'!D$30</f>
        <v>2007.3653422497384</v>
      </c>
      <c r="I239" s="321">
        <f>$D239*'MWh Impact Summary'!E$30</f>
        <v>142025.07213899682</v>
      </c>
      <c r="J239" s="104">
        <f t="shared" si="103"/>
        <v>1191757.6188969542</v>
      </c>
      <c r="K239" s="298">
        <f t="shared" si="110"/>
        <v>10.366666666666667</v>
      </c>
      <c r="L239" s="300">
        <f t="shared" si="114"/>
        <v>7.2978998005397158E-2</v>
      </c>
      <c r="M239" s="297">
        <f>(31/366)</f>
        <v>8.4699453551912565E-2</v>
      </c>
      <c r="N239" s="304">
        <f>$M239*'MWh Impact Summary'!F$30</f>
        <v>177913.93898184501</v>
      </c>
      <c r="O239" s="304">
        <f>$M239*'MWh Impact Summary'!G$30</f>
        <v>29348.910303715045</v>
      </c>
      <c r="P239" s="304">
        <f>$M239*'MWh Impact Summary'!H$30</f>
        <v>11256.233754500045</v>
      </c>
      <c r="Q239" s="304">
        <f>$M239*'MWh Impact Summary'!I$30</f>
        <v>1872.0972336714331</v>
      </c>
      <c r="R239" s="304">
        <f>$M239*'MWh Impact Summary'!J$30</f>
        <v>48841.629368224894</v>
      </c>
      <c r="S239" s="304">
        <f>$M239*'MWh Impact Summary'!K$30</f>
        <v>34576.912314095389</v>
      </c>
      <c r="T239" s="304">
        <f>$M239*'MWh Impact Summary'!L$30</f>
        <v>12419.534744117105</v>
      </c>
      <c r="U239" s="304">
        <f>$M239*'MWh Impact Summary'!M$30</f>
        <v>38381.159252237456</v>
      </c>
      <c r="V239" s="304">
        <f>$M239*'LED Impact Forecast'!$H$31+$D239*'LED Impact Forecast'!$J$31</f>
        <v>276126.49853161012</v>
      </c>
      <c r="W239" s="304">
        <f>$M239*'CFL Impact Forecast'!$H$31+$D239*'CFL Impact Forecast'!$J$31</f>
        <v>407316.32675041957</v>
      </c>
      <c r="X239" s="304">
        <f>$M239*'EISA Incand Impact Forecast'!$G$31+$D239*'EISA Incand Impact Forecast'!$I$31</f>
        <v>141630.31249267369</v>
      </c>
      <c r="Y239" s="85">
        <f t="shared" si="95"/>
        <v>1179683.5537271097</v>
      </c>
      <c r="Z239" s="81">
        <f t="shared" si="96"/>
        <v>2371441.1726240637</v>
      </c>
      <c r="AA239" s="81"/>
      <c r="AB239" s="262">
        <v>5374960.0944571337</v>
      </c>
      <c r="AC239" s="308">
        <f t="shared" si="104"/>
        <v>441.20163330507052</v>
      </c>
      <c r="AD239" s="309">
        <f t="shared" si="97"/>
        <v>221.72399384433399</v>
      </c>
      <c r="AE239" s="107">
        <f t="shared" si="98"/>
        <v>2.1388166608778195E-2</v>
      </c>
      <c r="AF239" s="309">
        <f t="shared" si="105"/>
        <v>219.47763946073664</v>
      </c>
      <c r="AG239" s="107">
        <f t="shared" si="99"/>
        <v>2.1171476475312215E-2</v>
      </c>
      <c r="AH239" s="119">
        <f t="shared" si="106"/>
        <v>4.2559643084090409E-2</v>
      </c>
      <c r="AI239" s="122">
        <f t="shared" si="100"/>
        <v>4.2559643084090402E-2</v>
      </c>
      <c r="AJ239" s="87" t="b">
        <f t="shared" si="107"/>
        <v>1</v>
      </c>
      <c r="AK239" s="88">
        <f t="shared" si="112"/>
        <v>8.2081084689014649E-4</v>
      </c>
      <c r="AL239" s="312">
        <f>+AC239/'MWh by month-WgtbyCDH&amp;DayLtHrs'!AC239-1</f>
        <v>9.4983185098467038E-2</v>
      </c>
      <c r="AM239" s="89">
        <f t="shared" si="101"/>
        <v>407316.32675041957</v>
      </c>
      <c r="AN239" s="93"/>
      <c r="AO239" s="96">
        <f t="shared" si="119"/>
        <v>75.780344336037004</v>
      </c>
      <c r="AP239" s="92">
        <f t="shared" si="118"/>
        <v>7.3100010613540512E-3</v>
      </c>
      <c r="AR239" s="94">
        <f t="shared" si="102"/>
        <v>4.2559643084090402E-2</v>
      </c>
      <c r="AS239" s="95"/>
    </row>
    <row r="240" spans="1:45">
      <c r="A240" s="78">
        <f t="shared" si="115"/>
        <v>2024</v>
      </c>
      <c r="B240" s="78">
        <f t="shared" si="116"/>
        <v>8</v>
      </c>
      <c r="C240" s="317">
        <f t="shared" si="109"/>
        <v>326.45437890907908</v>
      </c>
      <c r="D240" s="324">
        <f t="shared" si="113"/>
        <v>0.16288006668144661</v>
      </c>
      <c r="E240" s="321">
        <f>$D240*'MWh Impact Summary'!B$30</f>
        <v>560213.12150054937</v>
      </c>
      <c r="F240" s="321">
        <f>$D240*'MWh Impact Summary'!N$30</f>
        <v>96644.645042030417</v>
      </c>
      <c r="G240" s="321">
        <f>$D240*'MWh Impact Summary'!C$30</f>
        <v>404309.26786867186</v>
      </c>
      <c r="H240" s="321">
        <f>$D240*'MWh Impact Summary'!D$30</f>
        <v>2033.1189561911451</v>
      </c>
      <c r="I240" s="321">
        <f>$D240*'MWh Impact Summary'!E$30</f>
        <v>143847.19131226544</v>
      </c>
      <c r="J240" s="104">
        <f t="shared" si="103"/>
        <v>1207047.3446797081</v>
      </c>
      <c r="K240" s="298">
        <f t="shared" si="110"/>
        <v>10.933333333333334</v>
      </c>
      <c r="L240" s="300">
        <f t="shared" si="114"/>
        <v>7.6968203684148764E-2</v>
      </c>
      <c r="M240" s="297">
        <f>(31/366)</f>
        <v>8.4699453551912565E-2</v>
      </c>
      <c r="N240" s="304">
        <f>$M240*'MWh Impact Summary'!F$30</f>
        <v>177913.93898184501</v>
      </c>
      <c r="O240" s="304">
        <f>$M240*'MWh Impact Summary'!G$30</f>
        <v>29348.910303715045</v>
      </c>
      <c r="P240" s="304">
        <f>$M240*'MWh Impact Summary'!H$30</f>
        <v>11256.233754500045</v>
      </c>
      <c r="Q240" s="304">
        <f>$M240*'MWh Impact Summary'!I$30</f>
        <v>1872.0972336714331</v>
      </c>
      <c r="R240" s="304">
        <f>$M240*'MWh Impact Summary'!J$30</f>
        <v>48841.629368224894</v>
      </c>
      <c r="S240" s="304">
        <f>$M240*'MWh Impact Summary'!K$30</f>
        <v>34576.912314095389</v>
      </c>
      <c r="T240" s="304">
        <f>$M240*'MWh Impact Summary'!L$30</f>
        <v>12419.534744117105</v>
      </c>
      <c r="U240" s="304">
        <f>$M240*'MWh Impact Summary'!M$30</f>
        <v>38381.159252237456</v>
      </c>
      <c r="V240" s="304">
        <f>$M240*'LED Impact Forecast'!$H$31+$D240*'LED Impact Forecast'!$J$31</f>
        <v>276997.8550949262</v>
      </c>
      <c r="W240" s="304">
        <f>$M240*'CFL Impact Forecast'!$H$31+$D240*'CFL Impact Forecast'!$J$31</f>
        <v>408600.60976654233</v>
      </c>
      <c r="X240" s="304">
        <f>$M240*'EISA Incand Impact Forecast'!$G$31+$D240*'EISA Incand Impact Forecast'!$I$31</f>
        <v>142102.97818234705</v>
      </c>
      <c r="Y240" s="85">
        <f t="shared" si="95"/>
        <v>1182311.858996222</v>
      </c>
      <c r="Z240" s="81">
        <f t="shared" si="96"/>
        <v>2389359.2036759304</v>
      </c>
      <c r="AA240" s="81"/>
      <c r="AB240" s="262">
        <v>5380321.6496443385</v>
      </c>
      <c r="AC240" s="308">
        <f t="shared" si="104"/>
        <v>444.09226051269201</v>
      </c>
      <c r="AD240" s="309">
        <f t="shared" si="97"/>
        <v>224.34482978531574</v>
      </c>
      <c r="AE240" s="107">
        <f t="shared" si="98"/>
        <v>2.0519344187681317E-2</v>
      </c>
      <c r="AF240" s="309">
        <f t="shared" si="105"/>
        <v>219.74743072737627</v>
      </c>
      <c r="AG240" s="107">
        <f t="shared" si="99"/>
        <v>2.0098850371406365E-2</v>
      </c>
      <c r="AH240" s="119">
        <f t="shared" si="106"/>
        <v>4.0618194559087682E-2</v>
      </c>
      <c r="AI240" s="122">
        <f t="shared" si="100"/>
        <v>4.0618194559087682E-2</v>
      </c>
      <c r="AJ240" s="87" t="b">
        <f t="shared" si="107"/>
        <v>1</v>
      </c>
      <c r="AK240" s="88">
        <f t="shared" si="112"/>
        <v>7.780567568070329E-4</v>
      </c>
      <c r="AL240" s="312">
        <f>+AC240/'MWh by month-WgtbyCDH&amp;DayLtHrs'!AC240-1</f>
        <v>7.3689283652799364E-2</v>
      </c>
      <c r="AM240" s="89">
        <f t="shared" si="101"/>
        <v>408600.60976654233</v>
      </c>
      <c r="AN240" s="93"/>
      <c r="AO240" s="96">
        <f t="shared" si="119"/>
        <v>75.94352835644176</v>
      </c>
      <c r="AP240" s="92">
        <f t="shared" si="118"/>
        <v>6.9460544228452823E-3</v>
      </c>
      <c r="AR240" s="94">
        <f t="shared" si="102"/>
        <v>4.0618194559087682E-2</v>
      </c>
      <c r="AS240" s="95"/>
    </row>
    <row r="241" spans="1:45">
      <c r="A241" s="78">
        <f t="shared" si="115"/>
        <v>2024</v>
      </c>
      <c r="B241" s="78">
        <f t="shared" si="116"/>
        <v>9</v>
      </c>
      <c r="C241" s="317">
        <f t="shared" si="109"/>
        <v>277.87653293728147</v>
      </c>
      <c r="D241" s="324">
        <f t="shared" si="113"/>
        <v>0.1386427970893879</v>
      </c>
      <c r="E241" s="321">
        <f>$D241*'MWh Impact Summary'!B$30</f>
        <v>476850.94753132539</v>
      </c>
      <c r="F241" s="321">
        <f>$D241*'MWh Impact Summary'!N$30</f>
        <v>82263.497218130797</v>
      </c>
      <c r="G241" s="321">
        <f>$D241*'MWh Impact Summary'!C$30</f>
        <v>344146.27233732789</v>
      </c>
      <c r="H241" s="321">
        <f>$D241*'MWh Impact Summary'!D$30</f>
        <v>1730.5819222991834</v>
      </c>
      <c r="I241" s="321">
        <f>$D241*'MWh Impact Summary'!E$30</f>
        <v>122442.097202656</v>
      </c>
      <c r="J241" s="104">
        <f t="shared" si="103"/>
        <v>1027433.3962117393</v>
      </c>
      <c r="K241" s="298">
        <f t="shared" si="110"/>
        <v>11.683333333333334</v>
      </c>
      <c r="L241" s="300">
        <f t="shared" si="114"/>
        <v>8.2248034729555317E-2</v>
      </c>
      <c r="M241" s="297">
        <f>(30/366)</f>
        <v>8.1967213114754092E-2</v>
      </c>
      <c r="N241" s="304">
        <f>$M241*'MWh Impact Summary'!F$30</f>
        <v>172174.77965985</v>
      </c>
      <c r="O241" s="304">
        <f>$M241*'MWh Impact Summary'!G$30</f>
        <v>28402.171261659721</v>
      </c>
      <c r="P241" s="304">
        <f>$M241*'MWh Impact Summary'!H$30</f>
        <v>10893.129439838753</v>
      </c>
      <c r="Q241" s="304">
        <f>$M241*'MWh Impact Summary'!I$30</f>
        <v>1811.7070003271933</v>
      </c>
      <c r="R241" s="304">
        <f>$M241*'MWh Impact Summary'!J$30</f>
        <v>47266.09293699183</v>
      </c>
      <c r="S241" s="304">
        <f>$M241*'MWh Impact Summary'!K$30</f>
        <v>33461.528045898762</v>
      </c>
      <c r="T241" s="304">
        <f>$M241*'MWh Impact Summary'!L$30</f>
        <v>12018.904591081069</v>
      </c>
      <c r="U241" s="304">
        <f>$M241*'MWh Impact Summary'!M$30</f>
        <v>37143.057340874955</v>
      </c>
      <c r="V241" s="304">
        <f>$M241*'LED Impact Forecast'!$H$31+$D241*'LED Impact Forecast'!$J$31</f>
        <v>260045.30692178549</v>
      </c>
      <c r="W241" s="304">
        <f>$M241*'CFL Impact Forecast'!$H$31+$D241*'CFL Impact Forecast'!$J$31</f>
        <v>383603.57857504487</v>
      </c>
      <c r="X241" s="304">
        <f>$M241*'EISA Incand Impact Forecast'!$G$31+$D241*'EISA Incand Impact Forecast'!$I$31</f>
        <v>133170.13252086818</v>
      </c>
      <c r="Y241" s="85">
        <f t="shared" si="95"/>
        <v>1119990.3882942209</v>
      </c>
      <c r="Z241" s="81">
        <f t="shared" si="96"/>
        <v>2147423.7845059601</v>
      </c>
      <c r="AA241" s="81"/>
      <c r="AB241" s="262">
        <v>5385554.9074087441</v>
      </c>
      <c r="AC241" s="308">
        <f t="shared" si="104"/>
        <v>398.7377013930012</v>
      </c>
      <c r="AD241" s="309">
        <f t="shared" si="97"/>
        <v>190.77577220470457</v>
      </c>
      <c r="AE241" s="107">
        <f t="shared" si="98"/>
        <v>1.6328882071729351E-2</v>
      </c>
      <c r="AF241" s="309">
        <f t="shared" si="105"/>
        <v>207.96192918829669</v>
      </c>
      <c r="AG241" s="107">
        <f t="shared" si="99"/>
        <v>1.7799879816401996E-2</v>
      </c>
      <c r="AH241" s="119">
        <f t="shared" si="106"/>
        <v>3.4128761888131347E-2</v>
      </c>
      <c r="AI241" s="122">
        <f t="shared" si="100"/>
        <v>3.4128761888131347E-2</v>
      </c>
      <c r="AJ241" s="87" t="b">
        <f t="shared" si="107"/>
        <v>1</v>
      </c>
      <c r="AK241" s="88">
        <f t="shared" si="112"/>
        <v>7.0143253922343163E-4</v>
      </c>
      <c r="AL241" s="312">
        <f>+AC241/'MWh by month-WgtbyCDH&amp;DayLtHrs'!AC241-1</f>
        <v>2.2295605041283695E-2</v>
      </c>
      <c r="AM241" s="89">
        <f t="shared" si="101"/>
        <v>383603.57857504487</v>
      </c>
      <c r="AN241" s="93"/>
      <c r="AO241" s="96">
        <f t="shared" si="119"/>
        <v>71.228236490047308</v>
      </c>
      <c r="AP241" s="92">
        <f t="shared" si="118"/>
        <v>6.0965680305318662E-3</v>
      </c>
      <c r="AR241" s="94">
        <f t="shared" si="102"/>
        <v>3.4128761888131347E-2</v>
      </c>
      <c r="AS241" s="95"/>
    </row>
    <row r="242" spans="1:45">
      <c r="A242" s="78">
        <f t="shared" si="115"/>
        <v>2024</v>
      </c>
      <c r="B242" s="78">
        <f t="shared" si="116"/>
        <v>10</v>
      </c>
      <c r="C242" s="317">
        <f t="shared" si="109"/>
        <v>198.89039579254836</v>
      </c>
      <c r="D242" s="324">
        <f t="shared" si="113"/>
        <v>9.923371540380535E-2</v>
      </c>
      <c r="E242" s="321">
        <f>$D242*'MWh Impact Summary'!B$30</f>
        <v>341306.52446985606</v>
      </c>
      <c r="F242" s="321">
        <f>$D242*'MWh Impact Summary'!N$30</f>
        <v>58880.177278900024</v>
      </c>
      <c r="G242" s="321">
        <f>$D242*'MWh Impact Summary'!C$30</f>
        <v>246323.02552569381</v>
      </c>
      <c r="H242" s="321">
        <f>$D242*'MWh Impact Summary'!D$30</f>
        <v>1238.6656758640395</v>
      </c>
      <c r="I242" s="321">
        <f>$D242*'MWh Impact Summary'!E$30</f>
        <v>87638.048873319087</v>
      </c>
      <c r="J242" s="104">
        <f t="shared" si="103"/>
        <v>735386.44182363304</v>
      </c>
      <c r="K242" s="298">
        <f t="shared" si="110"/>
        <v>12.466666666666667</v>
      </c>
      <c r="L242" s="300">
        <f t="shared" si="114"/>
        <v>8.7762524932535488E-2</v>
      </c>
      <c r="M242" s="297">
        <f>(31/366)</f>
        <v>8.4699453551912565E-2</v>
      </c>
      <c r="N242" s="304">
        <f>$M242*'MWh Impact Summary'!F$30</f>
        <v>177913.93898184501</v>
      </c>
      <c r="O242" s="304">
        <f>$M242*'MWh Impact Summary'!G$30</f>
        <v>29348.910303715045</v>
      </c>
      <c r="P242" s="304">
        <f>$M242*'MWh Impact Summary'!H$30</f>
        <v>11256.233754500045</v>
      </c>
      <c r="Q242" s="304">
        <f>$M242*'MWh Impact Summary'!I$30</f>
        <v>1872.0972336714331</v>
      </c>
      <c r="R242" s="304">
        <f>$M242*'MWh Impact Summary'!J$30</f>
        <v>48841.629368224894</v>
      </c>
      <c r="S242" s="304">
        <f>$M242*'MWh Impact Summary'!K$30</f>
        <v>34576.912314095389</v>
      </c>
      <c r="T242" s="304">
        <f>$M242*'MWh Impact Summary'!L$30</f>
        <v>12419.534744117105</v>
      </c>
      <c r="U242" s="304">
        <f>$M242*'MWh Impact Summary'!M$30</f>
        <v>38381.159252237456</v>
      </c>
      <c r="V242" s="304">
        <f>$M242*'LED Impact Forecast'!$H$31+$D242*'LED Impact Forecast'!$J$31</f>
        <v>250118.05167642387</v>
      </c>
      <c r="W242" s="304">
        <f>$M242*'CFL Impact Forecast'!$H$31+$D242*'CFL Impact Forecast'!$J$31</f>
        <v>368982.7581769189</v>
      </c>
      <c r="X242" s="304">
        <f>$M242*'EISA Incand Impact Forecast'!$G$31+$D242*'EISA Incand Impact Forecast'!$I$31</f>
        <v>127522.08058430835</v>
      </c>
      <c r="Y242" s="85">
        <f t="shared" si="95"/>
        <v>1101233.3063900576</v>
      </c>
      <c r="Z242" s="81">
        <f t="shared" si="96"/>
        <v>1836619.7482136907</v>
      </c>
      <c r="AA242" s="81"/>
      <c r="AB242" s="262">
        <v>5390832.5836841511</v>
      </c>
      <c r="AC242" s="308">
        <f t="shared" si="104"/>
        <v>340.69315262588356</v>
      </c>
      <c r="AD242" s="309">
        <f t="shared" si="97"/>
        <v>136.41426076731591</v>
      </c>
      <c r="AE242" s="107">
        <f t="shared" si="98"/>
        <v>1.0942320382405019E-2</v>
      </c>
      <c r="AF242" s="309">
        <f t="shared" si="105"/>
        <v>204.27889185856765</v>
      </c>
      <c r="AG242" s="107">
        <f t="shared" si="99"/>
        <v>1.6386007368334305E-2</v>
      </c>
      <c r="AH242" s="119">
        <f t="shared" si="106"/>
        <v>2.7328327750739324E-2</v>
      </c>
      <c r="AI242" s="122">
        <f t="shared" si="100"/>
        <v>2.7328327750739324E-2</v>
      </c>
      <c r="AJ242" s="87" t="b">
        <f t="shared" si="107"/>
        <v>1</v>
      </c>
      <c r="AK242" s="88">
        <f t="shared" si="112"/>
        <v>6.7350966089241293E-4</v>
      </c>
      <c r="AL242" s="312">
        <f>+AC242/'MWh by month-WgtbyCDH&amp;DayLtHrs'!AC242-1</f>
        <v>-1.4577357430871185E-2</v>
      </c>
      <c r="AM242" s="89">
        <f t="shared" si="101"/>
        <v>368982.7581769189</v>
      </c>
      <c r="AN242" s="93"/>
      <c r="AO242" s="96">
        <f t="shared" si="119"/>
        <v>68.4463396792694</v>
      </c>
      <c r="AP242" s="92">
        <f t="shared" si="118"/>
        <v>5.4903481026151932E-3</v>
      </c>
      <c r="AR242" s="94">
        <f t="shared" si="102"/>
        <v>2.7328327750739324E-2</v>
      </c>
      <c r="AS242" s="95"/>
    </row>
    <row r="243" spans="1:45">
      <c r="A243" s="78">
        <f t="shared" si="115"/>
        <v>2024</v>
      </c>
      <c r="B243" s="78">
        <f t="shared" si="116"/>
        <v>11</v>
      </c>
      <c r="C243" s="317">
        <f t="shared" si="109"/>
        <v>78.117279066674627</v>
      </c>
      <c r="D243" s="324">
        <f t="shared" si="113"/>
        <v>3.8975576513546578E-2</v>
      </c>
      <c r="E243" s="321">
        <f>$D243*'MWh Impact Summary'!B$30</f>
        <v>134053.41627002522</v>
      </c>
      <c r="F243" s="321">
        <f>$D243*'MWh Impact Summary'!N$30</f>
        <v>23126.10029087908</v>
      </c>
      <c r="G243" s="321">
        <f>$D243*'MWh Impact Summary'!C$30</f>
        <v>96747.178006567003</v>
      </c>
      <c r="H243" s="321">
        <f>$D243*'MWh Impact Summary'!D$30</f>
        <v>486.50510189898057</v>
      </c>
      <c r="I243" s="321">
        <f>$D243*'MWh Impact Summary'!E$30</f>
        <v>34421.19914043849</v>
      </c>
      <c r="J243" s="104">
        <f t="shared" si="103"/>
        <v>288834.39880980877</v>
      </c>
      <c r="K243" s="298">
        <f t="shared" si="110"/>
        <v>13.15</v>
      </c>
      <c r="L243" s="300">
        <f t="shared" si="114"/>
        <v>9.2573037662794788E-2</v>
      </c>
      <c r="M243" s="297">
        <f>(30/366)</f>
        <v>8.1967213114754092E-2</v>
      </c>
      <c r="N243" s="304">
        <f>$M243*'MWh Impact Summary'!F$30</f>
        <v>172174.77965985</v>
      </c>
      <c r="O243" s="304">
        <f>$M243*'MWh Impact Summary'!G$30</f>
        <v>28402.171261659721</v>
      </c>
      <c r="P243" s="304">
        <f>$M243*'MWh Impact Summary'!H$30</f>
        <v>10893.129439838753</v>
      </c>
      <c r="Q243" s="304">
        <f>$M243*'MWh Impact Summary'!I$30</f>
        <v>1811.7070003271933</v>
      </c>
      <c r="R243" s="304">
        <f>$M243*'MWh Impact Summary'!J$30</f>
        <v>47266.09293699183</v>
      </c>
      <c r="S243" s="304">
        <f>$M243*'MWh Impact Summary'!K$30</f>
        <v>33461.528045898762</v>
      </c>
      <c r="T243" s="304">
        <f>$M243*'MWh Impact Summary'!L$30</f>
        <v>12018.904591081069</v>
      </c>
      <c r="U243" s="304">
        <f>$M243*'MWh Impact Summary'!M$30</f>
        <v>37143.057340874955</v>
      </c>
      <c r="V243" s="304">
        <f>$M243*'LED Impact Forecast'!$H$31+$D243*'LED Impact Forecast'!$J$31</f>
        <v>217952.78720041914</v>
      </c>
      <c r="W243" s="304">
        <f>$M243*'CFL Impact Forecast'!$H$31+$D243*'CFL Impact Forecast'!$J$31</f>
        <v>321563.86893168819</v>
      </c>
      <c r="X243" s="304">
        <f>$M243*'EISA Incand Impact Forecast'!$G$31+$D243*'EISA Incand Impact Forecast'!$I$31</f>
        <v>110337.12626167048</v>
      </c>
      <c r="Y243" s="85">
        <f t="shared" si="95"/>
        <v>993025.15267030022</v>
      </c>
      <c r="Z243" s="81">
        <f t="shared" si="96"/>
        <v>1281859.5514801089</v>
      </c>
      <c r="AA243" s="81"/>
      <c r="AB243" s="262">
        <v>5396121.651252266</v>
      </c>
      <c r="AC243" s="308">
        <f t="shared" si="104"/>
        <v>237.55201130104817</v>
      </c>
      <c r="AD243" s="309">
        <f t="shared" si="97"/>
        <v>53.526294897888306</v>
      </c>
      <c r="AE243" s="107">
        <f t="shared" si="98"/>
        <v>4.0704406766454981E-3</v>
      </c>
      <c r="AF243" s="309">
        <f t="shared" si="105"/>
        <v>184.02571640315986</v>
      </c>
      <c r="AG243" s="107">
        <f t="shared" si="99"/>
        <v>1.3994351057274514E-2</v>
      </c>
      <c r="AH243" s="119">
        <f t="shared" si="106"/>
        <v>1.8064791733920012E-2</v>
      </c>
      <c r="AI243" s="122">
        <f t="shared" si="100"/>
        <v>1.8064791733920012E-2</v>
      </c>
      <c r="AJ243" s="87" t="b">
        <f t="shared" si="107"/>
        <v>1</v>
      </c>
      <c r="AK243" s="88">
        <f t="shared" si="112"/>
        <v>6.1108415864481389E-4</v>
      </c>
      <c r="AL243" s="312">
        <f>+AC243/'MWh by month-WgtbyCDH&amp;DayLtHrs'!AC243-1</f>
        <v>-0.12304586426862796</v>
      </c>
      <c r="AM243" s="89">
        <f t="shared" si="101"/>
        <v>321563.86893168819</v>
      </c>
      <c r="AN243" s="93"/>
      <c r="AO243" s="96">
        <f t="shared" si="119"/>
        <v>59.5916641088074</v>
      </c>
      <c r="AP243" s="92">
        <f t="shared" si="118"/>
        <v>4.5316854835594977E-3</v>
      </c>
      <c r="AR243" s="94">
        <f t="shared" si="102"/>
        <v>1.8064791733920012E-2</v>
      </c>
      <c r="AS243" s="95"/>
    </row>
    <row r="244" spans="1:45">
      <c r="A244" s="78">
        <f t="shared" si="115"/>
        <v>2024</v>
      </c>
      <c r="B244" s="78">
        <f t="shared" si="116"/>
        <v>12</v>
      </c>
      <c r="C244" s="317">
        <f t="shared" si="109"/>
        <v>42.633806123140985</v>
      </c>
      <c r="D244" s="324">
        <f t="shared" si="113"/>
        <v>2.1271570035074034E-2</v>
      </c>
      <c r="E244" s="321">
        <f>$D244*'MWh Impact Summary'!B$30</f>
        <v>73161.884639158103</v>
      </c>
      <c r="F244" s="321">
        <f>$D244*'MWh Impact Summary'!N$30</f>
        <v>12621.454407598123</v>
      </c>
      <c r="G244" s="321">
        <f>$D244*'MWh Impact Summary'!C$30</f>
        <v>52801.383757522766</v>
      </c>
      <c r="H244" s="321">
        <f>$D244*'MWh Impact Summary'!D$30</f>
        <v>265.51826228582223</v>
      </c>
      <c r="I244" s="321">
        <f>$D244*'MWh Impact Summary'!E$30</f>
        <v>18785.942728841543</v>
      </c>
      <c r="J244" s="104">
        <f t="shared" si="103"/>
        <v>157636.18379540637</v>
      </c>
      <c r="K244" s="298">
        <f t="shared" si="110"/>
        <v>13.483333333333333</v>
      </c>
      <c r="L244" s="300">
        <f t="shared" si="114"/>
        <v>9.491962923853102E-2</v>
      </c>
      <c r="M244" s="297">
        <f>(31/366)</f>
        <v>8.4699453551912565E-2</v>
      </c>
      <c r="N244" s="304">
        <f>$M244*'MWh Impact Summary'!F$30</f>
        <v>177913.93898184501</v>
      </c>
      <c r="O244" s="304">
        <f>$M244*'MWh Impact Summary'!G$30</f>
        <v>29348.910303715045</v>
      </c>
      <c r="P244" s="304">
        <f>$M244*'MWh Impact Summary'!H$30</f>
        <v>11256.233754500045</v>
      </c>
      <c r="Q244" s="304">
        <f>$M244*'MWh Impact Summary'!I$30</f>
        <v>1872.0972336714331</v>
      </c>
      <c r="R244" s="304">
        <f>$M244*'MWh Impact Summary'!J$30</f>
        <v>48841.629368224894</v>
      </c>
      <c r="S244" s="304">
        <f>$M244*'MWh Impact Summary'!K$30</f>
        <v>34576.912314095389</v>
      </c>
      <c r="T244" s="304">
        <f>$M244*'MWh Impact Summary'!L$30</f>
        <v>12419.534744117105</v>
      </c>
      <c r="U244" s="304">
        <f>$M244*'MWh Impact Summary'!M$30</f>
        <v>38381.159252237456</v>
      </c>
      <c r="V244" s="304">
        <f>$M244*'LED Impact Forecast'!$H$31+$D244*'LED Impact Forecast'!$J$31</f>
        <v>217192.24996856731</v>
      </c>
      <c r="W244" s="304">
        <f>$M244*'CFL Impact Forecast'!$H$31+$D244*'CFL Impact Forecast'!$J$31</f>
        <v>320453.77508795279</v>
      </c>
      <c r="X244" s="304">
        <f>$M244*'EISA Incand Impact Forecast'!$G$31+$D244*'EISA Incand Impact Forecast'!$I$31</f>
        <v>109661.54285786342</v>
      </c>
      <c r="Y244" s="85">
        <f t="shared" si="95"/>
        <v>1001917.9838667898</v>
      </c>
      <c r="Z244" s="81">
        <f t="shared" si="96"/>
        <v>1159554.1676621963</v>
      </c>
      <c r="AA244" s="81">
        <f>SUM(Z233:Z244)</f>
        <v>20193711.515252531</v>
      </c>
      <c r="AB244" s="262">
        <v>5401414.1942394003</v>
      </c>
      <c r="AC244" s="308">
        <f t="shared" si="104"/>
        <v>214.67603223223634</v>
      </c>
      <c r="AD244" s="309">
        <f t="shared" si="97"/>
        <v>29.184242890227733</v>
      </c>
      <c r="AE244" s="107">
        <f>+AD244/K244/1000</f>
        <v>2.1644679523036641E-3</v>
      </c>
      <c r="AF244" s="309">
        <f t="shared" si="105"/>
        <v>185.49178934200856</v>
      </c>
      <c r="AG244" s="107">
        <f t="shared" si="99"/>
        <v>1.3757116638467879E-2</v>
      </c>
      <c r="AH244" s="119">
        <f t="shared" si="106"/>
        <v>1.5921584590771542E-2</v>
      </c>
      <c r="AI244" s="122">
        <f t="shared" si="100"/>
        <v>1.5921584590771545E-2</v>
      </c>
      <c r="AJ244" s="87" t="b">
        <f t="shared" si="107"/>
        <v>1</v>
      </c>
      <c r="AK244" s="88">
        <f t="shared" si="112"/>
        <v>6.1323256854107534E-4</v>
      </c>
      <c r="AL244" s="312">
        <f>+AC244/'MWh by month-WgtbyCDH&amp;DayLtHrs'!AC244-1</f>
        <v>-0.14354177170806537</v>
      </c>
      <c r="AM244" s="89">
        <f t="shared" si="101"/>
        <v>320453.77508795279</v>
      </c>
      <c r="AN244" s="90">
        <f>SUM(AM233:AM244)</f>
        <v>4249562.6863526953</v>
      </c>
      <c r="AO244" s="96">
        <f t="shared" si="119"/>
        <v>59.327754466546232</v>
      </c>
      <c r="AP244" s="92">
        <f t="shared" si="118"/>
        <v>4.4000806773705492E-3</v>
      </c>
      <c r="AR244" s="94">
        <f t="shared" si="102"/>
        <v>1.5921584590771545E-2</v>
      </c>
      <c r="AS244" s="95"/>
    </row>
    <row r="245" spans="1:45">
      <c r="A245" s="78">
        <f t="shared" si="115"/>
        <v>2025</v>
      </c>
      <c r="B245" s="78">
        <f t="shared" si="116"/>
        <v>1</v>
      </c>
      <c r="C245" s="317">
        <f t="shared" si="109"/>
        <v>26.112829868525239</v>
      </c>
      <c r="D245" s="324">
        <f t="shared" si="113"/>
        <v>1.6125648960134388E-2</v>
      </c>
      <c r="E245" s="321">
        <f>$D245*'MWh Impact Summary'!B$31</f>
        <v>55708.581798672712</v>
      </c>
      <c r="F245" s="321">
        <f>$D245*'MWh Impact Summary'!N$31</f>
        <v>10419.50625682608</v>
      </c>
      <c r="G245" s="321">
        <f>$D245*'MWh Impact Summary'!C$31</f>
        <v>40524.332258601011</v>
      </c>
      <c r="H245" s="321">
        <f>$D245*'MWh Impact Summary'!D$31</f>
        <v>203.78147844393615</v>
      </c>
      <c r="I245" s="321">
        <f>$D245*'MWh Impact Summary'!E$31</f>
        <v>14417.951401248285</v>
      </c>
      <c r="J245" s="104">
        <f t="shared" si="103"/>
        <v>121274.15319379204</v>
      </c>
      <c r="K245" s="298">
        <f t="shared" si="110"/>
        <v>13.3</v>
      </c>
      <c r="L245" s="300">
        <f t="shared" si="114"/>
        <v>9.3629003871876101E-2</v>
      </c>
      <c r="M245" s="297">
        <f>(31/365)</f>
        <v>8.4931506849315067E-2</v>
      </c>
      <c r="N245" s="304">
        <f>$M245*'MWh Impact Summary'!F$31</f>
        <v>189138.06382954202</v>
      </c>
      <c r="O245" s="304">
        <f>$M245*'MWh Impact Summary'!G$31</f>
        <v>34820.138053350252</v>
      </c>
      <c r="P245" s="304">
        <f>$M245*'MWh Impact Summary'!H$31</f>
        <v>11918.16314863661</v>
      </c>
      <c r="Q245" s="304">
        <f>$M245*'MWh Impact Summary'!I$31</f>
        <v>1969.824181385665</v>
      </c>
      <c r="R245" s="304">
        <f>$M245*'MWh Impact Summary'!J$31</f>
        <v>50449.831017349366</v>
      </c>
      <c r="S245" s="304">
        <f>$M245*'MWh Impact Summary'!K$31</f>
        <v>38142.707657859886</v>
      </c>
      <c r="T245" s="304">
        <f>$M245*'MWh Impact Summary'!L$31</f>
        <v>13720.212941697286</v>
      </c>
      <c r="U245" s="304">
        <f>$M245*'MWh Impact Summary'!M$31</f>
        <v>42513.872742680498</v>
      </c>
      <c r="V245" s="304">
        <f>$M245*'LED Impact Forecast'!$H$32+$D245*'LED Impact Forecast'!$J$32</f>
        <v>242328.40588253181</v>
      </c>
      <c r="W245" s="304">
        <f>$M245*'CFL Impact Forecast'!$H$32+$D245*'CFL Impact Forecast'!$J$32</f>
        <v>319130.54651153489</v>
      </c>
      <c r="X245" s="304">
        <f>$M245*'EISA Incand Impact Forecast'!$G$32+$D245*'EISA Incand Impact Forecast'!$I$32</f>
        <v>108769.74273953884</v>
      </c>
      <c r="Y245" s="85">
        <f t="shared" si="95"/>
        <v>1052901.5087061073</v>
      </c>
      <c r="Z245" s="81">
        <f t="shared" si="96"/>
        <v>1174175.6618998994</v>
      </c>
      <c r="AA245" s="81"/>
      <c r="AB245" s="262">
        <v>5406732.2632630393</v>
      </c>
      <c r="AC245" s="308">
        <f t="shared" si="104"/>
        <v>217.16918921213011</v>
      </c>
      <c r="AD245" s="309">
        <f t="shared" si="97"/>
        <v>22.430212425684523</v>
      </c>
      <c r="AE245" s="107">
        <f t="shared" si="98"/>
        <v>1.6864821372695128E-3</v>
      </c>
      <c r="AF245" s="309">
        <f t="shared" si="105"/>
        <v>194.73897678644556</v>
      </c>
      <c r="AG245" s="107">
        <f t="shared" si="99"/>
        <v>1.4642028329807936E-2</v>
      </c>
      <c r="AH245" s="119">
        <f t="shared" si="106"/>
        <v>1.6328510467077447E-2</v>
      </c>
      <c r="AI245" s="122">
        <f t="shared" si="100"/>
        <v>1.6328510467077451E-2</v>
      </c>
      <c r="AJ245" s="87" t="b">
        <f t="shared" si="107"/>
        <v>0</v>
      </c>
      <c r="AK245" s="88">
        <f t="shared" si="112"/>
        <v>6.4100762874146067E-4</v>
      </c>
      <c r="AL245" s="312">
        <f>+AC245/'MWh by month-WgtbyCDH&amp;DayLtHrs'!AC245-1</f>
        <v>-0.12531514063875671</v>
      </c>
      <c r="AM245" s="89">
        <f t="shared" si="101"/>
        <v>319130.54651153489</v>
      </c>
      <c r="AN245" s="90"/>
      <c r="AO245" s="96">
        <f t="shared" si="119"/>
        <v>59.024662397271193</v>
      </c>
      <c r="AP245" s="92">
        <f t="shared" si="118"/>
        <v>4.4379445411482097E-3</v>
      </c>
      <c r="AR245" s="94">
        <f t="shared" si="102"/>
        <v>1.6328510467077451E-2</v>
      </c>
      <c r="AS245" s="95"/>
    </row>
    <row r="246" spans="1:45">
      <c r="A246" s="78">
        <f t="shared" si="115"/>
        <v>2025</v>
      </c>
      <c r="B246" s="78">
        <f t="shared" si="116"/>
        <v>2</v>
      </c>
      <c r="C246" s="317">
        <f t="shared" si="109"/>
        <v>35.042184420393127</v>
      </c>
      <c r="D246" s="324">
        <f t="shared" si="113"/>
        <v>9.4849425755900163E-3</v>
      </c>
      <c r="E246" s="321">
        <f>$D246*'MWh Impact Summary'!B$31</f>
        <v>32767.220757084269</v>
      </c>
      <c r="F246" s="321">
        <f>$D246*'MWh Impact Summary'!N$31</f>
        <v>6128.6475202528918</v>
      </c>
      <c r="G246" s="321">
        <f>$D246*'MWh Impact Summary'!C$31</f>
        <v>23835.999737883256</v>
      </c>
      <c r="H246" s="321">
        <f>$D246*'MWh Impact Summary'!D$31</f>
        <v>119.86219133183097</v>
      </c>
      <c r="I246" s="321">
        <f>$D246*'MWh Impact Summary'!E$31</f>
        <v>8480.4922540833923</v>
      </c>
      <c r="J246" s="104">
        <f t="shared" si="103"/>
        <v>71332.222460635632</v>
      </c>
      <c r="K246" s="298">
        <f t="shared" si="110"/>
        <v>12.733333333333333</v>
      </c>
      <c r="L246" s="300">
        <f t="shared" si="114"/>
        <v>8.9639798193124468E-2</v>
      </c>
      <c r="M246" s="297">
        <f>(28/365)</f>
        <v>7.6712328767123292E-2</v>
      </c>
      <c r="N246" s="304">
        <f>$M246*'MWh Impact Summary'!F$31</f>
        <v>170834.38023313473</v>
      </c>
      <c r="O246" s="304">
        <f>$M246*'MWh Impact Summary'!G$31</f>
        <v>31450.447273993777</v>
      </c>
      <c r="P246" s="304">
        <f>$M246*'MWh Impact Summary'!H$31</f>
        <v>10764.792521349196</v>
      </c>
      <c r="Q246" s="304">
        <f>$M246*'MWh Impact Summary'!I$31</f>
        <v>1779.1960347999557</v>
      </c>
      <c r="R246" s="304">
        <f>$M246*'MWh Impact Summary'!J$31</f>
        <v>45567.58930599298</v>
      </c>
      <c r="S246" s="304">
        <f>$M246*'MWh Impact Summary'!K$31</f>
        <v>34451.477884518608</v>
      </c>
      <c r="T246" s="304">
        <f>$M246*'MWh Impact Summary'!L$31</f>
        <v>12392.450398952387</v>
      </c>
      <c r="U246" s="304">
        <f>$M246*'MWh Impact Summary'!M$31</f>
        <v>38399.62699338884</v>
      </c>
      <c r="V246" s="304">
        <f>$M246*'LED Impact Forecast'!$H$32+$D246*'LED Impact Forecast'!$J$32</f>
        <v>216449.01418313675</v>
      </c>
      <c r="W246" s="304">
        <f>$M246*'CFL Impact Forecast'!$H$32+$D246*'CFL Impact Forecast'!$J$32</f>
        <v>285072.31207493396</v>
      </c>
      <c r="X246" s="304">
        <f>$M246*'EISA Incand Impact Forecast'!$G$32+$D246*'EISA Incand Impact Forecast'!$I$32</f>
        <v>97079.812444679061</v>
      </c>
      <c r="Y246" s="85">
        <f t="shared" si="95"/>
        <v>944241.09934888023</v>
      </c>
      <c r="Z246" s="81">
        <f t="shared" si="96"/>
        <v>1015573.3218095158</v>
      </c>
      <c r="AA246" s="81"/>
      <c r="AB246" s="262">
        <v>5412022.880566325</v>
      </c>
      <c r="AC246" s="308">
        <f t="shared" si="104"/>
        <v>187.65133559510085</v>
      </c>
      <c r="AD246" s="309">
        <f t="shared" si="97"/>
        <v>13.18032536720748</v>
      </c>
      <c r="AE246" s="107">
        <f t="shared" si="98"/>
        <v>1.0351040864299069E-3</v>
      </c>
      <c r="AF246" s="309">
        <f t="shared" si="105"/>
        <v>174.47101022789337</v>
      </c>
      <c r="AG246" s="107">
        <f t="shared" si="99"/>
        <v>1.3701911798002099E-2</v>
      </c>
      <c r="AH246" s="119">
        <f t="shared" si="106"/>
        <v>1.4737015884432006E-2</v>
      </c>
      <c r="AI246" s="122">
        <f t="shared" si="100"/>
        <v>1.4737015884432004E-2</v>
      </c>
      <c r="AJ246" s="87" t="b">
        <f t="shared" si="107"/>
        <v>1</v>
      </c>
      <c r="AK246" s="88">
        <f t="shared" si="112"/>
        <v>1.376468289630544E-4</v>
      </c>
      <c r="AL246" s="312">
        <f>+AC246/'MWh by month-WgtbyCDH&amp;DayLtHrs'!AC246-1</f>
        <v>-0.23655351103928779</v>
      </c>
      <c r="AM246" s="89">
        <f t="shared" si="101"/>
        <v>285072.31207493396</v>
      </c>
      <c r="AN246" s="90"/>
      <c r="AO246" s="96">
        <f t="shared" si="119"/>
        <v>52.673892621293462</v>
      </c>
      <c r="AP246" s="92">
        <f t="shared" si="118"/>
        <v>4.1366931377979166E-3</v>
      </c>
      <c r="AR246" s="94">
        <f t="shared" si="102"/>
        <v>1.4737015884432004E-2</v>
      </c>
      <c r="AS246" s="95"/>
    </row>
    <row r="247" spans="1:45">
      <c r="A247" s="78">
        <f t="shared" si="115"/>
        <v>2025</v>
      </c>
      <c r="B247" s="78">
        <f t="shared" si="116"/>
        <v>3</v>
      </c>
      <c r="C247" s="317">
        <f t="shared" si="109"/>
        <v>64.582270600115152</v>
      </c>
      <c r="D247" s="324">
        <f t="shared" si="113"/>
        <v>5.6112649790650677E-2</v>
      </c>
      <c r="E247" s="321">
        <f>$D247*'MWh Impact Summary'!B$31</f>
        <v>193849.94356076367</v>
      </c>
      <c r="F247" s="321">
        <f>$D247*'MWh Impact Summary'!N$31</f>
        <v>36256.90395631078</v>
      </c>
      <c r="G247" s="321">
        <f>$D247*'MWh Impact Summary'!C$31</f>
        <v>141013.09470697396</v>
      </c>
      <c r="H247" s="321">
        <f>$D247*'MWh Impact Summary'!D$31</f>
        <v>709.10130575298876</v>
      </c>
      <c r="I247" s="321">
        <f>$D247*'MWh Impact Summary'!E$31</f>
        <v>50170.350332996706</v>
      </c>
      <c r="J247" s="104">
        <f t="shared" si="103"/>
        <v>421999.39386279811</v>
      </c>
      <c r="K247" s="298">
        <f t="shared" si="110"/>
        <v>12</v>
      </c>
      <c r="L247" s="300">
        <f t="shared" si="114"/>
        <v>8.4477296726504739E-2</v>
      </c>
      <c r="M247" s="297">
        <f t="shared" ref="M247:M256" si="120">(31/365)</f>
        <v>8.4931506849315067E-2</v>
      </c>
      <c r="N247" s="304">
        <f>$M247*'MWh Impact Summary'!F$31</f>
        <v>189138.06382954202</v>
      </c>
      <c r="O247" s="304">
        <f>$M247*'MWh Impact Summary'!G$31</f>
        <v>34820.138053350252</v>
      </c>
      <c r="P247" s="304">
        <f>$M247*'MWh Impact Summary'!H$31</f>
        <v>11918.16314863661</v>
      </c>
      <c r="Q247" s="304">
        <f>$M247*'MWh Impact Summary'!I$31</f>
        <v>1969.824181385665</v>
      </c>
      <c r="R247" s="304">
        <f>$M247*'MWh Impact Summary'!J$31</f>
        <v>50449.831017349366</v>
      </c>
      <c r="S247" s="304">
        <f>$M247*'MWh Impact Summary'!K$31</f>
        <v>38142.707657859886</v>
      </c>
      <c r="T247" s="304">
        <f>$M247*'MWh Impact Summary'!L$31</f>
        <v>13720.212941697286</v>
      </c>
      <c r="U247" s="304">
        <f>$M247*'MWh Impact Summary'!M$31</f>
        <v>42513.872742680498</v>
      </c>
      <c r="V247" s="304">
        <f>$M247*'LED Impact Forecast'!$H$32+$D247*'LED Impact Forecast'!$J$32</f>
        <v>261441.71453171823</v>
      </c>
      <c r="W247" s="304">
        <f>$M247*'CFL Impact Forecast'!$H$32+$D247*'CFL Impact Forecast'!$J$32</f>
        <v>344118.74886719848</v>
      </c>
      <c r="X247" s="304">
        <f>$M247*'EISA Incand Impact Forecast'!$G$32+$D247*'EISA Incand Impact Forecast'!$I$32</f>
        <v>117930.46213127667</v>
      </c>
      <c r="Y247" s="85">
        <f t="shared" si="95"/>
        <v>1106163.7391026949</v>
      </c>
      <c r="Z247" s="81">
        <f t="shared" si="96"/>
        <v>1528163.132965493</v>
      </c>
      <c r="AA247" s="81"/>
      <c r="AB247" s="262">
        <v>5417339.5801715693</v>
      </c>
      <c r="AC247" s="308">
        <f t="shared" si="104"/>
        <v>282.08738077982838</v>
      </c>
      <c r="AD247" s="309">
        <f t="shared" si="97"/>
        <v>77.897903134481595</v>
      </c>
      <c r="AE247" s="107">
        <f t="shared" si="98"/>
        <v>6.4914919278734658E-3</v>
      </c>
      <c r="AF247" s="309">
        <f t="shared" si="105"/>
        <v>204.18947764534678</v>
      </c>
      <c r="AG247" s="107">
        <f t="shared" si="99"/>
        <v>1.7015789803778898E-2</v>
      </c>
      <c r="AH247" s="119">
        <f t="shared" si="106"/>
        <v>2.3507281731652362E-2</v>
      </c>
      <c r="AI247" s="122">
        <f t="shared" si="100"/>
        <v>2.3507281731652365E-2</v>
      </c>
      <c r="AJ247" s="87" t="b">
        <f t="shared" si="107"/>
        <v>1</v>
      </c>
      <c r="AK247" s="88">
        <f t="shared" si="112"/>
        <v>7.4916930955070196E-4</v>
      </c>
      <c r="AL247" s="312">
        <f>+AC247/'MWh by month-WgtbyCDH&amp;DayLtHrs'!AC247-1</f>
        <v>0.10471220390401781</v>
      </c>
      <c r="AM247" s="89">
        <f t="shared" si="101"/>
        <v>344118.74886719848</v>
      </c>
      <c r="AN247" s="90"/>
      <c r="AO247" s="96">
        <f t="shared" si="119"/>
        <v>63.521723859943094</v>
      </c>
      <c r="AP247" s="92">
        <f t="shared" si="118"/>
        <v>5.2934769883285918E-3</v>
      </c>
      <c r="AR247" s="94">
        <f t="shared" si="102"/>
        <v>2.3507281731652365E-2</v>
      </c>
      <c r="AS247" s="95"/>
    </row>
    <row r="248" spans="1:45">
      <c r="A248" s="78">
        <f t="shared" si="115"/>
        <v>2025</v>
      </c>
      <c r="B248" s="78">
        <f t="shared" si="116"/>
        <v>4</v>
      </c>
      <c r="C248" s="317">
        <f t="shared" si="109"/>
        <v>114.03392869270741</v>
      </c>
      <c r="D248" s="324">
        <f t="shared" si="113"/>
        <v>5.6895710731417456E-2</v>
      </c>
      <c r="E248" s="321">
        <f>$D248*'MWh Impact Summary'!B$31</f>
        <v>196555.15031429628</v>
      </c>
      <c r="F248" s="321">
        <f>$D248*'MWh Impact Summary'!N$31</f>
        <v>36762.874810070927</v>
      </c>
      <c r="G248" s="321">
        <f>$D248*'MWh Impact Summary'!C$31</f>
        <v>142980.95484214221</v>
      </c>
      <c r="H248" s="321">
        <f>$D248*'MWh Impact Summary'!D$31</f>
        <v>718.99692710848569</v>
      </c>
      <c r="I248" s="321">
        <f>$D248*'MWh Impact Summary'!E$31</f>
        <v>50870.48554095655</v>
      </c>
      <c r="J248" s="104">
        <f t="shared" si="103"/>
        <v>427888.46243457444</v>
      </c>
      <c r="K248" s="298">
        <f t="shared" si="110"/>
        <v>11.2</v>
      </c>
      <c r="L248" s="300">
        <f t="shared" si="114"/>
        <v>7.8845476944737758E-2</v>
      </c>
      <c r="M248" s="297">
        <f>(30/365)</f>
        <v>8.2191780821917804E-2</v>
      </c>
      <c r="N248" s="304">
        <f>$M248*'MWh Impact Summary'!F$31</f>
        <v>183036.8359640729</v>
      </c>
      <c r="O248" s="304">
        <f>$M248*'MWh Impact Summary'!G$31</f>
        <v>33696.907793564758</v>
      </c>
      <c r="P248" s="304">
        <f>$M248*'MWh Impact Summary'!H$31</f>
        <v>11533.706272874138</v>
      </c>
      <c r="Q248" s="304">
        <f>$M248*'MWh Impact Summary'!I$31</f>
        <v>1906.2814658570951</v>
      </c>
      <c r="R248" s="304">
        <f>$M248*'MWh Impact Summary'!J$31</f>
        <v>48822.417113563904</v>
      </c>
      <c r="S248" s="304">
        <f>$M248*'MWh Impact Summary'!K$31</f>
        <v>36912.297733412794</v>
      </c>
      <c r="T248" s="304">
        <f>$M248*'MWh Impact Summary'!L$31</f>
        <v>13277.625427448986</v>
      </c>
      <c r="U248" s="304">
        <f>$M248*'MWh Impact Summary'!M$31</f>
        <v>41142.457492916605</v>
      </c>
      <c r="V248" s="304">
        <f>$M248*'LED Impact Forecast'!$H$32+$D248*'LED Impact Forecast'!$J$32</f>
        <v>254247.60384307709</v>
      </c>
      <c r="W248" s="304">
        <f>$M248*'CFL Impact Forecast'!$H$32+$D248*'CFL Impact Forecast'!$J$32</f>
        <v>334638.62237253401</v>
      </c>
      <c r="X248" s="304">
        <f>$M248*'EISA Incand Impact Forecast'!$G$32+$D248*'EISA Incand Impact Forecast'!$I$32</f>
        <v>114720.32390281657</v>
      </c>
      <c r="Y248" s="85">
        <f t="shared" si="95"/>
        <v>1073935.0793821388</v>
      </c>
      <c r="Z248" s="81">
        <f t="shared" si="96"/>
        <v>1501823.5418167133</v>
      </c>
      <c r="AA248" s="81"/>
      <c r="AB248" s="262">
        <v>5422629.6092505148</v>
      </c>
      <c r="AC248" s="308">
        <f t="shared" si="104"/>
        <v>276.95484479610013</v>
      </c>
      <c r="AD248" s="309">
        <f t="shared" si="97"/>
        <v>78.907927199127798</v>
      </c>
      <c r="AE248" s="107">
        <f t="shared" si="98"/>
        <v>7.0453506427792679E-3</v>
      </c>
      <c r="AF248" s="309">
        <f t="shared" si="105"/>
        <v>198.04691759697229</v>
      </c>
      <c r="AG248" s="107">
        <f t="shared" si="99"/>
        <v>1.768276049972967E-2</v>
      </c>
      <c r="AH248" s="119">
        <f t="shared" si="106"/>
        <v>2.4728111142508939E-2</v>
      </c>
      <c r="AI248" s="122">
        <f t="shared" si="100"/>
        <v>2.4728111142508943E-2</v>
      </c>
      <c r="AJ248" s="87" t="b">
        <f t="shared" si="107"/>
        <v>1</v>
      </c>
      <c r="AK248" s="88">
        <f t="shared" si="112"/>
        <v>7.7881969862525838E-4</v>
      </c>
      <c r="AL248" s="312">
        <f>+AC248/'MWh by month-WgtbyCDH&amp;DayLtHrs'!AC248-1</f>
        <v>-3.4951616667096008E-3</v>
      </c>
      <c r="AM248" s="89">
        <f t="shared" si="101"/>
        <v>334638.62237253401</v>
      </c>
      <c r="AN248" s="90"/>
      <c r="AO248" s="96">
        <f t="shared" si="119"/>
        <v>61.711502810678951</v>
      </c>
      <c r="AP248" s="92">
        <f t="shared" si="118"/>
        <v>5.5099556080963358E-3</v>
      </c>
      <c r="AR248" s="94">
        <f t="shared" si="102"/>
        <v>2.4728111142508943E-2</v>
      </c>
      <c r="AS248" s="95"/>
    </row>
    <row r="249" spans="1:45">
      <c r="A249" s="78">
        <f t="shared" si="115"/>
        <v>2025</v>
      </c>
      <c r="B249" s="78">
        <f t="shared" si="116"/>
        <v>5</v>
      </c>
      <c r="C249" s="317">
        <f t="shared" si="109"/>
        <v>208.47875842628665</v>
      </c>
      <c r="D249" s="324">
        <f t="shared" si="113"/>
        <v>0.10401770130213556</v>
      </c>
      <c r="E249" s="321">
        <f>$D249*'MWh Impact Summary'!B$31</f>
        <v>359345.45244197303</v>
      </c>
      <c r="F249" s="321">
        <f>$D249*'MWh Impact Summary'!N$31</f>
        <v>67210.509928478277</v>
      </c>
      <c r="G249" s="321">
        <f>$D249*'MWh Impact Summary'!C$31</f>
        <v>261400.20155247927</v>
      </c>
      <c r="H249" s="321">
        <f>$D249*'MWh Impact Summary'!D$31</f>
        <v>1314.4823509485771</v>
      </c>
      <c r="I249" s="321">
        <f>$D249*'MWh Impact Summary'!E$31</f>
        <v>93002.282633793147</v>
      </c>
      <c r="J249" s="104">
        <f t="shared" si="103"/>
        <v>782272.92890767241</v>
      </c>
      <c r="K249" s="298">
        <f t="shared" si="110"/>
        <v>10.533333333333333</v>
      </c>
      <c r="L249" s="300">
        <f t="shared" si="114"/>
        <v>7.4152293793265281E-2</v>
      </c>
      <c r="M249" s="297">
        <f t="shared" si="120"/>
        <v>8.4931506849315067E-2</v>
      </c>
      <c r="N249" s="304">
        <f>$M249*'MWh Impact Summary'!F$31</f>
        <v>189138.06382954202</v>
      </c>
      <c r="O249" s="304">
        <f>$M249*'MWh Impact Summary'!G$31</f>
        <v>34820.138053350252</v>
      </c>
      <c r="P249" s="304">
        <f>$M249*'MWh Impact Summary'!H$31</f>
        <v>11918.16314863661</v>
      </c>
      <c r="Q249" s="304">
        <f>$M249*'MWh Impact Summary'!I$31</f>
        <v>1969.824181385665</v>
      </c>
      <c r="R249" s="304">
        <f>$M249*'MWh Impact Summary'!J$31</f>
        <v>50449.831017349366</v>
      </c>
      <c r="S249" s="304">
        <f>$M249*'MWh Impact Summary'!K$31</f>
        <v>38142.707657859886</v>
      </c>
      <c r="T249" s="304">
        <f>$M249*'MWh Impact Summary'!L$31</f>
        <v>13720.212941697286</v>
      </c>
      <c r="U249" s="304">
        <f>$M249*'MWh Impact Summary'!M$31</f>
        <v>42513.872742680498</v>
      </c>
      <c r="V249" s="304">
        <f>$M249*'LED Impact Forecast'!$H$32+$D249*'LED Impact Forecast'!$J$32</f>
        <v>284339.75680488168</v>
      </c>
      <c r="W249" s="304">
        <f>$M249*'CFL Impact Forecast'!$H$32+$D249*'CFL Impact Forecast'!$J$32</f>
        <v>374055.00555474503</v>
      </c>
      <c r="X249" s="304">
        <f>$M249*'EISA Incand Impact Forecast'!$G$32+$D249*'EISA Incand Impact Forecast'!$I$32</f>
        <v>128905.14703459037</v>
      </c>
      <c r="Y249" s="85">
        <f t="shared" si="95"/>
        <v>1169972.7229667187</v>
      </c>
      <c r="Z249" s="81">
        <f t="shared" si="96"/>
        <v>1952245.6518743911</v>
      </c>
      <c r="AA249" s="81"/>
      <c r="AB249" s="262">
        <v>5427176.8441906935</v>
      </c>
      <c r="AC249" s="308">
        <f t="shared" si="104"/>
        <v>359.71660919140584</v>
      </c>
      <c r="AD249" s="309">
        <f t="shared" si="97"/>
        <v>144.13993709179118</v>
      </c>
      <c r="AE249" s="107">
        <f t="shared" si="98"/>
        <v>1.3684171242891568E-2</v>
      </c>
      <c r="AF249" s="309">
        <f t="shared" si="105"/>
        <v>215.57667209961468</v>
      </c>
      <c r="AG249" s="107">
        <f t="shared" si="99"/>
        <v>2.0466139756292533E-2</v>
      </c>
      <c r="AH249" s="119">
        <f t="shared" si="106"/>
        <v>3.41503109991841E-2</v>
      </c>
      <c r="AI249" s="122">
        <f t="shared" si="100"/>
        <v>3.41503109991841E-2</v>
      </c>
      <c r="AJ249" s="87" t="b">
        <f t="shared" si="107"/>
        <v>1</v>
      </c>
      <c r="AK249" s="88">
        <f t="shared" si="112"/>
        <v>9.1124061482563551E-4</v>
      </c>
      <c r="AL249" s="312">
        <f>+AC249/'MWh by month-WgtbyCDH&amp;DayLtHrs'!AC249-1</f>
        <v>7.6293931816461491E-2</v>
      </c>
      <c r="AM249" s="89">
        <f t="shared" si="101"/>
        <v>374055.00555474503</v>
      </c>
      <c r="AN249" s="90"/>
      <c r="AO249" s="96">
        <f t="shared" si="119"/>
        <v>68.922575455623374</v>
      </c>
      <c r="AP249" s="92">
        <f t="shared" si="118"/>
        <v>6.5432824799642447E-3</v>
      </c>
      <c r="AR249" s="94">
        <f t="shared" si="102"/>
        <v>3.41503109991841E-2</v>
      </c>
      <c r="AS249" s="95"/>
    </row>
    <row r="250" spans="1:45">
      <c r="A250" s="78">
        <f t="shared" si="115"/>
        <v>2025</v>
      </c>
      <c r="B250" s="78">
        <f t="shared" si="116"/>
        <v>6</v>
      </c>
      <c r="C250" s="317">
        <f t="shared" si="109"/>
        <v>271.66325293295364</v>
      </c>
      <c r="D250" s="324">
        <f t="shared" si="113"/>
        <v>0.13554276374078555</v>
      </c>
      <c r="E250" s="321">
        <f>$D250*'MWh Impact Summary'!B$31</f>
        <v>468253.72174099431</v>
      </c>
      <c r="F250" s="321">
        <f>$D250*'MWh Impact Summary'!N$31</f>
        <v>87580.269070476177</v>
      </c>
      <c r="G250" s="321">
        <f>$D250*'MWh Impact Summary'!C$31</f>
        <v>340623.81034461485</v>
      </c>
      <c r="H250" s="321">
        <f>$D250*'MWh Impact Summary'!D$31</f>
        <v>1712.8677956316019</v>
      </c>
      <c r="I250" s="321">
        <f>$D250*'MWh Impact Summary'!E$31</f>
        <v>121188.85790189235</v>
      </c>
      <c r="J250" s="104">
        <f t="shared" si="103"/>
        <v>1019359.5268536092</v>
      </c>
      <c r="K250" s="298">
        <f t="shared" si="110"/>
        <v>10.199999999999999</v>
      </c>
      <c r="L250" s="300">
        <f t="shared" si="114"/>
        <v>7.1805702217529022E-2</v>
      </c>
      <c r="M250" s="297">
        <f>(30/365)</f>
        <v>8.2191780821917804E-2</v>
      </c>
      <c r="N250" s="304">
        <f>$M250*'MWh Impact Summary'!F$31</f>
        <v>183036.8359640729</v>
      </c>
      <c r="O250" s="304">
        <f>$M250*'MWh Impact Summary'!G$31</f>
        <v>33696.907793564758</v>
      </c>
      <c r="P250" s="304">
        <f>$M250*'MWh Impact Summary'!H$31</f>
        <v>11533.706272874138</v>
      </c>
      <c r="Q250" s="304">
        <f>$M250*'MWh Impact Summary'!I$31</f>
        <v>1906.2814658570951</v>
      </c>
      <c r="R250" s="304">
        <f>$M250*'MWh Impact Summary'!J$31</f>
        <v>48822.417113563904</v>
      </c>
      <c r="S250" s="304">
        <f>$M250*'MWh Impact Summary'!K$31</f>
        <v>36912.297733412794</v>
      </c>
      <c r="T250" s="304">
        <f>$M250*'MWh Impact Summary'!L$31</f>
        <v>13277.625427448986</v>
      </c>
      <c r="U250" s="304">
        <f>$M250*'MWh Impact Summary'!M$31</f>
        <v>41142.457492916605</v>
      </c>
      <c r="V250" s="304">
        <f>$M250*'LED Impact Forecast'!$H$32+$D250*'LED Impact Forecast'!$J$32</f>
        <v>291839.95553977642</v>
      </c>
      <c r="W250" s="304">
        <f>$M250*'CFL Impact Forecast'!$H$32+$D250*'CFL Impact Forecast'!$J$32</f>
        <v>383785.80606866413</v>
      </c>
      <c r="X250" s="304">
        <f>$M250*'EISA Incand Impact Forecast'!$G$32+$D250*'EISA Incand Impact Forecast'!$I$32</f>
        <v>132737.76878845866</v>
      </c>
      <c r="Y250" s="85">
        <f t="shared" si="95"/>
        <v>1178692.0596606103</v>
      </c>
      <c r="Z250" s="81">
        <f t="shared" si="96"/>
        <v>2198051.5865142196</v>
      </c>
      <c r="AA250" s="81"/>
      <c r="AB250" s="262">
        <v>5431720.3103298927</v>
      </c>
      <c r="AC250" s="308">
        <f t="shared" si="104"/>
        <v>404.66950817294975</v>
      </c>
      <c r="AD250" s="309">
        <f t="shared" si="97"/>
        <v>187.66789683832209</v>
      </c>
      <c r="AE250" s="107">
        <f t="shared" si="98"/>
        <v>1.8398813415521777E-2</v>
      </c>
      <c r="AF250" s="309">
        <f t="shared" si="105"/>
        <v>217.0016113346276</v>
      </c>
      <c r="AG250" s="107">
        <f t="shared" si="99"/>
        <v>2.1274667777904668E-2</v>
      </c>
      <c r="AH250" s="119">
        <f t="shared" si="106"/>
        <v>3.9673481193426445E-2</v>
      </c>
      <c r="AI250" s="122">
        <f t="shared" si="100"/>
        <v>3.9673481193426445E-2</v>
      </c>
      <c r="AJ250" s="87" t="b">
        <f t="shared" si="107"/>
        <v>1</v>
      </c>
      <c r="AK250" s="88">
        <f t="shared" si="112"/>
        <v>9.5719138700772755E-4</v>
      </c>
      <c r="AL250" s="312">
        <f>+AC250/'MWh by month-WgtbyCDH&amp;DayLtHrs'!AC250-1</f>
        <v>8.3693193715013603E-2</v>
      </c>
      <c r="AM250" s="89">
        <f t="shared" si="101"/>
        <v>383785.80606866413</v>
      </c>
      <c r="AN250" s="90"/>
      <c r="AO250" s="96">
        <f t="shared" si="119"/>
        <v>70.656400576957381</v>
      </c>
      <c r="AP250" s="92">
        <f t="shared" si="118"/>
        <v>6.927098095780136E-3</v>
      </c>
      <c r="AR250" s="94">
        <f t="shared" si="102"/>
        <v>3.9673481193426445E-2</v>
      </c>
      <c r="AS250" s="95"/>
    </row>
    <row r="251" spans="1:45">
      <c r="A251" s="78">
        <f t="shared" si="115"/>
        <v>2025</v>
      </c>
      <c r="B251" s="78">
        <f t="shared" si="116"/>
        <v>7</v>
      </c>
      <c r="C251" s="317">
        <f t="shared" si="109"/>
        <v>322.31916585708109</v>
      </c>
      <c r="D251" s="324">
        <f t="shared" si="113"/>
        <v>0.16081685717602592</v>
      </c>
      <c r="E251" s="321">
        <f>$D251*'MWh Impact Summary'!B$31</f>
        <v>555567.03886734275</v>
      </c>
      <c r="F251" s="321">
        <f>$D251*'MWh Impact Summary'!N$31</f>
        <v>103910.99630726078</v>
      </c>
      <c r="G251" s="321">
        <f>$D251*'MWh Impact Summary'!C$31</f>
        <v>404138.51058623986</v>
      </c>
      <c r="H251" s="321">
        <f>$D251*'MWh Impact Summary'!D$31</f>
        <v>2032.2591044276815</v>
      </c>
      <c r="I251" s="321">
        <f>$D251*'MWh Impact Summary'!E$31</f>
        <v>143786.43842474575</v>
      </c>
      <c r="J251" s="104">
        <f t="shared" si="103"/>
        <v>1209435.2432900169</v>
      </c>
      <c r="K251" s="298">
        <f t="shared" si="110"/>
        <v>10.366666666666667</v>
      </c>
      <c r="L251" s="300">
        <f t="shared" si="114"/>
        <v>7.2978998005397158E-2</v>
      </c>
      <c r="M251" s="297">
        <f t="shared" si="120"/>
        <v>8.4931506849315067E-2</v>
      </c>
      <c r="N251" s="304">
        <f>$M251*'MWh Impact Summary'!F$31</f>
        <v>189138.06382954202</v>
      </c>
      <c r="O251" s="304">
        <f>$M251*'MWh Impact Summary'!G$31</f>
        <v>34820.138053350252</v>
      </c>
      <c r="P251" s="304">
        <f>$M251*'MWh Impact Summary'!H$31</f>
        <v>11918.16314863661</v>
      </c>
      <c r="Q251" s="304">
        <f>$M251*'MWh Impact Summary'!I$31</f>
        <v>1969.824181385665</v>
      </c>
      <c r="R251" s="304">
        <f>$M251*'MWh Impact Summary'!J$31</f>
        <v>50449.831017349366</v>
      </c>
      <c r="S251" s="304">
        <f>$M251*'MWh Impact Summary'!K$31</f>
        <v>38142.707657859886</v>
      </c>
      <c r="T251" s="304">
        <f>$M251*'MWh Impact Summary'!L$31</f>
        <v>13720.212941697286</v>
      </c>
      <c r="U251" s="304">
        <f>$M251*'MWh Impact Summary'!M$31</f>
        <v>42513.872742680498</v>
      </c>
      <c r="V251" s="304">
        <f>$M251*'LED Impact Forecast'!$H$32+$D251*'LED Impact Forecast'!$J$32</f>
        <v>311489.07470027183</v>
      </c>
      <c r="W251" s="304">
        <f>$M251*'CFL Impact Forecast'!$H$32+$D251*'CFL Impact Forecast'!$J$32</f>
        <v>409549.26046581852</v>
      </c>
      <c r="X251" s="304">
        <f>$M251*'EISA Incand Impact Forecast'!$G$32+$D251*'EISA Incand Impact Forecast'!$I$32</f>
        <v>141917.40396412738</v>
      </c>
      <c r="Y251" s="85">
        <f t="shared" si="95"/>
        <v>1245628.5527027193</v>
      </c>
      <c r="Z251" s="81">
        <f t="shared" si="96"/>
        <v>2455063.7959927362</v>
      </c>
      <c r="AA251" s="81"/>
      <c r="AB251" s="262">
        <v>5436311.5981648155</v>
      </c>
      <c r="AC251" s="308">
        <f t="shared" si="104"/>
        <v>451.60468668159388</v>
      </c>
      <c r="AD251" s="309">
        <f t="shared" si="97"/>
        <v>222.47349539314428</v>
      </c>
      <c r="AE251" s="107">
        <f t="shared" si="98"/>
        <v>2.1460465793550897E-2</v>
      </c>
      <c r="AF251" s="309">
        <f t="shared" si="105"/>
        <v>229.1311912884496</v>
      </c>
      <c r="AG251" s="107">
        <f t="shared" si="99"/>
        <v>2.2102687262551407E-2</v>
      </c>
      <c r="AH251" s="119">
        <f t="shared" si="106"/>
        <v>4.3563153056102304E-2</v>
      </c>
      <c r="AI251" s="122">
        <f t="shared" si="100"/>
        <v>4.3563153056102304E-2</v>
      </c>
      <c r="AJ251" s="87" t="b">
        <f t="shared" si="107"/>
        <v>1</v>
      </c>
      <c r="AK251" s="88">
        <f t="shared" si="112"/>
        <v>1.0035099720119012E-3</v>
      </c>
      <c r="AL251" s="312">
        <f>+AC251/'MWh by month-WgtbyCDH&amp;DayLtHrs'!AC251-1</f>
        <v>9.8133028676028244E-2</v>
      </c>
      <c r="AM251" s="89">
        <f t="shared" si="101"/>
        <v>409549.26046581852</v>
      </c>
      <c r="AN251" s="90"/>
      <c r="AO251" s="96">
        <f t="shared" si="119"/>
        <v>75.335869379539204</v>
      </c>
      <c r="AP251" s="92">
        <f t="shared" si="118"/>
        <v>7.2671256636211452E-3</v>
      </c>
      <c r="AR251" s="94">
        <f t="shared" si="102"/>
        <v>4.3563153056102304E-2</v>
      </c>
      <c r="AS251" s="95"/>
    </row>
    <row r="252" spans="1:45">
      <c r="A252" s="78">
        <f t="shared" si="115"/>
        <v>2025</v>
      </c>
      <c r="B252" s="78">
        <f t="shared" si="116"/>
        <v>8</v>
      </c>
      <c r="C252" s="317">
        <f t="shared" si="109"/>
        <v>326.45437890907908</v>
      </c>
      <c r="D252" s="324">
        <f t="shared" si="113"/>
        <v>0.16288006668144661</v>
      </c>
      <c r="E252" s="321">
        <f>$D252*'MWh Impact Summary'!B$31</f>
        <v>562694.71948253387</v>
      </c>
      <c r="F252" s="321">
        <f>$D252*'MWh Impact Summary'!N$31</f>
        <v>105244.12866081878</v>
      </c>
      <c r="G252" s="321">
        <f>$D252*'MWh Impact Summary'!C$31</f>
        <v>409323.42982412426</v>
      </c>
      <c r="H252" s="321">
        <f>$D252*'MWh Impact Summary'!D$31</f>
        <v>2058.3320943826052</v>
      </c>
      <c r="I252" s="321">
        <f>$D252*'MWh Impact Summary'!E$31</f>
        <v>145631.15515231993</v>
      </c>
      <c r="J252" s="104">
        <f t="shared" si="103"/>
        <v>1224951.7652141794</v>
      </c>
      <c r="K252" s="298">
        <f t="shared" si="110"/>
        <v>10.933333333333334</v>
      </c>
      <c r="L252" s="300">
        <f t="shared" si="114"/>
        <v>7.6968203684148764E-2</v>
      </c>
      <c r="M252" s="297">
        <f t="shared" si="120"/>
        <v>8.4931506849315067E-2</v>
      </c>
      <c r="N252" s="304">
        <f>$M252*'MWh Impact Summary'!F$31</f>
        <v>189138.06382954202</v>
      </c>
      <c r="O252" s="304">
        <f>$M252*'MWh Impact Summary'!G$31</f>
        <v>34820.138053350252</v>
      </c>
      <c r="P252" s="304">
        <f>$M252*'MWh Impact Summary'!H$31</f>
        <v>11918.16314863661</v>
      </c>
      <c r="Q252" s="304">
        <f>$M252*'MWh Impact Summary'!I$31</f>
        <v>1969.824181385665</v>
      </c>
      <c r="R252" s="304">
        <f>$M252*'MWh Impact Summary'!J$31</f>
        <v>50449.831017349366</v>
      </c>
      <c r="S252" s="304">
        <f>$M252*'MWh Impact Summary'!K$31</f>
        <v>38142.707657859886</v>
      </c>
      <c r="T252" s="304">
        <f>$M252*'MWh Impact Summary'!L$31</f>
        <v>13720.212941697286</v>
      </c>
      <c r="U252" s="304">
        <f>$M252*'MWh Impact Summary'!M$31</f>
        <v>42513.872742680498</v>
      </c>
      <c r="V252" s="304">
        <f>$M252*'LED Impact Forecast'!$H$32+$D252*'LED Impact Forecast'!$J$32</f>
        <v>312475.26419350697</v>
      </c>
      <c r="W252" s="304">
        <f>$M252*'CFL Impact Forecast'!$H$32+$D252*'CFL Impact Forecast'!$J$32</f>
        <v>410838.57688247348</v>
      </c>
      <c r="X252" s="304">
        <f>$M252*'EISA Incand Impact Forecast'!$G$32+$D252*'EISA Incand Impact Forecast'!$I$32</f>
        <v>142390.06965380075</v>
      </c>
      <c r="Y252" s="85">
        <f t="shared" si="95"/>
        <v>1248376.7243022828</v>
      </c>
      <c r="Z252" s="81">
        <f t="shared" si="96"/>
        <v>2473328.4895164622</v>
      </c>
      <c r="AA252" s="81"/>
      <c r="AB252" s="262">
        <v>5440926.2620600108</v>
      </c>
      <c r="AC252" s="308">
        <f t="shared" si="104"/>
        <v>454.57857180737193</v>
      </c>
      <c r="AD252" s="309">
        <f t="shared" si="97"/>
        <v>225.13662310696262</v>
      </c>
      <c r="AE252" s="107">
        <f t="shared" si="98"/>
        <v>2.0591764308563656E-2</v>
      </c>
      <c r="AF252" s="309">
        <f t="shared" si="105"/>
        <v>229.44194870040931</v>
      </c>
      <c r="AG252" s="107">
        <f t="shared" si="99"/>
        <v>2.098554408845207E-2</v>
      </c>
      <c r="AH252" s="119">
        <f t="shared" si="106"/>
        <v>4.1577308397015726E-2</v>
      </c>
      <c r="AI252" s="122">
        <f t="shared" si="100"/>
        <v>4.1577308397015726E-2</v>
      </c>
      <c r="AJ252" s="87" t="b">
        <f t="shared" si="107"/>
        <v>1</v>
      </c>
      <c r="AK252" s="88">
        <f t="shared" si="112"/>
        <v>9.5911383792804394E-4</v>
      </c>
      <c r="AL252" s="312">
        <f>+AC252/'MWh by month-WgtbyCDH&amp;DayLtHrs'!AC252-1</f>
        <v>7.6393598241984995E-2</v>
      </c>
      <c r="AM252" s="89">
        <f t="shared" si="101"/>
        <v>410838.57688247348</v>
      </c>
      <c r="AN252" s="90"/>
      <c r="AO252" s="96">
        <f t="shared" si="119"/>
        <v>75.508940407312977</v>
      </c>
      <c r="AP252" s="92">
        <f t="shared" si="118"/>
        <v>6.9063055250591131E-3</v>
      </c>
      <c r="AR252" s="94">
        <f t="shared" si="102"/>
        <v>4.1577308397015726E-2</v>
      </c>
      <c r="AS252" s="95"/>
    </row>
    <row r="253" spans="1:45">
      <c r="A253" s="78">
        <f t="shared" si="115"/>
        <v>2025</v>
      </c>
      <c r="B253" s="78">
        <f t="shared" si="116"/>
        <v>9</v>
      </c>
      <c r="C253" s="317">
        <f t="shared" si="109"/>
        <v>277.87653293728147</v>
      </c>
      <c r="D253" s="324">
        <f t="shared" si="113"/>
        <v>0.1386427970893879</v>
      </c>
      <c r="E253" s="321">
        <f>$D253*'MWh Impact Summary'!B$31</f>
        <v>478963.27282983233</v>
      </c>
      <c r="F253" s="321">
        <f>$D253*'MWh Impact Summary'!N$31</f>
        <v>89583.33988964044</v>
      </c>
      <c r="G253" s="321">
        <f>$D253*'MWh Impact Summary'!C$31</f>
        <v>348414.3049623557</v>
      </c>
      <c r="H253" s="321">
        <f>$D253*'MWh Impact Summary'!D$31</f>
        <v>1752.0432347451188</v>
      </c>
      <c r="I253" s="321">
        <f>$D253*'MWh Impact Summary'!E$31</f>
        <v>123960.59938484877</v>
      </c>
      <c r="J253" s="104">
        <f t="shared" si="103"/>
        <v>1042673.5603014223</v>
      </c>
      <c r="K253" s="298">
        <f t="shared" si="110"/>
        <v>11.683333333333334</v>
      </c>
      <c r="L253" s="300">
        <f t="shared" si="114"/>
        <v>8.2248034729555317E-2</v>
      </c>
      <c r="M253" s="297">
        <f>(30/365)</f>
        <v>8.2191780821917804E-2</v>
      </c>
      <c r="N253" s="304">
        <f>$M253*'MWh Impact Summary'!F$31</f>
        <v>183036.8359640729</v>
      </c>
      <c r="O253" s="304">
        <f>$M253*'MWh Impact Summary'!G$31</f>
        <v>33696.907793564758</v>
      </c>
      <c r="P253" s="304">
        <f>$M253*'MWh Impact Summary'!H$31</f>
        <v>11533.706272874138</v>
      </c>
      <c r="Q253" s="304">
        <f>$M253*'MWh Impact Summary'!I$31</f>
        <v>1906.2814658570951</v>
      </c>
      <c r="R253" s="304">
        <f>$M253*'MWh Impact Summary'!J$31</f>
        <v>48822.417113563904</v>
      </c>
      <c r="S253" s="304">
        <f>$M253*'MWh Impact Summary'!K$31</f>
        <v>36912.297733412794</v>
      </c>
      <c r="T253" s="304">
        <f>$M253*'MWh Impact Summary'!L$31</f>
        <v>13277.625427448986</v>
      </c>
      <c r="U253" s="304">
        <f>$M253*'MWh Impact Summary'!M$31</f>
        <v>41142.457492916605</v>
      </c>
      <c r="V253" s="304">
        <f>$M253*'LED Impact Forecast'!$H$32+$D253*'LED Impact Forecast'!$J$32</f>
        <v>293321.73444251897</v>
      </c>
      <c r="W253" s="304">
        <f>$M253*'CFL Impact Forecast'!$H$32+$D253*'CFL Impact Forecast'!$J$32</f>
        <v>385723.04214577109</v>
      </c>
      <c r="X253" s="304">
        <f>$M253*'EISA Incand Impact Forecast'!$G$32+$D253*'EISA Incand Impact Forecast'!$I$32</f>
        <v>133447.96297711367</v>
      </c>
      <c r="Y253" s="85">
        <f t="shared" si="95"/>
        <v>1182821.2688291147</v>
      </c>
      <c r="Z253" s="81">
        <f t="shared" si="96"/>
        <v>2225494.8291305369</v>
      </c>
      <c r="AA253" s="81"/>
      <c r="AB253" s="262">
        <v>5445455.1194933662</v>
      </c>
      <c r="AC253" s="308">
        <f t="shared" si="104"/>
        <v>408.68848981305945</v>
      </c>
      <c r="AD253" s="309">
        <f t="shared" si="97"/>
        <v>191.47592578054898</v>
      </c>
      <c r="AE253" s="107">
        <f t="shared" si="98"/>
        <v>1.6388809624583361E-2</v>
      </c>
      <c r="AF253" s="309">
        <f t="shared" si="105"/>
        <v>217.21256403251044</v>
      </c>
      <c r="AG253" s="107">
        <f t="shared" si="99"/>
        <v>1.8591660259558669E-2</v>
      </c>
      <c r="AH253" s="119">
        <f t="shared" si="106"/>
        <v>3.4980469884142031E-2</v>
      </c>
      <c r="AI253" s="122">
        <f t="shared" si="100"/>
        <v>3.4980469884142031E-2</v>
      </c>
      <c r="AJ253" s="87" t="b">
        <f t="shared" si="107"/>
        <v>1</v>
      </c>
      <c r="AK253" s="88">
        <f t="shared" si="112"/>
        <v>8.5170799601068381E-4</v>
      </c>
      <c r="AL253" s="312">
        <f>+AC253/'MWh by month-WgtbyCDH&amp;DayLtHrs'!AC253-1</f>
        <v>2.4030174240273094E-2</v>
      </c>
      <c r="AM253" s="89">
        <f t="shared" si="101"/>
        <v>385723.04214577109</v>
      </c>
      <c r="AN253" s="90"/>
      <c r="AO253" s="96">
        <f t="shared" si="119"/>
        <v>70.833940172416291</v>
      </c>
      <c r="AP253" s="92">
        <f t="shared" si="118"/>
        <v>6.0628194156133767E-3</v>
      </c>
      <c r="AR253" s="94">
        <f t="shared" si="102"/>
        <v>3.4980469884142031E-2</v>
      </c>
      <c r="AS253" s="95"/>
    </row>
    <row r="254" spans="1:45">
      <c r="A254" s="78">
        <f t="shared" si="115"/>
        <v>2025</v>
      </c>
      <c r="B254" s="78">
        <f t="shared" si="116"/>
        <v>10</v>
      </c>
      <c r="C254" s="317">
        <f t="shared" si="109"/>
        <v>198.89039579254836</v>
      </c>
      <c r="D254" s="324">
        <f t="shared" si="113"/>
        <v>9.923371540380535E-2</v>
      </c>
      <c r="E254" s="321">
        <f>$D254*'MWh Impact Summary'!B$31</f>
        <v>342818.42333451292</v>
      </c>
      <c r="F254" s="321">
        <f>$D254*'MWh Impact Summary'!N$31</f>
        <v>64119.361713392493</v>
      </c>
      <c r="G254" s="321">
        <f>$D254*'MWh Impact Summary'!C$31</f>
        <v>249377.87398329598</v>
      </c>
      <c r="H254" s="321">
        <f>$D254*'MWh Impact Summary'!D$31</f>
        <v>1254.026630894967</v>
      </c>
      <c r="I254" s="321">
        <f>$D254*'MWh Impact Summary'!E$31</f>
        <v>88724.918271161805</v>
      </c>
      <c r="J254" s="104">
        <f t="shared" si="103"/>
        <v>746294.60393325821</v>
      </c>
      <c r="K254" s="298">
        <f t="shared" si="110"/>
        <v>12.466666666666667</v>
      </c>
      <c r="L254" s="300">
        <f t="shared" si="114"/>
        <v>8.7762524932535488E-2</v>
      </c>
      <c r="M254" s="297">
        <f t="shared" si="120"/>
        <v>8.4931506849315067E-2</v>
      </c>
      <c r="N254" s="304">
        <f>$M254*'MWh Impact Summary'!F$31</f>
        <v>189138.06382954202</v>
      </c>
      <c r="O254" s="304">
        <f>$M254*'MWh Impact Summary'!G$31</f>
        <v>34820.138053350252</v>
      </c>
      <c r="P254" s="304">
        <f>$M254*'MWh Impact Summary'!H$31</f>
        <v>11918.16314863661</v>
      </c>
      <c r="Q254" s="304">
        <f>$M254*'MWh Impact Summary'!I$31</f>
        <v>1969.824181385665</v>
      </c>
      <c r="R254" s="304">
        <f>$M254*'MWh Impact Summary'!J$31</f>
        <v>50449.831017349366</v>
      </c>
      <c r="S254" s="304">
        <f>$M254*'MWh Impact Summary'!K$31</f>
        <v>38142.707657859886</v>
      </c>
      <c r="T254" s="304">
        <f>$M254*'MWh Impact Summary'!L$31</f>
        <v>13720.212941697286</v>
      </c>
      <c r="U254" s="304">
        <f>$M254*'MWh Impact Summary'!M$31</f>
        <v>42513.872742680498</v>
      </c>
      <c r="V254" s="304">
        <f>$M254*'LED Impact Forecast'!$H$32+$D254*'LED Impact Forecast'!$J$32</f>
        <v>282053.06870252319</v>
      </c>
      <c r="W254" s="304">
        <f>$M254*'CFL Impact Forecast'!$H$32+$D254*'CFL Impact Forecast'!$J$32</f>
        <v>371065.45382015017</v>
      </c>
      <c r="X254" s="304">
        <f>$M254*'EISA Incand Impact Forecast'!$G$32+$D254*'EISA Incand Impact Forecast'!$I$32</f>
        <v>127809.17205576203</v>
      </c>
      <c r="Y254" s="85">
        <f t="shared" si="95"/>
        <v>1163600.508150937</v>
      </c>
      <c r="Z254" s="81">
        <f t="shared" si="96"/>
        <v>1909895.1120841953</v>
      </c>
      <c r="AA254" s="81"/>
      <c r="AB254" s="262">
        <v>5450014.5728547378</v>
      </c>
      <c r="AC254" s="308">
        <f t="shared" si="104"/>
        <v>350.43853306318499</v>
      </c>
      <c r="AD254" s="309">
        <f t="shared" si="97"/>
        <v>136.93442356106331</v>
      </c>
      <c r="AE254" s="107">
        <f t="shared" si="98"/>
        <v>1.0984044670673529E-2</v>
      </c>
      <c r="AF254" s="309">
        <f t="shared" si="105"/>
        <v>213.50410950212174</v>
      </c>
      <c r="AG254" s="107">
        <f t="shared" si="99"/>
        <v>1.7125998088405488E-2</v>
      </c>
      <c r="AH254" s="119">
        <f t="shared" si="106"/>
        <v>2.8110042759079017E-2</v>
      </c>
      <c r="AI254" s="122">
        <f t="shared" si="100"/>
        <v>2.811004275907901E-2</v>
      </c>
      <c r="AJ254" s="87" t="b">
        <f t="shared" si="107"/>
        <v>1</v>
      </c>
      <c r="AK254" s="88">
        <f t="shared" si="112"/>
        <v>7.8171500833968538E-4</v>
      </c>
      <c r="AL254" s="312">
        <f>+AC254/'MWh by month-WgtbyCDH&amp;DayLtHrs'!AC254-1</f>
        <v>-1.305781677334128E-2</v>
      </c>
      <c r="AM254" s="89">
        <f t="shared" si="101"/>
        <v>371065.45382015017</v>
      </c>
      <c r="AN254" s="90"/>
      <c r="AO254" s="96">
        <f t="shared" si="119"/>
        <v>68.08522231634781</v>
      </c>
      <c r="AP254" s="92">
        <f t="shared" si="118"/>
        <v>5.4613814692257602E-3</v>
      </c>
      <c r="AR254" s="94">
        <f t="shared" si="102"/>
        <v>2.811004275907901E-2</v>
      </c>
      <c r="AS254" s="95"/>
    </row>
    <row r="255" spans="1:45">
      <c r="A255" s="78">
        <f t="shared" si="115"/>
        <v>2025</v>
      </c>
      <c r="B255" s="78">
        <f t="shared" si="116"/>
        <v>11</v>
      </c>
      <c r="C255" s="317">
        <f t="shared" si="109"/>
        <v>78.117279066674627</v>
      </c>
      <c r="D255" s="324">
        <f t="shared" si="113"/>
        <v>3.8975576513546578E-2</v>
      </c>
      <c r="E255" s="321">
        <f>$D255*'MWh Impact Summary'!B$31</f>
        <v>134647.23793275739</v>
      </c>
      <c r="F255" s="321">
        <f>$D255*'MWh Impact Summary'!N$31</f>
        <v>25183.871008867463</v>
      </c>
      <c r="G255" s="321">
        <f>$D255*'MWh Impact Summary'!C$31</f>
        <v>97947.016985809707</v>
      </c>
      <c r="H255" s="321">
        <f>$D255*'MWh Impact Summary'!D$31</f>
        <v>492.53835456610886</v>
      </c>
      <c r="I255" s="321">
        <f>$D255*'MWh Impact Summary'!E$31</f>
        <v>34848.083906402084</v>
      </c>
      <c r="J255" s="104">
        <f t="shared" si="103"/>
        <v>293118.74818840274</v>
      </c>
      <c r="K255" s="298">
        <f t="shared" si="110"/>
        <v>13.15</v>
      </c>
      <c r="L255" s="300">
        <f t="shared" si="114"/>
        <v>9.2573037662794788E-2</v>
      </c>
      <c r="M255" s="297">
        <f>(30/365)</f>
        <v>8.2191780821917804E-2</v>
      </c>
      <c r="N255" s="304">
        <f>$M255*'MWh Impact Summary'!F$31</f>
        <v>183036.8359640729</v>
      </c>
      <c r="O255" s="304">
        <f>$M255*'MWh Impact Summary'!G$31</f>
        <v>33696.907793564758</v>
      </c>
      <c r="P255" s="304">
        <f>$M255*'MWh Impact Summary'!H$31</f>
        <v>11533.706272874138</v>
      </c>
      <c r="Q255" s="304">
        <f>$M255*'MWh Impact Summary'!I$31</f>
        <v>1906.2814658570951</v>
      </c>
      <c r="R255" s="304">
        <f>$M255*'MWh Impact Summary'!J$31</f>
        <v>48822.417113563904</v>
      </c>
      <c r="S255" s="304">
        <f>$M255*'MWh Impact Summary'!K$31</f>
        <v>36912.297733412794</v>
      </c>
      <c r="T255" s="304">
        <f>$M255*'MWh Impact Summary'!L$31</f>
        <v>13277.625427448986</v>
      </c>
      <c r="U255" s="304">
        <f>$M255*'MWh Impact Summary'!M$31</f>
        <v>41142.457492916605</v>
      </c>
      <c r="V255" s="304">
        <f>$M255*'LED Impact Forecast'!$H$32+$D255*'LED Impact Forecast'!$J$32</f>
        <v>245681.9937891312</v>
      </c>
      <c r="W255" s="304">
        <f>$M255*'CFL Impact Forecast'!$H$32+$D255*'CFL Impact Forecast'!$J$32</f>
        <v>323440.18461085332</v>
      </c>
      <c r="X255" s="304">
        <f>$M255*'EISA Incand Impact Forecast'!$G$32+$D255*'EISA Incand Impact Forecast'!$I$32</f>
        <v>110614.95671791598</v>
      </c>
      <c r="Y255" s="85">
        <f t="shared" si="95"/>
        <v>1050065.6643816116</v>
      </c>
      <c r="Z255" s="81">
        <f t="shared" si="96"/>
        <v>1343184.4125700144</v>
      </c>
      <c r="AA255" s="81"/>
      <c r="AB255" s="262">
        <v>5454581.94816502</v>
      </c>
      <c r="AC255" s="308">
        <f t="shared" si="104"/>
        <v>246.24882811080988</v>
      </c>
      <c r="AD255" s="309">
        <f t="shared" si="97"/>
        <v>53.738077633430919</v>
      </c>
      <c r="AE255" s="107">
        <f t="shared" si="98"/>
        <v>4.0865458276373324E-3</v>
      </c>
      <c r="AF255" s="309">
        <f t="shared" si="105"/>
        <v>192.51075047737893</v>
      </c>
      <c r="AG255" s="107">
        <f t="shared" si="99"/>
        <v>1.4639600796758854E-2</v>
      </c>
      <c r="AH255" s="119">
        <f t="shared" si="106"/>
        <v>1.8726146624396187E-2</v>
      </c>
      <c r="AI255" s="122">
        <f t="shared" si="100"/>
        <v>1.872614662439619E-2</v>
      </c>
      <c r="AJ255" s="87" t="b">
        <f t="shared" si="107"/>
        <v>1</v>
      </c>
      <c r="AK255" s="88">
        <f t="shared" si="112"/>
        <v>6.6135489047617832E-4</v>
      </c>
      <c r="AL255" s="312">
        <f>+AC255/'MWh by month-WgtbyCDH&amp;DayLtHrs'!AC255-1</f>
        <v>-0.12155872981350324</v>
      </c>
      <c r="AM255" s="89">
        <f t="shared" si="101"/>
        <v>323440.18461085332</v>
      </c>
      <c r="AN255" s="90"/>
      <c r="AO255" s="96">
        <f t="shared" si="119"/>
        <v>59.296970452458247</v>
      </c>
      <c r="AP255" s="92">
        <f t="shared" si="118"/>
        <v>4.5092753195785738E-3</v>
      </c>
      <c r="AR255" s="94">
        <f t="shared" si="102"/>
        <v>1.872614662439619E-2</v>
      </c>
      <c r="AS255" s="95"/>
    </row>
    <row r="256" spans="1:45">
      <c r="A256" s="78">
        <f t="shared" si="115"/>
        <v>2025</v>
      </c>
      <c r="B256" s="78">
        <f t="shared" si="116"/>
        <v>12</v>
      </c>
      <c r="C256" s="317">
        <f t="shared" si="109"/>
        <v>42.633806123140985</v>
      </c>
      <c r="D256" s="324">
        <f t="shared" si="113"/>
        <v>2.1271570035074034E-2</v>
      </c>
      <c r="E256" s="321">
        <f>$D256*'MWh Impact Summary'!B$31</f>
        <v>73485.972701916093</v>
      </c>
      <c r="F256" s="321">
        <f>$D256*'MWh Impact Summary'!N$31</f>
        <v>13744.517049881319</v>
      </c>
      <c r="G256" s="321">
        <f>$D256*'MWh Impact Summary'!C$31</f>
        <v>53456.215864211488</v>
      </c>
      <c r="H256" s="321">
        <f>$D256*'MWh Impact Summary'!D$31</f>
        <v>268.81101041498749</v>
      </c>
      <c r="I256" s="321">
        <f>$D256*'MWh Impact Summary'!E$31</f>
        <v>19018.922199791628</v>
      </c>
      <c r="J256" s="104">
        <f t="shared" si="103"/>
        <v>159974.43882621551</v>
      </c>
      <c r="K256" s="298">
        <f t="shared" si="110"/>
        <v>13.483333333333333</v>
      </c>
      <c r="L256" s="300">
        <f t="shared" si="114"/>
        <v>9.491962923853102E-2</v>
      </c>
      <c r="M256" s="297">
        <f t="shared" si="120"/>
        <v>8.4931506849315067E-2</v>
      </c>
      <c r="N256" s="304">
        <f>$M256*'MWh Impact Summary'!F$31</f>
        <v>189138.06382954202</v>
      </c>
      <c r="O256" s="304">
        <f>$M256*'MWh Impact Summary'!G$31</f>
        <v>34820.138053350252</v>
      </c>
      <c r="P256" s="304">
        <f>$M256*'MWh Impact Summary'!H$31</f>
        <v>11918.16314863661</v>
      </c>
      <c r="Q256" s="304">
        <f>$M256*'MWh Impact Summary'!I$31</f>
        <v>1969.824181385665</v>
      </c>
      <c r="R256" s="304">
        <f>$M256*'MWh Impact Summary'!J$31</f>
        <v>50449.831017349366</v>
      </c>
      <c r="S256" s="304">
        <f>$M256*'MWh Impact Summary'!K$31</f>
        <v>38142.707657859886</v>
      </c>
      <c r="T256" s="304">
        <f>$M256*'MWh Impact Summary'!L$31</f>
        <v>13720.212941697286</v>
      </c>
      <c r="U256" s="304">
        <f>$M256*'MWh Impact Summary'!M$31</f>
        <v>42513.872742680498</v>
      </c>
      <c r="V256" s="304">
        <f>$M256*'LED Impact Forecast'!$H$32+$D256*'LED Impact Forecast'!$J$32</f>
        <v>244788.09467506097</v>
      </c>
      <c r="W256" s="304">
        <f>$M256*'CFL Impact Forecast'!$H$32+$D256*'CFL Impact Forecast'!$J$32</f>
        <v>322346.27448452992</v>
      </c>
      <c r="X256" s="304">
        <f>$M256*'EISA Incand Impact Forecast'!$G$32+$D256*'EISA Incand Impact Forecast'!$I$32</f>
        <v>109948.63432931709</v>
      </c>
      <c r="Y256" s="85">
        <f t="shared" si="95"/>
        <v>1059755.8170614096</v>
      </c>
      <c r="Z256" s="81">
        <f t="shared" si="96"/>
        <v>1219730.255887625</v>
      </c>
      <c r="AA256" s="81">
        <f>SUM(Z245:Z256)</f>
        <v>20996729.792061802</v>
      </c>
      <c r="AB256" s="262">
        <v>5459151.0861720592</v>
      </c>
      <c r="AC256" s="308">
        <f t="shared" si="104"/>
        <v>223.42855814655539</v>
      </c>
      <c r="AD256" s="309">
        <f t="shared" si="97"/>
        <v>29.303903903928973</v>
      </c>
      <c r="AE256" s="107">
        <f t="shared" si="98"/>
        <v>2.1733426875596273E-3</v>
      </c>
      <c r="AF256" s="309">
        <f t="shared" si="105"/>
        <v>194.12465424262643</v>
      </c>
      <c r="AG256" s="107">
        <f t="shared" si="99"/>
        <v>1.4397378559403691E-2</v>
      </c>
      <c r="AH256" s="119">
        <f t="shared" si="106"/>
        <v>1.6570721246963318E-2</v>
      </c>
      <c r="AI256" s="122">
        <f t="shared" si="100"/>
        <v>1.6570721246963318E-2</v>
      </c>
      <c r="AJ256" s="87" t="b">
        <f t="shared" si="107"/>
        <v>1</v>
      </c>
      <c r="AK256" s="88">
        <f t="shared" si="112"/>
        <v>6.491366561917726E-4</v>
      </c>
      <c r="AL256" s="312">
        <f>+AC256/'MWh by month-WgtbyCDH&amp;DayLtHrs'!AC256-1</f>
        <v>-0.14138014439174507</v>
      </c>
      <c r="AM256" s="89">
        <f t="shared" si="101"/>
        <v>322346.27448452992</v>
      </c>
      <c r="AN256" s="90">
        <f>SUM(AM245:AM256)</f>
        <v>4263763.8338592071</v>
      </c>
      <c r="AO256" s="96">
        <f t="shared" si="119"/>
        <v>59.04695975552459</v>
      </c>
      <c r="AP256" s="92">
        <f t="shared" si="118"/>
        <v>4.3792553588769788E-3</v>
      </c>
      <c r="AR256" s="94">
        <f t="shared" si="102"/>
        <v>1.6570721246963318E-2</v>
      </c>
      <c r="AS256" s="95"/>
    </row>
    <row r="257" spans="1:45">
      <c r="A257" s="78">
        <f t="shared" si="115"/>
        <v>2026</v>
      </c>
      <c r="B257" s="78">
        <f t="shared" si="116"/>
        <v>1</v>
      </c>
      <c r="C257" s="317">
        <f t="shared" si="109"/>
        <v>26.112829868525239</v>
      </c>
      <c r="D257" s="324">
        <f t="shared" si="113"/>
        <v>1.6125648960134388E-2</v>
      </c>
      <c r="E257" s="321">
        <f>$D257*'MWh Impact Summary'!B$32</f>
        <v>56011.042281349037</v>
      </c>
      <c r="F257" s="321">
        <f>$D257*'MWh Impact Summary'!N$32</f>
        <v>11168.691512646295</v>
      </c>
      <c r="G257" s="321">
        <f>$D257*'MWh Impact Summary'!C$32</f>
        <v>41031.764892102554</v>
      </c>
      <c r="H257" s="321">
        <f>$D257*'MWh Impact Summary'!D$32</f>
        <v>206.3336412394703</v>
      </c>
      <c r="I257" s="321">
        <f>$D257*'MWh Impact Summary'!E$32</f>
        <v>14598.48834390652</v>
      </c>
      <c r="J257" s="104">
        <f t="shared" si="103"/>
        <v>123016.32067124387</v>
      </c>
      <c r="K257" s="298">
        <f t="shared" si="110"/>
        <v>13.3</v>
      </c>
      <c r="L257" s="300">
        <f t="shared" si="114"/>
        <v>9.3629003871876101E-2</v>
      </c>
      <c r="M257" s="297">
        <f>(31/365)</f>
        <v>8.4931506849315067E-2</v>
      </c>
      <c r="N257" s="304">
        <f>$M257*'MWh Impact Summary'!F$32</f>
        <v>199941.99910015031</v>
      </c>
      <c r="O257" s="304">
        <f>$M257*'MWh Impact Summary'!G$32</f>
        <v>40642.014969019139</v>
      </c>
      <c r="P257" s="304">
        <f>$M257*'MWh Impact Summary'!H$32</f>
        <v>12517.757415120317</v>
      </c>
      <c r="Q257" s="304">
        <f>$M257*'MWh Impact Summary'!I$32</f>
        <v>2062.4220955829887</v>
      </c>
      <c r="R257" s="304">
        <f>$M257*'MWh Impact Summary'!J$32</f>
        <v>52011.23615889428</v>
      </c>
      <c r="S257" s="304">
        <f>$M257*'MWh Impact Summary'!K$32</f>
        <v>41738.545245949317</v>
      </c>
      <c r="T257" s="304">
        <f>$M257*'MWh Impact Summary'!L$32</f>
        <v>14991.085009939821</v>
      </c>
      <c r="U257" s="304">
        <f>$M257*'MWh Impact Summary'!M$32</f>
        <v>46643.890633818344</v>
      </c>
      <c r="V257" s="304">
        <f>$M257*'LED Impact Forecast'!$H$33+$D257*'LED Impact Forecast'!$J$33</f>
        <v>265514.39276528877</v>
      </c>
      <c r="W257" s="304">
        <f>$M257*'CFL Impact Forecast'!$H$33+$D257*'CFL Impact Forecast'!$J$33</f>
        <v>319887.76497832185</v>
      </c>
      <c r="X257" s="304">
        <f>$M257*'EISA Incand Impact Forecast'!$G$33+$D257*'EISA Incand Impact Forecast'!$I$33</f>
        <v>108769.74273953884</v>
      </c>
      <c r="Y257" s="85">
        <f t="shared" si="95"/>
        <v>1104720.8511116239</v>
      </c>
      <c r="Z257" s="81">
        <f t="shared" si="96"/>
        <v>1227737.1717828678</v>
      </c>
      <c r="AA257" s="81"/>
      <c r="AB257" s="262">
        <v>5463737.3974974714</v>
      </c>
      <c r="AC257" s="308">
        <f t="shared" si="104"/>
        <v>224.70647515841483</v>
      </c>
      <c r="AD257" s="309">
        <f t="shared" si="97"/>
        <v>22.515049996287967</v>
      </c>
      <c r="AE257" s="107">
        <f t="shared" si="98"/>
        <v>1.6928609019765388E-3</v>
      </c>
      <c r="AF257" s="309">
        <f t="shared" si="105"/>
        <v>202.1914251621269</v>
      </c>
      <c r="AG257" s="107">
        <f t="shared" si="99"/>
        <v>1.5202362794144879E-2</v>
      </c>
      <c r="AH257" s="119">
        <f t="shared" si="106"/>
        <v>1.6895223696121418E-2</v>
      </c>
      <c r="AI257" s="122">
        <f t="shared" si="100"/>
        <v>1.6895223696121415E-2</v>
      </c>
      <c r="AJ257" s="87" t="b">
        <f t="shared" si="107"/>
        <v>1</v>
      </c>
      <c r="AK257" s="88">
        <f t="shared" si="112"/>
        <v>5.6671322904396429E-4</v>
      </c>
      <c r="AL257" s="312">
        <f>+AC257/'MWh by month-WgtbyCDH&amp;DayLtHrs'!AC257-1</f>
        <v>-0.12515187316734111</v>
      </c>
      <c r="AM257" s="89">
        <f t="shared" si="101"/>
        <v>319887.76497832185</v>
      </c>
      <c r="AN257" s="93"/>
      <c r="AO257" s="96">
        <f t="shared" si="119"/>
        <v>58.547426734827788</v>
      </c>
      <c r="AP257" s="92">
        <f t="shared" si="118"/>
        <v>4.4020621605133673E-3</v>
      </c>
      <c r="AR257" s="94">
        <f t="shared" si="102"/>
        <v>1.6895223696121415E-2</v>
      </c>
      <c r="AS257" s="95"/>
    </row>
    <row r="258" spans="1:45">
      <c r="A258" s="78">
        <f t="shared" si="115"/>
        <v>2026</v>
      </c>
      <c r="B258" s="78">
        <f t="shared" si="116"/>
        <v>2</v>
      </c>
      <c r="C258" s="317">
        <f t="shared" si="109"/>
        <v>35.042184420393127</v>
      </c>
      <c r="D258" s="324">
        <f t="shared" si="113"/>
        <v>9.4849425755900163E-3</v>
      </c>
      <c r="E258" s="321">
        <f>$D258*'MWh Impact Summary'!B$32</f>
        <v>32945.124934253348</v>
      </c>
      <c r="F258" s="321">
        <f>$D258*'MWh Impact Summary'!N$32</f>
        <v>6569.3106617798321</v>
      </c>
      <c r="G258" s="321">
        <f>$D258*'MWh Impact Summary'!C$32</f>
        <v>24134.466447759001</v>
      </c>
      <c r="H258" s="321">
        <f>$D258*'MWh Impact Summary'!D$32</f>
        <v>121.36334750973384</v>
      </c>
      <c r="I258" s="321">
        <f>$D258*'MWh Impact Summary'!E$32</f>
        <v>8586.6822460718868</v>
      </c>
      <c r="J258" s="104">
        <f t="shared" si="103"/>
        <v>72356.9476373738</v>
      </c>
      <c r="K258" s="298">
        <f t="shared" si="110"/>
        <v>12.733333333333333</v>
      </c>
      <c r="L258" s="300">
        <f t="shared" si="114"/>
        <v>8.9639798193124468E-2</v>
      </c>
      <c r="M258" s="297">
        <f>(28/365)</f>
        <v>7.6712328767123292E-2</v>
      </c>
      <c r="N258" s="304">
        <f>$M258*'MWh Impact Summary'!F$32</f>
        <v>180592.77338078094</v>
      </c>
      <c r="O258" s="304">
        <f>$M258*'MWh Impact Summary'!G$32</f>
        <v>36708.916746210838</v>
      </c>
      <c r="P258" s="304">
        <f>$M258*'MWh Impact Summary'!H$32</f>
        <v>11306.361536237706</v>
      </c>
      <c r="Q258" s="304">
        <f>$M258*'MWh Impact Summary'!I$32</f>
        <v>1862.8328605265706</v>
      </c>
      <c r="R258" s="304">
        <f>$M258*'MWh Impact Summary'!J$32</f>
        <v>46977.890724162578</v>
      </c>
      <c r="S258" s="304">
        <f>$M258*'MWh Impact Summary'!K$32</f>
        <v>37699.331189889708</v>
      </c>
      <c r="T258" s="304">
        <f>$M258*'MWh Impact Summary'!L$32</f>
        <v>13540.334847687582</v>
      </c>
      <c r="U258" s="304">
        <f>$M258*'MWh Impact Summary'!M$32</f>
        <v>42129.965733771416</v>
      </c>
      <c r="V258" s="304">
        <f>$M258*'LED Impact Forecast'!$H$33+$D258*'LED Impact Forecast'!$J$33</f>
        <v>237147.46946792898</v>
      </c>
      <c r="W258" s="304">
        <f>$M258*'CFL Impact Forecast'!$H$33+$D258*'CFL Impact Forecast'!$J$33</f>
        <v>285747.06265734049</v>
      </c>
      <c r="X258" s="304">
        <f>$M258*'EISA Incand Impact Forecast'!$G$33+$D258*'EISA Incand Impact Forecast'!$I$33</f>
        <v>97079.812444679061</v>
      </c>
      <c r="Y258" s="85">
        <f t="shared" si="95"/>
        <v>990792.75158921594</v>
      </c>
      <c r="Z258" s="81">
        <f t="shared" si="96"/>
        <v>1063149.6992265896</v>
      </c>
      <c r="AA258" s="81"/>
      <c r="AB258" s="262">
        <v>5468304.7475988464</v>
      </c>
      <c r="AC258" s="308">
        <f t="shared" si="104"/>
        <v>194.42034566442604</v>
      </c>
      <c r="AD258" s="309">
        <f t="shared" si="97"/>
        <v>13.232062033328706</v>
      </c>
      <c r="AE258" s="107">
        <f t="shared" si="98"/>
        <v>1.0391671753923069E-3</v>
      </c>
      <c r="AF258" s="309">
        <f t="shared" si="105"/>
        <v>181.18828363109736</v>
      </c>
      <c r="AG258" s="107">
        <f t="shared" si="99"/>
        <v>1.4229446358463144E-2</v>
      </c>
      <c r="AH258" s="119">
        <f t="shared" si="106"/>
        <v>1.5268613533855451E-2</v>
      </c>
      <c r="AI258" s="122">
        <f t="shared" si="100"/>
        <v>1.526861353385545E-2</v>
      </c>
      <c r="AJ258" s="87" t="b">
        <f t="shared" si="107"/>
        <v>0</v>
      </c>
      <c r="AK258" s="88">
        <f t="shared" si="112"/>
        <v>5.3159764942344555E-4</v>
      </c>
      <c r="AL258" s="312">
        <f>+AC258/'MWh by month-WgtbyCDH&amp;DayLtHrs'!AC258-1</f>
        <v>-0.23494909354417337</v>
      </c>
      <c r="AM258" s="89">
        <f t="shared" si="101"/>
        <v>285747.06265734049</v>
      </c>
      <c r="AN258" s="93"/>
      <c r="AO258" s="96">
        <f t="shared" si="119"/>
        <v>52.255145944968248</v>
      </c>
      <c r="AP258" s="92">
        <f t="shared" si="118"/>
        <v>4.1038072731650463E-3</v>
      </c>
      <c r="AR258" s="94">
        <f t="shared" si="102"/>
        <v>1.526861353385545E-2</v>
      </c>
      <c r="AS258" s="95"/>
    </row>
    <row r="259" spans="1:45">
      <c r="A259" s="78">
        <f t="shared" si="115"/>
        <v>2026</v>
      </c>
      <c r="B259" s="78">
        <f t="shared" si="116"/>
        <v>3</v>
      </c>
      <c r="C259" s="317">
        <f t="shared" si="109"/>
        <v>64.582270600115152</v>
      </c>
      <c r="D259" s="324">
        <f t="shared" si="113"/>
        <v>5.6112649790650677E-2</v>
      </c>
      <c r="E259" s="321">
        <f>$D259*'MWh Impact Summary'!B$32</f>
        <v>194902.4195995194</v>
      </c>
      <c r="F259" s="321">
        <f>$D259*'MWh Impact Summary'!N$32</f>
        <v>38863.854534987426</v>
      </c>
      <c r="G259" s="321">
        <f>$D259*'MWh Impact Summary'!C$32</f>
        <v>142778.81525108422</v>
      </c>
      <c r="H259" s="321">
        <f>$D259*'MWh Impact Summary'!D$32</f>
        <v>717.98210289228984</v>
      </c>
      <c r="I259" s="321">
        <f>$D259*'MWh Impact Summary'!E$32</f>
        <v>50798.567297331014</v>
      </c>
      <c r="J259" s="104">
        <f t="shared" si="103"/>
        <v>428061.63878581434</v>
      </c>
      <c r="K259" s="298">
        <f t="shared" si="110"/>
        <v>12</v>
      </c>
      <c r="L259" s="300">
        <f t="shared" si="114"/>
        <v>8.4477296726504739E-2</v>
      </c>
      <c r="M259" s="297">
        <f t="shared" ref="M259:M268" si="121">(31/365)</f>
        <v>8.4931506849315067E-2</v>
      </c>
      <c r="N259" s="304">
        <f>$M259*'MWh Impact Summary'!F$32</f>
        <v>199941.99910015031</v>
      </c>
      <c r="O259" s="304">
        <f>$M259*'MWh Impact Summary'!G$32</f>
        <v>40642.014969019139</v>
      </c>
      <c r="P259" s="304">
        <f>$M259*'MWh Impact Summary'!H$32</f>
        <v>12517.757415120317</v>
      </c>
      <c r="Q259" s="304">
        <f>$M259*'MWh Impact Summary'!I$32</f>
        <v>2062.4220955829887</v>
      </c>
      <c r="R259" s="304">
        <f>$M259*'MWh Impact Summary'!J$32</f>
        <v>52011.23615889428</v>
      </c>
      <c r="S259" s="304">
        <f>$M259*'MWh Impact Summary'!K$32</f>
        <v>41738.545245949317</v>
      </c>
      <c r="T259" s="304">
        <f>$M259*'MWh Impact Summary'!L$32</f>
        <v>14991.085009939821</v>
      </c>
      <c r="U259" s="304">
        <f>$M259*'MWh Impact Summary'!M$32</f>
        <v>46643.890633818344</v>
      </c>
      <c r="V259" s="304">
        <f>$M259*'LED Impact Forecast'!$H$33+$D259*'LED Impact Forecast'!$J$33</f>
        <v>286546.12306732958</v>
      </c>
      <c r="W259" s="304">
        <f>$M259*'CFL Impact Forecast'!$H$33+$D259*'CFL Impact Forecast'!$J$33</f>
        <v>344948.2933419082</v>
      </c>
      <c r="X259" s="304">
        <f>$M259*'EISA Incand Impact Forecast'!$G$33+$D259*'EISA Incand Impact Forecast'!$I$33</f>
        <v>117930.46213127667</v>
      </c>
      <c r="Y259" s="85">
        <f t="shared" si="95"/>
        <v>1159973.8291689889</v>
      </c>
      <c r="Z259" s="81">
        <f t="shared" si="96"/>
        <v>1588035.4679548033</v>
      </c>
      <c r="AA259" s="81"/>
      <c r="AB259" s="262">
        <v>5472890.5962758642</v>
      </c>
      <c r="AC259" s="308">
        <f t="shared" si="104"/>
        <v>290.16393439975087</v>
      </c>
      <c r="AD259" s="309">
        <f t="shared" si="97"/>
        <v>78.214908786427642</v>
      </c>
      <c r="AE259" s="107">
        <f t="shared" si="98"/>
        <v>6.5179090655356365E-3</v>
      </c>
      <c r="AF259" s="309">
        <f t="shared" si="105"/>
        <v>211.94902561332322</v>
      </c>
      <c r="AG259" s="107">
        <f t="shared" si="99"/>
        <v>1.7662418801110268E-2</v>
      </c>
      <c r="AH259" s="119">
        <f t="shared" si="106"/>
        <v>2.4180327866645902E-2</v>
      </c>
      <c r="AI259" s="122">
        <f t="shared" si="100"/>
        <v>2.4180327866645906E-2</v>
      </c>
      <c r="AJ259" s="87" t="b">
        <f t="shared" si="107"/>
        <v>1</v>
      </c>
      <c r="AK259" s="88">
        <f t="shared" si="112"/>
        <v>6.7304613499354071E-4</v>
      </c>
      <c r="AL259" s="312">
        <f>+AC259/'MWh by month-WgtbyCDH&amp;DayLtHrs'!AC259-1</f>
        <v>0.10153274000022394</v>
      </c>
      <c r="AM259" s="89">
        <f t="shared" si="101"/>
        <v>344948.2933419082</v>
      </c>
      <c r="AN259" s="93"/>
      <c r="AO259" s="96">
        <f t="shared" si="119"/>
        <v>63.028538077599258</v>
      </c>
      <c r="AP259" s="92">
        <f t="shared" si="118"/>
        <v>5.2523781731332719E-3</v>
      </c>
      <c r="AR259" s="94">
        <f t="shared" si="102"/>
        <v>2.4180327866645906E-2</v>
      </c>
      <c r="AS259" s="95"/>
    </row>
    <row r="260" spans="1:45">
      <c r="A260" s="78">
        <f t="shared" si="115"/>
        <v>2026</v>
      </c>
      <c r="B260" s="78">
        <f t="shared" si="116"/>
        <v>4</v>
      </c>
      <c r="C260" s="317">
        <f t="shared" si="109"/>
        <v>114.03392869270741</v>
      </c>
      <c r="D260" s="324">
        <f t="shared" si="113"/>
        <v>5.6895710731417456E-2</v>
      </c>
      <c r="E260" s="321">
        <f>$D260*'MWh Impact Summary'!B$32</f>
        <v>197622.31382334823</v>
      </c>
      <c r="F260" s="321">
        <f>$D260*'MWh Impact Summary'!N$32</f>
        <v>39406.205798161267</v>
      </c>
      <c r="G260" s="321">
        <f>$D260*'MWh Impact Summary'!C$32</f>
        <v>144771.31629691273</v>
      </c>
      <c r="H260" s="321">
        <f>$D260*'MWh Impact Summary'!D$32</f>
        <v>728.00165718249241</v>
      </c>
      <c r="I260" s="321">
        <f>$D260*'MWh Impact Summary'!E$32</f>
        <v>51507.469372814186</v>
      </c>
      <c r="J260" s="104">
        <f t="shared" si="103"/>
        <v>434035.30694841885</v>
      </c>
      <c r="K260" s="298">
        <f t="shared" si="110"/>
        <v>11.2</v>
      </c>
      <c r="L260" s="300">
        <f t="shared" si="114"/>
        <v>7.8845476944737758E-2</v>
      </c>
      <c r="M260" s="297">
        <f>(30/365)</f>
        <v>8.2191780821917804E-2</v>
      </c>
      <c r="N260" s="304">
        <f>$M260*'MWh Impact Summary'!F$32</f>
        <v>193492.25719369383</v>
      </c>
      <c r="O260" s="304">
        <f>$M260*'MWh Impact Summary'!G$32</f>
        <v>39330.982228083041</v>
      </c>
      <c r="P260" s="304">
        <f>$M260*'MWh Impact Summary'!H$32</f>
        <v>12113.958788826112</v>
      </c>
      <c r="Q260" s="304">
        <f>$M260*'MWh Impact Summary'!I$32</f>
        <v>1995.8923505641826</v>
      </c>
      <c r="R260" s="304">
        <f>$M260*'MWh Impact Summary'!J$32</f>
        <v>50333.454347317042</v>
      </c>
      <c r="S260" s="304">
        <f>$M260*'MWh Impact Summary'!K$32</f>
        <v>40392.140560596112</v>
      </c>
      <c r="T260" s="304">
        <f>$M260*'MWh Impact Summary'!L$32</f>
        <v>14507.501622522408</v>
      </c>
      <c r="U260" s="304">
        <f>$M260*'MWh Impact Summary'!M$32</f>
        <v>45139.249000469368</v>
      </c>
      <c r="V260" s="304">
        <f>$M260*'LED Impact Forecast'!$H$33+$D260*'LED Impact Forecast'!$J$33</f>
        <v>278666.60188482096</v>
      </c>
      <c r="W260" s="304">
        <f>$M260*'CFL Impact Forecast'!$H$33+$D260*'CFL Impact Forecast'!$J$33</f>
        <v>335446.09767052601</v>
      </c>
      <c r="X260" s="304">
        <f>$M260*'EISA Incand Impact Forecast'!$G$33+$D260*'EISA Incand Impact Forecast'!$I$33</f>
        <v>114720.32390281657</v>
      </c>
      <c r="Y260" s="85">
        <f t="shared" si="95"/>
        <v>1126138.4595502357</v>
      </c>
      <c r="Z260" s="81">
        <f t="shared" si="96"/>
        <v>1560173.7664986546</v>
      </c>
      <c r="AA260" s="81"/>
      <c r="AB260" s="262">
        <v>5477458.5188071523</v>
      </c>
      <c r="AC260" s="308">
        <f t="shared" si="104"/>
        <v>284.83534127035614</v>
      </c>
      <c r="AD260" s="309">
        <f t="shared" si="97"/>
        <v>79.24027273928867</v>
      </c>
      <c r="AE260" s="107">
        <f t="shared" si="98"/>
        <v>7.0750243517222035E-3</v>
      </c>
      <c r="AF260" s="309">
        <f t="shared" si="105"/>
        <v>205.59506853106745</v>
      </c>
      <c r="AG260" s="107">
        <f t="shared" si="99"/>
        <v>1.8356702547416739E-2</v>
      </c>
      <c r="AH260" s="119">
        <f t="shared" si="106"/>
        <v>2.5431726899138942E-2</v>
      </c>
      <c r="AI260" s="122">
        <f t="shared" si="100"/>
        <v>2.5431726899138946E-2</v>
      </c>
      <c r="AJ260" s="87" t="b">
        <f t="shared" si="107"/>
        <v>1</v>
      </c>
      <c r="AK260" s="88">
        <f t="shared" si="112"/>
        <v>7.0361575663000289E-4</v>
      </c>
      <c r="AL260" s="312">
        <f>+AC260/'MWh by month-WgtbyCDH&amp;DayLtHrs'!AC260-1</f>
        <v>-3.2350969329000279E-3</v>
      </c>
      <c r="AM260" s="89">
        <f t="shared" si="101"/>
        <v>335446.09767052601</v>
      </c>
      <c r="AN260" s="93"/>
      <c r="AO260" s="96">
        <f t="shared" si="119"/>
        <v>61.241193615388156</v>
      </c>
      <c r="AP260" s="92">
        <f t="shared" si="118"/>
        <v>5.4679637156596567E-3</v>
      </c>
      <c r="AR260" s="94">
        <f t="shared" si="102"/>
        <v>2.5431726899138946E-2</v>
      </c>
      <c r="AS260" s="95"/>
    </row>
    <row r="261" spans="1:45">
      <c r="A261" s="78">
        <f t="shared" si="115"/>
        <v>2026</v>
      </c>
      <c r="B261" s="78">
        <f t="shared" si="116"/>
        <v>5</v>
      </c>
      <c r="C261" s="317">
        <f t="shared" si="109"/>
        <v>208.47875842628665</v>
      </c>
      <c r="D261" s="324">
        <f t="shared" si="113"/>
        <v>0.10401770130213556</v>
      </c>
      <c r="E261" s="321">
        <f>$D261*'MWh Impact Summary'!B$32</f>
        <v>361296.45883064636</v>
      </c>
      <c r="F261" s="321">
        <f>$D261*'MWh Impact Summary'!N$32</f>
        <v>72043.092378494708</v>
      </c>
      <c r="G261" s="321">
        <f>$D261*'MWh Impact Summary'!C$32</f>
        <v>264673.37066542509</v>
      </c>
      <c r="H261" s="321">
        <f>$D261*'MWh Impact Summary'!D$32</f>
        <v>1330.9449508722505</v>
      </c>
      <c r="I261" s="321">
        <f>$D261*'MWh Impact Summary'!E$32</f>
        <v>94166.827255956901</v>
      </c>
      <c r="J261" s="104">
        <f t="shared" si="103"/>
        <v>793510.69408139528</v>
      </c>
      <c r="K261" s="298">
        <f t="shared" si="110"/>
        <v>10.533333333333333</v>
      </c>
      <c r="L261" s="300">
        <f t="shared" si="114"/>
        <v>7.4152293793265281E-2</v>
      </c>
      <c r="M261" s="297">
        <f t="shared" si="121"/>
        <v>8.4931506849315067E-2</v>
      </c>
      <c r="N261" s="304">
        <f>$M261*'MWh Impact Summary'!F$32</f>
        <v>199941.99910015031</v>
      </c>
      <c r="O261" s="304">
        <f>$M261*'MWh Impact Summary'!G$32</f>
        <v>40642.014969019139</v>
      </c>
      <c r="P261" s="304">
        <f>$M261*'MWh Impact Summary'!H$32</f>
        <v>12517.757415120317</v>
      </c>
      <c r="Q261" s="304">
        <f>$M261*'MWh Impact Summary'!I$32</f>
        <v>2062.4220955829887</v>
      </c>
      <c r="R261" s="304">
        <f>$M261*'MWh Impact Summary'!J$32</f>
        <v>52011.23615889428</v>
      </c>
      <c r="S261" s="304">
        <f>$M261*'MWh Impact Summary'!K$32</f>
        <v>41738.545245949317</v>
      </c>
      <c r="T261" s="304">
        <f>$M261*'MWh Impact Summary'!L$32</f>
        <v>14991.085009939821</v>
      </c>
      <c r="U261" s="304">
        <f>$M261*'MWh Impact Summary'!M$32</f>
        <v>46643.890633818344</v>
      </c>
      <c r="V261" s="304">
        <f>$M261*'LED Impact Forecast'!$H$33+$D261*'LED Impact Forecast'!$J$33</f>
        <v>311742.46444250032</v>
      </c>
      <c r="W261" s="304">
        <f>$M261*'CFL Impact Forecast'!$H$33+$D261*'CFL Impact Forecast'!$J$33</f>
        <v>374971.19771653297</v>
      </c>
      <c r="X261" s="304">
        <f>$M261*'EISA Incand Impact Forecast'!$G$33+$D261*'EISA Incand Impact Forecast'!$I$33</f>
        <v>128905.14703459037</v>
      </c>
      <c r="Y261" s="85">
        <f t="shared" ref="Y261:Y268" si="122">SUM(N261:X261)</f>
        <v>1226167.7598220981</v>
      </c>
      <c r="Z261" s="81">
        <f t="shared" ref="Z261:Z268" si="123">Y261+J261</f>
        <v>2019678.4539034935</v>
      </c>
      <c r="AA261" s="81"/>
      <c r="AB261" s="262">
        <v>5482057.5816175342</v>
      </c>
      <c r="AC261" s="308">
        <f t="shared" si="104"/>
        <v>368.41613278121895</v>
      </c>
      <c r="AD261" s="309">
        <f t="shared" ref="AD261:AD268" si="124">+J261*1000/AB261</f>
        <v>144.74687328024422</v>
      </c>
      <c r="AE261" s="107">
        <f t="shared" ref="AE261:AE268" si="125">+AD261/K261/1000</f>
        <v>1.3741791767111792E-2</v>
      </c>
      <c r="AF261" s="309">
        <f t="shared" si="105"/>
        <v>223.6692595009747</v>
      </c>
      <c r="AG261" s="107">
        <f t="shared" ref="AG261:AG268" si="126">+AF261/K261/1000</f>
        <v>2.1234423370345697E-2</v>
      </c>
      <c r="AH261" s="119">
        <f t="shared" si="106"/>
        <v>3.4976215137457488E-2</v>
      </c>
      <c r="AI261" s="122">
        <f t="shared" ref="AI261:AI268" si="127">+AC261/K261/1000</f>
        <v>3.4976215137457495E-2</v>
      </c>
      <c r="AJ261" s="87" t="b">
        <f t="shared" si="107"/>
        <v>1</v>
      </c>
      <c r="AK261" s="88">
        <f t="shared" si="112"/>
        <v>8.2590413827339504E-4</v>
      </c>
      <c r="AL261" s="312">
        <f>+AC261/'MWh by month-WgtbyCDH&amp;DayLtHrs'!AC261-1</f>
        <v>7.7297446108688161E-2</v>
      </c>
      <c r="AM261" s="89">
        <f t="shared" ref="AM261:AM268" si="128">+W261</f>
        <v>374971.19771653297</v>
      </c>
      <c r="AN261" s="93"/>
      <c r="AO261" s="96">
        <f t="shared" si="119"/>
        <v>68.3997189255889</v>
      </c>
      <c r="AP261" s="92">
        <f t="shared" si="118"/>
        <v>6.4936442017964145E-3</v>
      </c>
      <c r="AR261" s="94">
        <f t="shared" ref="AR261:AR268" si="129">AI261</f>
        <v>3.4976215137457495E-2</v>
      </c>
      <c r="AS261" s="95"/>
    </row>
    <row r="262" spans="1:45">
      <c r="A262" s="78">
        <f t="shared" si="115"/>
        <v>2026</v>
      </c>
      <c r="B262" s="78">
        <f t="shared" si="116"/>
        <v>6</v>
      </c>
      <c r="C262" s="317">
        <f t="shared" si="109"/>
        <v>271.66325293295364</v>
      </c>
      <c r="D262" s="324">
        <f t="shared" si="113"/>
        <v>0.13554276374078555</v>
      </c>
      <c r="E262" s="321">
        <f>$D262*'MWh Impact Summary'!B$32</f>
        <v>470796.02747056034</v>
      </c>
      <c r="F262" s="321">
        <f>$D262*'MWh Impact Summary'!N$32</f>
        <v>93877.481689872875</v>
      </c>
      <c r="G262" s="321">
        <f>$D262*'MWh Impact Summary'!C$32</f>
        <v>344888.99196472194</v>
      </c>
      <c r="H262" s="321">
        <f>$D262*'MWh Impact Summary'!D$32</f>
        <v>1734.3197818231843</v>
      </c>
      <c r="I262" s="321">
        <f>$D262*'MWh Impact Summary'!E$32</f>
        <v>122706.34573916974</v>
      </c>
      <c r="J262" s="104">
        <f t="shared" ref="J262:J267" si="130">SUM(E262:I262)</f>
        <v>1034003.1666461481</v>
      </c>
      <c r="K262" s="298">
        <f t="shared" si="110"/>
        <v>10.199999999999999</v>
      </c>
      <c r="L262" s="300">
        <f t="shared" si="114"/>
        <v>7.1805702217529022E-2</v>
      </c>
      <c r="M262" s="297">
        <f>(30/365)</f>
        <v>8.2191780821917804E-2</v>
      </c>
      <c r="N262" s="304">
        <f>$M262*'MWh Impact Summary'!F$32</f>
        <v>193492.25719369383</v>
      </c>
      <c r="O262" s="304">
        <f>$M262*'MWh Impact Summary'!G$32</f>
        <v>39330.982228083041</v>
      </c>
      <c r="P262" s="304">
        <f>$M262*'MWh Impact Summary'!H$32</f>
        <v>12113.958788826112</v>
      </c>
      <c r="Q262" s="304">
        <f>$M262*'MWh Impact Summary'!I$32</f>
        <v>1995.8923505641826</v>
      </c>
      <c r="R262" s="304">
        <f>$M262*'MWh Impact Summary'!J$32</f>
        <v>50333.454347317042</v>
      </c>
      <c r="S262" s="304">
        <f>$M262*'MWh Impact Summary'!K$32</f>
        <v>40392.140560596112</v>
      </c>
      <c r="T262" s="304">
        <f>$M262*'MWh Impact Summary'!L$32</f>
        <v>14507.501622522408</v>
      </c>
      <c r="U262" s="304">
        <f>$M262*'MWh Impact Summary'!M$32</f>
        <v>45139.249000469368</v>
      </c>
      <c r="V262" s="304">
        <f>$M262*'LED Impact Forecast'!$H$33+$D262*'LED Impact Forecast'!$J$33</f>
        <v>320032.13502280554</v>
      </c>
      <c r="W262" s="304">
        <f>$M262*'CFL Impact Forecast'!$H$33+$D262*'CFL Impact Forecast'!$J$33</f>
        <v>384735.53328005079</v>
      </c>
      <c r="X262" s="304">
        <f>$M262*'EISA Incand Impact Forecast'!$G$33+$D262*'EISA Incand Impact Forecast'!$I$33</f>
        <v>132737.76878845866</v>
      </c>
      <c r="Y262" s="85">
        <f t="shared" si="122"/>
        <v>1234810.8731833873</v>
      </c>
      <c r="Z262" s="81">
        <f t="shared" si="123"/>
        <v>2268814.0398295354</v>
      </c>
      <c r="AA262" s="81"/>
      <c r="AB262" s="262">
        <v>5486653.8083125623</v>
      </c>
      <c r="AC262" s="308">
        <f t="shared" ref="AC262:AC268" si="131">+Z262*1000/AB262</f>
        <v>413.51507113355058</v>
      </c>
      <c r="AD262" s="309">
        <f t="shared" si="124"/>
        <v>188.45788394368535</v>
      </c>
      <c r="AE262" s="107">
        <f t="shared" si="125"/>
        <v>1.847626313173386E-2</v>
      </c>
      <c r="AF262" s="309">
        <f t="shared" ref="AF262:AF268" si="132">+Y262*1000/AB262</f>
        <v>225.05718718986523</v>
      </c>
      <c r="AG262" s="107">
        <f t="shared" si="126"/>
        <v>2.2064430116653454E-2</v>
      </c>
      <c r="AH262" s="119">
        <f t="shared" ref="AH262:AH268" si="133">AE262+AG262</f>
        <v>4.0540693248387313E-2</v>
      </c>
      <c r="AI262" s="122">
        <f t="shared" si="127"/>
        <v>4.0540693248387313E-2</v>
      </c>
      <c r="AJ262" s="87" t="b">
        <f t="shared" ref="AJ262:AJ268" si="134">AH262=AI262</f>
        <v>1</v>
      </c>
      <c r="AK262" s="88">
        <f t="shared" si="112"/>
        <v>8.6721205496086834E-4</v>
      </c>
      <c r="AL262" s="312">
        <f>+AC262/'MWh by month-WgtbyCDH&amp;DayLtHrs'!AC262-1</f>
        <v>8.4800199118288955E-2</v>
      </c>
      <c r="AM262" s="89">
        <f t="shared" si="128"/>
        <v>384735.53328005079</v>
      </c>
      <c r="AN262" s="93"/>
      <c r="AO262" s="96">
        <f t="shared" si="119"/>
        <v>70.122071980768453</v>
      </c>
      <c r="AP262" s="92">
        <f t="shared" si="118"/>
        <v>6.874712939291025E-3</v>
      </c>
      <c r="AR262" s="94">
        <f t="shared" si="129"/>
        <v>4.0540693248387313E-2</v>
      </c>
      <c r="AS262" s="95"/>
    </row>
    <row r="263" spans="1:45">
      <c r="A263" s="78">
        <f t="shared" si="115"/>
        <v>2026</v>
      </c>
      <c r="B263" s="78">
        <f t="shared" si="116"/>
        <v>7</v>
      </c>
      <c r="C263" s="317">
        <f t="shared" si="109"/>
        <v>322.31916585708109</v>
      </c>
      <c r="D263" s="324">
        <f t="shared" si="113"/>
        <v>0.16081685717602592</v>
      </c>
      <c r="E263" s="321">
        <f>$D263*'MWh Impact Summary'!B$32</f>
        <v>558583.39773539198</v>
      </c>
      <c r="F263" s="321">
        <f>$D263*'MWh Impact Summary'!N$32</f>
        <v>111382.42388090306</v>
      </c>
      <c r="G263" s="321">
        <f>$D263*'MWh Impact Summary'!C$32</f>
        <v>409199.00282131281</v>
      </c>
      <c r="H263" s="321">
        <f>$D263*'MWh Impact Summary'!D$32</f>
        <v>2057.7111529495141</v>
      </c>
      <c r="I263" s="321">
        <f>$D263*'MWh Impact Summary'!E$32</f>
        <v>145586.88588544898</v>
      </c>
      <c r="J263" s="104">
        <f t="shared" si="130"/>
        <v>1226809.4214760063</v>
      </c>
      <c r="K263" s="298">
        <f t="shared" si="110"/>
        <v>10.366666666666667</v>
      </c>
      <c r="L263" s="300">
        <f t="shared" si="114"/>
        <v>7.2978998005397158E-2</v>
      </c>
      <c r="M263" s="297">
        <f t="shared" si="121"/>
        <v>8.4931506849315067E-2</v>
      </c>
      <c r="N263" s="304">
        <f>$M263*'MWh Impact Summary'!F$32</f>
        <v>199941.99910015031</v>
      </c>
      <c r="O263" s="304">
        <f>$M263*'MWh Impact Summary'!G$32</f>
        <v>40642.014969019139</v>
      </c>
      <c r="P263" s="304">
        <f>$M263*'MWh Impact Summary'!H$32</f>
        <v>12517.757415120317</v>
      </c>
      <c r="Q263" s="304">
        <f>$M263*'MWh Impact Summary'!I$32</f>
        <v>2062.4220955829887</v>
      </c>
      <c r="R263" s="304">
        <f>$M263*'MWh Impact Summary'!J$32</f>
        <v>52011.23615889428</v>
      </c>
      <c r="S263" s="304">
        <f>$M263*'MWh Impact Summary'!K$32</f>
        <v>41738.545245949317</v>
      </c>
      <c r="T263" s="304">
        <f>$M263*'MWh Impact Summary'!L$32</f>
        <v>14991.085009939821</v>
      </c>
      <c r="U263" s="304">
        <f>$M263*'MWh Impact Summary'!M$32</f>
        <v>46643.890633818344</v>
      </c>
      <c r="V263" s="304">
        <f>$M263*'LED Impact Forecast'!$H$33+$D263*'LED Impact Forecast'!$J$33</f>
        <v>341616.78616986499</v>
      </c>
      <c r="W263" s="304">
        <f>$M263*'CFL Impact Forecast'!$H$33+$D263*'CFL Impact Forecast'!$J$33</f>
        <v>410568.18741922406</v>
      </c>
      <c r="X263" s="304">
        <f>$M263*'EISA Incand Impact Forecast'!$G$33+$D263*'EISA Incand Impact Forecast'!$I$33</f>
        <v>141917.40396412738</v>
      </c>
      <c r="Y263" s="85">
        <f t="shared" si="122"/>
        <v>1304651.328181691</v>
      </c>
      <c r="Z263" s="81">
        <f t="shared" si="123"/>
        <v>2531460.749657697</v>
      </c>
      <c r="AA263" s="81"/>
      <c r="AB263" s="262">
        <v>5491282.4171985919</v>
      </c>
      <c r="AC263" s="308">
        <f t="shared" si="131"/>
        <v>460.99627688592568</v>
      </c>
      <c r="AD263" s="309">
        <f t="shared" si="124"/>
        <v>223.41036724566607</v>
      </c>
      <c r="AE263" s="107">
        <f t="shared" si="125"/>
        <v>2.1550839284147853E-2</v>
      </c>
      <c r="AF263" s="309">
        <f t="shared" si="132"/>
        <v>237.58590964025959</v>
      </c>
      <c r="AG263" s="107">
        <f t="shared" si="126"/>
        <v>2.2918254949221183E-2</v>
      </c>
      <c r="AH263" s="119">
        <f t="shared" si="133"/>
        <v>4.4469094233369033E-2</v>
      </c>
      <c r="AI263" s="122">
        <f t="shared" si="127"/>
        <v>4.4469094233369033E-2</v>
      </c>
      <c r="AJ263" s="87" t="b">
        <f t="shared" si="134"/>
        <v>1</v>
      </c>
      <c r="AK263" s="88">
        <f t="shared" si="112"/>
        <v>9.0594117726672946E-4</v>
      </c>
      <c r="AL263" s="312">
        <f>+AC263/'MWh by month-WgtbyCDH&amp;DayLtHrs'!AC263-1</f>
        <v>9.9572410917654786E-2</v>
      </c>
      <c r="AM263" s="89">
        <f t="shared" si="128"/>
        <v>410568.18741922406</v>
      </c>
      <c r="AN263" s="93"/>
      <c r="AO263" s="96">
        <f t="shared" si="119"/>
        <v>74.767268595279731</v>
      </c>
      <c r="AP263" s="92">
        <f t="shared" si="118"/>
        <v>7.2122767133710342E-3</v>
      </c>
      <c r="AR263" s="94">
        <f t="shared" si="129"/>
        <v>4.4469094233369033E-2</v>
      </c>
      <c r="AS263" s="95"/>
    </row>
    <row r="264" spans="1:45">
      <c r="A264" s="78">
        <f t="shared" si="115"/>
        <v>2026</v>
      </c>
      <c r="B264" s="78">
        <f t="shared" si="116"/>
        <v>8</v>
      </c>
      <c r="C264" s="317">
        <f t="shared" si="109"/>
        <v>326.45437890907908</v>
      </c>
      <c r="D264" s="324">
        <f t="shared" si="113"/>
        <v>0.16288006668144661</v>
      </c>
      <c r="E264" s="321">
        <f>$D264*'MWh Impact Summary'!B$32</f>
        <v>565749.77690742351</v>
      </c>
      <c r="F264" s="321">
        <f>$D264*'MWh Impact Summary'!N$32</f>
        <v>112811.41136221131</v>
      </c>
      <c r="G264" s="321">
        <f>$D264*'MWh Impact Summary'!C$32</f>
        <v>414448.84594755602</v>
      </c>
      <c r="H264" s="321">
        <f>$D264*'MWh Impact Summary'!D$32</f>
        <v>2084.1106814860568</v>
      </c>
      <c r="I264" s="321">
        <f>$D264*'MWh Impact Summary'!E$32</f>
        <v>147454.70156160457</v>
      </c>
      <c r="J264" s="104">
        <f t="shared" si="130"/>
        <v>1242548.8464602816</v>
      </c>
      <c r="K264" s="298">
        <f t="shared" si="110"/>
        <v>10.933333333333334</v>
      </c>
      <c r="L264" s="300">
        <f t="shared" si="114"/>
        <v>7.6968203684148764E-2</v>
      </c>
      <c r="M264" s="297">
        <f t="shared" si="121"/>
        <v>8.4931506849315067E-2</v>
      </c>
      <c r="N264" s="304">
        <f>$M264*'MWh Impact Summary'!F$32</f>
        <v>199941.99910015031</v>
      </c>
      <c r="O264" s="304">
        <f>$M264*'MWh Impact Summary'!G$32</f>
        <v>40642.014969019139</v>
      </c>
      <c r="P264" s="304">
        <f>$M264*'MWh Impact Summary'!H$32</f>
        <v>12517.757415120317</v>
      </c>
      <c r="Q264" s="304">
        <f>$M264*'MWh Impact Summary'!I$32</f>
        <v>2062.4220955829887</v>
      </c>
      <c r="R264" s="304">
        <f>$M264*'MWh Impact Summary'!J$32</f>
        <v>52011.23615889428</v>
      </c>
      <c r="S264" s="304">
        <f>$M264*'MWh Impact Summary'!K$32</f>
        <v>41738.545245949317</v>
      </c>
      <c r="T264" s="304">
        <f>$M264*'MWh Impact Summary'!L$32</f>
        <v>14991.085009939821</v>
      </c>
      <c r="U264" s="304">
        <f>$M264*'MWh Impact Summary'!M$32</f>
        <v>46643.890633818344</v>
      </c>
      <c r="V264" s="304">
        <f>$M264*'LED Impact Forecast'!$H$33+$D264*'LED Impact Forecast'!$J$33</f>
        <v>342701.96047584846</v>
      </c>
      <c r="W264" s="304">
        <f>$M264*'CFL Impact Forecast'!$H$33+$D264*'CFL Impact Forecast'!$J$33</f>
        <v>411861.23564131424</v>
      </c>
      <c r="X264" s="304">
        <f>$M264*'EISA Incand Impact Forecast'!$G$33+$D264*'EISA Incand Impact Forecast'!$I$33</f>
        <v>142390.06965380075</v>
      </c>
      <c r="Y264" s="85">
        <f t="shared" si="122"/>
        <v>1307502.2163994377</v>
      </c>
      <c r="Z264" s="81">
        <f t="shared" si="123"/>
        <v>2550051.0628597196</v>
      </c>
      <c r="AA264" s="81"/>
      <c r="AB264" s="262">
        <v>5495927.0258769719</v>
      </c>
      <c r="AC264" s="308">
        <f t="shared" si="131"/>
        <v>463.9892507402451</v>
      </c>
      <c r="AD264" s="309">
        <f t="shared" si="124"/>
        <v>226.08539753346</v>
      </c>
      <c r="AE264" s="107">
        <f t="shared" si="125"/>
        <v>2.0678542457328655E-2</v>
      </c>
      <c r="AF264" s="309">
        <f t="shared" si="132"/>
        <v>237.90385320678502</v>
      </c>
      <c r="AG264" s="107">
        <f t="shared" si="126"/>
        <v>2.1759498768913265E-2</v>
      </c>
      <c r="AH264" s="119">
        <f t="shared" si="133"/>
        <v>4.2438041226241924E-2</v>
      </c>
      <c r="AI264" s="122">
        <f t="shared" si="127"/>
        <v>4.2438041226241931E-2</v>
      </c>
      <c r="AJ264" s="87" t="b">
        <f t="shared" si="134"/>
        <v>1</v>
      </c>
      <c r="AK264" s="88">
        <f t="shared" si="112"/>
        <v>8.6073282922620453E-4</v>
      </c>
      <c r="AL264" s="312">
        <f>+AC264/'MWh by month-WgtbyCDH&amp;DayLtHrs'!AC264-1</f>
        <v>7.7499539212961821E-2</v>
      </c>
      <c r="AM264" s="89">
        <f t="shared" si="128"/>
        <v>411861.23564131424</v>
      </c>
      <c r="AN264" s="93"/>
      <c r="AO264" s="96">
        <f t="shared" si="119"/>
        <v>74.939356673061823</v>
      </c>
      <c r="AP264" s="92">
        <f t="shared" si="118"/>
        <v>6.854209451804435E-3</v>
      </c>
      <c r="AR264" s="94">
        <f t="shared" si="129"/>
        <v>4.2438041226241931E-2</v>
      </c>
      <c r="AS264" s="95"/>
    </row>
    <row r="265" spans="1:45">
      <c r="A265" s="78">
        <f t="shared" si="115"/>
        <v>2026</v>
      </c>
      <c r="B265" s="78">
        <f t="shared" si="116"/>
        <v>9</v>
      </c>
      <c r="C265" s="317">
        <f t="shared" si="109"/>
        <v>277.87653293728147</v>
      </c>
      <c r="D265" s="324">
        <f t="shared" si="113"/>
        <v>0.1386427970893879</v>
      </c>
      <c r="E265" s="321">
        <f>$D265*'MWh Impact Summary'!B$32</f>
        <v>481563.7242864478</v>
      </c>
      <c r="F265" s="321">
        <f>$D265*'MWh Impact Summary'!N$32</f>
        <v>96024.577675594177</v>
      </c>
      <c r="G265" s="321">
        <f>$D265*'MWh Impact Summary'!C$32</f>
        <v>352777.03664633387</v>
      </c>
      <c r="H265" s="321">
        <f>$D265*'MWh Impact Summary'!D$32</f>
        <v>1773.9858548204461</v>
      </c>
      <c r="I265" s="321">
        <f>$D265*'MWh Impact Summary'!E$32</f>
        <v>125512.79407605054</v>
      </c>
      <c r="J265" s="104">
        <f t="shared" si="130"/>
        <v>1057652.118539247</v>
      </c>
      <c r="K265" s="298">
        <f t="shared" si="110"/>
        <v>11.683333333333334</v>
      </c>
      <c r="L265" s="300">
        <f t="shared" si="114"/>
        <v>8.2248034729555317E-2</v>
      </c>
      <c r="M265" s="297">
        <f>(30/365)</f>
        <v>8.2191780821917804E-2</v>
      </c>
      <c r="N265" s="304">
        <f>$M265*'MWh Impact Summary'!F$32</f>
        <v>193492.25719369383</v>
      </c>
      <c r="O265" s="304">
        <f>$M265*'MWh Impact Summary'!G$32</f>
        <v>39330.982228083041</v>
      </c>
      <c r="P265" s="304">
        <f>$M265*'MWh Impact Summary'!H$32</f>
        <v>12113.958788826112</v>
      </c>
      <c r="Q265" s="304">
        <f>$M265*'MWh Impact Summary'!I$32</f>
        <v>1995.8923505641826</v>
      </c>
      <c r="R265" s="304">
        <f>$M265*'MWh Impact Summary'!J$32</f>
        <v>50333.454347317042</v>
      </c>
      <c r="S265" s="304">
        <f>$M265*'MWh Impact Summary'!K$32</f>
        <v>40392.140560596112</v>
      </c>
      <c r="T265" s="304">
        <f>$M265*'MWh Impact Summary'!L$32</f>
        <v>14507.501622522408</v>
      </c>
      <c r="U265" s="304">
        <f>$M265*'MWh Impact Summary'!M$32</f>
        <v>45139.249000469368</v>
      </c>
      <c r="V265" s="304">
        <f>$M265*'LED Impact Forecast'!$H$33+$D265*'LED Impact Forecast'!$J$33</f>
        <v>321662.64153644687</v>
      </c>
      <c r="W265" s="304">
        <f>$M265*'CFL Impact Forecast'!$H$33+$D265*'CFL Impact Forecast'!$J$33</f>
        <v>386678.37650527776</v>
      </c>
      <c r="X265" s="304">
        <f>$M265*'EISA Incand Impact Forecast'!$G$33+$D265*'EISA Incand Impact Forecast'!$I$33</f>
        <v>133447.96297711367</v>
      </c>
      <c r="Y265" s="85">
        <f t="shared" si="122"/>
        <v>1239094.4171109104</v>
      </c>
      <c r="Z265" s="81">
        <f t="shared" si="123"/>
        <v>2296746.5356501574</v>
      </c>
      <c r="AA265" s="81"/>
      <c r="AB265" s="262">
        <v>5500513.1358683985</v>
      </c>
      <c r="AC265" s="308">
        <f t="shared" si="131"/>
        <v>417.55132274355645</v>
      </c>
      <c r="AD265" s="309">
        <f t="shared" si="124"/>
        <v>192.28244573081437</v>
      </c>
      <c r="AE265" s="107">
        <f t="shared" si="125"/>
        <v>1.6457841289370702E-2</v>
      </c>
      <c r="AF265" s="309">
        <f t="shared" si="132"/>
        <v>225.26887701274205</v>
      </c>
      <c r="AG265" s="107">
        <f t="shared" si="126"/>
        <v>1.9281216292103456E-2</v>
      </c>
      <c r="AH265" s="119">
        <f t="shared" si="133"/>
        <v>3.5739057581474158E-2</v>
      </c>
      <c r="AI265" s="122">
        <f t="shared" si="127"/>
        <v>3.5739057581474165E-2</v>
      </c>
      <c r="AJ265" s="87" t="b">
        <f t="shared" si="134"/>
        <v>1</v>
      </c>
      <c r="AK265" s="88">
        <f t="shared" si="112"/>
        <v>7.5858769733213455E-4</v>
      </c>
      <c r="AL265" s="312">
        <f>+AC265/'MWh by month-WgtbyCDH&amp;DayLtHrs'!AC265-1</f>
        <v>2.4335311493401068E-2</v>
      </c>
      <c r="AM265" s="89">
        <f t="shared" si="128"/>
        <v>386678.37650527776</v>
      </c>
      <c r="AN265" s="93"/>
      <c r="AO265" s="96">
        <f t="shared" si="119"/>
        <v>70.298600685775938</v>
      </c>
      <c r="AP265" s="92">
        <f t="shared" si="118"/>
        <v>6.0169986321634188E-3</v>
      </c>
      <c r="AR265" s="94">
        <f t="shared" si="129"/>
        <v>3.5739057581474165E-2</v>
      </c>
      <c r="AS265" s="95"/>
    </row>
    <row r="266" spans="1:45">
      <c r="A266" s="78">
        <f t="shared" si="115"/>
        <v>2026</v>
      </c>
      <c r="B266" s="78">
        <f t="shared" si="116"/>
        <v>10</v>
      </c>
      <c r="C266" s="317">
        <f t="shared" si="109"/>
        <v>198.89039579254836</v>
      </c>
      <c r="D266" s="324">
        <f t="shared" si="113"/>
        <v>9.923371540380535E-2</v>
      </c>
      <c r="E266" s="321">
        <f>$D266*'MWh Impact Summary'!B$32</f>
        <v>344679.69896645809</v>
      </c>
      <c r="F266" s="321">
        <f>$D266*'MWh Impact Summary'!N$32</f>
        <v>68729.683855749914</v>
      </c>
      <c r="G266" s="321">
        <f>$D266*'MWh Impact Summary'!C$32</f>
        <v>252500.50338345105</v>
      </c>
      <c r="H266" s="321">
        <f>$D266*'MWh Impact Summary'!D$32</f>
        <v>1269.7320823246939</v>
      </c>
      <c r="I266" s="321">
        <f>$D266*'MWh Impact Summary'!E$32</f>
        <v>89835.903114743021</v>
      </c>
      <c r="J266" s="104">
        <f t="shared" si="130"/>
        <v>757015.52140272676</v>
      </c>
      <c r="K266" s="298">
        <f t="shared" si="110"/>
        <v>12.466666666666667</v>
      </c>
      <c r="L266" s="300">
        <f t="shared" si="114"/>
        <v>8.7762524932535488E-2</v>
      </c>
      <c r="M266" s="297">
        <f t="shared" si="121"/>
        <v>8.4931506849315067E-2</v>
      </c>
      <c r="N266" s="304">
        <f>$M266*'MWh Impact Summary'!F$32</f>
        <v>199941.99910015031</v>
      </c>
      <c r="O266" s="304">
        <f>$M266*'MWh Impact Summary'!G$32</f>
        <v>40642.014969019139</v>
      </c>
      <c r="P266" s="304">
        <f>$M266*'MWh Impact Summary'!H$32</f>
        <v>12517.757415120317</v>
      </c>
      <c r="Q266" s="304">
        <f>$M266*'MWh Impact Summary'!I$32</f>
        <v>2062.4220955829887</v>
      </c>
      <c r="R266" s="304">
        <f>$M266*'MWh Impact Summary'!J$32</f>
        <v>52011.23615889428</v>
      </c>
      <c r="S266" s="304">
        <f>$M266*'MWh Impact Summary'!K$32</f>
        <v>41738.545245949317</v>
      </c>
      <c r="T266" s="304">
        <f>$M266*'MWh Impact Summary'!L$32</f>
        <v>14991.085009939821</v>
      </c>
      <c r="U266" s="304">
        <f>$M266*'MWh Impact Summary'!M$32</f>
        <v>46643.890633818344</v>
      </c>
      <c r="V266" s="304">
        <f>$M266*'LED Impact Forecast'!$H$33+$D266*'LED Impact Forecast'!$J$33</f>
        <v>309226.2591984786</v>
      </c>
      <c r="W266" s="304">
        <f>$M266*'CFL Impact Forecast'!$H$33+$D266*'CFL Impact Forecast'!$J$33</f>
        <v>371972.99300485058</v>
      </c>
      <c r="X266" s="304">
        <f>$M266*'EISA Incand Impact Forecast'!$G$33+$D266*'EISA Incand Impact Forecast'!$I$33</f>
        <v>127809.17205576203</v>
      </c>
      <c r="Y266" s="85">
        <f t="shared" si="122"/>
        <v>1219557.3748875656</v>
      </c>
      <c r="Z266" s="81">
        <f t="shared" si="123"/>
        <v>1976572.8962902925</v>
      </c>
      <c r="AA266" s="81"/>
      <c r="AB266" s="262">
        <v>5505120.0001729308</v>
      </c>
      <c r="AC266" s="308">
        <f>+Z266*1000/AB266</f>
        <v>359.04265415253491</v>
      </c>
      <c r="AD266" s="309">
        <f t="shared" si="124"/>
        <v>137.51117530207276</v>
      </c>
      <c r="AE266" s="107">
        <f t="shared" si="125"/>
        <v>1.103030817931065E-2</v>
      </c>
      <c r="AF266" s="309">
        <f t="shared" si="132"/>
        <v>221.53147885046212</v>
      </c>
      <c r="AG266" s="107">
        <f t="shared" si="126"/>
        <v>1.7769904720625302E-2</v>
      </c>
      <c r="AH266" s="119">
        <f t="shared" si="133"/>
        <v>2.8800212899935951E-2</v>
      </c>
      <c r="AI266" s="122">
        <f t="shared" si="127"/>
        <v>2.8800212899935954E-2</v>
      </c>
      <c r="AJ266" s="87" t="b">
        <f t="shared" si="134"/>
        <v>1</v>
      </c>
      <c r="AK266" s="88">
        <f t="shared" si="112"/>
        <v>6.9017014085694453E-4</v>
      </c>
      <c r="AL266" s="312">
        <f>+AC266/'MWh by month-WgtbyCDH&amp;DayLtHrs'!AC266-1</f>
        <v>-1.2992792599228364E-2</v>
      </c>
      <c r="AM266" s="89">
        <f t="shared" si="128"/>
        <v>371972.99300485058</v>
      </c>
      <c r="AN266" s="93"/>
      <c r="AO266" s="96">
        <f t="shared" si="119"/>
        <v>67.56855309115258</v>
      </c>
      <c r="AP266" s="92">
        <f t="shared" si="118"/>
        <v>5.4199374137288165E-3</v>
      </c>
      <c r="AR266" s="94">
        <f t="shared" si="129"/>
        <v>2.8800212899935954E-2</v>
      </c>
      <c r="AS266" s="95"/>
    </row>
    <row r="267" spans="1:45">
      <c r="A267" s="78">
        <f t="shared" si="115"/>
        <v>2026</v>
      </c>
      <c r="B267" s="78">
        <f t="shared" si="116"/>
        <v>11</v>
      </c>
      <c r="C267" s="317">
        <f t="shared" si="109"/>
        <v>78.117279066674627</v>
      </c>
      <c r="D267" s="324">
        <f t="shared" si="113"/>
        <v>3.8975576513546578E-2</v>
      </c>
      <c r="E267" s="321">
        <f>$D267*'MWh Impact Summary'!B$32</f>
        <v>135378.28272444414</v>
      </c>
      <c r="F267" s="321">
        <f>$D267*'MWh Impact Summary'!N$32</f>
        <v>26994.646335381727</v>
      </c>
      <c r="G267" s="321">
        <f>$D267*'MWh Impact Summary'!C$32</f>
        <v>99173.477978567476</v>
      </c>
      <c r="H267" s="321">
        <f>$D267*'MWh Impact Summary'!D$32</f>
        <v>498.70691352198605</v>
      </c>
      <c r="I267" s="321">
        <f>$D267*'MWh Impact Summary'!E$32</f>
        <v>35284.440386658687</v>
      </c>
      <c r="J267" s="104">
        <f t="shared" si="130"/>
        <v>297329.554338574</v>
      </c>
      <c r="K267" s="298">
        <f t="shared" si="110"/>
        <v>13.15</v>
      </c>
      <c r="L267" s="300">
        <f t="shared" si="114"/>
        <v>9.2573037662794788E-2</v>
      </c>
      <c r="M267" s="297">
        <f>(30/365)</f>
        <v>8.2191780821917804E-2</v>
      </c>
      <c r="N267" s="304">
        <f>$M267*'MWh Impact Summary'!F$32</f>
        <v>193492.25719369383</v>
      </c>
      <c r="O267" s="304">
        <f>$M267*'MWh Impact Summary'!G$32</f>
        <v>39330.982228083041</v>
      </c>
      <c r="P267" s="304">
        <f>$M267*'MWh Impact Summary'!H$32</f>
        <v>12113.958788826112</v>
      </c>
      <c r="Q267" s="304">
        <f>$M267*'MWh Impact Summary'!I$32</f>
        <v>1995.8923505641826</v>
      </c>
      <c r="R267" s="304">
        <f>$M267*'MWh Impact Summary'!J$32</f>
        <v>50333.454347317042</v>
      </c>
      <c r="S267" s="304">
        <f>$M267*'MWh Impact Summary'!K$32</f>
        <v>40392.140560596112</v>
      </c>
      <c r="T267" s="304">
        <f>$M267*'MWh Impact Summary'!L$32</f>
        <v>14507.501622522408</v>
      </c>
      <c r="U267" s="304">
        <f>$M267*'MWh Impact Summary'!M$32</f>
        <v>45139.249000469368</v>
      </c>
      <c r="V267" s="304">
        <f>$M267*'LED Impact Forecast'!$H$33+$D267*'LED Impact Forecast'!$J$33</f>
        <v>269241.25309599633</v>
      </c>
      <c r="W267" s="304">
        <f>$M267*'CFL Impact Forecast'!$H$33+$D267*'CFL Impact Forecast'!$J$33</f>
        <v>324215.24708111386</v>
      </c>
      <c r="X267" s="304">
        <f>$M267*'EISA Incand Impact Forecast'!$G$33+$D267*'EISA Incand Impact Forecast'!$I$33</f>
        <v>110614.95671791598</v>
      </c>
      <c r="Y267" s="85">
        <f t="shared" si="122"/>
        <v>1101376.8929870983</v>
      </c>
      <c r="Z267" s="81">
        <f t="shared" si="123"/>
        <v>1398706.4473256723</v>
      </c>
      <c r="AA267" s="81"/>
      <c r="AB267" s="262">
        <v>5509732.4814156815</v>
      </c>
      <c r="AC267" s="308">
        <f t="shared" si="131"/>
        <v>253.86104534902677</v>
      </c>
      <c r="AD267" s="309">
        <f t="shared" si="124"/>
        <v>53.964426647113285</v>
      </c>
      <c r="AE267" s="107">
        <f t="shared" si="125"/>
        <v>4.1037586803888432E-3</v>
      </c>
      <c r="AF267" s="309">
        <f t="shared" si="132"/>
        <v>199.8966187019135</v>
      </c>
      <c r="AG267" s="107">
        <f t="shared" si="126"/>
        <v>1.5201263779613193E-2</v>
      </c>
      <c r="AH267" s="119">
        <f t="shared" si="133"/>
        <v>1.9305022460002035E-2</v>
      </c>
      <c r="AI267" s="122">
        <f t="shared" si="127"/>
        <v>1.9305022460002035E-2</v>
      </c>
      <c r="AJ267" s="87" t="b">
        <f t="shared" si="134"/>
        <v>1</v>
      </c>
      <c r="AK267" s="88">
        <f t="shared" si="112"/>
        <v>5.7887583560584446E-4</v>
      </c>
      <c r="AL267" s="312">
        <f>+AC267/'MWh by month-WgtbyCDH&amp;DayLtHrs'!AC267-1</f>
        <v>-0.12160207958097979</v>
      </c>
      <c r="AM267" s="89">
        <f t="shared" si="128"/>
        <v>324215.24708111386</v>
      </c>
      <c r="AN267" s="93"/>
      <c r="AO267" s="96">
        <f t="shared" si="119"/>
        <v>58.844099631822665</v>
      </c>
      <c r="AP267" s="92">
        <f t="shared" si="118"/>
        <v>4.4748364739028643E-3</v>
      </c>
      <c r="AR267" s="94">
        <f t="shared" si="129"/>
        <v>1.9305022460002035E-2</v>
      </c>
      <c r="AS267" s="95"/>
    </row>
    <row r="268" spans="1:45">
      <c r="A268" s="78">
        <f t="shared" si="115"/>
        <v>2026</v>
      </c>
      <c r="B268" s="78">
        <f t="shared" si="116"/>
        <v>12</v>
      </c>
      <c r="C268" s="317">
        <f>+C256</f>
        <v>42.633806123140985</v>
      </c>
      <c r="D268" s="324">
        <f>D256</f>
        <v>2.1271570035074034E-2</v>
      </c>
      <c r="E268" s="321">
        <f>$D268*'MWh Impact Summary'!B$32</f>
        <v>73884.952572803595</v>
      </c>
      <c r="F268" s="321">
        <f>$D268*'MWh Impact Summary'!N$32</f>
        <v>14732.777843466878</v>
      </c>
      <c r="G268" s="321">
        <f>$D268*'MWh Impact Summary'!C$32</f>
        <v>54125.577378175643</v>
      </c>
      <c r="H268" s="321">
        <f>$D268*'MWh Impact Summary'!D$32</f>
        <v>272.17760420481426</v>
      </c>
      <c r="I268" s="321">
        <f>$D268*'MWh Impact Summary'!E$32</f>
        <v>19257.071016572074</v>
      </c>
      <c r="J268" s="104">
        <f>SUM(E268:I268)</f>
        <v>162272.55641522299</v>
      </c>
      <c r="K268" s="298">
        <f t="shared" si="110"/>
        <v>13.483333333333333</v>
      </c>
      <c r="L268" s="300">
        <f>L256</f>
        <v>9.491962923853102E-2</v>
      </c>
      <c r="M268" s="297">
        <f t="shared" si="121"/>
        <v>8.4931506849315067E-2</v>
      </c>
      <c r="N268" s="304">
        <f>$M268*'MWh Impact Summary'!F$32</f>
        <v>199941.99910015031</v>
      </c>
      <c r="O268" s="304">
        <f>$M268*'MWh Impact Summary'!G$32</f>
        <v>40642.014969019139</v>
      </c>
      <c r="P268" s="304">
        <f>$M268*'MWh Impact Summary'!H$32</f>
        <v>12517.757415120317</v>
      </c>
      <c r="Q268" s="304">
        <f>$M268*'MWh Impact Summary'!I$32</f>
        <v>2062.4220955829887</v>
      </c>
      <c r="R268" s="304">
        <f>$M268*'MWh Impact Summary'!J$32</f>
        <v>52011.23615889428</v>
      </c>
      <c r="S268" s="304">
        <f>$M268*'MWh Impact Summary'!K$32</f>
        <v>41738.545245949317</v>
      </c>
      <c r="T268" s="304">
        <f>$M268*'MWh Impact Summary'!L$32</f>
        <v>14991.085009939821</v>
      </c>
      <c r="U268" s="304">
        <f>$M268*'MWh Impact Summary'!M$32</f>
        <v>46643.890633818344</v>
      </c>
      <c r="V268" s="304">
        <f>$M268*'LED Impact Forecast'!$H$33+$D268*'LED Impact Forecast'!$J$33</f>
        <v>268220.9629494953</v>
      </c>
      <c r="W268" s="304">
        <f>$M268*'CFL Impact Forecast'!$H$33+$D268*'CFL Impact Forecast'!$J$33</f>
        <v>323112.80057431199</v>
      </c>
      <c r="X268" s="304">
        <f>$M268*'EISA Incand Impact Forecast'!$G$33+$D268*'EISA Incand Impact Forecast'!$I$33</f>
        <v>109948.63432931709</v>
      </c>
      <c r="Y268" s="85">
        <f t="shared" si="122"/>
        <v>1111831.3484815988</v>
      </c>
      <c r="Z268" s="81">
        <f t="shared" si="123"/>
        <v>1274103.9048968218</v>
      </c>
      <c r="AA268" s="81">
        <f>SUM(Z257:Z268)</f>
        <v>21755230.195876304</v>
      </c>
      <c r="AB268" s="262">
        <v>5514345.5968124717</v>
      </c>
      <c r="AC268" s="308">
        <f t="shared" si="131"/>
        <v>231.05260316533452</v>
      </c>
      <c r="AD268" s="309">
        <f t="shared" si="124"/>
        <v>29.427346104136728</v>
      </c>
      <c r="AE268" s="107">
        <f t="shared" si="125"/>
        <v>2.1824978569199059E-3</v>
      </c>
      <c r="AF268" s="309">
        <f t="shared" si="132"/>
        <v>201.6252570611978</v>
      </c>
      <c r="AG268" s="107">
        <f t="shared" si="126"/>
        <v>1.495366554223964E-2</v>
      </c>
      <c r="AH268" s="119">
        <f t="shared" si="133"/>
        <v>1.7136163399159545E-2</v>
      </c>
      <c r="AI268" s="122">
        <f t="shared" si="127"/>
        <v>1.7136163399159545E-2</v>
      </c>
      <c r="AJ268" s="87" t="b">
        <f t="shared" si="134"/>
        <v>1</v>
      </c>
      <c r="AK268" s="88">
        <f t="shared" si="112"/>
        <v>5.6544215219622718E-4</v>
      </c>
      <c r="AL268" s="312">
        <f>+AC268/'MWh by month-WgtbyCDH&amp;DayLtHrs'!AC268-1</f>
        <v>-0.14093018863810902</v>
      </c>
      <c r="AM268" s="89">
        <f t="shared" si="128"/>
        <v>323112.80057431199</v>
      </c>
      <c r="AN268" s="90">
        <f>SUM(AM257:AM268)</f>
        <v>4274144.7898707725</v>
      </c>
      <c r="AO268" s="96">
        <f t="shared" si="119"/>
        <v>58.594949283027354</v>
      </c>
      <c r="AP268" s="92">
        <f t="shared" si="118"/>
        <v>4.3457317144396058E-3</v>
      </c>
      <c r="AR268" s="94">
        <f t="shared" si="129"/>
        <v>1.7136163399159545E-2</v>
      </c>
      <c r="AS268" s="95"/>
    </row>
    <row r="269" spans="1:45">
      <c r="C269" s="325"/>
      <c r="D269" s="324"/>
      <c r="E269" s="321"/>
      <c r="F269" s="319"/>
      <c r="G269" s="319"/>
      <c r="H269" s="319"/>
      <c r="I269" s="319"/>
      <c r="J269" s="104"/>
      <c r="K269" s="83"/>
      <c r="L269" s="84"/>
      <c r="M269" s="84"/>
      <c r="N269" s="85"/>
      <c r="O269" s="85"/>
      <c r="P269" s="85"/>
      <c r="Q269" s="85"/>
      <c r="R269" s="85"/>
      <c r="S269" s="85"/>
      <c r="T269" s="85"/>
      <c r="U269" s="85"/>
      <c r="V269" s="85"/>
      <c r="W269" s="85"/>
      <c r="X269" s="85"/>
      <c r="Y269" s="85"/>
      <c r="Z269" s="81"/>
      <c r="AA269" s="81"/>
      <c r="AB269" s="81"/>
      <c r="AC269" s="140"/>
      <c r="AD269" s="118"/>
      <c r="AE269" s="107"/>
      <c r="AF269" s="118"/>
      <c r="AG269" s="107"/>
      <c r="AH269" s="119"/>
      <c r="AI269" s="122"/>
      <c r="AJ269" s="87"/>
      <c r="AK269" s="88"/>
      <c r="AM269" s="89"/>
      <c r="AN269" s="90"/>
      <c r="AO269" s="96"/>
      <c r="AP269" s="92"/>
      <c r="AR269" s="94"/>
      <c r="AS269" s="95"/>
    </row>
    <row r="270" spans="1:45">
      <c r="C270" s="325"/>
      <c r="D270" s="324"/>
      <c r="E270" s="321"/>
      <c r="F270" s="319"/>
      <c r="G270" s="319"/>
      <c r="H270" s="319"/>
      <c r="I270" s="319"/>
      <c r="J270" s="104"/>
      <c r="K270" s="83"/>
      <c r="L270" s="84"/>
      <c r="M270" s="84"/>
      <c r="N270" s="85"/>
      <c r="O270" s="85"/>
      <c r="P270" s="85"/>
      <c r="Q270" s="85"/>
      <c r="R270" s="85"/>
      <c r="S270" s="85"/>
      <c r="T270" s="85"/>
      <c r="U270" s="85"/>
      <c r="V270" s="85"/>
      <c r="W270" s="85"/>
      <c r="X270" s="85"/>
      <c r="Y270" s="85"/>
      <c r="Z270" s="81"/>
      <c r="AA270" s="81"/>
      <c r="AB270" s="81"/>
      <c r="AC270" s="140"/>
      <c r="AD270" s="118"/>
      <c r="AE270" s="107"/>
      <c r="AF270" s="118"/>
      <c r="AG270" s="107"/>
      <c r="AH270" s="119"/>
      <c r="AI270" s="122"/>
      <c r="AJ270" s="87"/>
      <c r="AK270" s="88"/>
      <c r="AM270" s="89"/>
      <c r="AN270" s="90"/>
      <c r="AO270" s="96"/>
      <c r="AP270" s="92"/>
      <c r="AR270" s="94"/>
      <c r="AS270" s="95"/>
    </row>
    <row r="271" spans="1:45">
      <c r="F271" s="319"/>
      <c r="J271" s="321">
        <f>SUM(J5:J268)</f>
        <v>93951928.573863</v>
      </c>
      <c r="L271" s="97"/>
      <c r="M271" s="97"/>
      <c r="N271" s="81"/>
      <c r="O271" s="81"/>
      <c r="P271" s="81"/>
      <c r="Q271" s="81"/>
      <c r="R271" s="81"/>
      <c r="S271" s="81"/>
      <c r="T271" s="81"/>
      <c r="U271" s="81"/>
      <c r="V271" s="81"/>
      <c r="W271" s="81"/>
      <c r="X271" s="81"/>
      <c r="Y271" s="81"/>
      <c r="Z271" s="81">
        <f>SUM(Z5:Z268)</f>
        <v>236435929.49524164</v>
      </c>
      <c r="AA271" s="81"/>
      <c r="AB271" s="81"/>
      <c r="AD271" s="102"/>
      <c r="AI271" s="78"/>
      <c r="AJ271" s="78"/>
      <c r="AK271" s="78"/>
      <c r="AL271" s="102"/>
      <c r="AM271" s="102"/>
    </row>
    <row r="272" spans="1:45">
      <c r="F272" s="319"/>
      <c r="L272" s="97"/>
      <c r="M272" s="97"/>
      <c r="N272" s="81"/>
      <c r="O272" s="81"/>
      <c r="P272" s="81"/>
      <c r="Q272" s="81"/>
      <c r="R272" s="81"/>
      <c r="S272" s="81"/>
      <c r="T272" s="81"/>
      <c r="U272" s="81"/>
      <c r="V272" s="81"/>
      <c r="W272" s="81"/>
      <c r="X272" s="81"/>
      <c r="Y272" s="81"/>
      <c r="Z272" s="81">
        <f>SUM('MWh Impact Summary'!R11:R32)</f>
        <v>236435929.49524158</v>
      </c>
      <c r="AA272" s="103"/>
      <c r="AB272" s="103"/>
      <c r="AC272" s="86">
        <f>SUM(AC5:AC271)</f>
        <v>46560.534634808137</v>
      </c>
      <c r="AD272" s="126">
        <f>SUM(AD5:AD271)</f>
        <v>18578.902900542325</v>
      </c>
      <c r="AF272" s="86">
        <f>SUM(AF5:AF271)</f>
        <v>27981.631734265829</v>
      </c>
      <c r="AG272" s="82"/>
      <c r="AI272" s="78"/>
      <c r="AJ272" s="82"/>
      <c r="AK272" s="124">
        <f>SUM(AK5:AK220)</f>
        <v>0.30709474031531037</v>
      </c>
      <c r="AL272" s="104"/>
      <c r="AP272" s="125">
        <f>SUM(AP5:AP220)</f>
        <v>0.84211084873494979</v>
      </c>
    </row>
    <row r="273" spans="1:39">
      <c r="F273" s="319"/>
      <c r="L273" s="97"/>
      <c r="M273" s="97"/>
      <c r="N273" s="81"/>
      <c r="O273" s="81"/>
      <c r="P273" s="81"/>
      <c r="Q273" s="81"/>
      <c r="R273" s="81"/>
      <c r="S273" s="81"/>
      <c r="T273" s="81"/>
      <c r="U273" s="81"/>
      <c r="V273" s="81"/>
      <c r="W273" s="81"/>
      <c r="X273" s="81"/>
      <c r="Y273" s="81"/>
      <c r="Z273" s="81">
        <f>+Z272-Z271</f>
        <v>0</v>
      </c>
      <c r="AA273" s="105"/>
      <c r="AB273" s="105"/>
      <c r="AD273" s="102"/>
      <c r="AI273" s="78"/>
      <c r="AJ273" s="78"/>
      <c r="AK273" s="78"/>
      <c r="AL273" s="102"/>
      <c r="AM273" s="102"/>
    </row>
    <row r="274" spans="1:39" ht="13.8" thickBot="1">
      <c r="L274" s="97"/>
      <c r="M274" s="97"/>
      <c r="AC274" s="86">
        <f>AF272+AD272</f>
        <v>46560.534634808151</v>
      </c>
      <c r="AD274" s="102"/>
      <c r="AI274" s="78"/>
      <c r="AJ274" s="78"/>
      <c r="AK274" s="78"/>
      <c r="AL274" s="102"/>
      <c r="AM274" s="102"/>
    </row>
    <row r="275" spans="1:39" ht="13.8" thickBot="1">
      <c r="A275" s="78">
        <v>2005</v>
      </c>
      <c r="J275" s="319">
        <f>SUM(J5:J16)</f>
        <v>104508.94023145309</v>
      </c>
      <c r="K275" s="81">
        <f>SUM('MWh Impact Summary'!B11:E11,'MWh Impact Summary'!N11)</f>
        <v>104508.94023145307</v>
      </c>
      <c r="L275" s="97"/>
      <c r="M275" s="97"/>
      <c r="W275" s="81"/>
      <c r="X275" s="81"/>
      <c r="Y275" s="81">
        <f>SUM(Y5:Y16)</f>
        <v>0</v>
      </c>
      <c r="Z275" s="81">
        <f>SUM(Z5:Z16)</f>
        <v>104508.94023145309</v>
      </c>
      <c r="AA275" s="81">
        <f>+Z275-'MWh by month- AllWgtbyCDH'!Y275</f>
        <v>0</v>
      </c>
      <c r="AB275" s="81">
        <f>AVERAGE(AB5:AB16)</f>
        <v>4321895.166666667</v>
      </c>
      <c r="AD275" s="102"/>
      <c r="AI275" s="127" t="s">
        <v>251</v>
      </c>
      <c r="AJ275" s="128">
        <f>SUM('MWh Impact Summary'!M11:M28)</f>
        <v>1635736.7688186388</v>
      </c>
      <c r="AK275" s="129"/>
      <c r="AL275" s="130"/>
      <c r="AM275" s="131">
        <f>SUM(AM5:AM271)</f>
        <v>64652532.055073418</v>
      </c>
    </row>
    <row r="276" spans="1:39">
      <c r="A276" s="78">
        <v>2006</v>
      </c>
      <c r="J276" s="319">
        <f>SUM(J17:J28)</f>
        <v>523995.00862670655</v>
      </c>
      <c r="K276" s="81">
        <f>SUM('MWh Impact Summary'!B12:E12,'MWh Impact Summary'!N12)</f>
        <v>523995.00862670649</v>
      </c>
      <c r="L276" s="97"/>
      <c r="M276" s="97"/>
      <c r="W276" s="81"/>
      <c r="X276" s="81"/>
      <c r="Y276" s="81">
        <f>SUM(Y17:Y28)</f>
        <v>1367.8209417769033</v>
      </c>
      <c r="Z276" s="81">
        <f>SUM(Z17:Z28)</f>
        <v>525362.82956848352</v>
      </c>
      <c r="AA276" s="81">
        <f>+Z276-'MWh by month- AllWgtbyCDH'!Y276</f>
        <v>0</v>
      </c>
      <c r="AB276" s="81">
        <f>AVERAGE(AB17:AB28)</f>
        <v>4409562.5</v>
      </c>
      <c r="AC276" s="86"/>
      <c r="AD276" s="102"/>
      <c r="AF276" s="106"/>
      <c r="AI276" s="78"/>
      <c r="AJ276" s="78"/>
      <c r="AK276" s="78"/>
      <c r="AL276" s="102"/>
      <c r="AM276" s="102"/>
    </row>
    <row r="277" spans="1:39">
      <c r="A277" s="78">
        <v>2007</v>
      </c>
      <c r="J277" s="319">
        <f>SUM(J29:J40)</f>
        <v>939574.413992899</v>
      </c>
      <c r="K277" s="81">
        <f>SUM('MWh Impact Summary'!B13:E13,'MWh Impact Summary'!N13)</f>
        <v>939574.41399289877</v>
      </c>
      <c r="L277" s="97"/>
      <c r="M277" s="97"/>
      <c r="W277" s="81"/>
      <c r="X277" s="81"/>
      <c r="Y277" s="81">
        <f>SUM(Y29:Y40)</f>
        <v>136056.66988666815</v>
      </c>
      <c r="Z277" s="81">
        <f>SUM(Z29:Z40)</f>
        <v>1075631.0838795672</v>
      </c>
      <c r="AA277" s="81">
        <f>+Z277-'MWh by month- AllWgtbyCDH'!Y277</f>
        <v>0</v>
      </c>
      <c r="AB277" s="81">
        <f>AVERAGE(AB29:AB40)</f>
        <v>4496589.333333333</v>
      </c>
      <c r="AD277" s="102"/>
    </row>
    <row r="278" spans="1:39">
      <c r="A278" s="78">
        <v>2008</v>
      </c>
      <c r="J278" s="319">
        <f>SUM(J41:J52)</f>
        <v>1258245.6704983781</v>
      </c>
      <c r="K278" s="81">
        <f>SUM('MWh Impact Summary'!B14:E14,'MWh Impact Summary'!N14)</f>
        <v>1258245.6704983781</v>
      </c>
      <c r="L278" s="97"/>
      <c r="M278" s="97"/>
      <c r="W278" s="81"/>
      <c r="X278" s="81"/>
      <c r="Y278" s="81">
        <f>SUM(Y41:Y52)</f>
        <v>1754902.8614681643</v>
      </c>
      <c r="Z278" s="81">
        <f>SUM(Z41:Z52)</f>
        <v>3013148.5319665419</v>
      </c>
      <c r="AA278" s="81">
        <f>+Z278-'MWh by month- AllWgtbyCDH'!Y278</f>
        <v>0</v>
      </c>
      <c r="AB278" s="81">
        <f>AVERAGE(AB41:AB52)</f>
        <v>4509730.166666667</v>
      </c>
    </row>
    <row r="279" spans="1:39">
      <c r="A279" s="78">
        <v>2009</v>
      </c>
      <c r="J279" s="319">
        <f>SUM(J53:J64)</f>
        <v>1548378.2378467496</v>
      </c>
      <c r="K279" s="81">
        <f>SUM('MWh Impact Summary'!B15:E15,'MWh Impact Summary'!N15)</f>
        <v>1548378.2378467503</v>
      </c>
      <c r="L279" s="97"/>
      <c r="M279" s="97"/>
      <c r="W279" s="81"/>
      <c r="X279" s="81"/>
      <c r="Y279" s="81">
        <f>SUM(Y53:Y64)</f>
        <v>2178220.0368855586</v>
      </c>
      <c r="Z279" s="81">
        <f>SUM(Z53:Z64)</f>
        <v>3726598.274732308</v>
      </c>
      <c r="AA279" s="81">
        <f>+Z279-'MWh by month- AllWgtbyCDH'!Y279</f>
        <v>0</v>
      </c>
      <c r="AB279" s="81">
        <f>AVERAGE(AB53:AB64)</f>
        <v>4499066.75</v>
      </c>
    </row>
    <row r="280" spans="1:39">
      <c r="A280" s="78">
        <v>2010</v>
      </c>
      <c r="J280" s="319">
        <f>SUM(J65:J76)</f>
        <v>1882877.3064484615</v>
      </c>
      <c r="K280" s="81">
        <f>SUM('MWh Impact Summary'!B16:E16,'MWh Impact Summary'!N16)</f>
        <v>1882877.306448462</v>
      </c>
      <c r="L280" s="97"/>
      <c r="M280" s="97"/>
      <c r="W280" s="81"/>
      <c r="X280" s="81"/>
      <c r="Y280" s="81">
        <f>SUM(Y65:Y76)</f>
        <v>2611128.6782838134</v>
      </c>
      <c r="Z280" s="81">
        <f>SUM(Z65:Z76)</f>
        <v>4494005.984732274</v>
      </c>
      <c r="AA280" s="81">
        <f>+Z280-'MWh by month- AllWgtbyCDH'!Y280</f>
        <v>0</v>
      </c>
      <c r="AB280" s="81">
        <f>AVERAGE(AB65:AB76)</f>
        <v>4520327.666666667</v>
      </c>
    </row>
    <row r="281" spans="1:39">
      <c r="A281" s="78">
        <v>2011</v>
      </c>
      <c r="J281" s="319">
        <f>SUM(J77:J88)</f>
        <v>2255529.3516428825</v>
      </c>
      <c r="K281" s="81">
        <f>SUM('MWh Impact Summary'!B17:E17,'MWh Impact Summary'!N17)</f>
        <v>2255529.3516428825</v>
      </c>
      <c r="L281" s="97"/>
      <c r="M281" s="97"/>
      <c r="W281" s="81"/>
      <c r="X281" s="81"/>
      <c r="Y281" s="81">
        <f>SUM(Y77:Y88)</f>
        <v>3035487.0522158355</v>
      </c>
      <c r="Z281" s="81">
        <f>SUM(Z77:Z88)</f>
        <v>5291016.4038587175</v>
      </c>
      <c r="AA281" s="81">
        <f>+Z281-'MWh by month- AllWgtbyCDH'!Y281</f>
        <v>0</v>
      </c>
      <c r="AB281" s="81">
        <f>AVERAGE(AB77:AB88)</f>
        <v>4547050.833333333</v>
      </c>
    </row>
    <row r="282" spans="1:39">
      <c r="A282" s="78">
        <v>2012</v>
      </c>
      <c r="J282" s="319">
        <f>SUM(J89:J100)</f>
        <v>2633605.7732989891</v>
      </c>
      <c r="K282" s="81">
        <f>SUM('MWh Impact Summary'!B18:E18,'MWh Impact Summary'!N18)</f>
        <v>2633605.77329899</v>
      </c>
      <c r="L282" s="97"/>
      <c r="M282" s="97"/>
      <c r="W282" s="81"/>
      <c r="X282" s="81"/>
      <c r="Y282" s="81">
        <f>SUM(Y89:Y100)</f>
        <v>3434526.8863944178</v>
      </c>
      <c r="Z282" s="81">
        <f>SUM(Z89:Z100)</f>
        <v>6068132.659693406</v>
      </c>
      <c r="AA282" s="81">
        <f>+Z282-'MWh by month- AllWgtbyCDH'!Y282</f>
        <v>0</v>
      </c>
      <c r="AB282" s="81">
        <f>AVERAGE(AB89:AB100)</f>
        <v>4576448.666666667</v>
      </c>
    </row>
    <row r="283" spans="1:39">
      <c r="A283" s="78">
        <v>2013</v>
      </c>
      <c r="J283" s="319">
        <f>SUM(J101:J112)</f>
        <v>3036742.4276550999</v>
      </c>
      <c r="K283" s="81">
        <f>SUM('MWh Impact Summary'!B19:E19,'MWh Impact Summary'!N19)</f>
        <v>3036742.4276550999</v>
      </c>
      <c r="W283" s="81"/>
      <c r="X283" s="81"/>
      <c r="Y283" s="81">
        <f>SUM(Y101:Y112)</f>
        <v>4155744.3509899331</v>
      </c>
      <c r="Z283" s="81">
        <f>SUM(Z101:Z112)</f>
        <v>7192486.778645033</v>
      </c>
      <c r="AA283" s="81">
        <f>+Z283-'MWh by month- AllWgtbyCDH'!Y283</f>
        <v>0</v>
      </c>
      <c r="AB283" s="81">
        <f>AVERAGE(AB101:AB112)</f>
        <v>4626934.333333333</v>
      </c>
    </row>
    <row r="284" spans="1:39">
      <c r="A284" s="78">
        <v>2014</v>
      </c>
      <c r="J284" s="319">
        <f>SUM(J113:J124)</f>
        <v>3474083.7080153474</v>
      </c>
      <c r="K284" s="81">
        <f>SUM('MWh Impact Summary'!B20:E20,'MWh Impact Summary'!N20)</f>
        <v>3474083.7080153474</v>
      </c>
      <c r="W284" s="81"/>
      <c r="X284" s="81"/>
      <c r="Y284" s="81">
        <f>SUM(Y113:Y124)</f>
        <v>4910864.7329712603</v>
      </c>
      <c r="Z284" s="81">
        <f>SUM(Z113:Z124)</f>
        <v>8384948.4409866082</v>
      </c>
      <c r="AA284" s="81">
        <f>+Z284-'MWh by month- AllWgtbyCDH'!Y284</f>
        <v>0</v>
      </c>
      <c r="AB284" s="81">
        <f>AVERAGE(AB113:AB124)</f>
        <v>4708829.333333333</v>
      </c>
    </row>
    <row r="285" spans="1:39">
      <c r="A285" s="78">
        <v>2015</v>
      </c>
      <c r="J285" s="319">
        <f>SUM(J125:J136)</f>
        <v>4039997.9425893626</v>
      </c>
      <c r="K285" s="81">
        <f>SUM('MWh Impact Summary'!B21:E21,'MWh Impact Summary'!N21)</f>
        <v>4039997.9425893626</v>
      </c>
      <c r="W285" s="81"/>
      <c r="X285" s="81"/>
      <c r="Y285" s="81">
        <f>SUM(Y125:Y136)</f>
        <v>5800287.9445377765</v>
      </c>
      <c r="Z285" s="81">
        <f>SUM(Z125:Z136)</f>
        <v>9840285.8871271387</v>
      </c>
      <c r="AA285" s="81">
        <f>+Z285-'MWh by month- AllWgtbyCDH'!Y285</f>
        <v>0</v>
      </c>
      <c r="AB285" s="81">
        <f>AVERAGE(AB125:AB136)</f>
        <v>4780487.4751066575</v>
      </c>
    </row>
    <row r="286" spans="1:39">
      <c r="A286" s="78">
        <v>2016</v>
      </c>
      <c r="J286" s="319">
        <f>SUM(J137:J148)</f>
        <v>4575939.1961389175</v>
      </c>
      <c r="K286" s="81">
        <f>SUM('MWh Impact Summary'!B22:E22,'MWh Impact Summary'!N22)</f>
        <v>4575939.1961389165</v>
      </c>
      <c r="W286" s="81"/>
      <c r="X286" s="81"/>
      <c r="Y286" s="81">
        <f>SUM(Y137:Y148)</f>
        <v>6619830.4776048241</v>
      </c>
      <c r="Z286" s="81">
        <f>SUM(Z137:Z148)</f>
        <v>11195769.673743742</v>
      </c>
      <c r="AA286" s="81">
        <f>+Z286-'MWh by month- AllWgtbyCDH'!Y286</f>
        <v>0</v>
      </c>
      <c r="AB286" s="81">
        <f>AVERAGE(AB137:AB148)</f>
        <v>4852827.4973874111</v>
      </c>
    </row>
    <row r="287" spans="1:39">
      <c r="A287" s="78">
        <v>2017</v>
      </c>
      <c r="J287" s="319">
        <f>SUM(J149:J160)</f>
        <v>5107282.6344742095</v>
      </c>
      <c r="K287" s="81">
        <f>SUM('MWh Impact Summary'!B23:E23,'MWh Impact Summary'!N23)</f>
        <v>5107282.6344742095</v>
      </c>
      <c r="W287" s="81"/>
      <c r="X287" s="81"/>
      <c r="Y287" s="81">
        <f>SUM(Y149:Y160)</f>
        <v>7476087.5976180397</v>
      </c>
      <c r="Z287" s="81">
        <f>SUM(Z149:Z160)</f>
        <v>12583370.23209225</v>
      </c>
      <c r="AA287" s="81">
        <f>+Z287-'MWh by month- AllWgtbyCDH'!Y287</f>
        <v>0</v>
      </c>
      <c r="AB287" s="81">
        <f>AVERAGE(AB149:AB160)</f>
        <v>4922917.6134850439</v>
      </c>
    </row>
    <row r="288" spans="1:39">
      <c r="A288" s="78">
        <v>2018</v>
      </c>
      <c r="J288" s="319">
        <f>SUM(J161:J172)</f>
        <v>5645813.9724402986</v>
      </c>
      <c r="K288" s="81">
        <f>SUM('MWh Impact Summary'!B24:E24,'MWh Impact Summary'!N24)</f>
        <v>5645813.9724402977</v>
      </c>
      <c r="W288" s="81"/>
      <c r="X288" s="81"/>
      <c r="Y288" s="81">
        <f>SUM(Y161:Y172)</f>
        <v>8121182.6862091813</v>
      </c>
      <c r="Z288" s="81">
        <f>SUM(Z161:Z172)</f>
        <v>13766996.658649478</v>
      </c>
      <c r="AA288" s="81">
        <f>+Z288-'MWh by month- AllWgtbyCDH'!Y288</f>
        <v>0</v>
      </c>
      <c r="AB288" s="81">
        <f>AVERAGE(AB161:AB172)</f>
        <v>4991658.9753791485</v>
      </c>
    </row>
    <row r="289" spans="1:28">
      <c r="A289" s="78">
        <v>2019</v>
      </c>
      <c r="J289" s="319">
        <f>SUM(J173:J184)</f>
        <v>6178818.5956216054</v>
      </c>
      <c r="K289" s="81">
        <f>SUM('MWh Impact Summary'!B25:E25,'MWh Impact Summary'!N25)</f>
        <v>6178818.5956216045</v>
      </c>
      <c r="W289" s="81"/>
      <c r="X289" s="81"/>
      <c r="Y289" s="81">
        <f>SUM(Y173:Y184)</f>
        <v>8825351.2505414523</v>
      </c>
      <c r="Z289" s="81">
        <f>SUM(Z173:Z184)</f>
        <v>15004169.846163057</v>
      </c>
      <c r="AA289" s="81">
        <f>+Z289-'MWh by month- AllWgtbyCDH'!Y289</f>
        <v>0</v>
      </c>
      <c r="AB289" s="81">
        <f>AVERAGE(AB173:AB184)</f>
        <v>5058945.3176616272</v>
      </c>
    </row>
    <row r="290" spans="1:28">
      <c r="A290" s="78">
        <v>2020</v>
      </c>
      <c r="J290" s="319">
        <f>SUM(J185:J196)</f>
        <v>6602699.0569757428</v>
      </c>
      <c r="K290" s="81">
        <f>SUM('MWh Impact Summary'!B26:E26,'MWh Impact Summary'!N26)</f>
        <v>6602699.0569757428</v>
      </c>
      <c r="W290" s="81"/>
      <c r="X290" s="81"/>
      <c r="Y290" s="81">
        <f>SUM(Y185:Y196)</f>
        <v>9551225.2281682696</v>
      </c>
      <c r="Z290" s="81">
        <f>SUM(Z185:Z196)</f>
        <v>16153924.285144012</v>
      </c>
      <c r="AA290" s="81">
        <f>+Z290-'MWh by month- AllWgtbyCDH'!Y290</f>
        <v>0</v>
      </c>
      <c r="AB290" s="81">
        <f>AVERAGE(AB185:AB196)</f>
        <v>5123908.5663745506</v>
      </c>
    </row>
    <row r="291" spans="1:28">
      <c r="A291" s="78">
        <v>2021</v>
      </c>
      <c r="J291" s="319">
        <f>SUM(J197:J208)</f>
        <v>6943997.2699917359</v>
      </c>
      <c r="K291" s="81">
        <f>SUM('MWh Impact Summary'!B27:E27,'MWh Impact Summary'!N27)</f>
        <v>6943997.2699917359</v>
      </c>
      <c r="W291" s="81"/>
      <c r="X291" s="81"/>
      <c r="Y291" s="81">
        <f>SUM(Y197:Y208)</f>
        <v>10259823.684878606</v>
      </c>
      <c r="Z291" s="81">
        <f>SUM(Z197:Z208)</f>
        <v>17203820.954870343</v>
      </c>
      <c r="AA291" s="81">
        <f>+Z291-'MWh by month- AllWgtbyCDH'!Y291</f>
        <v>0</v>
      </c>
      <c r="AB291" s="81">
        <f>AVERAGE(AB197:AB208)</f>
        <v>5185332.6771582505</v>
      </c>
    </row>
    <row r="292" spans="1:28">
      <c r="A292" s="78">
        <v>2022</v>
      </c>
      <c r="J292" s="319">
        <f>SUM(J209:J220)</f>
        <v>7269834.1270947875</v>
      </c>
      <c r="K292" s="81">
        <f>SUM('MWh Impact Summary'!B28:E28,'MWh Impact Summary'!N28)</f>
        <v>7269834.1270947866</v>
      </c>
      <c r="W292" s="81"/>
      <c r="X292" s="81"/>
      <c r="Y292" s="81">
        <f>SUM(Y209:Y220)</f>
        <v>11195704.039134979</v>
      </c>
      <c r="Z292" s="81">
        <f>SUM(Z209:Z220)</f>
        <v>18465538.166229766</v>
      </c>
      <c r="AA292" s="81">
        <f>+Z292-'MWh by month- AllWgtbyCDH'!Y292</f>
        <v>0</v>
      </c>
      <c r="AB292" s="81">
        <f>AVERAGE(AB209:AB220)</f>
        <v>5247054.0847409368</v>
      </c>
    </row>
    <row r="293" spans="1:28">
      <c r="A293" s="78">
        <v>2023</v>
      </c>
      <c r="J293" s="319">
        <f>SUM(J221:J232)</f>
        <v>7370166.7033470906</v>
      </c>
      <c r="K293" s="81">
        <f>SUM('MWh Impact Summary'!B29:E29,'MWh Impact Summary'!N29)</f>
        <v>7370166.7033470906</v>
      </c>
      <c r="W293" s="81"/>
      <c r="X293" s="81"/>
      <c r="Y293" s="81">
        <f>SUM(Y221:Y232)</f>
        <v>12030375.656389676</v>
      </c>
      <c r="Z293" s="81">
        <f>SUM(Z221:Z232)</f>
        <v>19400542.35973677</v>
      </c>
      <c r="AA293" s="81">
        <f>+Z293-'MWh by month- AllWgtbyCDH'!Y293</f>
        <v>0</v>
      </c>
      <c r="AB293" s="81">
        <f>AVERAGE(AB221:AB232)</f>
        <v>5309376.0310086822</v>
      </c>
    </row>
    <row r="294" spans="1:28">
      <c r="A294" s="78">
        <v>2024</v>
      </c>
      <c r="J294" s="319">
        <f>SUM(J233:J244)</f>
        <v>7410651.0960631939</v>
      </c>
      <c r="K294" s="81">
        <f>SUM('MWh Impact Summary'!B30:E30,'MWh Impact Summary'!N30)</f>
        <v>7410651.096063192</v>
      </c>
      <c r="W294" s="81"/>
      <c r="X294" s="81"/>
      <c r="Y294" s="81">
        <f>SUM(Y233:Y244)</f>
        <v>12783060.419189345</v>
      </c>
      <c r="Z294" s="81">
        <f>SUM(Z233:Z244)</f>
        <v>20193711.515252531</v>
      </c>
      <c r="AA294" s="81">
        <f>+Z294-'MWh by month- AllWgtbyCDH'!Y294</f>
        <v>0</v>
      </c>
      <c r="AB294" s="81">
        <f>AVERAGE(AB233:AB244)</f>
        <v>5372352.5973116057</v>
      </c>
    </row>
    <row r="295" spans="1:28">
      <c r="A295" s="78">
        <v>2025</v>
      </c>
      <c r="J295" s="319">
        <f>SUM(J245:J256)</f>
        <v>7520575.0474665761</v>
      </c>
      <c r="K295" s="81">
        <f>SUM('MWh Impact Summary'!B31:E31,'MWh Impact Summary'!N31)</f>
        <v>7520575.0474665752</v>
      </c>
      <c r="W295" s="81"/>
      <c r="X295" s="81"/>
      <c r="Y295" s="81">
        <f>SUM(Y245:Y256)</f>
        <v>13476154.744595226</v>
      </c>
      <c r="Z295" s="81">
        <f>SUM(Z245:Z256)</f>
        <v>20996729.792061802</v>
      </c>
      <c r="AA295" s="81">
        <f>+Z295-'MWh by month- AllWgtbyCDH'!Y295</f>
        <v>0</v>
      </c>
      <c r="AB295" s="81">
        <f>AVERAGE(AB245:AB256)</f>
        <v>5433671.8395568365</v>
      </c>
    </row>
    <row r="296" spans="1:28">
      <c r="A296" s="78">
        <v>2026</v>
      </c>
      <c r="J296" s="319">
        <f>SUM(J257:J268)</f>
        <v>7628612.0934024528</v>
      </c>
      <c r="K296" s="81">
        <f>SUM('MWh Impact Summary'!B32:E32,'MWh Impact Summary'!N32)</f>
        <v>7628612.0934024528</v>
      </c>
      <c r="W296" s="81"/>
      <c r="X296" s="81"/>
      <c r="Y296" s="81">
        <f>SUM(Y257:Y268)</f>
        <v>14126618.102473851</v>
      </c>
      <c r="Z296" s="81">
        <f>SUM(Z257:Z268)</f>
        <v>21755230.195876304</v>
      </c>
      <c r="AA296" s="81">
        <f>+Z296-'MWh by month- AllWgtbyCDH'!Y296</f>
        <v>0</v>
      </c>
      <c r="AB296" s="81">
        <f>AVERAGE(AB257:AB268)</f>
        <v>5489001.9422878725</v>
      </c>
    </row>
    <row r="298" spans="1:28">
      <c r="J298" s="319">
        <f>SUM(J275:J296)</f>
        <v>93951928.57386294</v>
      </c>
      <c r="K298" s="81">
        <f>SUM(K275:K296)</f>
        <v>93951928.57386294</v>
      </c>
      <c r="L298" s="81">
        <f>+K298-J298</f>
        <v>0</v>
      </c>
      <c r="M298" s="81"/>
    </row>
  </sheetData>
  <pageMargins left="0.75" right="0.75" top="1" bottom="1" header="0.5" footer="0.5"/>
  <pageSetup orientation="portrait" r:id="rId1"/>
  <headerFooter alignWithMargins="0"/>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AU298"/>
  <sheetViews>
    <sheetView zoomScale="75" zoomScaleNormal="75" workbookViewId="0">
      <pane xSplit="2" ySplit="4" topLeftCell="S5" activePane="bottomRight" state="frozen"/>
      <selection activeCell="AB18" sqref="AB18"/>
      <selection pane="topRight" activeCell="AB18" sqref="AB18"/>
      <selection pane="bottomLeft" activeCell="AB18" sqref="AB18"/>
      <selection pane="bottomRight" activeCell="A2" sqref="A1:A2"/>
    </sheetView>
  </sheetViews>
  <sheetFormatPr defaultColWidth="9.109375" defaultRowHeight="13.2"/>
  <cols>
    <col min="1" max="1" width="13.44140625" style="78" customWidth="1"/>
    <col min="2" max="2" width="9.109375" style="78"/>
    <col min="3" max="3" width="18.109375" style="102" customWidth="1"/>
    <col min="4" max="4" width="10.6640625" style="102" customWidth="1"/>
    <col min="5" max="5" width="19.5546875" style="102" customWidth="1"/>
    <col min="6" max="6" width="19.6640625" style="102" customWidth="1"/>
    <col min="7" max="7" width="17.109375" style="102" customWidth="1"/>
    <col min="8" max="8" width="18" style="102" customWidth="1"/>
    <col min="9" max="9" width="19" style="102" bestFit="1" customWidth="1"/>
    <col min="10" max="10" width="19.5546875" style="102" customWidth="1"/>
    <col min="11" max="11" width="14.109375" style="78" customWidth="1"/>
    <col min="12" max="12" width="14.33203125" style="78" customWidth="1"/>
    <col min="13" max="13" width="19.44140625" style="78" customWidth="1"/>
    <col min="14" max="14" width="17.33203125" style="78" customWidth="1"/>
    <col min="15" max="15" width="19.6640625" style="78" customWidth="1"/>
    <col min="16" max="16" width="17.109375" style="78" customWidth="1"/>
    <col min="17" max="17" width="19" style="102" customWidth="1"/>
    <col min="18" max="20" width="15.6640625" style="78" customWidth="1"/>
    <col min="21" max="25" width="19.6640625" style="78" customWidth="1"/>
    <col min="26" max="26" width="13" style="78" customWidth="1"/>
    <col min="27" max="30" width="15.44140625" style="78" customWidth="1"/>
    <col min="31" max="31" width="17.6640625" style="78" customWidth="1"/>
    <col min="32" max="33" width="17.5546875" style="78" customWidth="1"/>
    <col min="34" max="34" width="19.33203125" style="78" customWidth="1"/>
    <col min="35" max="35" width="19.44140625" style="102" customWidth="1"/>
    <col min="36" max="37" width="17.88671875" style="102" customWidth="1"/>
    <col min="38" max="38" width="21" style="78" customWidth="1"/>
    <col min="39" max="39" width="12.88671875" style="78" customWidth="1"/>
    <col min="40" max="41" width="15.44140625" style="78" customWidth="1"/>
    <col min="42" max="42" width="17.5546875" style="78" customWidth="1"/>
    <col min="43" max="43" width="10.6640625" style="78" bestFit="1" customWidth="1"/>
    <col min="44" max="44" width="22.33203125" style="78" customWidth="1"/>
    <col min="45" max="45" width="20.6640625" style="78" customWidth="1"/>
    <col min="46" max="46" width="9.109375" style="78"/>
    <col min="47" max="47" width="15" style="141" customWidth="1"/>
    <col min="48" max="16384" width="9.109375" style="78"/>
  </cols>
  <sheetData>
    <row r="1" spans="1:47">
      <c r="A1" s="416" t="s">
        <v>385</v>
      </c>
    </row>
    <row r="2" spans="1:47">
      <c r="A2" s="416" t="s">
        <v>380</v>
      </c>
    </row>
    <row r="3" spans="1:47" s="62" customFormat="1" ht="52.8">
      <c r="C3" s="294" t="s">
        <v>248</v>
      </c>
      <c r="D3" s="314" t="s">
        <v>364</v>
      </c>
      <c r="E3" s="315" t="s">
        <v>23</v>
      </c>
      <c r="F3" s="316" t="s">
        <v>169</v>
      </c>
      <c r="G3" s="315" t="s">
        <v>43</v>
      </c>
      <c r="H3" s="315" t="s">
        <v>187</v>
      </c>
      <c r="I3" s="315" t="s">
        <v>95</v>
      </c>
      <c r="J3" s="294" t="s">
        <v>228</v>
      </c>
      <c r="K3" s="272" t="s">
        <v>363</v>
      </c>
      <c r="L3" s="273" t="s">
        <v>365</v>
      </c>
      <c r="M3" s="274" t="s">
        <v>367</v>
      </c>
      <c r="N3" s="276" t="s">
        <v>59</v>
      </c>
      <c r="O3" s="276" t="s">
        <v>353</v>
      </c>
      <c r="P3" s="276" t="s">
        <v>70</v>
      </c>
      <c r="Q3" s="316" t="s">
        <v>89</v>
      </c>
      <c r="R3" s="277" t="s">
        <v>129</v>
      </c>
      <c r="S3" s="277" t="s">
        <v>327</v>
      </c>
      <c r="T3" s="277" t="s">
        <v>146</v>
      </c>
      <c r="U3" s="277" t="s">
        <v>147</v>
      </c>
      <c r="V3" s="277" t="s">
        <v>261</v>
      </c>
      <c r="W3" s="277" t="s">
        <v>212</v>
      </c>
      <c r="X3" s="277" t="s">
        <v>214</v>
      </c>
      <c r="Y3" s="294" t="s">
        <v>229</v>
      </c>
      <c r="Z3" s="279" t="s">
        <v>230</v>
      </c>
      <c r="AA3" s="279" t="s">
        <v>230</v>
      </c>
      <c r="AB3" s="279"/>
      <c r="AC3" s="305" t="s">
        <v>256</v>
      </c>
      <c r="AD3" s="306" t="s">
        <v>228</v>
      </c>
      <c r="AE3" s="280" t="s">
        <v>228</v>
      </c>
      <c r="AF3" s="305" t="s">
        <v>229</v>
      </c>
      <c r="AG3" s="281" t="s">
        <v>229</v>
      </c>
      <c r="AH3" s="280" t="s">
        <v>230</v>
      </c>
      <c r="AI3" s="282" t="s">
        <v>230</v>
      </c>
      <c r="AJ3" s="282"/>
      <c r="AK3" s="283" t="s">
        <v>230</v>
      </c>
      <c r="AL3" s="311" t="s">
        <v>369</v>
      </c>
      <c r="AM3" s="285" t="s">
        <v>231</v>
      </c>
      <c r="AN3" s="286"/>
      <c r="AO3" s="285" t="s">
        <v>231</v>
      </c>
      <c r="AP3" s="287"/>
      <c r="AQ3" s="284"/>
      <c r="AR3" s="281" t="s">
        <v>250</v>
      </c>
      <c r="AS3" s="281" t="s">
        <v>232</v>
      </c>
      <c r="AT3" s="284"/>
      <c r="AU3" s="288" t="s">
        <v>259</v>
      </c>
    </row>
    <row r="4" spans="1:47" s="62" customFormat="1" ht="39.6">
      <c r="C4" s="283"/>
      <c r="D4" s="283" t="s">
        <v>233</v>
      </c>
      <c r="E4" s="283" t="s">
        <v>234</v>
      </c>
      <c r="F4" s="283" t="s">
        <v>234</v>
      </c>
      <c r="G4" s="283" t="s">
        <v>234</v>
      </c>
      <c r="H4" s="283" t="s">
        <v>235</v>
      </c>
      <c r="I4" s="283" t="s">
        <v>234</v>
      </c>
      <c r="J4" s="283" t="s">
        <v>234</v>
      </c>
      <c r="K4" s="289"/>
      <c r="L4" s="272" t="s">
        <v>233</v>
      </c>
      <c r="M4" s="290" t="s">
        <v>233</v>
      </c>
      <c r="N4" s="290" t="s">
        <v>234</v>
      </c>
      <c r="O4" s="290"/>
      <c r="P4" s="290" t="s">
        <v>234</v>
      </c>
      <c r="Q4" s="283" t="s">
        <v>234</v>
      </c>
      <c r="R4" s="290" t="s">
        <v>234</v>
      </c>
      <c r="S4" s="290"/>
      <c r="T4" s="290" t="s">
        <v>234</v>
      </c>
      <c r="U4" s="290" t="s">
        <v>234</v>
      </c>
      <c r="V4" s="290"/>
      <c r="W4" s="290" t="s">
        <v>234</v>
      </c>
      <c r="X4" s="290" t="s">
        <v>234</v>
      </c>
      <c r="Y4" s="291" t="s">
        <v>234</v>
      </c>
      <c r="Z4" s="292" t="s">
        <v>236</v>
      </c>
      <c r="AA4" s="292" t="s">
        <v>237</v>
      </c>
      <c r="AB4" s="292" t="s">
        <v>246</v>
      </c>
      <c r="AC4" s="307" t="s">
        <v>238</v>
      </c>
      <c r="AD4" s="307" t="s">
        <v>238</v>
      </c>
      <c r="AE4" s="281" t="s">
        <v>239</v>
      </c>
      <c r="AF4" s="307" t="s">
        <v>238</v>
      </c>
      <c r="AG4" s="281" t="s">
        <v>239</v>
      </c>
      <c r="AH4" s="281" t="s">
        <v>239</v>
      </c>
      <c r="AI4" s="293" t="s">
        <v>239</v>
      </c>
      <c r="AJ4" s="293"/>
      <c r="AK4" s="294" t="s">
        <v>240</v>
      </c>
      <c r="AL4" s="311" t="s">
        <v>368</v>
      </c>
      <c r="AM4" s="286" t="s">
        <v>241</v>
      </c>
      <c r="AN4" s="286" t="s">
        <v>104</v>
      </c>
      <c r="AO4" s="286" t="s">
        <v>238</v>
      </c>
      <c r="AP4" s="295" t="s">
        <v>239</v>
      </c>
      <c r="AQ4" s="284"/>
      <c r="AR4" s="281" t="s">
        <v>239</v>
      </c>
      <c r="AS4" s="281" t="s">
        <v>234</v>
      </c>
      <c r="AT4" s="284"/>
      <c r="AU4" s="296" t="s">
        <v>258</v>
      </c>
    </row>
    <row r="5" spans="1:47">
      <c r="A5" s="78">
        <v>2005</v>
      </c>
      <c r="B5" s="78">
        <v>1</v>
      </c>
      <c r="C5" s="317">
        <v>0</v>
      </c>
      <c r="D5" s="318">
        <f t="shared" ref="D5:D16" si="0">C5/(SUM(C$5:C$16))</f>
        <v>0</v>
      </c>
      <c r="E5" s="102">
        <f>$D5*'MWh Impact Summary'!B$11</f>
        <v>0</v>
      </c>
      <c r="F5" s="319">
        <f>$D5*'MWh Impact Summary'!N$11</f>
        <v>0</v>
      </c>
      <c r="G5" s="319">
        <f>$D5*'MWh Impact Summary'!C$11</f>
        <v>0</v>
      </c>
      <c r="H5" s="319">
        <f>$D5*'MWh Impact Summary'!D$11</f>
        <v>0</v>
      </c>
      <c r="I5" s="319">
        <f>$D5*'MWh Impact Summary'!E$11</f>
        <v>0</v>
      </c>
      <c r="J5" s="104">
        <f>SUM(E5:I5)</f>
        <v>0</v>
      </c>
      <c r="K5" s="298">
        <v>13.3</v>
      </c>
      <c r="L5" s="299">
        <f t="shared" ref="L5:L14" si="1">K5/(SUM(K$5:K$16))</f>
        <v>9.3629003871876101E-2</v>
      </c>
      <c r="M5" s="297">
        <f>(31/365)</f>
        <v>8.4931506849315067E-2</v>
      </c>
      <c r="N5" s="303">
        <f>$M5*'MWh Impact Summary'!F$11</f>
        <v>0</v>
      </c>
      <c r="O5" s="303">
        <f>$M5*'MWh Impact Summary'!G$11</f>
        <v>0</v>
      </c>
      <c r="P5" s="303">
        <f>$M5*'MWh Impact Summary'!H$11</f>
        <v>0</v>
      </c>
      <c r="Q5" s="319">
        <f>$D5*'MWh Impact Summary'!I$11</f>
        <v>0</v>
      </c>
      <c r="R5" s="303">
        <f>$M5*'MWh Impact Summary'!J$11</f>
        <v>0</v>
      </c>
      <c r="S5" s="303">
        <f>$M5*'MWh Impact Summary'!K$11</f>
        <v>0</v>
      </c>
      <c r="T5" s="303">
        <f>$M5*'MWh Impact Summary'!L$11</f>
        <v>0</v>
      </c>
      <c r="U5" s="303">
        <f>$M5*'MWh Impact Summary'!M$11</f>
        <v>0</v>
      </c>
      <c r="V5" s="303">
        <f>$M5*'MWh Impact Summary'!O$11</f>
        <v>0</v>
      </c>
      <c r="W5" s="303">
        <f>$M5*'MWh Impact Summary'!P$11</f>
        <v>0</v>
      </c>
      <c r="X5" s="303">
        <f>$M5*'MWh Impact Summary'!Q$11</f>
        <v>0</v>
      </c>
      <c r="Y5" s="85">
        <f t="shared" ref="Y5:Y68" si="2">SUM(N5:X5)</f>
        <v>0</v>
      </c>
      <c r="Z5" s="81">
        <f>Y5+J5</f>
        <v>0</v>
      </c>
      <c r="AA5" s="81"/>
      <c r="AB5" s="81">
        <f>+'MWh by mo-WgtbyActulCDH&amp;Days'!AB5</f>
        <v>4272459</v>
      </c>
      <c r="AC5" s="308">
        <f>+Z5*1000/AB5</f>
        <v>0</v>
      </c>
      <c r="AD5" s="309">
        <f t="shared" ref="AD5:AD68" si="3">+J5*1000/AB5</f>
        <v>0</v>
      </c>
      <c r="AE5" s="107">
        <f t="shared" ref="AE5:AE68" si="4">+AD5/K5/1000</f>
        <v>0</v>
      </c>
      <c r="AF5" s="309">
        <f>+Y5*1000/AB5</f>
        <v>0</v>
      </c>
      <c r="AG5" s="107">
        <f t="shared" ref="AG5:AG68" si="5">+AF5/K5/1000</f>
        <v>0</v>
      </c>
      <c r="AH5" s="119">
        <f>AE5+AG5</f>
        <v>0</v>
      </c>
      <c r="AI5" s="122">
        <f t="shared" ref="AI5:AI68" si="6">+AC5/K5/1000</f>
        <v>0</v>
      </c>
      <c r="AJ5" s="87" t="b">
        <f>AH5=AI5</f>
        <v>1</v>
      </c>
      <c r="AK5" s="88">
        <f t="shared" ref="AK5:AK16" si="7">AI5</f>
        <v>0</v>
      </c>
      <c r="AL5" s="312">
        <f>+AC5/'MWh by month-WgtbyCDH&amp;DayLtHrs'!AC5-1</f>
        <v>-1</v>
      </c>
      <c r="AM5" s="89">
        <f t="shared" ref="AM5:AM68" si="8">+W5</f>
        <v>0</v>
      </c>
      <c r="AN5" s="90"/>
      <c r="AO5" s="91"/>
      <c r="AP5" s="92"/>
      <c r="AR5" s="94">
        <f t="shared" ref="AR5:AR68" si="9">AI5</f>
        <v>0</v>
      </c>
      <c r="AS5" s="95">
        <v>1374.7828602320258</v>
      </c>
      <c r="AU5" s="141">
        <v>0</v>
      </c>
    </row>
    <row r="6" spans="1:47">
      <c r="A6" s="78">
        <v>2005</v>
      </c>
      <c r="B6" s="78">
        <v>2</v>
      </c>
      <c r="C6" s="317">
        <v>0</v>
      </c>
      <c r="D6" s="318">
        <f t="shared" si="0"/>
        <v>0</v>
      </c>
      <c r="E6" s="102">
        <f>$D6*'MWh Impact Summary'!B$11</f>
        <v>0</v>
      </c>
      <c r="F6" s="319">
        <f>$D6*'MWh Impact Summary'!N$11</f>
        <v>0</v>
      </c>
      <c r="G6" s="319">
        <f>$D6*'MWh Impact Summary'!C$11</f>
        <v>0</v>
      </c>
      <c r="H6" s="319">
        <f>$D6*'MWh Impact Summary'!D$11</f>
        <v>0</v>
      </c>
      <c r="I6" s="319">
        <f>$D6*'MWh Impact Summary'!E$11</f>
        <v>0</v>
      </c>
      <c r="J6" s="104">
        <f t="shared" ref="J6:J69" si="10">SUM(E6:I6)</f>
        <v>0</v>
      </c>
      <c r="K6" s="298">
        <v>12.733333333333333</v>
      </c>
      <c r="L6" s="299">
        <f t="shared" si="1"/>
        <v>8.9639798193124468E-2</v>
      </c>
      <c r="M6" s="297">
        <f>(28/365)</f>
        <v>7.6712328767123292E-2</v>
      </c>
      <c r="N6" s="303">
        <f>$M6*'MWh Impact Summary'!F$11</f>
        <v>0</v>
      </c>
      <c r="O6" s="303">
        <f>$M6*'MWh Impact Summary'!G$11</f>
        <v>0</v>
      </c>
      <c r="P6" s="303">
        <f>$M6*'MWh Impact Summary'!H$11</f>
        <v>0</v>
      </c>
      <c r="Q6" s="319">
        <f>$D6*'MWh Impact Summary'!I$11</f>
        <v>0</v>
      </c>
      <c r="R6" s="303">
        <f>$M6*'MWh Impact Summary'!J$11</f>
        <v>0</v>
      </c>
      <c r="S6" s="303">
        <f>$M6*'MWh Impact Summary'!K$11</f>
        <v>0</v>
      </c>
      <c r="T6" s="303">
        <f>$M6*'MWh Impact Summary'!L$11</f>
        <v>0</v>
      </c>
      <c r="U6" s="303">
        <f>$M6*'MWh Impact Summary'!M$11</f>
        <v>0</v>
      </c>
      <c r="V6" s="303">
        <f>$M6*'MWh Impact Summary'!O$11</f>
        <v>0</v>
      </c>
      <c r="W6" s="303">
        <f>$M6*'MWh Impact Summary'!P$11</f>
        <v>0</v>
      </c>
      <c r="X6" s="303">
        <f>$M6*'MWh Impact Summary'!Q$11</f>
        <v>0</v>
      </c>
      <c r="Y6" s="85">
        <f t="shared" si="2"/>
        <v>0</v>
      </c>
      <c r="Z6" s="81">
        <f t="shared" ref="Z6:Z68" si="11">Y6+J6</f>
        <v>0</v>
      </c>
      <c r="AA6" s="81"/>
      <c r="AB6" s="81">
        <f>+'MWh by mo-WgtbyActulCDH&amp;Days'!AB6</f>
        <v>4287988</v>
      </c>
      <c r="AC6" s="308">
        <f t="shared" ref="AC6:AC69" si="12">+Z6*1000/AB6</f>
        <v>0</v>
      </c>
      <c r="AD6" s="309">
        <f t="shared" si="3"/>
        <v>0</v>
      </c>
      <c r="AE6" s="107">
        <f t="shared" si="4"/>
        <v>0</v>
      </c>
      <c r="AF6" s="309">
        <f t="shared" ref="AF6:AF69" si="13">+Y6*1000/AB6</f>
        <v>0</v>
      </c>
      <c r="AG6" s="107">
        <f t="shared" si="5"/>
        <v>0</v>
      </c>
      <c r="AH6" s="119">
        <f t="shared" ref="AH6:AH69" si="14">AE6+AG6</f>
        <v>0</v>
      </c>
      <c r="AI6" s="122">
        <f t="shared" si="6"/>
        <v>0</v>
      </c>
      <c r="AJ6" s="87" t="b">
        <f t="shared" ref="AJ6:AJ69" si="15">AH6=AI6</f>
        <v>1</v>
      </c>
      <c r="AK6" s="88">
        <f t="shared" si="7"/>
        <v>0</v>
      </c>
      <c r="AL6" s="312">
        <f>+AC6/'MWh by month-WgtbyCDH&amp;DayLtHrs'!AC6-1</f>
        <v>-1</v>
      </c>
      <c r="AM6" s="89">
        <f t="shared" si="8"/>
        <v>0</v>
      </c>
      <c r="AN6" s="90"/>
      <c r="AO6" s="96"/>
      <c r="AP6" s="92"/>
      <c r="AR6" s="94">
        <f t="shared" si="9"/>
        <v>0</v>
      </c>
      <c r="AS6" s="95">
        <v>1609.5466669451559</v>
      </c>
      <c r="AU6" s="141">
        <v>0</v>
      </c>
    </row>
    <row r="7" spans="1:47">
      <c r="A7" s="78">
        <v>2005</v>
      </c>
      <c r="B7" s="78">
        <v>3</v>
      </c>
      <c r="C7" s="317">
        <v>0</v>
      </c>
      <c r="D7" s="318">
        <f t="shared" si="0"/>
        <v>0</v>
      </c>
      <c r="E7" s="102">
        <f>$D7*'MWh Impact Summary'!B$11</f>
        <v>0</v>
      </c>
      <c r="F7" s="319">
        <f>$D7*'MWh Impact Summary'!N$11</f>
        <v>0</v>
      </c>
      <c r="G7" s="319">
        <f>$D7*'MWh Impact Summary'!C$11</f>
        <v>0</v>
      </c>
      <c r="H7" s="319">
        <f>$D7*'MWh Impact Summary'!D$11</f>
        <v>0</v>
      </c>
      <c r="I7" s="319">
        <f>$D7*'MWh Impact Summary'!E$11</f>
        <v>0</v>
      </c>
      <c r="J7" s="104">
        <f t="shared" si="10"/>
        <v>0</v>
      </c>
      <c r="K7" s="298">
        <v>12</v>
      </c>
      <c r="L7" s="299">
        <f t="shared" si="1"/>
        <v>8.4477296726504739E-2</v>
      </c>
      <c r="M7" s="297">
        <f t="shared" ref="M7:M16" si="16">(31/365)</f>
        <v>8.4931506849315067E-2</v>
      </c>
      <c r="N7" s="303">
        <f>$M7*'MWh Impact Summary'!F$11</f>
        <v>0</v>
      </c>
      <c r="O7" s="303">
        <f>$M7*'MWh Impact Summary'!G$11</f>
        <v>0</v>
      </c>
      <c r="P7" s="303">
        <f>$M7*'MWh Impact Summary'!H$11</f>
        <v>0</v>
      </c>
      <c r="Q7" s="319">
        <f>$D7*'MWh Impact Summary'!I$11</f>
        <v>0</v>
      </c>
      <c r="R7" s="303">
        <f>$M7*'MWh Impact Summary'!J$11</f>
        <v>0</v>
      </c>
      <c r="S7" s="303">
        <f>$M7*'MWh Impact Summary'!K$11</f>
        <v>0</v>
      </c>
      <c r="T7" s="303">
        <f>$M7*'MWh Impact Summary'!L$11</f>
        <v>0</v>
      </c>
      <c r="U7" s="303">
        <f>$M7*'MWh Impact Summary'!M$11</f>
        <v>0</v>
      </c>
      <c r="V7" s="303">
        <f>$M7*'MWh Impact Summary'!O$11</f>
        <v>0</v>
      </c>
      <c r="W7" s="303">
        <f>$M7*'MWh Impact Summary'!P$11</f>
        <v>0</v>
      </c>
      <c r="X7" s="303">
        <f>$M7*'MWh Impact Summary'!Q$11</f>
        <v>0</v>
      </c>
      <c r="Y7" s="85">
        <f t="shared" si="2"/>
        <v>0</v>
      </c>
      <c r="Z7" s="81">
        <f t="shared" si="11"/>
        <v>0</v>
      </c>
      <c r="AA7" s="81"/>
      <c r="AB7" s="81">
        <f>+'MWh by mo-WgtbyActulCDH&amp;Days'!AB7</f>
        <v>4299864</v>
      </c>
      <c r="AC7" s="308">
        <f t="shared" si="12"/>
        <v>0</v>
      </c>
      <c r="AD7" s="309">
        <f t="shared" si="3"/>
        <v>0</v>
      </c>
      <c r="AE7" s="107">
        <f t="shared" si="4"/>
        <v>0</v>
      </c>
      <c r="AF7" s="309">
        <f t="shared" si="13"/>
        <v>0</v>
      </c>
      <c r="AG7" s="107">
        <f t="shared" si="5"/>
        <v>0</v>
      </c>
      <c r="AH7" s="119">
        <f t="shared" si="14"/>
        <v>0</v>
      </c>
      <c r="AI7" s="122">
        <f t="shared" si="6"/>
        <v>0</v>
      </c>
      <c r="AJ7" s="87" t="b">
        <f t="shared" si="15"/>
        <v>1</v>
      </c>
      <c r="AK7" s="88">
        <f t="shared" si="7"/>
        <v>0</v>
      </c>
      <c r="AL7" s="312">
        <f>+AC7/'MWh by month-WgtbyCDH&amp;DayLtHrs'!AC7-1</f>
        <v>-1</v>
      </c>
      <c r="AM7" s="89">
        <f t="shared" si="8"/>
        <v>0</v>
      </c>
      <c r="AN7" s="90"/>
      <c r="AO7" s="96"/>
      <c r="AP7" s="92"/>
      <c r="AR7" s="94">
        <f t="shared" si="9"/>
        <v>0</v>
      </c>
      <c r="AS7" s="95">
        <v>3159.7166533048885</v>
      </c>
      <c r="AU7" s="141">
        <v>0</v>
      </c>
    </row>
    <row r="8" spans="1:47">
      <c r="A8" s="78">
        <v>2005</v>
      </c>
      <c r="B8" s="78">
        <v>4</v>
      </c>
      <c r="C8" s="317">
        <v>68.09057008808503</v>
      </c>
      <c r="D8" s="318">
        <f t="shared" si="0"/>
        <v>3.8124469342220066E-2</v>
      </c>
      <c r="E8" s="102">
        <f>$D8*'MWh Impact Summary'!B$11</f>
        <v>0</v>
      </c>
      <c r="F8" s="319">
        <f>$D8*'MWh Impact Summary'!N$11</f>
        <v>0</v>
      </c>
      <c r="G8" s="319">
        <f>$D8*'MWh Impact Summary'!C$11</f>
        <v>2214.8522053799088</v>
      </c>
      <c r="H8" s="319">
        <f>$D8*'MWh Impact Summary'!D$11</f>
        <v>0</v>
      </c>
      <c r="I8" s="319">
        <f>$D8*'MWh Impact Summary'!E$11</f>
        <v>1769.4956824620333</v>
      </c>
      <c r="J8" s="104">
        <f t="shared" si="10"/>
        <v>3984.3478878419419</v>
      </c>
      <c r="K8" s="298">
        <v>11.2</v>
      </c>
      <c r="L8" s="299">
        <f t="shared" si="1"/>
        <v>7.8845476944737758E-2</v>
      </c>
      <c r="M8" s="297">
        <f>(30/365)</f>
        <v>8.2191780821917804E-2</v>
      </c>
      <c r="N8" s="303">
        <f>$M8*'MWh Impact Summary'!F$11</f>
        <v>0</v>
      </c>
      <c r="O8" s="303">
        <f>$M8*'MWh Impact Summary'!G$11</f>
        <v>0</v>
      </c>
      <c r="P8" s="303">
        <f>$M8*'MWh Impact Summary'!H$11</f>
        <v>0</v>
      </c>
      <c r="Q8" s="319">
        <f>$D8*'MWh Impact Summary'!I$11</f>
        <v>0</v>
      </c>
      <c r="R8" s="303">
        <f>$M8*'MWh Impact Summary'!J$11</f>
        <v>0</v>
      </c>
      <c r="S8" s="303">
        <f>$M8*'MWh Impact Summary'!K$11</f>
        <v>0</v>
      </c>
      <c r="T8" s="303">
        <f>$M8*'MWh Impact Summary'!L$11</f>
        <v>0</v>
      </c>
      <c r="U8" s="303">
        <f>$M8*'MWh Impact Summary'!M$11</f>
        <v>0</v>
      </c>
      <c r="V8" s="303">
        <f>$M8*'MWh Impact Summary'!O$11</f>
        <v>0</v>
      </c>
      <c r="W8" s="303">
        <f>$M8*'MWh Impact Summary'!P$11</f>
        <v>0</v>
      </c>
      <c r="X8" s="303">
        <f>$M8*'MWh Impact Summary'!Q$11</f>
        <v>0</v>
      </c>
      <c r="Y8" s="85">
        <f t="shared" si="2"/>
        <v>0</v>
      </c>
      <c r="Z8" s="81">
        <f t="shared" si="11"/>
        <v>3984.3478878419419</v>
      </c>
      <c r="AA8" s="81"/>
      <c r="AB8" s="81">
        <f>+'MWh by mo-WgtbyActulCDH&amp;Days'!AB8</f>
        <v>4310180</v>
      </c>
      <c r="AC8" s="308">
        <f t="shared" si="12"/>
        <v>0.92440405919055391</v>
      </c>
      <c r="AD8" s="309">
        <f t="shared" si="3"/>
        <v>0.92440405919055391</v>
      </c>
      <c r="AE8" s="107">
        <f t="shared" si="4"/>
        <v>8.2536076713442318E-5</v>
      </c>
      <c r="AF8" s="309">
        <f t="shared" si="13"/>
        <v>0</v>
      </c>
      <c r="AG8" s="107">
        <f t="shared" si="5"/>
        <v>0</v>
      </c>
      <c r="AH8" s="119">
        <f t="shared" si="14"/>
        <v>8.2536076713442318E-5</v>
      </c>
      <c r="AI8" s="122">
        <f t="shared" si="6"/>
        <v>8.2536076713442318E-5</v>
      </c>
      <c r="AJ8" s="87" t="b">
        <f t="shared" si="15"/>
        <v>1</v>
      </c>
      <c r="AK8" s="88">
        <f t="shared" si="7"/>
        <v>8.2536076713442318E-5</v>
      </c>
      <c r="AL8" s="312">
        <f>+AC8/'MWh by month-WgtbyCDH&amp;DayLtHrs'!AC8-1</f>
        <v>-0.34264727302428133</v>
      </c>
      <c r="AM8" s="89">
        <f t="shared" si="8"/>
        <v>0</v>
      </c>
      <c r="AN8" s="90"/>
      <c r="AO8" s="96"/>
      <c r="AP8" s="92"/>
      <c r="AR8" s="94">
        <f t="shared" si="9"/>
        <v>8.2536076713442318E-5</v>
      </c>
      <c r="AS8" s="95">
        <v>5970.3384166432006</v>
      </c>
      <c r="AU8" s="141">
        <v>0.92440405919055391</v>
      </c>
    </row>
    <row r="9" spans="1:47">
      <c r="A9" s="78">
        <v>2005</v>
      </c>
      <c r="B9" s="78">
        <v>5</v>
      </c>
      <c r="C9" s="317">
        <v>168.41009322371792</v>
      </c>
      <c r="D9" s="318">
        <f t="shared" si="0"/>
        <v>9.4294194155257471E-2</v>
      </c>
      <c r="E9" s="102">
        <f>$D9*'MWh Impact Summary'!B$11</f>
        <v>0</v>
      </c>
      <c r="F9" s="319">
        <f>$D9*'MWh Impact Summary'!N$11</f>
        <v>0</v>
      </c>
      <c r="G9" s="319">
        <f>$D9*'MWh Impact Summary'!C$11</f>
        <v>5478.0488091413181</v>
      </c>
      <c r="H9" s="319">
        <f>$D9*'MWh Impact Summary'!D$11</f>
        <v>0</v>
      </c>
      <c r="I9" s="319">
        <f>$D9*'MWh Impact Summary'!E$11</f>
        <v>4376.5374920035174</v>
      </c>
      <c r="J9" s="104">
        <f>SUM(E9:I9)</f>
        <v>9854.5863011448346</v>
      </c>
      <c r="K9" s="298">
        <v>10.533333333333333</v>
      </c>
      <c r="L9" s="299">
        <f t="shared" si="1"/>
        <v>7.4152293793265281E-2</v>
      </c>
      <c r="M9" s="297">
        <f t="shared" si="16"/>
        <v>8.4931506849315067E-2</v>
      </c>
      <c r="N9" s="303">
        <f>$M9*'MWh Impact Summary'!F$11</f>
        <v>0</v>
      </c>
      <c r="O9" s="303">
        <f>$M9*'MWh Impact Summary'!G$11</f>
        <v>0</v>
      </c>
      <c r="P9" s="303">
        <f>$M9*'MWh Impact Summary'!H$11</f>
        <v>0</v>
      </c>
      <c r="Q9" s="319">
        <f>$D9*'MWh Impact Summary'!I$11</f>
        <v>0</v>
      </c>
      <c r="R9" s="303">
        <f>$M9*'MWh Impact Summary'!J$11</f>
        <v>0</v>
      </c>
      <c r="S9" s="303">
        <f>$M9*'MWh Impact Summary'!K$11</f>
        <v>0</v>
      </c>
      <c r="T9" s="303">
        <f>$M9*'MWh Impact Summary'!L$11</f>
        <v>0</v>
      </c>
      <c r="U9" s="303">
        <f>$M9*'MWh Impact Summary'!M$11</f>
        <v>0</v>
      </c>
      <c r="V9" s="303">
        <f>$M9*'MWh Impact Summary'!O$11</f>
        <v>0</v>
      </c>
      <c r="W9" s="303">
        <f>$M9*'MWh Impact Summary'!P$11</f>
        <v>0</v>
      </c>
      <c r="X9" s="303">
        <f>$M9*'MWh Impact Summary'!Q$11</f>
        <v>0</v>
      </c>
      <c r="Y9" s="85">
        <f t="shared" si="2"/>
        <v>0</v>
      </c>
      <c r="Z9" s="81">
        <f t="shared" si="11"/>
        <v>9854.5863011448346</v>
      </c>
      <c r="AA9" s="81"/>
      <c r="AB9" s="81">
        <f>+'MWh by mo-WgtbyActulCDH&amp;Days'!AB9</f>
        <v>4313996</v>
      </c>
      <c r="AC9" s="308">
        <f t="shared" si="12"/>
        <v>2.2843290307049045</v>
      </c>
      <c r="AD9" s="309">
        <f t="shared" si="3"/>
        <v>2.2843290307049045</v>
      </c>
      <c r="AE9" s="107">
        <f t="shared" si="4"/>
        <v>2.1686668013021245E-4</v>
      </c>
      <c r="AF9" s="309">
        <f t="shared" si="13"/>
        <v>0</v>
      </c>
      <c r="AG9" s="107">
        <f t="shared" si="5"/>
        <v>0</v>
      </c>
      <c r="AH9" s="119">
        <f t="shared" si="14"/>
        <v>2.1686668013021245E-4</v>
      </c>
      <c r="AI9" s="122">
        <f t="shared" si="6"/>
        <v>2.1686668013021245E-4</v>
      </c>
      <c r="AJ9" s="87" t="b">
        <f t="shared" si="15"/>
        <v>1</v>
      </c>
      <c r="AK9" s="88">
        <f t="shared" si="7"/>
        <v>2.1686668013021245E-4</v>
      </c>
      <c r="AL9" s="312">
        <f>+AC9/'MWh by month-WgtbyCDH&amp;DayLtHrs'!AC9-1</f>
        <v>-0.11069263355262127</v>
      </c>
      <c r="AM9" s="89">
        <f t="shared" si="8"/>
        <v>0</v>
      </c>
      <c r="AN9" s="90"/>
      <c r="AO9" s="96"/>
      <c r="AP9" s="92"/>
      <c r="AR9" s="94">
        <f t="shared" si="9"/>
        <v>2.1686668013021245E-4</v>
      </c>
      <c r="AS9" s="95">
        <v>10211.168855045597</v>
      </c>
      <c r="AU9" s="141">
        <v>2.2843290307049045</v>
      </c>
    </row>
    <row r="10" spans="1:47">
      <c r="A10" s="78">
        <v>2005</v>
      </c>
      <c r="B10" s="78">
        <v>6</v>
      </c>
      <c r="C10" s="317">
        <v>237.58316535506088</v>
      </c>
      <c r="D10" s="318">
        <f t="shared" si="0"/>
        <v>0.13302476528084767</v>
      </c>
      <c r="E10" s="102">
        <f>$D10*'MWh Impact Summary'!B$11</f>
        <v>0</v>
      </c>
      <c r="F10" s="319">
        <f>$D10*'MWh Impact Summary'!N$11</f>
        <v>0</v>
      </c>
      <c r="G10" s="319">
        <f>$D10*'MWh Impact Summary'!C$11</f>
        <v>7728.1126750306994</v>
      </c>
      <c r="H10" s="319">
        <f>$D10*'MWh Impact Summary'!D$11</f>
        <v>0</v>
      </c>
      <c r="I10" s="319">
        <f>$D10*'MWh Impact Summary'!E$11</f>
        <v>6174.1645690084842</v>
      </c>
      <c r="J10" s="104">
        <f>SUM(E10:I10)</f>
        <v>13902.277244039184</v>
      </c>
      <c r="K10" s="298">
        <v>10.199999999999999</v>
      </c>
      <c r="L10" s="299">
        <f t="shared" si="1"/>
        <v>7.1805702217529022E-2</v>
      </c>
      <c r="M10" s="297">
        <f>(30/365)</f>
        <v>8.2191780821917804E-2</v>
      </c>
      <c r="N10" s="303">
        <f>$M10*'MWh Impact Summary'!F$11</f>
        <v>0</v>
      </c>
      <c r="O10" s="303">
        <f>$M10*'MWh Impact Summary'!G$11</f>
        <v>0</v>
      </c>
      <c r="P10" s="303">
        <f>$M10*'MWh Impact Summary'!H$11</f>
        <v>0</v>
      </c>
      <c r="Q10" s="319">
        <f>$D10*'MWh Impact Summary'!I$11</f>
        <v>0</v>
      </c>
      <c r="R10" s="303">
        <f>$M10*'MWh Impact Summary'!J$11</f>
        <v>0</v>
      </c>
      <c r="S10" s="303">
        <f>$M10*'MWh Impact Summary'!K$11</f>
        <v>0</v>
      </c>
      <c r="T10" s="303">
        <f>$M10*'MWh Impact Summary'!L$11</f>
        <v>0</v>
      </c>
      <c r="U10" s="303">
        <f>$M10*'MWh Impact Summary'!M$11</f>
        <v>0</v>
      </c>
      <c r="V10" s="303">
        <f>$M10*'MWh Impact Summary'!O$11</f>
        <v>0</v>
      </c>
      <c r="W10" s="303">
        <f>$M10*'MWh Impact Summary'!P$11</f>
        <v>0</v>
      </c>
      <c r="X10" s="303">
        <f>$M10*'MWh Impact Summary'!Q$11</f>
        <v>0</v>
      </c>
      <c r="Y10" s="85">
        <f t="shared" si="2"/>
        <v>0</v>
      </c>
      <c r="Z10" s="81">
        <f t="shared" si="11"/>
        <v>13902.277244039184</v>
      </c>
      <c r="AA10" s="81"/>
      <c r="AB10" s="81">
        <f>+'MWh by mo-WgtbyActulCDH&amp;Days'!AB10</f>
        <v>4320906</v>
      </c>
      <c r="AC10" s="308">
        <f t="shared" si="12"/>
        <v>3.2174449627090205</v>
      </c>
      <c r="AD10" s="309">
        <f t="shared" si="3"/>
        <v>3.2174449627090205</v>
      </c>
      <c r="AE10" s="107">
        <f t="shared" si="4"/>
        <v>3.1543578065774714E-4</v>
      </c>
      <c r="AF10" s="309">
        <f t="shared" si="13"/>
        <v>0</v>
      </c>
      <c r="AG10" s="107">
        <f t="shared" si="5"/>
        <v>0</v>
      </c>
      <c r="AH10" s="119">
        <f t="shared" si="14"/>
        <v>3.1543578065774714E-4</v>
      </c>
      <c r="AI10" s="122">
        <f t="shared" si="6"/>
        <v>3.1543578065774714E-4</v>
      </c>
      <c r="AJ10" s="87" t="b">
        <f t="shared" si="15"/>
        <v>1</v>
      </c>
      <c r="AK10" s="88">
        <f t="shared" si="7"/>
        <v>3.1543578065774714E-4</v>
      </c>
      <c r="AL10" s="312">
        <f>+AC10/'MWh by month-WgtbyCDH&amp;DayLtHrs'!AC10-1</f>
        <v>-3.7212699869331844E-2</v>
      </c>
      <c r="AM10" s="89">
        <f t="shared" si="8"/>
        <v>0</v>
      </c>
      <c r="AN10" s="90"/>
      <c r="AO10" s="96"/>
      <c r="AP10" s="92"/>
      <c r="AR10" s="94">
        <f t="shared" si="9"/>
        <v>3.1543578065774714E-4</v>
      </c>
      <c r="AS10" s="95">
        <v>14808.878014280665</v>
      </c>
      <c r="AU10" s="141">
        <v>3.2174449627090205</v>
      </c>
    </row>
    <row r="11" spans="1:47">
      <c r="A11" s="78">
        <v>2005</v>
      </c>
      <c r="B11" s="78">
        <v>7</v>
      </c>
      <c r="C11" s="317">
        <v>364.85537468903868</v>
      </c>
      <c r="D11" s="318">
        <f t="shared" si="0"/>
        <v>0.20428552042789438</v>
      </c>
      <c r="E11" s="102">
        <f>$D11*'MWh Impact Summary'!B$11</f>
        <v>0</v>
      </c>
      <c r="F11" s="319">
        <f>$D11*'MWh Impact Summary'!N$11</f>
        <v>0</v>
      </c>
      <c r="G11" s="319">
        <f>$D11*'MWh Impact Summary'!C$11</f>
        <v>11868.02710315591</v>
      </c>
      <c r="H11" s="319">
        <f>$D11*'MWh Impact Summary'!D$11</f>
        <v>0</v>
      </c>
      <c r="I11" s="319">
        <f>$D11*'MWh Impact Summary'!E$11</f>
        <v>9481.6361413941922</v>
      </c>
      <c r="J11" s="104">
        <f t="shared" si="10"/>
        <v>21349.663244550102</v>
      </c>
      <c r="K11" s="298">
        <v>10.366666666666667</v>
      </c>
      <c r="L11" s="299">
        <f t="shared" si="1"/>
        <v>7.2978998005397158E-2</v>
      </c>
      <c r="M11" s="297">
        <f t="shared" si="16"/>
        <v>8.4931506849315067E-2</v>
      </c>
      <c r="N11" s="303">
        <f>$M11*'MWh Impact Summary'!F$11</f>
        <v>0</v>
      </c>
      <c r="O11" s="303">
        <f>$M11*'MWh Impact Summary'!G$11</f>
        <v>0</v>
      </c>
      <c r="P11" s="303">
        <f>$M11*'MWh Impact Summary'!H$11</f>
        <v>0</v>
      </c>
      <c r="Q11" s="319">
        <f>$D11*'MWh Impact Summary'!I$11</f>
        <v>0</v>
      </c>
      <c r="R11" s="303">
        <f>$M11*'MWh Impact Summary'!J$11</f>
        <v>0</v>
      </c>
      <c r="S11" s="303">
        <f>$M11*'MWh Impact Summary'!K$11</f>
        <v>0</v>
      </c>
      <c r="T11" s="303">
        <f>$M11*'MWh Impact Summary'!L$11</f>
        <v>0</v>
      </c>
      <c r="U11" s="303">
        <f>$M11*'MWh Impact Summary'!M$11</f>
        <v>0</v>
      </c>
      <c r="V11" s="303">
        <f>$M11*'MWh Impact Summary'!O$11</f>
        <v>0</v>
      </c>
      <c r="W11" s="303">
        <f>$M11*'MWh Impact Summary'!P$11</f>
        <v>0</v>
      </c>
      <c r="X11" s="303">
        <f>$M11*'MWh Impact Summary'!Q$11</f>
        <v>0</v>
      </c>
      <c r="Y11" s="85">
        <f t="shared" si="2"/>
        <v>0</v>
      </c>
      <c r="Z11" s="81">
        <f t="shared" si="11"/>
        <v>21349.663244550102</v>
      </c>
      <c r="AA11" s="81"/>
      <c r="AB11" s="81">
        <f>+'MWh by mo-WgtbyActulCDH&amp;Days'!AB11</f>
        <v>4327794</v>
      </c>
      <c r="AC11" s="308">
        <f t="shared" si="12"/>
        <v>4.9331514495722537</v>
      </c>
      <c r="AD11" s="309">
        <f t="shared" si="3"/>
        <v>4.9331514495722537</v>
      </c>
      <c r="AE11" s="107">
        <f t="shared" si="4"/>
        <v>4.7586669931565148E-4</v>
      </c>
      <c r="AF11" s="309">
        <f t="shared" si="13"/>
        <v>0</v>
      </c>
      <c r="AG11" s="107">
        <f t="shared" si="5"/>
        <v>0</v>
      </c>
      <c r="AH11" s="119">
        <f t="shared" si="14"/>
        <v>4.7586669931565148E-4</v>
      </c>
      <c r="AI11" s="122">
        <f t="shared" si="6"/>
        <v>4.7586669931565148E-4</v>
      </c>
      <c r="AJ11" s="87" t="b">
        <f t="shared" si="15"/>
        <v>1</v>
      </c>
      <c r="AK11" s="88">
        <f t="shared" si="7"/>
        <v>4.7586669931565148E-4</v>
      </c>
      <c r="AL11" s="312">
        <f>+AC11/'MWh by month-WgtbyCDH&amp;DayLtHrs'!AC11-1</f>
        <v>0.24617835375360886</v>
      </c>
      <c r="AM11" s="89">
        <f t="shared" si="8"/>
        <v>0</v>
      </c>
      <c r="AN11" s="90"/>
      <c r="AO11" s="96"/>
      <c r="AP11" s="92"/>
      <c r="AR11" s="94">
        <f t="shared" si="9"/>
        <v>4.7586669931565148E-4</v>
      </c>
      <c r="AS11" s="95">
        <v>16664.117811051237</v>
      </c>
      <c r="AU11" s="141">
        <v>4.9331514495722537</v>
      </c>
    </row>
    <row r="12" spans="1:47">
      <c r="A12" s="78">
        <v>2005</v>
      </c>
      <c r="B12" s="78">
        <v>8</v>
      </c>
      <c r="C12" s="317">
        <v>365.72725656601534</v>
      </c>
      <c r="D12" s="318">
        <f t="shared" si="0"/>
        <v>0.20477369425058134</v>
      </c>
      <c r="E12" s="102">
        <f>$D12*'MWh Impact Summary'!B$11</f>
        <v>0</v>
      </c>
      <c r="F12" s="319">
        <f>$D12*'MWh Impact Summary'!N$11</f>
        <v>0</v>
      </c>
      <c r="G12" s="319">
        <f>$D12*'MWh Impact Summary'!C$11</f>
        <v>11896.387704272252</v>
      </c>
      <c r="H12" s="319">
        <f>$D12*'MWh Impact Summary'!D$11</f>
        <v>0</v>
      </c>
      <c r="I12" s="319">
        <f>$D12*'MWh Impact Summary'!E$11</f>
        <v>9504.2940691355998</v>
      </c>
      <c r="J12" s="104">
        <f t="shared" si="10"/>
        <v>21400.68177340785</v>
      </c>
      <c r="K12" s="298">
        <v>10.933333333333334</v>
      </c>
      <c r="L12" s="299">
        <f t="shared" si="1"/>
        <v>7.6968203684148764E-2</v>
      </c>
      <c r="M12" s="297">
        <f t="shared" si="16"/>
        <v>8.4931506849315067E-2</v>
      </c>
      <c r="N12" s="303">
        <f>$M12*'MWh Impact Summary'!F$11</f>
        <v>0</v>
      </c>
      <c r="O12" s="303">
        <f>$M12*'MWh Impact Summary'!G$11</f>
        <v>0</v>
      </c>
      <c r="P12" s="303">
        <f>$M12*'MWh Impact Summary'!H$11</f>
        <v>0</v>
      </c>
      <c r="Q12" s="319">
        <f>$D12*'MWh Impact Summary'!I$11</f>
        <v>0</v>
      </c>
      <c r="R12" s="303">
        <f>$M12*'MWh Impact Summary'!J$11</f>
        <v>0</v>
      </c>
      <c r="S12" s="303">
        <f>$M12*'MWh Impact Summary'!K$11</f>
        <v>0</v>
      </c>
      <c r="T12" s="303">
        <f>$M12*'MWh Impact Summary'!L$11</f>
        <v>0</v>
      </c>
      <c r="U12" s="303">
        <f>$M12*'MWh Impact Summary'!M$11</f>
        <v>0</v>
      </c>
      <c r="V12" s="303">
        <f>$M12*'MWh Impact Summary'!O$11</f>
        <v>0</v>
      </c>
      <c r="W12" s="303">
        <f>$M12*'MWh Impact Summary'!P$11</f>
        <v>0</v>
      </c>
      <c r="X12" s="303">
        <f>$M12*'MWh Impact Summary'!Q$11</f>
        <v>0</v>
      </c>
      <c r="Y12" s="85">
        <f t="shared" si="2"/>
        <v>0</v>
      </c>
      <c r="Z12" s="81">
        <f t="shared" si="11"/>
        <v>21400.68177340785</v>
      </c>
      <c r="AA12" s="81"/>
      <c r="AB12" s="81">
        <f>+'MWh by mo-WgtbyActulCDH&amp;Days'!AB12</f>
        <v>4340306</v>
      </c>
      <c r="AC12" s="308">
        <f t="shared" si="12"/>
        <v>4.9306850193068996</v>
      </c>
      <c r="AD12" s="309">
        <f t="shared" si="3"/>
        <v>4.9306850193068996</v>
      </c>
      <c r="AE12" s="107">
        <f t="shared" si="4"/>
        <v>4.5097728835124081E-4</v>
      </c>
      <c r="AF12" s="309">
        <f t="shared" si="13"/>
        <v>0</v>
      </c>
      <c r="AG12" s="107">
        <f t="shared" si="5"/>
        <v>0</v>
      </c>
      <c r="AH12" s="119">
        <f t="shared" si="14"/>
        <v>4.5097728835124081E-4</v>
      </c>
      <c r="AI12" s="122">
        <f t="shared" si="6"/>
        <v>4.5097728835124081E-4</v>
      </c>
      <c r="AJ12" s="87" t="b">
        <f t="shared" si="15"/>
        <v>1</v>
      </c>
      <c r="AK12" s="88">
        <f t="shared" si="7"/>
        <v>4.5097728835124081E-4</v>
      </c>
      <c r="AL12" s="312">
        <f>+AC12/'MWh by month-WgtbyCDH&amp;DayLtHrs'!AC12-1</f>
        <v>0.2333331797903615</v>
      </c>
      <c r="AM12" s="89">
        <f t="shared" si="8"/>
        <v>0</v>
      </c>
      <c r="AN12" s="90"/>
      <c r="AO12" s="96"/>
      <c r="AP12" s="92"/>
      <c r="AR12" s="94">
        <f t="shared" si="9"/>
        <v>4.5097728835124081E-4</v>
      </c>
      <c r="AS12" s="95">
        <v>17403.825127899949</v>
      </c>
      <c r="AU12" s="141">
        <v>4.9306850193068996</v>
      </c>
    </row>
    <row r="13" spans="1:47">
      <c r="A13" s="78">
        <v>2005</v>
      </c>
      <c r="B13" s="78">
        <v>9</v>
      </c>
      <c r="C13" s="317">
        <v>295.85169010672553</v>
      </c>
      <c r="D13" s="318">
        <f t="shared" si="0"/>
        <v>0.16564979078199199</v>
      </c>
      <c r="E13" s="102">
        <f>$D13*'MWh Impact Summary'!B$11</f>
        <v>0</v>
      </c>
      <c r="F13" s="319">
        <f>$D13*'MWh Impact Summary'!N$11</f>
        <v>0</v>
      </c>
      <c r="G13" s="319">
        <f>$D13*'MWh Impact Summary'!C$11</f>
        <v>9623.4730807888736</v>
      </c>
      <c r="H13" s="319">
        <f>$D13*'MWh Impact Summary'!D$11</f>
        <v>0</v>
      </c>
      <c r="I13" s="319">
        <f>$D13*'MWh Impact Summary'!E$11</f>
        <v>7688.4110033990355</v>
      </c>
      <c r="J13" s="104">
        <f t="shared" si="10"/>
        <v>17311.88408418791</v>
      </c>
      <c r="K13" s="298">
        <v>11.683333333333334</v>
      </c>
      <c r="L13" s="299">
        <f t="shared" si="1"/>
        <v>8.2248034729555317E-2</v>
      </c>
      <c r="M13" s="297">
        <f>(30/365)</f>
        <v>8.2191780821917804E-2</v>
      </c>
      <c r="N13" s="303">
        <f>$M13*'MWh Impact Summary'!F$11</f>
        <v>0</v>
      </c>
      <c r="O13" s="303">
        <f>$M13*'MWh Impact Summary'!G$11</f>
        <v>0</v>
      </c>
      <c r="P13" s="303">
        <f>$M13*'MWh Impact Summary'!H$11</f>
        <v>0</v>
      </c>
      <c r="Q13" s="319">
        <f>$D13*'MWh Impact Summary'!I$11</f>
        <v>0</v>
      </c>
      <c r="R13" s="303">
        <f>$M13*'MWh Impact Summary'!J$11</f>
        <v>0</v>
      </c>
      <c r="S13" s="303">
        <f>$M13*'MWh Impact Summary'!K$11</f>
        <v>0</v>
      </c>
      <c r="T13" s="303">
        <f>$M13*'MWh Impact Summary'!L$11</f>
        <v>0</v>
      </c>
      <c r="U13" s="303">
        <f>$M13*'MWh Impact Summary'!M$11</f>
        <v>0</v>
      </c>
      <c r="V13" s="303">
        <f>$M13*'MWh Impact Summary'!O$11</f>
        <v>0</v>
      </c>
      <c r="W13" s="303">
        <f>$M13*'MWh Impact Summary'!P$11</f>
        <v>0</v>
      </c>
      <c r="X13" s="303">
        <f>$M13*'MWh Impact Summary'!Q$11</f>
        <v>0</v>
      </c>
      <c r="Y13" s="85">
        <f t="shared" si="2"/>
        <v>0</v>
      </c>
      <c r="Z13" s="81">
        <f t="shared" si="11"/>
        <v>17311.88408418791</v>
      </c>
      <c r="AA13" s="81"/>
      <c r="AB13" s="81">
        <f>+'MWh by mo-WgtbyActulCDH&amp;Days'!AB13</f>
        <v>4343095</v>
      </c>
      <c r="AC13" s="308">
        <f t="shared" si="12"/>
        <v>3.9860707822849628</v>
      </c>
      <c r="AD13" s="309">
        <f t="shared" si="3"/>
        <v>3.9860707822849628</v>
      </c>
      <c r="AE13" s="107">
        <f t="shared" si="4"/>
        <v>3.4117581588744331E-4</v>
      </c>
      <c r="AF13" s="309">
        <f t="shared" si="13"/>
        <v>0</v>
      </c>
      <c r="AG13" s="107">
        <f t="shared" si="5"/>
        <v>0</v>
      </c>
      <c r="AH13" s="119">
        <f t="shared" si="14"/>
        <v>3.4117581588744331E-4</v>
      </c>
      <c r="AI13" s="122">
        <f t="shared" si="6"/>
        <v>3.4117581588744331E-4</v>
      </c>
      <c r="AJ13" s="87" t="b">
        <f t="shared" si="15"/>
        <v>1</v>
      </c>
      <c r="AK13" s="88">
        <f t="shared" si="7"/>
        <v>3.4117581588744331E-4</v>
      </c>
      <c r="AL13" s="312">
        <f>+AC13/'MWh by month-WgtbyCDH&amp;DayLtHrs'!AC13-1</f>
        <v>0.17210837345463093</v>
      </c>
      <c r="AM13" s="89">
        <f t="shared" si="8"/>
        <v>0</v>
      </c>
      <c r="AN13" s="90"/>
      <c r="AO13" s="96"/>
      <c r="AP13" s="92"/>
      <c r="AR13" s="94">
        <f t="shared" si="9"/>
        <v>3.4117581588744331E-4</v>
      </c>
      <c r="AS13" s="95">
        <v>15722.431837506771</v>
      </c>
      <c r="AU13" s="141">
        <v>3.9860707822849628</v>
      </c>
    </row>
    <row r="14" spans="1:47">
      <c r="A14" s="78">
        <v>2005</v>
      </c>
      <c r="B14" s="78">
        <v>10</v>
      </c>
      <c r="C14" s="317">
        <v>202.3425504957174</v>
      </c>
      <c r="D14" s="318">
        <f t="shared" si="0"/>
        <v>0.11329325563027529</v>
      </c>
      <c r="E14" s="102">
        <f>$D14*'MWh Impact Summary'!B$11</f>
        <v>0</v>
      </c>
      <c r="F14" s="319">
        <f>$D14*'MWh Impact Summary'!N$11</f>
        <v>0</v>
      </c>
      <c r="G14" s="319">
        <f>$D14*'MWh Impact Summary'!C$11</f>
        <v>6581.804846513648</v>
      </c>
      <c r="H14" s="319">
        <f>$D14*'MWh Impact Summary'!D$11</f>
        <v>0</v>
      </c>
      <c r="I14" s="319">
        <f>$D14*'MWh Impact Summary'!E$11</f>
        <v>5258.3532347775272</v>
      </c>
      <c r="J14" s="104">
        <f t="shared" si="10"/>
        <v>11840.158081291174</v>
      </c>
      <c r="K14" s="298">
        <v>12.466666666666667</v>
      </c>
      <c r="L14" s="299">
        <f t="shared" si="1"/>
        <v>8.7762524932535488E-2</v>
      </c>
      <c r="M14" s="297">
        <f t="shared" si="16"/>
        <v>8.4931506849315067E-2</v>
      </c>
      <c r="N14" s="303">
        <f>$M14*'MWh Impact Summary'!F$11</f>
        <v>0</v>
      </c>
      <c r="O14" s="303">
        <f>$M14*'MWh Impact Summary'!G$11</f>
        <v>0</v>
      </c>
      <c r="P14" s="303">
        <f>$M14*'MWh Impact Summary'!H$11</f>
        <v>0</v>
      </c>
      <c r="Q14" s="319">
        <f>$D14*'MWh Impact Summary'!I$11</f>
        <v>0</v>
      </c>
      <c r="R14" s="303">
        <f>$M14*'MWh Impact Summary'!J$11</f>
        <v>0</v>
      </c>
      <c r="S14" s="303">
        <f>$M14*'MWh Impact Summary'!K$11</f>
        <v>0</v>
      </c>
      <c r="T14" s="303">
        <f>$M14*'MWh Impact Summary'!L$11</f>
        <v>0</v>
      </c>
      <c r="U14" s="303">
        <f>$M14*'MWh Impact Summary'!M$11</f>
        <v>0</v>
      </c>
      <c r="V14" s="303">
        <f>$M14*'MWh Impact Summary'!O$11</f>
        <v>0</v>
      </c>
      <c r="W14" s="303">
        <f>$M14*'MWh Impact Summary'!P$11</f>
        <v>0</v>
      </c>
      <c r="X14" s="303">
        <f>$M14*'MWh Impact Summary'!Q$11</f>
        <v>0</v>
      </c>
      <c r="Y14" s="85">
        <f t="shared" si="2"/>
        <v>0</v>
      </c>
      <c r="Z14" s="81">
        <f t="shared" si="11"/>
        <v>11840.158081291174</v>
      </c>
      <c r="AA14" s="81"/>
      <c r="AB14" s="81">
        <f>+'MWh by mo-WgtbyActulCDH&amp;Days'!AB14</f>
        <v>4344668</v>
      </c>
      <c r="AC14" s="308">
        <f t="shared" si="12"/>
        <v>2.7252158464792187</v>
      </c>
      <c r="AD14" s="309">
        <f t="shared" si="3"/>
        <v>2.7252158464792187</v>
      </c>
      <c r="AE14" s="107">
        <f t="shared" si="4"/>
        <v>2.1860020158924215E-4</v>
      </c>
      <c r="AF14" s="309">
        <f t="shared" si="13"/>
        <v>0</v>
      </c>
      <c r="AG14" s="107">
        <f t="shared" si="5"/>
        <v>0</v>
      </c>
      <c r="AH14" s="119">
        <f t="shared" si="14"/>
        <v>2.1860020158924215E-4</v>
      </c>
      <c r="AI14" s="122">
        <f t="shared" si="6"/>
        <v>2.1860020158924215E-4</v>
      </c>
      <c r="AJ14" s="87" t="b">
        <f t="shared" si="15"/>
        <v>1</v>
      </c>
      <c r="AK14" s="88">
        <f t="shared" si="7"/>
        <v>2.1860020158924215E-4</v>
      </c>
      <c r="AL14" s="312">
        <f>+AC14/'MWh by month-WgtbyCDH&amp;DayLtHrs'!AC14-1</f>
        <v>0.12000250331466988</v>
      </c>
      <c r="AM14" s="89">
        <f t="shared" si="8"/>
        <v>0</v>
      </c>
      <c r="AN14" s="90"/>
      <c r="AO14" s="96"/>
      <c r="AP14" s="92"/>
      <c r="AR14" s="94">
        <f t="shared" si="9"/>
        <v>2.1860020158924215E-4</v>
      </c>
      <c r="AS14" s="95">
        <v>10562.607614854458</v>
      </c>
      <c r="AU14" s="141">
        <v>2.7252158464792187</v>
      </c>
    </row>
    <row r="15" spans="1:47">
      <c r="A15" s="78">
        <v>2005</v>
      </c>
      <c r="B15" s="78">
        <v>11</v>
      </c>
      <c r="C15" s="317">
        <v>83.146324960442655</v>
      </c>
      <c r="D15" s="318">
        <f t="shared" si="0"/>
        <v>4.6554310130931857E-2</v>
      </c>
      <c r="E15" s="102">
        <f>$D15*'MWh Impact Summary'!B$11</f>
        <v>0</v>
      </c>
      <c r="F15" s="319">
        <f>$D15*'MWh Impact Summary'!N$11</f>
        <v>0</v>
      </c>
      <c r="G15" s="319">
        <f>$D15*'MWh Impact Summary'!C$11</f>
        <v>2704.5862733949416</v>
      </c>
      <c r="H15" s="319">
        <f>$D15*'MWh Impact Summary'!D$11</f>
        <v>0</v>
      </c>
      <c r="I15" s="319">
        <f>$D15*'MWh Impact Summary'!E$11</f>
        <v>2160.7553415951465</v>
      </c>
      <c r="J15" s="104">
        <f t="shared" si="10"/>
        <v>4865.3416149900877</v>
      </c>
      <c r="K15" s="298">
        <v>13.15</v>
      </c>
      <c r="L15" s="299">
        <f>K15/(SUM(K$5:K$16))</f>
        <v>9.2573037662794788E-2</v>
      </c>
      <c r="M15" s="297">
        <f>(30/365)</f>
        <v>8.2191780821917804E-2</v>
      </c>
      <c r="N15" s="303">
        <f>$M15*'MWh Impact Summary'!F$11</f>
        <v>0</v>
      </c>
      <c r="O15" s="303">
        <f>$M15*'MWh Impact Summary'!G$11</f>
        <v>0</v>
      </c>
      <c r="P15" s="303">
        <f>$M15*'MWh Impact Summary'!H$11</f>
        <v>0</v>
      </c>
      <c r="Q15" s="319">
        <f>$D15*'MWh Impact Summary'!I$11</f>
        <v>0</v>
      </c>
      <c r="R15" s="303">
        <f>$M15*'MWh Impact Summary'!J$11</f>
        <v>0</v>
      </c>
      <c r="S15" s="303">
        <f>$M15*'MWh Impact Summary'!K$11</f>
        <v>0</v>
      </c>
      <c r="T15" s="303">
        <f>$M15*'MWh Impact Summary'!L$11</f>
        <v>0</v>
      </c>
      <c r="U15" s="303">
        <f>$M15*'MWh Impact Summary'!M$11</f>
        <v>0</v>
      </c>
      <c r="V15" s="303">
        <f>$M15*'MWh Impact Summary'!O$11</f>
        <v>0</v>
      </c>
      <c r="W15" s="303">
        <f>$M15*'MWh Impact Summary'!P$11</f>
        <v>0</v>
      </c>
      <c r="X15" s="303">
        <f>$M15*'MWh Impact Summary'!Q$11</f>
        <v>0</v>
      </c>
      <c r="Y15" s="85">
        <f t="shared" si="2"/>
        <v>0</v>
      </c>
      <c r="Z15" s="81">
        <f t="shared" si="11"/>
        <v>4865.3416149900877</v>
      </c>
      <c r="AA15" s="81"/>
      <c r="AB15" s="81">
        <f>+'MWh by mo-WgtbyActulCDH&amp;Days'!AB15</f>
        <v>4345746</v>
      </c>
      <c r="AC15" s="308">
        <f t="shared" si="12"/>
        <v>1.1195641933491021</v>
      </c>
      <c r="AD15" s="309">
        <f t="shared" si="3"/>
        <v>1.1195641933491021</v>
      </c>
      <c r="AE15" s="107">
        <f t="shared" si="4"/>
        <v>8.5137961471414605E-5</v>
      </c>
      <c r="AF15" s="309">
        <f t="shared" si="13"/>
        <v>0</v>
      </c>
      <c r="AG15" s="107">
        <f t="shared" si="5"/>
        <v>0</v>
      </c>
      <c r="AH15" s="119">
        <f t="shared" si="14"/>
        <v>8.5137961471414605E-5</v>
      </c>
      <c r="AI15" s="122">
        <f t="shared" si="6"/>
        <v>8.5137961471414605E-5</v>
      </c>
      <c r="AJ15" s="87" t="b">
        <f t="shared" si="15"/>
        <v>1</v>
      </c>
      <c r="AK15" s="88">
        <f t="shared" si="7"/>
        <v>8.5137961471414605E-5</v>
      </c>
      <c r="AL15" s="312">
        <f>+AC15/'MWh by month-WgtbyCDH&amp;DayLtHrs'!AC15-1</f>
        <v>0.17176773655615962</v>
      </c>
      <c r="AM15" s="89">
        <f t="shared" si="8"/>
        <v>0</v>
      </c>
      <c r="AN15" s="90"/>
      <c r="AO15" s="96"/>
      <c r="AP15" s="92"/>
      <c r="AR15" s="94">
        <f t="shared" si="9"/>
        <v>8.5137961471414605E-5</v>
      </c>
      <c r="AS15" s="95">
        <v>4865.4451527342171</v>
      </c>
      <c r="AU15" s="141">
        <v>1.1195641933491021</v>
      </c>
    </row>
    <row r="16" spans="1:47">
      <c r="A16" s="78">
        <v>2005</v>
      </c>
      <c r="B16" s="78">
        <v>12</v>
      </c>
      <c r="C16" s="317">
        <v>0</v>
      </c>
      <c r="D16" s="318">
        <f t="shared" si="0"/>
        <v>0</v>
      </c>
      <c r="E16" s="102">
        <f>$D16*'MWh Impact Summary'!B$11</f>
        <v>0</v>
      </c>
      <c r="F16" s="319">
        <f>$D16*'MWh Impact Summary'!N$11</f>
        <v>0</v>
      </c>
      <c r="G16" s="319">
        <f>$D16*'MWh Impact Summary'!C$11</f>
        <v>0</v>
      </c>
      <c r="H16" s="319">
        <f>$D16*'MWh Impact Summary'!D$11</f>
        <v>0</v>
      </c>
      <c r="I16" s="319">
        <f>$D16*'MWh Impact Summary'!E$11</f>
        <v>0</v>
      </c>
      <c r="J16" s="104">
        <f t="shared" si="10"/>
        <v>0</v>
      </c>
      <c r="K16" s="298">
        <v>13.483333333333333</v>
      </c>
      <c r="L16" s="299">
        <f>K16/(SUM(K$5:K$16))</f>
        <v>9.491962923853102E-2</v>
      </c>
      <c r="M16" s="297">
        <f t="shared" si="16"/>
        <v>8.4931506849315067E-2</v>
      </c>
      <c r="N16" s="303">
        <f>$M16*'MWh Impact Summary'!F$11</f>
        <v>0</v>
      </c>
      <c r="O16" s="303">
        <f>$M16*'MWh Impact Summary'!G$11</f>
        <v>0</v>
      </c>
      <c r="P16" s="303">
        <f>$M16*'MWh Impact Summary'!H$11</f>
        <v>0</v>
      </c>
      <c r="Q16" s="319">
        <f>$D16*'MWh Impact Summary'!I$11</f>
        <v>0</v>
      </c>
      <c r="R16" s="303">
        <f>$M16*'MWh Impact Summary'!J$11</f>
        <v>0</v>
      </c>
      <c r="S16" s="303">
        <f>$M16*'MWh Impact Summary'!K$11</f>
        <v>0</v>
      </c>
      <c r="T16" s="303">
        <f>$M16*'MWh Impact Summary'!L$11</f>
        <v>0</v>
      </c>
      <c r="U16" s="303">
        <f>$M16*'MWh Impact Summary'!M$11</f>
        <v>0</v>
      </c>
      <c r="V16" s="303">
        <f>$M16*'MWh Impact Summary'!O$11</f>
        <v>0</v>
      </c>
      <c r="W16" s="303">
        <f>$M16*'MWh Impact Summary'!P$11</f>
        <v>0</v>
      </c>
      <c r="X16" s="303">
        <f>$M16*'MWh Impact Summary'!Q$11</f>
        <v>0</v>
      </c>
      <c r="Y16" s="85">
        <f t="shared" si="2"/>
        <v>0</v>
      </c>
      <c r="Z16" s="81">
        <f t="shared" si="11"/>
        <v>0</v>
      </c>
      <c r="AA16" s="81">
        <f>SUM(Z5:Z16)</f>
        <v>104508.94023145309</v>
      </c>
      <c r="AB16" s="81">
        <f>+'MWh by mo-WgtbyActulCDH&amp;Days'!AB16</f>
        <v>4355740</v>
      </c>
      <c r="AC16" s="308">
        <f t="shared" si="12"/>
        <v>0</v>
      </c>
      <c r="AD16" s="309">
        <f t="shared" si="3"/>
        <v>0</v>
      </c>
      <c r="AE16" s="107">
        <f t="shared" si="4"/>
        <v>0</v>
      </c>
      <c r="AF16" s="309">
        <f t="shared" si="13"/>
        <v>0</v>
      </c>
      <c r="AG16" s="107">
        <f t="shared" si="5"/>
        <v>0</v>
      </c>
      <c r="AH16" s="119">
        <f t="shared" si="14"/>
        <v>0</v>
      </c>
      <c r="AI16" s="122">
        <f t="shared" si="6"/>
        <v>0</v>
      </c>
      <c r="AJ16" s="87" t="b">
        <f t="shared" si="15"/>
        <v>1</v>
      </c>
      <c r="AK16" s="88">
        <f t="shared" si="7"/>
        <v>0</v>
      </c>
      <c r="AL16" s="312">
        <f>+AC16/'MWh by month-WgtbyCDH&amp;DayLtHrs'!AC16-1</f>
        <v>-1</v>
      </c>
      <c r="AM16" s="89">
        <f t="shared" si="8"/>
        <v>0</v>
      </c>
      <c r="AN16" s="90">
        <f>SUM(AM5:AM16)</f>
        <v>0</v>
      </c>
      <c r="AO16" s="96"/>
      <c r="AP16" s="92"/>
      <c r="AR16" s="94">
        <f t="shared" si="9"/>
        <v>0</v>
      </c>
      <c r="AS16" s="95">
        <v>2156.0812209549281</v>
      </c>
      <c r="AU16" s="141">
        <v>0</v>
      </c>
    </row>
    <row r="17" spans="1:47">
      <c r="A17" s="78">
        <v>2006</v>
      </c>
      <c r="B17" s="78">
        <v>1</v>
      </c>
      <c r="C17" s="317">
        <v>0</v>
      </c>
      <c r="D17" s="318">
        <f t="shared" ref="D17:D28" si="17">C17/(SUM(C$17:C$28))</f>
        <v>0</v>
      </c>
      <c r="E17" s="104">
        <f>$D17*'MWh Impact Summary'!B$12</f>
        <v>0</v>
      </c>
      <c r="F17" s="320">
        <f>$D17*'MWh Impact Summary'!N$12</f>
        <v>0</v>
      </c>
      <c r="G17" s="320">
        <f>$D17*'MWh Impact Summary'!C$12</f>
        <v>0</v>
      </c>
      <c r="H17" s="320">
        <f>$D17*'MWh Impact Summary'!D$12</f>
        <v>0</v>
      </c>
      <c r="I17" s="320">
        <f>$D17*'MWh Impact Summary'!E$12</f>
        <v>0</v>
      </c>
      <c r="J17" s="104">
        <f t="shared" si="10"/>
        <v>0</v>
      </c>
      <c r="K17" s="298">
        <f>+K5</f>
        <v>13.3</v>
      </c>
      <c r="L17" s="299">
        <f>K17/(SUM(K$17:K$28))</f>
        <v>9.3629003871876101E-2</v>
      </c>
      <c r="M17" s="297">
        <f>(31/365)</f>
        <v>8.4931506849315067E-2</v>
      </c>
      <c r="N17" s="304">
        <f>$M17*'MWh Impact Summary'!F$12</f>
        <v>0</v>
      </c>
      <c r="O17" s="304">
        <f>$M17*'MWh Impact Summary'!G$12</f>
        <v>0</v>
      </c>
      <c r="P17" s="304">
        <f>$M17*'MWh Impact Summary'!H$12</f>
        <v>0</v>
      </c>
      <c r="Q17" s="320">
        <f>$D17*'MWh Impact Summary'!I$12</f>
        <v>0</v>
      </c>
      <c r="R17" s="304">
        <f>$M17*'MWh Impact Summary'!J$12</f>
        <v>0</v>
      </c>
      <c r="S17" s="304">
        <f>$M17*'MWh Impact Summary'!K$12</f>
        <v>0</v>
      </c>
      <c r="T17" s="304">
        <f>$M17*'MWh Impact Summary'!L$12</f>
        <v>0</v>
      </c>
      <c r="U17" s="304">
        <f>$M17*'MWh Impact Summary'!M$12</f>
        <v>0</v>
      </c>
      <c r="V17" s="304">
        <f>$M17*'MWh Impact Summary'!O$12</f>
        <v>0</v>
      </c>
      <c r="W17" s="304">
        <f>$M17*'MWh Impact Summary'!P$12</f>
        <v>0</v>
      </c>
      <c r="X17" s="304">
        <f>$M17*'MWh Impact Summary'!Q$12</f>
        <v>0</v>
      </c>
      <c r="Y17" s="85">
        <f t="shared" si="2"/>
        <v>0</v>
      </c>
      <c r="Z17" s="81">
        <f t="shared" si="11"/>
        <v>0</v>
      </c>
      <c r="AA17" s="81"/>
      <c r="AB17" s="81">
        <f>+'MWh by mo-WgtbyActulCDH&amp;Days'!AB17</f>
        <v>4369236</v>
      </c>
      <c r="AC17" s="308">
        <f t="shared" si="12"/>
        <v>0</v>
      </c>
      <c r="AD17" s="309">
        <f t="shared" si="3"/>
        <v>0</v>
      </c>
      <c r="AE17" s="107">
        <f t="shared" si="4"/>
        <v>0</v>
      </c>
      <c r="AF17" s="309">
        <f t="shared" si="13"/>
        <v>0</v>
      </c>
      <c r="AG17" s="107">
        <f t="shared" si="5"/>
        <v>0</v>
      </c>
      <c r="AH17" s="119">
        <f t="shared" si="14"/>
        <v>0</v>
      </c>
      <c r="AI17" s="122">
        <f t="shared" si="6"/>
        <v>0</v>
      </c>
      <c r="AJ17" s="87" t="b">
        <f t="shared" si="15"/>
        <v>1</v>
      </c>
      <c r="AK17" s="88">
        <f>AI17-AI5</f>
        <v>0</v>
      </c>
      <c r="AL17" s="312">
        <f>+AC17/'MWh by month-WgtbyCDH&amp;DayLtHrs'!AC17-1</f>
        <v>-1</v>
      </c>
      <c r="AM17" s="89">
        <f t="shared" si="8"/>
        <v>0</v>
      </c>
      <c r="AN17" s="90"/>
      <c r="AO17" s="96"/>
      <c r="AP17" s="92"/>
      <c r="AR17" s="94">
        <f t="shared" si="9"/>
        <v>0</v>
      </c>
      <c r="AS17" s="95">
        <v>7009.1637420817888</v>
      </c>
      <c r="AU17" s="141">
        <v>0</v>
      </c>
    </row>
    <row r="18" spans="1:47">
      <c r="A18" s="78">
        <v>2006</v>
      </c>
      <c r="B18" s="78">
        <v>2</v>
      </c>
      <c r="C18" s="317">
        <v>0</v>
      </c>
      <c r="D18" s="318">
        <f t="shared" si="17"/>
        <v>0</v>
      </c>
      <c r="E18" s="104">
        <f>$D18*'MWh Impact Summary'!B$12</f>
        <v>0</v>
      </c>
      <c r="F18" s="320">
        <f>$D18*'MWh Impact Summary'!N$12</f>
        <v>0</v>
      </c>
      <c r="G18" s="320">
        <f>$D18*'MWh Impact Summary'!C$12</f>
        <v>0</v>
      </c>
      <c r="H18" s="320">
        <f>$D18*'MWh Impact Summary'!D$12</f>
        <v>0</v>
      </c>
      <c r="I18" s="320">
        <f>$D18*'MWh Impact Summary'!E$12</f>
        <v>0</v>
      </c>
      <c r="J18" s="104">
        <f t="shared" si="10"/>
        <v>0</v>
      </c>
      <c r="K18" s="298">
        <f t="shared" ref="K18:K81" si="18">+K6</f>
        <v>12.733333333333333</v>
      </c>
      <c r="L18" s="299">
        <f>K18/(SUM(K$17:K$28))</f>
        <v>8.9639798193124468E-2</v>
      </c>
      <c r="M18" s="297">
        <f>(28/365)</f>
        <v>7.6712328767123292E-2</v>
      </c>
      <c r="N18" s="304">
        <f>$M18*'MWh Impact Summary'!F$12</f>
        <v>0</v>
      </c>
      <c r="O18" s="304">
        <f>$M18*'MWh Impact Summary'!G$12</f>
        <v>0</v>
      </c>
      <c r="P18" s="304">
        <f>$M18*'MWh Impact Summary'!H$12</f>
        <v>0</v>
      </c>
      <c r="Q18" s="320">
        <f>$D18*'MWh Impact Summary'!I$12</f>
        <v>0</v>
      </c>
      <c r="R18" s="304">
        <f>$M18*'MWh Impact Summary'!J$12</f>
        <v>0</v>
      </c>
      <c r="S18" s="304">
        <f>$M18*'MWh Impact Summary'!K$12</f>
        <v>0</v>
      </c>
      <c r="T18" s="304">
        <f>$M18*'MWh Impact Summary'!L$12</f>
        <v>0</v>
      </c>
      <c r="U18" s="304">
        <f>$M18*'MWh Impact Summary'!M$12</f>
        <v>0</v>
      </c>
      <c r="V18" s="304">
        <f>$M18*'MWh Impact Summary'!O$12</f>
        <v>0</v>
      </c>
      <c r="W18" s="304">
        <f>$M18*'MWh Impact Summary'!P$12</f>
        <v>0</v>
      </c>
      <c r="X18" s="304">
        <f>$M18*'MWh Impact Summary'!Q$12</f>
        <v>0</v>
      </c>
      <c r="Y18" s="85">
        <f t="shared" si="2"/>
        <v>0</v>
      </c>
      <c r="Z18" s="81">
        <f t="shared" si="11"/>
        <v>0</v>
      </c>
      <c r="AA18" s="81"/>
      <c r="AB18" s="81">
        <f>+'MWh by mo-WgtbyActulCDH&amp;Days'!AB18</f>
        <v>4377958</v>
      </c>
      <c r="AC18" s="308">
        <f t="shared" si="12"/>
        <v>0</v>
      </c>
      <c r="AD18" s="309">
        <f t="shared" si="3"/>
        <v>0</v>
      </c>
      <c r="AE18" s="107">
        <f t="shared" si="4"/>
        <v>0</v>
      </c>
      <c r="AF18" s="309">
        <f t="shared" si="13"/>
        <v>0</v>
      </c>
      <c r="AG18" s="107">
        <f t="shared" si="5"/>
        <v>0</v>
      </c>
      <c r="AH18" s="119">
        <f t="shared" si="14"/>
        <v>0</v>
      </c>
      <c r="AI18" s="122">
        <f t="shared" si="6"/>
        <v>0</v>
      </c>
      <c r="AJ18" s="87" t="b">
        <f t="shared" si="15"/>
        <v>1</v>
      </c>
      <c r="AK18" s="88">
        <f>AI18-AI6</f>
        <v>0</v>
      </c>
      <c r="AL18" s="312">
        <f>+AC18/'MWh by month-WgtbyCDH&amp;DayLtHrs'!AC18-1</f>
        <v>-1</v>
      </c>
      <c r="AM18" s="89">
        <f t="shared" si="8"/>
        <v>0</v>
      </c>
      <c r="AN18" s="90"/>
      <c r="AO18" s="96"/>
      <c r="AP18" s="92"/>
      <c r="AR18" s="94">
        <f t="shared" si="9"/>
        <v>0</v>
      </c>
      <c r="AS18" s="95">
        <v>8174.9983119916897</v>
      </c>
      <c r="AU18" s="141">
        <v>0</v>
      </c>
    </row>
    <row r="19" spans="1:47">
      <c r="A19" s="78">
        <v>2006</v>
      </c>
      <c r="B19" s="78">
        <v>3</v>
      </c>
      <c r="C19" s="317">
        <v>0</v>
      </c>
      <c r="D19" s="318">
        <f t="shared" si="17"/>
        <v>0</v>
      </c>
      <c r="E19" s="104">
        <f>$D19*'MWh Impact Summary'!B$12</f>
        <v>0</v>
      </c>
      <c r="F19" s="320">
        <f>$D19*'MWh Impact Summary'!N$12</f>
        <v>0</v>
      </c>
      <c r="G19" s="320">
        <f>$D19*'MWh Impact Summary'!C$12</f>
        <v>0</v>
      </c>
      <c r="H19" s="320">
        <f>$D19*'MWh Impact Summary'!D$12</f>
        <v>0</v>
      </c>
      <c r="I19" s="320">
        <f>$D19*'MWh Impact Summary'!E$12</f>
        <v>0</v>
      </c>
      <c r="J19" s="104">
        <f t="shared" si="10"/>
        <v>0</v>
      </c>
      <c r="K19" s="298">
        <f t="shared" si="18"/>
        <v>12</v>
      </c>
      <c r="L19" s="299">
        <f>K19/(SUM(K$17:K$28))</f>
        <v>8.4477296726504739E-2</v>
      </c>
      <c r="M19" s="297">
        <f t="shared" ref="M19:M28" si="19">(31/365)</f>
        <v>8.4931506849315067E-2</v>
      </c>
      <c r="N19" s="304">
        <f>$M19*'MWh Impact Summary'!F$12</f>
        <v>0</v>
      </c>
      <c r="O19" s="304">
        <f>$M19*'MWh Impact Summary'!G$12</f>
        <v>0</v>
      </c>
      <c r="P19" s="304">
        <f>$M19*'MWh Impact Summary'!H$12</f>
        <v>0</v>
      </c>
      <c r="Q19" s="320">
        <f>$D19*'MWh Impact Summary'!I$12</f>
        <v>0</v>
      </c>
      <c r="R19" s="304">
        <f>$M19*'MWh Impact Summary'!J$12</f>
        <v>0</v>
      </c>
      <c r="S19" s="304">
        <f>$M19*'MWh Impact Summary'!K$12</f>
        <v>0</v>
      </c>
      <c r="T19" s="304">
        <f>$M19*'MWh Impact Summary'!L$12</f>
        <v>0</v>
      </c>
      <c r="U19" s="304">
        <f>$M19*'MWh Impact Summary'!M$12</f>
        <v>0</v>
      </c>
      <c r="V19" s="304">
        <f>$M19*'MWh Impact Summary'!O$12</f>
        <v>0</v>
      </c>
      <c r="W19" s="304">
        <f>$M19*'MWh Impact Summary'!P$12</f>
        <v>0</v>
      </c>
      <c r="X19" s="304">
        <f>$M19*'MWh Impact Summary'!Q$12</f>
        <v>0</v>
      </c>
      <c r="Y19" s="85">
        <f t="shared" si="2"/>
        <v>0</v>
      </c>
      <c r="Z19" s="81">
        <f t="shared" si="11"/>
        <v>0</v>
      </c>
      <c r="AA19" s="81"/>
      <c r="AB19" s="81">
        <f>+'MWh by mo-WgtbyActulCDH&amp;Days'!AB19</f>
        <v>4390093</v>
      </c>
      <c r="AC19" s="308">
        <f t="shared" si="12"/>
        <v>0</v>
      </c>
      <c r="AD19" s="309">
        <f t="shared" si="3"/>
        <v>0</v>
      </c>
      <c r="AE19" s="107">
        <f t="shared" si="4"/>
        <v>0</v>
      </c>
      <c r="AF19" s="309">
        <f t="shared" si="13"/>
        <v>0</v>
      </c>
      <c r="AG19" s="107">
        <f t="shared" si="5"/>
        <v>0</v>
      </c>
      <c r="AH19" s="119">
        <f t="shared" si="14"/>
        <v>0</v>
      </c>
      <c r="AI19" s="122">
        <f t="shared" si="6"/>
        <v>0</v>
      </c>
      <c r="AJ19" s="87" t="b">
        <f t="shared" si="15"/>
        <v>1</v>
      </c>
      <c r="AK19" s="88">
        <f>AI19-AI7</f>
        <v>0</v>
      </c>
      <c r="AL19" s="312">
        <f>+AC19/'MWh by month-WgtbyCDH&amp;DayLtHrs'!AC19-1</f>
        <v>-1</v>
      </c>
      <c r="AM19" s="89">
        <f t="shared" si="8"/>
        <v>0</v>
      </c>
      <c r="AN19" s="90"/>
      <c r="AO19" s="96"/>
      <c r="AP19" s="92"/>
      <c r="AR19" s="94">
        <f t="shared" si="9"/>
        <v>0</v>
      </c>
      <c r="AS19" s="95">
        <v>15958.602864016615</v>
      </c>
      <c r="AU19" s="141">
        <v>0</v>
      </c>
    </row>
    <row r="20" spans="1:47">
      <c r="A20" s="78">
        <v>2006</v>
      </c>
      <c r="B20" s="78">
        <v>4</v>
      </c>
      <c r="C20" s="317">
        <v>129.35805428171426</v>
      </c>
      <c r="D20" s="318">
        <f t="shared" si="17"/>
        <v>7.3539005018228187E-2</v>
      </c>
      <c r="E20" s="104">
        <f>$D20*'MWh Impact Summary'!B$12</f>
        <v>16085.542043631895</v>
      </c>
      <c r="F20" s="320">
        <f>$D20*'MWh Impact Summary'!N$12</f>
        <v>0</v>
      </c>
      <c r="G20" s="320">
        <f>$D20*'MWh Impact Summary'!C$12</f>
        <v>14607.879179697227</v>
      </c>
      <c r="H20" s="320">
        <f>$D20*'MWh Impact Summary'!D$12</f>
        <v>0</v>
      </c>
      <c r="I20" s="320">
        <f>$D20*'MWh Impact Summary'!E$12</f>
        <v>7840.6503455967722</v>
      </c>
      <c r="J20" s="104">
        <f t="shared" si="10"/>
        <v>38534.071568925894</v>
      </c>
      <c r="K20" s="298">
        <f t="shared" si="18"/>
        <v>11.2</v>
      </c>
      <c r="L20" s="299">
        <f>K20/(SUM(K$17:K$28))</f>
        <v>7.8845476944737758E-2</v>
      </c>
      <c r="M20" s="297">
        <f>(30/365)</f>
        <v>8.2191780821917804E-2</v>
      </c>
      <c r="N20" s="304">
        <f>$M20*'MWh Impact Summary'!F$12</f>
        <v>0</v>
      </c>
      <c r="O20" s="304">
        <f>$M20*'MWh Impact Summary'!G$12</f>
        <v>0</v>
      </c>
      <c r="P20" s="304">
        <f>$M20*'MWh Impact Summary'!H$12</f>
        <v>0</v>
      </c>
      <c r="Q20" s="320">
        <f>$D20*'MWh Impact Summary'!I$12</f>
        <v>100.58819110136932</v>
      </c>
      <c r="R20" s="304">
        <f>$M20*'MWh Impact Summary'!J$12</f>
        <v>0</v>
      </c>
      <c r="S20" s="304">
        <f>$M20*'MWh Impact Summary'!K$12</f>
        <v>0</v>
      </c>
      <c r="T20" s="304">
        <f>$M20*'MWh Impact Summary'!L$12</f>
        <v>0</v>
      </c>
      <c r="U20" s="304">
        <f>$M20*'MWh Impact Summary'!M$12</f>
        <v>0</v>
      </c>
      <c r="V20" s="304">
        <f>$M20*'MWh Impact Summary'!O$12</f>
        <v>0</v>
      </c>
      <c r="W20" s="304">
        <f>$M20*'MWh Impact Summary'!P$12</f>
        <v>0</v>
      </c>
      <c r="X20" s="304">
        <f>$M20*'MWh Impact Summary'!Q$12</f>
        <v>0</v>
      </c>
      <c r="Y20" s="85">
        <f t="shared" si="2"/>
        <v>100.58819110136932</v>
      </c>
      <c r="Z20" s="81">
        <f t="shared" si="11"/>
        <v>38634.659760027265</v>
      </c>
      <c r="AA20" s="81"/>
      <c r="AB20" s="81">
        <f>+'MWh by mo-WgtbyActulCDH&amp;Days'!AB20</f>
        <v>4398215</v>
      </c>
      <c r="AC20" s="308">
        <f t="shared" si="12"/>
        <v>8.7841680681884053</v>
      </c>
      <c r="AD20" s="309">
        <f t="shared" si="3"/>
        <v>8.7612978376286499</v>
      </c>
      <c r="AE20" s="107">
        <f t="shared" si="4"/>
        <v>7.8225873550255814E-4</v>
      </c>
      <c r="AF20" s="309">
        <f t="shared" si="13"/>
        <v>2.28702305597542E-2</v>
      </c>
      <c r="AG20" s="107">
        <f t="shared" si="5"/>
        <v>2.0419848714066249E-6</v>
      </c>
      <c r="AH20" s="119">
        <f t="shared" si="14"/>
        <v>7.8430072037396473E-4</v>
      </c>
      <c r="AI20" s="122">
        <f t="shared" si="6"/>
        <v>7.8430072037396483E-4</v>
      </c>
      <c r="AJ20" s="87" t="b">
        <f t="shared" si="15"/>
        <v>1</v>
      </c>
      <c r="AK20" s="88">
        <f>AI20-AI8</f>
        <v>7.0176464366052257E-4</v>
      </c>
      <c r="AL20" s="312">
        <f>+AC20/'MWh by month-WgtbyCDH&amp;DayLtHrs'!AC20-1</f>
        <v>0.26653947510643428</v>
      </c>
      <c r="AM20" s="89">
        <f t="shared" si="8"/>
        <v>0</v>
      </c>
      <c r="AN20" s="90"/>
      <c r="AO20" s="96"/>
      <c r="AP20" s="92"/>
      <c r="AR20" s="94">
        <f t="shared" si="9"/>
        <v>7.8430072037396483E-4</v>
      </c>
      <c r="AS20" s="95">
        <v>30050.715671449223</v>
      </c>
      <c r="AU20" s="141">
        <v>8.7841680681884053</v>
      </c>
    </row>
    <row r="21" spans="1:47">
      <c r="A21" s="78">
        <v>2006</v>
      </c>
      <c r="B21" s="78">
        <v>5</v>
      </c>
      <c r="C21" s="317">
        <v>196.50747279771809</v>
      </c>
      <c r="D21" s="318">
        <f t="shared" si="17"/>
        <v>0.11171290499406872</v>
      </c>
      <c r="E21" s="104">
        <f>$D21*'MWh Impact Summary'!B$12</f>
        <v>24435.50371198159</v>
      </c>
      <c r="F21" s="320">
        <f>$D21*'MWh Impact Summary'!N$12</f>
        <v>0</v>
      </c>
      <c r="G21" s="320">
        <f>$D21*'MWh Impact Summary'!C$12</f>
        <v>22190.790024448288</v>
      </c>
      <c r="H21" s="320">
        <f>$D21*'MWh Impact Summary'!D$12</f>
        <v>0</v>
      </c>
      <c r="I21" s="320">
        <f>$D21*'MWh Impact Summary'!E$12</f>
        <v>11910.710879651604</v>
      </c>
      <c r="J21" s="104">
        <f t="shared" si="10"/>
        <v>58537.004616081482</v>
      </c>
      <c r="K21" s="298">
        <f t="shared" si="18"/>
        <v>10.533333333333333</v>
      </c>
      <c r="L21" s="299">
        <f>K21/(SUM(K$17:K$28))</f>
        <v>7.4152293793265281E-2</v>
      </c>
      <c r="M21" s="297">
        <f t="shared" si="19"/>
        <v>8.4931506849315067E-2</v>
      </c>
      <c r="N21" s="304">
        <f>$M21*'MWh Impact Summary'!F$12</f>
        <v>0</v>
      </c>
      <c r="O21" s="304">
        <f>$M21*'MWh Impact Summary'!G$12</f>
        <v>0</v>
      </c>
      <c r="P21" s="304">
        <f>$M21*'MWh Impact Summary'!H$12</f>
        <v>0</v>
      </c>
      <c r="Q21" s="320">
        <f>$D21*'MWh Impact Summary'!I$12</f>
        <v>152.80325091762083</v>
      </c>
      <c r="R21" s="304">
        <f>$M21*'MWh Impact Summary'!J$12</f>
        <v>0</v>
      </c>
      <c r="S21" s="304">
        <f>$M21*'MWh Impact Summary'!K$12</f>
        <v>0</v>
      </c>
      <c r="T21" s="304">
        <f>$M21*'MWh Impact Summary'!L$12</f>
        <v>0</v>
      </c>
      <c r="U21" s="304">
        <f>$M21*'MWh Impact Summary'!M$12</f>
        <v>0</v>
      </c>
      <c r="V21" s="304">
        <f>$M21*'MWh Impact Summary'!O$12</f>
        <v>0</v>
      </c>
      <c r="W21" s="304">
        <f>$M21*'MWh Impact Summary'!P$12</f>
        <v>0</v>
      </c>
      <c r="X21" s="304">
        <f>$M21*'MWh Impact Summary'!Q$12</f>
        <v>0</v>
      </c>
      <c r="Y21" s="85">
        <f t="shared" si="2"/>
        <v>152.80325091762083</v>
      </c>
      <c r="Z21" s="81">
        <f t="shared" si="11"/>
        <v>58689.807866999101</v>
      </c>
      <c r="AA21" s="81"/>
      <c r="AB21" s="81">
        <f>+'MWh by mo-WgtbyActulCDH&amp;Days'!AB21</f>
        <v>4397210</v>
      </c>
      <c r="AC21" s="308">
        <f t="shared" si="12"/>
        <v>13.347055943882395</v>
      </c>
      <c r="AD21" s="309">
        <f t="shared" si="3"/>
        <v>13.312305897621783</v>
      </c>
      <c r="AE21" s="107">
        <f t="shared" si="4"/>
        <v>1.2638265092678909E-3</v>
      </c>
      <c r="AF21" s="309">
        <f t="shared" si="13"/>
        <v>3.4750046260610894E-2</v>
      </c>
      <c r="AG21" s="107">
        <f t="shared" si="5"/>
        <v>3.2990550247415403E-6</v>
      </c>
      <c r="AH21" s="119">
        <f t="shared" si="14"/>
        <v>1.2671255642926324E-3</v>
      </c>
      <c r="AI21" s="122">
        <f t="shared" si="6"/>
        <v>1.2671255642926324E-3</v>
      </c>
      <c r="AJ21" s="87" t="b">
        <f t="shared" si="15"/>
        <v>1</v>
      </c>
      <c r="AK21" s="88">
        <f>AI21-AI9</f>
        <v>1.05025888416242E-3</v>
      </c>
      <c r="AL21" s="312">
        <f>+AC21/'MWh by month-WgtbyCDH&amp;DayLtHrs'!AC21-1</f>
        <v>5.4174237043626228E-2</v>
      </c>
      <c r="AM21" s="89">
        <f t="shared" si="8"/>
        <v>0</v>
      </c>
      <c r="AN21" s="90"/>
      <c r="AO21" s="96"/>
      <c r="AP21" s="92"/>
      <c r="AR21" s="94">
        <f t="shared" si="9"/>
        <v>1.2671255642926324E-3</v>
      </c>
      <c r="AS21" s="95">
        <v>51309.971910408989</v>
      </c>
      <c r="AU21" s="141">
        <v>13.347055943882395</v>
      </c>
    </row>
    <row r="22" spans="1:47">
      <c r="A22" s="78">
        <v>2006</v>
      </c>
      <c r="B22" s="78">
        <v>6</v>
      </c>
      <c r="C22" s="317">
        <v>277.02771058673886</v>
      </c>
      <c r="D22" s="318">
        <f t="shared" si="17"/>
        <v>0.1574880073154149</v>
      </c>
      <c r="E22" s="104">
        <f>$D22*'MWh Impact Summary'!B$12</f>
        <v>34448.113112381478</v>
      </c>
      <c r="F22" s="320">
        <f>$D22*'MWh Impact Summary'!N$12</f>
        <v>0</v>
      </c>
      <c r="G22" s="320">
        <f>$D22*'MWh Impact Summary'!C$12</f>
        <v>31283.613132168572</v>
      </c>
      <c r="H22" s="320">
        <f>$D22*'MWh Impact Summary'!D$12</f>
        <v>0</v>
      </c>
      <c r="I22" s="320">
        <f>$D22*'MWh Impact Summary'!E$12</f>
        <v>16791.203507293601</v>
      </c>
      <c r="J22" s="104">
        <f t="shared" si="10"/>
        <v>82522.929751843651</v>
      </c>
      <c r="K22" s="298">
        <f t="shared" si="18"/>
        <v>10.199999999999999</v>
      </c>
      <c r="L22" s="299">
        <f t="shared" ref="L22:L28" si="20">K22/(SUM(K$17:K$28))</f>
        <v>7.1805702217529022E-2</v>
      </c>
      <c r="M22" s="297">
        <f>(30/365)</f>
        <v>8.2191780821917804E-2</v>
      </c>
      <c r="N22" s="304">
        <f>$M22*'MWh Impact Summary'!F$12</f>
        <v>0</v>
      </c>
      <c r="O22" s="304">
        <f>$M22*'MWh Impact Summary'!G$12</f>
        <v>0</v>
      </c>
      <c r="P22" s="304">
        <f>$M22*'MWh Impact Summary'!H$12</f>
        <v>0</v>
      </c>
      <c r="Q22" s="320">
        <f>$D22*'MWh Impact Summary'!I$12</f>
        <v>215.41539448473867</v>
      </c>
      <c r="R22" s="304">
        <f>$M22*'MWh Impact Summary'!J$12</f>
        <v>0</v>
      </c>
      <c r="S22" s="304">
        <f>$M22*'MWh Impact Summary'!K$12</f>
        <v>0</v>
      </c>
      <c r="T22" s="304">
        <f>$M22*'MWh Impact Summary'!L$12</f>
        <v>0</v>
      </c>
      <c r="U22" s="304">
        <f>$M22*'MWh Impact Summary'!M$12</f>
        <v>0</v>
      </c>
      <c r="V22" s="304">
        <f>$M22*'MWh Impact Summary'!O$12</f>
        <v>0</v>
      </c>
      <c r="W22" s="304">
        <f>$M22*'MWh Impact Summary'!P$12</f>
        <v>0</v>
      </c>
      <c r="X22" s="304">
        <f>$M22*'MWh Impact Summary'!Q$12</f>
        <v>0</v>
      </c>
      <c r="Y22" s="85">
        <f t="shared" si="2"/>
        <v>215.41539448473867</v>
      </c>
      <c r="Z22" s="81">
        <f t="shared" si="11"/>
        <v>82738.345146328385</v>
      </c>
      <c r="AA22" s="81"/>
      <c r="AB22" s="81">
        <f>+'MWh by mo-WgtbyActulCDH&amp;Days'!AB22</f>
        <v>4403628</v>
      </c>
      <c r="AC22" s="308">
        <f t="shared" si="12"/>
        <v>18.788677233028857</v>
      </c>
      <c r="AD22" s="309">
        <f t="shared" si="3"/>
        <v>18.739759523702649</v>
      </c>
      <c r="AE22" s="107">
        <f t="shared" si="4"/>
        <v>1.8372313258532009E-3</v>
      </c>
      <c r="AF22" s="309">
        <f t="shared" si="13"/>
        <v>4.8917709326205275E-2</v>
      </c>
      <c r="AG22" s="107">
        <f t="shared" si="5"/>
        <v>4.7958538555103214E-6</v>
      </c>
      <c r="AH22" s="119">
        <f t="shared" si="14"/>
        <v>1.8420271797087112E-3</v>
      </c>
      <c r="AI22" s="122">
        <f t="shared" si="6"/>
        <v>1.8420271797087114E-3</v>
      </c>
      <c r="AJ22" s="87" t="b">
        <f t="shared" si="15"/>
        <v>1</v>
      </c>
      <c r="AK22" s="88">
        <f t="shared" ref="AK22:AK85" si="21">AI22-AI10</f>
        <v>1.5265913990509643E-3</v>
      </c>
      <c r="AL22" s="312">
        <f>+AC22/'MWh by month-WgtbyCDH&amp;DayLtHrs'!AC22-1</f>
        <v>0.14102276861059471</v>
      </c>
      <c r="AM22" s="89">
        <f t="shared" si="8"/>
        <v>0</v>
      </c>
      <c r="AN22" s="90"/>
      <c r="AO22" s="96"/>
      <c r="AP22" s="92"/>
      <c r="AR22" s="94">
        <f t="shared" si="9"/>
        <v>1.8420271797087114E-3</v>
      </c>
      <c r="AS22" s="95">
        <v>74366.069194837764</v>
      </c>
      <c r="AU22" s="141">
        <v>18.788677233028857</v>
      </c>
    </row>
    <row r="23" spans="1:47">
      <c r="A23" s="78">
        <v>2006</v>
      </c>
      <c r="B23" s="78">
        <v>7</v>
      </c>
      <c r="C23" s="317">
        <v>300.35638346961628</v>
      </c>
      <c r="D23" s="318">
        <f t="shared" si="17"/>
        <v>0.17075016869940099</v>
      </c>
      <c r="E23" s="104">
        <f>$D23*'MWh Impact Summary'!B$12</f>
        <v>37349.009779104963</v>
      </c>
      <c r="F23" s="320">
        <f>$D23*'MWh Impact Summary'!N$12</f>
        <v>0</v>
      </c>
      <c r="G23" s="320">
        <f>$D23*'MWh Impact Summary'!C$12</f>
        <v>33918.02532078731</v>
      </c>
      <c r="H23" s="320">
        <f>$D23*'MWh Impact Summary'!D$12</f>
        <v>0</v>
      </c>
      <c r="I23" s="320">
        <f>$D23*'MWh Impact Summary'!E$12</f>
        <v>18205.201020761946</v>
      </c>
      <c r="J23" s="104">
        <f t="shared" si="10"/>
        <v>89472.236120654212</v>
      </c>
      <c r="K23" s="298">
        <f t="shared" si="18"/>
        <v>10.366666666666667</v>
      </c>
      <c r="L23" s="299">
        <f t="shared" si="20"/>
        <v>7.2978998005397158E-2</v>
      </c>
      <c r="M23" s="297">
        <f t="shared" si="19"/>
        <v>8.4931506849315067E-2</v>
      </c>
      <c r="N23" s="304">
        <f>$M23*'MWh Impact Summary'!F$12</f>
        <v>0</v>
      </c>
      <c r="O23" s="304">
        <f>$M23*'MWh Impact Summary'!G$12</f>
        <v>0</v>
      </c>
      <c r="P23" s="304">
        <f>$M23*'MWh Impact Summary'!H$12</f>
        <v>0</v>
      </c>
      <c r="Q23" s="320">
        <f>$D23*'MWh Impact Summary'!I$12</f>
        <v>233.55565655897982</v>
      </c>
      <c r="R23" s="304">
        <f>$M23*'MWh Impact Summary'!J$12</f>
        <v>0</v>
      </c>
      <c r="S23" s="304">
        <f>$M23*'MWh Impact Summary'!K$12</f>
        <v>0</v>
      </c>
      <c r="T23" s="304">
        <f>$M23*'MWh Impact Summary'!L$12</f>
        <v>0</v>
      </c>
      <c r="U23" s="304">
        <f>$M23*'MWh Impact Summary'!M$12</f>
        <v>0</v>
      </c>
      <c r="V23" s="304">
        <f>$M23*'MWh Impact Summary'!O$12</f>
        <v>0</v>
      </c>
      <c r="W23" s="304">
        <f>$M23*'MWh Impact Summary'!P$12</f>
        <v>0</v>
      </c>
      <c r="X23" s="304">
        <f>$M23*'MWh Impact Summary'!Q$12</f>
        <v>0</v>
      </c>
      <c r="Y23" s="85">
        <f t="shared" si="2"/>
        <v>233.55565655897982</v>
      </c>
      <c r="Z23" s="81">
        <f t="shared" si="11"/>
        <v>89705.791777213191</v>
      </c>
      <c r="AA23" s="81"/>
      <c r="AB23" s="81">
        <f>+'MWh by mo-WgtbyActulCDH&amp;Days'!AB23</f>
        <v>4406505</v>
      </c>
      <c r="AC23" s="308">
        <f t="shared" si="12"/>
        <v>20.357583113422812</v>
      </c>
      <c r="AD23" s="309">
        <f t="shared" si="3"/>
        <v>20.304580641722684</v>
      </c>
      <c r="AE23" s="107">
        <f t="shared" si="4"/>
        <v>1.9586412194587798E-3</v>
      </c>
      <c r="AF23" s="309">
        <f t="shared" si="13"/>
        <v>5.3002471700129658E-2</v>
      </c>
      <c r="AG23" s="107">
        <f t="shared" si="5"/>
        <v>5.1127786205912853E-6</v>
      </c>
      <c r="AH23" s="119">
        <f t="shared" si="14"/>
        <v>1.9637539980793713E-3</v>
      </c>
      <c r="AI23" s="122">
        <f t="shared" si="6"/>
        <v>1.9637539980793708E-3</v>
      </c>
      <c r="AJ23" s="87" t="b">
        <f t="shared" si="15"/>
        <v>1</v>
      </c>
      <c r="AK23" s="88">
        <f t="shared" si="21"/>
        <v>1.4878872987637193E-3</v>
      </c>
      <c r="AL23" s="312">
        <f>+AC23/'MWh by month-WgtbyCDH&amp;DayLtHrs'!AC23-1</f>
        <v>4.2941706123596157E-2</v>
      </c>
      <c r="AM23" s="89">
        <f t="shared" si="8"/>
        <v>0</v>
      </c>
      <c r="AN23" s="90"/>
      <c r="AO23" s="96"/>
      <c r="AP23" s="92"/>
      <c r="AR23" s="94">
        <f t="shared" si="9"/>
        <v>1.9637539980793708E-3</v>
      </c>
      <c r="AS23" s="95">
        <v>83664.266541867051</v>
      </c>
      <c r="AU23" s="141">
        <v>20.357583113422812</v>
      </c>
    </row>
    <row r="24" spans="1:47">
      <c r="A24" s="78">
        <v>2006</v>
      </c>
      <c r="B24" s="78">
        <v>8</v>
      </c>
      <c r="C24" s="317">
        <v>324.00355894748566</v>
      </c>
      <c r="D24" s="318">
        <f t="shared" si="17"/>
        <v>0.18419339622620662</v>
      </c>
      <c r="E24" s="104">
        <f>$D24*'MWh Impact Summary'!B$12</f>
        <v>40289.511918492644</v>
      </c>
      <c r="F24" s="320">
        <f>$D24*'MWh Impact Summary'!N$12</f>
        <v>0</v>
      </c>
      <c r="G24" s="320">
        <f>$D24*'MWh Impact Summary'!C$12</f>
        <v>36588.404712622709</v>
      </c>
      <c r="H24" s="320">
        <f>$D24*'MWh Impact Summary'!D$12</f>
        <v>0</v>
      </c>
      <c r="I24" s="320">
        <f>$D24*'MWh Impact Summary'!E$12</f>
        <v>19638.503613418157</v>
      </c>
      <c r="J24" s="104">
        <f t="shared" si="10"/>
        <v>96516.42024453351</v>
      </c>
      <c r="K24" s="298">
        <f t="shared" si="18"/>
        <v>10.933333333333334</v>
      </c>
      <c r="L24" s="299">
        <f t="shared" si="20"/>
        <v>7.6968203684148764E-2</v>
      </c>
      <c r="M24" s="297">
        <f t="shared" si="19"/>
        <v>8.4931506849315067E-2</v>
      </c>
      <c r="N24" s="304">
        <f>$M24*'MWh Impact Summary'!F$12</f>
        <v>0</v>
      </c>
      <c r="O24" s="304">
        <f>$M24*'MWh Impact Summary'!G$12</f>
        <v>0</v>
      </c>
      <c r="P24" s="304">
        <f>$M24*'MWh Impact Summary'!H$12</f>
        <v>0</v>
      </c>
      <c r="Q24" s="320">
        <f>$D24*'MWh Impact Summary'!I$12</f>
        <v>251.94358469521629</v>
      </c>
      <c r="R24" s="304">
        <f>$M24*'MWh Impact Summary'!J$12</f>
        <v>0</v>
      </c>
      <c r="S24" s="304">
        <f>$M24*'MWh Impact Summary'!K$12</f>
        <v>0</v>
      </c>
      <c r="T24" s="304">
        <f>$M24*'MWh Impact Summary'!L$12</f>
        <v>0</v>
      </c>
      <c r="U24" s="304">
        <f>$M24*'MWh Impact Summary'!M$12</f>
        <v>0</v>
      </c>
      <c r="V24" s="304">
        <f>$M24*'MWh Impact Summary'!O$12</f>
        <v>0</v>
      </c>
      <c r="W24" s="304">
        <f>$M24*'MWh Impact Summary'!P$12</f>
        <v>0</v>
      </c>
      <c r="X24" s="304">
        <f>$M24*'MWh Impact Summary'!Q$12</f>
        <v>0</v>
      </c>
      <c r="Y24" s="85">
        <f t="shared" si="2"/>
        <v>251.94358469521629</v>
      </c>
      <c r="Z24" s="81">
        <f t="shared" si="11"/>
        <v>96768.363829228721</v>
      </c>
      <c r="AA24" s="81"/>
      <c r="AB24" s="81">
        <f>+'MWh by mo-WgtbyActulCDH&amp;Days'!AB24</f>
        <v>4416127</v>
      </c>
      <c r="AC24" s="308">
        <f t="shared" si="12"/>
        <v>21.91249568439239</v>
      </c>
      <c r="AD24" s="309">
        <f t="shared" si="3"/>
        <v>21.855444882933284</v>
      </c>
      <c r="AE24" s="107">
        <f t="shared" si="4"/>
        <v>1.998973617341459E-3</v>
      </c>
      <c r="AF24" s="309">
        <f t="shared" si="13"/>
        <v>5.7050801459110276E-2</v>
      </c>
      <c r="AG24" s="107">
        <f t="shared" si="5"/>
        <v>5.2180611090649644E-6</v>
      </c>
      <c r="AH24" s="119">
        <f t="shared" si="14"/>
        <v>2.0041916784505238E-3</v>
      </c>
      <c r="AI24" s="122">
        <f t="shared" si="6"/>
        <v>2.0041916784505234E-3</v>
      </c>
      <c r="AJ24" s="87" t="b">
        <f t="shared" si="15"/>
        <v>1</v>
      </c>
      <c r="AK24" s="88">
        <f t="shared" si="21"/>
        <v>1.5532143900992825E-3</v>
      </c>
      <c r="AL24" s="312">
        <f>+AC24/'MWh by month-WgtbyCDH&amp;DayLtHrs'!AC24-1</f>
        <v>0.1108204627762992</v>
      </c>
      <c r="AM24" s="89">
        <f t="shared" si="8"/>
        <v>0</v>
      </c>
      <c r="AN24" s="90"/>
      <c r="AO24" s="96"/>
      <c r="AP24" s="92"/>
      <c r="AR24" s="94">
        <f t="shared" si="9"/>
        <v>2.0041916784505234E-3</v>
      </c>
      <c r="AS24" s="95">
        <v>87376.815760398633</v>
      </c>
      <c r="AU24" s="141">
        <v>21.91249568439239</v>
      </c>
    </row>
    <row r="25" spans="1:47">
      <c r="A25" s="78">
        <v>2006</v>
      </c>
      <c r="B25" s="78">
        <v>9</v>
      </c>
      <c r="C25" s="317">
        <v>267.89810780857357</v>
      </c>
      <c r="D25" s="318">
        <f t="shared" si="17"/>
        <v>0.15229790215925817</v>
      </c>
      <c r="E25" s="104">
        <f>$D25*'MWh Impact Summary'!B$12</f>
        <v>33312.856323422529</v>
      </c>
      <c r="F25" s="320">
        <f>$D25*'MWh Impact Summary'!N$12</f>
        <v>0</v>
      </c>
      <c r="G25" s="320">
        <f>$D25*'MWh Impact Summary'!C$12</f>
        <v>30252.64420578361</v>
      </c>
      <c r="H25" s="320">
        <f>$D25*'MWh Impact Summary'!D$12</f>
        <v>0</v>
      </c>
      <c r="I25" s="320">
        <f>$D25*'MWh Impact Summary'!E$12</f>
        <v>16237.840026563654</v>
      </c>
      <c r="J25" s="104">
        <f t="shared" si="10"/>
        <v>79803.340555769799</v>
      </c>
      <c r="K25" s="298">
        <f t="shared" si="18"/>
        <v>11.683333333333334</v>
      </c>
      <c r="L25" s="299">
        <f t="shared" si="20"/>
        <v>8.2248034729555317E-2</v>
      </c>
      <c r="M25" s="297">
        <f>(30/365)</f>
        <v>8.2191780821917804E-2</v>
      </c>
      <c r="N25" s="304">
        <f>$M25*'MWh Impact Summary'!F$12</f>
        <v>0</v>
      </c>
      <c r="O25" s="304">
        <f>$M25*'MWh Impact Summary'!G$12</f>
        <v>0</v>
      </c>
      <c r="P25" s="304">
        <f>$M25*'MWh Impact Summary'!H$12</f>
        <v>0</v>
      </c>
      <c r="Q25" s="320">
        <f>$D25*'MWh Impact Summary'!I$12</f>
        <v>208.31625996212321</v>
      </c>
      <c r="R25" s="304">
        <f>$M25*'MWh Impact Summary'!J$12</f>
        <v>0</v>
      </c>
      <c r="S25" s="304">
        <f>$M25*'MWh Impact Summary'!K$12</f>
        <v>0</v>
      </c>
      <c r="T25" s="304">
        <f>$M25*'MWh Impact Summary'!L$12</f>
        <v>0</v>
      </c>
      <c r="U25" s="304">
        <f>$M25*'MWh Impact Summary'!M$12</f>
        <v>0</v>
      </c>
      <c r="V25" s="304">
        <f>$M25*'MWh Impact Summary'!O$12</f>
        <v>0</v>
      </c>
      <c r="W25" s="304">
        <f>$M25*'MWh Impact Summary'!P$12</f>
        <v>0</v>
      </c>
      <c r="X25" s="304">
        <f>$M25*'MWh Impact Summary'!Q$12</f>
        <v>0</v>
      </c>
      <c r="Y25" s="85">
        <f t="shared" si="2"/>
        <v>208.31625996212321</v>
      </c>
      <c r="Z25" s="81">
        <f t="shared" si="11"/>
        <v>80011.656815731927</v>
      </c>
      <c r="AA25" s="81"/>
      <c r="AB25" s="81">
        <f>+'MWh by mo-WgtbyActulCDH&amp;Days'!AB25</f>
        <v>4425222</v>
      </c>
      <c r="AC25" s="308">
        <f t="shared" si="12"/>
        <v>18.080823248129004</v>
      </c>
      <c r="AD25" s="309">
        <f t="shared" si="3"/>
        <v>18.033748488950341</v>
      </c>
      <c r="AE25" s="107">
        <f t="shared" si="4"/>
        <v>1.5435448064722117E-3</v>
      </c>
      <c r="AF25" s="309">
        <f t="shared" si="13"/>
        <v>4.7074759178663397E-2</v>
      </c>
      <c r="AG25" s="107">
        <f t="shared" si="5"/>
        <v>4.0292233248499347E-6</v>
      </c>
      <c r="AH25" s="119">
        <f t="shared" si="14"/>
        <v>1.5475740297970616E-3</v>
      </c>
      <c r="AI25" s="122">
        <f t="shared" si="6"/>
        <v>1.5475740297970616E-3</v>
      </c>
      <c r="AJ25" s="87" t="b">
        <f t="shared" si="15"/>
        <v>1</v>
      </c>
      <c r="AK25" s="88">
        <f t="shared" si="21"/>
        <v>1.2063982139096183E-3</v>
      </c>
      <c r="AL25" s="312">
        <f>+AC25/'MWh by month-WgtbyCDH&amp;DayLtHrs'!AC25-1</f>
        <v>7.8785334951775088E-2</v>
      </c>
      <c r="AM25" s="89">
        <f t="shared" si="8"/>
        <v>0</v>
      </c>
      <c r="AN25" s="90"/>
      <c r="AO25" s="96"/>
      <c r="AP25" s="92"/>
      <c r="AR25" s="94">
        <f t="shared" si="9"/>
        <v>1.5475740297970616E-3</v>
      </c>
      <c r="AS25" s="95">
        <v>78946.516019981806</v>
      </c>
      <c r="AU25" s="141">
        <v>18.080823248129004</v>
      </c>
    </row>
    <row r="26" spans="1:47">
      <c r="A26" s="78">
        <v>2006</v>
      </c>
      <c r="B26" s="78">
        <v>10</v>
      </c>
      <c r="C26" s="317">
        <v>196.83669265698501</v>
      </c>
      <c r="D26" s="318">
        <f t="shared" si="17"/>
        <v>0.11190006381473251</v>
      </c>
      <c r="E26" s="104">
        <f>$D26*'MWh Impact Summary'!B$12</f>
        <v>24476.441865521712</v>
      </c>
      <c r="F26" s="320">
        <f>$D26*'MWh Impact Summary'!N$12</f>
        <v>0</v>
      </c>
      <c r="G26" s="320">
        <f>$D26*'MWh Impact Summary'!C$12</f>
        <v>22227.967484749712</v>
      </c>
      <c r="H26" s="320">
        <f>$D26*'MWh Impact Summary'!D$12</f>
        <v>0</v>
      </c>
      <c r="I26" s="320">
        <f>$D26*'MWh Impact Summary'!E$12</f>
        <v>11930.665553658348</v>
      </c>
      <c r="J26" s="104">
        <f t="shared" si="10"/>
        <v>58635.074903929773</v>
      </c>
      <c r="K26" s="298">
        <f t="shared" si="18"/>
        <v>12.466666666666667</v>
      </c>
      <c r="L26" s="299">
        <f t="shared" si="20"/>
        <v>8.7762524932535488E-2</v>
      </c>
      <c r="M26" s="297">
        <f t="shared" si="19"/>
        <v>8.4931506849315067E-2</v>
      </c>
      <c r="N26" s="304">
        <f>$M26*'MWh Impact Summary'!F$12</f>
        <v>0</v>
      </c>
      <c r="O26" s="304">
        <f>$M26*'MWh Impact Summary'!G$12</f>
        <v>0</v>
      </c>
      <c r="P26" s="304">
        <f>$M26*'MWh Impact Summary'!H$12</f>
        <v>0</v>
      </c>
      <c r="Q26" s="320">
        <f>$D26*'MWh Impact Summary'!I$12</f>
        <v>153.05925067196301</v>
      </c>
      <c r="R26" s="304">
        <f>$M26*'MWh Impact Summary'!J$12</f>
        <v>0</v>
      </c>
      <c r="S26" s="304">
        <f>$M26*'MWh Impact Summary'!K$12</f>
        <v>0</v>
      </c>
      <c r="T26" s="304">
        <f>$M26*'MWh Impact Summary'!L$12</f>
        <v>0</v>
      </c>
      <c r="U26" s="304">
        <f>$M26*'MWh Impact Summary'!M$12</f>
        <v>0</v>
      </c>
      <c r="V26" s="304">
        <f>$M26*'MWh Impact Summary'!O$12</f>
        <v>0</v>
      </c>
      <c r="W26" s="304">
        <f>$M26*'MWh Impact Summary'!P$12</f>
        <v>0</v>
      </c>
      <c r="X26" s="304">
        <f>$M26*'MWh Impact Summary'!Q$12</f>
        <v>0</v>
      </c>
      <c r="Y26" s="85">
        <f t="shared" si="2"/>
        <v>153.05925067196301</v>
      </c>
      <c r="Z26" s="81">
        <f t="shared" si="11"/>
        <v>58788.134154601736</v>
      </c>
      <c r="AA26" s="81"/>
      <c r="AB26" s="81">
        <f>+'MWh by mo-WgtbyActulCDH&amp;Days'!AB26</f>
        <v>4429977</v>
      </c>
      <c r="AC26" s="308">
        <f t="shared" si="12"/>
        <v>13.270528076015234</v>
      </c>
      <c r="AD26" s="309">
        <f t="shared" si="3"/>
        <v>13.235977275712667</v>
      </c>
      <c r="AE26" s="107">
        <f t="shared" si="4"/>
        <v>1.0617094071427274E-3</v>
      </c>
      <c r="AF26" s="309">
        <f t="shared" si="13"/>
        <v>3.4550800302566582E-2</v>
      </c>
      <c r="AG26" s="107">
        <f t="shared" si="5"/>
        <v>2.7714545697245921E-6</v>
      </c>
      <c r="AH26" s="119">
        <f t="shared" si="14"/>
        <v>1.0644808617124521E-3</v>
      </c>
      <c r="AI26" s="122">
        <f t="shared" si="6"/>
        <v>1.0644808617124519E-3</v>
      </c>
      <c r="AJ26" s="87" t="b">
        <f t="shared" si="15"/>
        <v>1</v>
      </c>
      <c r="AK26" s="88">
        <f t="shared" si="21"/>
        <v>8.458806601232097E-4</v>
      </c>
      <c r="AL26" s="312">
        <f>+AC26/'MWh by month-WgtbyCDH&amp;DayLtHrs'!AC26-1</f>
        <v>0.10673723917229405</v>
      </c>
      <c r="AM26" s="89">
        <f t="shared" si="8"/>
        <v>0</v>
      </c>
      <c r="AN26" s="90"/>
      <c r="AO26" s="96"/>
      <c r="AP26" s="92"/>
      <c r="AR26" s="94">
        <f t="shared" si="9"/>
        <v>1.0644808617124519E-3</v>
      </c>
      <c r="AS26" s="95">
        <v>53072.042749228778</v>
      </c>
      <c r="AU26" s="141">
        <v>13.270528076015234</v>
      </c>
    </row>
    <row r="27" spans="1:47">
      <c r="A27" s="78">
        <v>2006</v>
      </c>
      <c r="B27" s="78">
        <v>11</v>
      </c>
      <c r="C27" s="317">
        <v>67.052058810555579</v>
      </c>
      <c r="D27" s="318">
        <f t="shared" si="17"/>
        <v>3.8118551772690072E-2</v>
      </c>
      <c r="E27" s="104">
        <f>$D27*'MWh Impact Summary'!B$12</f>
        <v>8337.8550883300813</v>
      </c>
      <c r="F27" s="320">
        <f>$D27*'MWh Impact Summary'!N$12</f>
        <v>0</v>
      </c>
      <c r="G27" s="320">
        <f>$D27*'MWh Impact Summary'!C$12</f>
        <v>7571.91640901951</v>
      </c>
      <c r="H27" s="320">
        <f>$D27*'MWh Impact Summary'!D$12</f>
        <v>0</v>
      </c>
      <c r="I27" s="320">
        <f>$D27*'MWh Impact Summary'!E$12</f>
        <v>4064.1593676187026</v>
      </c>
      <c r="J27" s="104">
        <f t="shared" si="10"/>
        <v>19973.930864968293</v>
      </c>
      <c r="K27" s="298">
        <f t="shared" si="18"/>
        <v>13.15</v>
      </c>
      <c r="L27" s="299">
        <f t="shared" si="20"/>
        <v>9.2573037662794788E-2</v>
      </c>
      <c r="M27" s="297">
        <f>(30/365)</f>
        <v>8.2191780821917804E-2</v>
      </c>
      <c r="N27" s="304">
        <f>$M27*'MWh Impact Summary'!F$12</f>
        <v>0</v>
      </c>
      <c r="O27" s="304">
        <f>$M27*'MWh Impact Summary'!G$12</f>
        <v>0</v>
      </c>
      <c r="P27" s="304">
        <f>$M27*'MWh Impact Summary'!H$12</f>
        <v>0</v>
      </c>
      <c r="Q27" s="320">
        <f>$D27*'MWh Impact Summary'!I$12</f>
        <v>52.139353384892587</v>
      </c>
      <c r="R27" s="304">
        <f>$M27*'MWh Impact Summary'!J$12</f>
        <v>0</v>
      </c>
      <c r="S27" s="304">
        <f>$M27*'MWh Impact Summary'!K$12</f>
        <v>0</v>
      </c>
      <c r="T27" s="304">
        <f>$M27*'MWh Impact Summary'!L$12</f>
        <v>0</v>
      </c>
      <c r="U27" s="304">
        <f>$M27*'MWh Impact Summary'!M$12</f>
        <v>0</v>
      </c>
      <c r="V27" s="304">
        <f>$M27*'MWh Impact Summary'!O$12</f>
        <v>0</v>
      </c>
      <c r="W27" s="304">
        <f>$M27*'MWh Impact Summary'!P$12</f>
        <v>0</v>
      </c>
      <c r="X27" s="304">
        <f>$M27*'MWh Impact Summary'!Q$12</f>
        <v>0</v>
      </c>
      <c r="Y27" s="85">
        <f t="shared" si="2"/>
        <v>52.139353384892587</v>
      </c>
      <c r="Z27" s="81">
        <f t="shared" si="11"/>
        <v>20026.070218353187</v>
      </c>
      <c r="AA27" s="81"/>
      <c r="AB27" s="81">
        <f>+'MWh by mo-WgtbyActulCDH&amp;Days'!AB27</f>
        <v>4443418</v>
      </c>
      <c r="AC27" s="308">
        <f t="shared" si="12"/>
        <v>4.5069066692247244</v>
      </c>
      <c r="AD27" s="309">
        <f t="shared" si="3"/>
        <v>4.4951726047309286</v>
      </c>
      <c r="AE27" s="107">
        <f t="shared" si="4"/>
        <v>3.4183822089208583E-4</v>
      </c>
      <c r="AF27" s="309">
        <f t="shared" si="13"/>
        <v>1.1734064493795673E-2</v>
      </c>
      <c r="AG27" s="107">
        <f t="shared" si="5"/>
        <v>8.9232429610613487E-7</v>
      </c>
      <c r="AH27" s="119">
        <f t="shared" si="14"/>
        <v>3.4273054518819198E-4</v>
      </c>
      <c r="AI27" s="122">
        <f t="shared" si="6"/>
        <v>3.4273054518819198E-4</v>
      </c>
      <c r="AJ27" s="87" t="b">
        <f t="shared" si="15"/>
        <v>1</v>
      </c>
      <c r="AK27" s="88">
        <f t="shared" si="21"/>
        <v>2.5759258371677734E-4</v>
      </c>
      <c r="AL27" s="312">
        <f>+AC27/'MWh by month-WgtbyCDH&amp;DayLtHrs'!AC27-1</f>
        <v>-4.3293227664774503E-2</v>
      </c>
      <c r="AM27" s="89">
        <f t="shared" si="8"/>
        <v>0</v>
      </c>
      <c r="AN27" s="90"/>
      <c r="AO27" s="96"/>
      <c r="AP27" s="92"/>
      <c r="AR27" s="94">
        <f t="shared" si="9"/>
        <v>3.4273054518819198E-4</v>
      </c>
      <c r="AS27" s="95">
        <v>24510.91635790365</v>
      </c>
      <c r="AU27" s="141">
        <v>4.5069066692247244</v>
      </c>
    </row>
    <row r="28" spans="1:47">
      <c r="A28" s="78">
        <v>2006</v>
      </c>
      <c r="B28" s="78">
        <v>12</v>
      </c>
      <c r="C28" s="317">
        <v>0</v>
      </c>
      <c r="D28" s="318">
        <f t="shared" si="17"/>
        <v>0</v>
      </c>
      <c r="E28" s="104">
        <f>$D28*'MWh Impact Summary'!B$12</f>
        <v>0</v>
      </c>
      <c r="F28" s="320">
        <f>$D28*'MWh Impact Summary'!N$12</f>
        <v>0</v>
      </c>
      <c r="G28" s="320">
        <f>$D28*'MWh Impact Summary'!C$12</f>
        <v>0</v>
      </c>
      <c r="H28" s="320">
        <f>$D28*'MWh Impact Summary'!D$12</f>
        <v>0</v>
      </c>
      <c r="I28" s="320">
        <f>$D28*'MWh Impact Summary'!E$12</f>
        <v>0</v>
      </c>
      <c r="J28" s="104">
        <f t="shared" si="10"/>
        <v>0</v>
      </c>
      <c r="K28" s="298">
        <f t="shared" si="18"/>
        <v>13.483333333333333</v>
      </c>
      <c r="L28" s="299">
        <f t="shared" si="20"/>
        <v>9.491962923853102E-2</v>
      </c>
      <c r="M28" s="297">
        <f t="shared" si="19"/>
        <v>8.4931506849315067E-2</v>
      </c>
      <c r="N28" s="304">
        <f>$M28*'MWh Impact Summary'!F$12</f>
        <v>0</v>
      </c>
      <c r="O28" s="304">
        <f>$M28*'MWh Impact Summary'!G$12</f>
        <v>0</v>
      </c>
      <c r="P28" s="304">
        <f>$M28*'MWh Impact Summary'!H$12</f>
        <v>0</v>
      </c>
      <c r="Q28" s="320">
        <f>$D28*'MWh Impact Summary'!I$12</f>
        <v>0</v>
      </c>
      <c r="R28" s="304">
        <f>$M28*'MWh Impact Summary'!J$12</f>
        <v>0</v>
      </c>
      <c r="S28" s="304">
        <f>$M28*'MWh Impact Summary'!K$12</f>
        <v>0</v>
      </c>
      <c r="T28" s="304">
        <f>$M28*'MWh Impact Summary'!L$12</f>
        <v>0</v>
      </c>
      <c r="U28" s="304">
        <f>$M28*'MWh Impact Summary'!M$12</f>
        <v>0</v>
      </c>
      <c r="V28" s="304">
        <f>$M28*'MWh Impact Summary'!O$12</f>
        <v>0</v>
      </c>
      <c r="W28" s="304">
        <f>$M28*'MWh Impact Summary'!P$12</f>
        <v>0</v>
      </c>
      <c r="X28" s="304">
        <f>$M28*'MWh Impact Summary'!Q$12</f>
        <v>0</v>
      </c>
      <c r="Y28" s="85">
        <f t="shared" si="2"/>
        <v>0</v>
      </c>
      <c r="Z28" s="81">
        <f t="shared" si="11"/>
        <v>0</v>
      </c>
      <c r="AA28" s="81">
        <f>SUM(Z17:Z28)</f>
        <v>525362.82956848352</v>
      </c>
      <c r="AB28" s="81">
        <f>+'MWh by mo-WgtbyActulCDH&amp;Days'!AB28</f>
        <v>4457161</v>
      </c>
      <c r="AC28" s="308">
        <f t="shared" si="12"/>
        <v>0</v>
      </c>
      <c r="AD28" s="309">
        <f t="shared" si="3"/>
        <v>0</v>
      </c>
      <c r="AE28" s="107">
        <f t="shared" si="4"/>
        <v>0</v>
      </c>
      <c r="AF28" s="309">
        <f t="shared" si="13"/>
        <v>0</v>
      </c>
      <c r="AG28" s="107">
        <f t="shared" si="5"/>
        <v>0</v>
      </c>
      <c r="AH28" s="119">
        <f t="shared" si="14"/>
        <v>0</v>
      </c>
      <c r="AI28" s="122">
        <f t="shared" si="6"/>
        <v>0</v>
      </c>
      <c r="AJ28" s="87" t="b">
        <f t="shared" si="15"/>
        <v>1</v>
      </c>
      <c r="AK28" s="88">
        <f t="shared" si="21"/>
        <v>0</v>
      </c>
      <c r="AL28" s="312">
        <f>+AC28/'MWh by month-WgtbyCDH&amp;DayLtHrs'!AC28-1</f>
        <v>-1</v>
      </c>
      <c r="AM28" s="89">
        <f t="shared" si="8"/>
        <v>0</v>
      </c>
      <c r="AN28" s="90">
        <f>SUM(AM17:AM28)</f>
        <v>0</v>
      </c>
      <c r="AO28" s="96"/>
      <c r="AP28" s="92"/>
      <c r="AR28" s="94">
        <f t="shared" si="9"/>
        <v>0</v>
      </c>
      <c r="AS28" s="95">
        <v>10922.750444317473</v>
      </c>
      <c r="AU28" s="141">
        <v>0</v>
      </c>
    </row>
    <row r="29" spans="1:47">
      <c r="A29" s="78">
        <v>2007</v>
      </c>
      <c r="B29" s="78">
        <v>1</v>
      </c>
      <c r="C29" s="317">
        <v>0</v>
      </c>
      <c r="D29" s="318">
        <f t="shared" ref="D29:D40" si="22">C29/(SUM(C$29:C$40))</f>
        <v>0</v>
      </c>
      <c r="E29" s="104">
        <f>$D29*'MWh Impact Summary'!B$13</f>
        <v>0</v>
      </c>
      <c r="F29" s="320">
        <f>$D29*'MWh Impact Summary'!N$13</f>
        <v>0</v>
      </c>
      <c r="G29" s="320">
        <f>$D29*'MWh Impact Summary'!C$13</f>
        <v>0</v>
      </c>
      <c r="H29" s="320">
        <f>$D29*'MWh Impact Summary'!D$13</f>
        <v>0</v>
      </c>
      <c r="I29" s="320">
        <f>$D29*'MWh Impact Summary'!E$13</f>
        <v>0</v>
      </c>
      <c r="J29" s="104">
        <f t="shared" si="10"/>
        <v>0</v>
      </c>
      <c r="K29" s="298">
        <f t="shared" si="18"/>
        <v>13.3</v>
      </c>
      <c r="L29" s="299">
        <f t="shared" ref="L29:L40" si="23">K29/(SUM(K$29:K$40))</f>
        <v>9.3629003871876101E-2</v>
      </c>
      <c r="M29" s="297">
        <f>(31/365)</f>
        <v>8.4931506849315067E-2</v>
      </c>
      <c r="N29" s="304">
        <f>$M29*'MWh Impact Summary'!F$13</f>
        <v>11323.155803004232</v>
      </c>
      <c r="O29" s="304">
        <f>$M29*'MWh Impact Summary'!G$13</f>
        <v>0</v>
      </c>
      <c r="P29" s="304">
        <f>$M29*'MWh Impact Summary'!H$13</f>
        <v>0</v>
      </c>
      <c r="Q29" s="320">
        <f>$D29*'MWh Impact Summary'!I$13</f>
        <v>0</v>
      </c>
      <c r="R29" s="304">
        <f>$M29*'MWh Impact Summary'!J$13</f>
        <v>0</v>
      </c>
      <c r="S29" s="304">
        <f>$M29*'MWh Impact Summary'!K$13</f>
        <v>0</v>
      </c>
      <c r="T29" s="304">
        <f>$M29*'MWh Impact Summary'!L$13</f>
        <v>0</v>
      </c>
      <c r="U29" s="304">
        <f>$M29*'MWh Impact Summary'!M$13</f>
        <v>0</v>
      </c>
      <c r="V29" s="304">
        <f>$M29*'MWh Impact Summary'!O$13</f>
        <v>0</v>
      </c>
      <c r="W29" s="304">
        <f>$M29*'MWh Impact Summary'!P$13</f>
        <v>0</v>
      </c>
      <c r="X29" s="304">
        <f>$M29*'MWh Impact Summary'!Q$13</f>
        <v>0</v>
      </c>
      <c r="Y29" s="85">
        <f t="shared" si="2"/>
        <v>11323.155803004232</v>
      </c>
      <c r="Z29" s="81">
        <f t="shared" si="11"/>
        <v>11323.155803004232</v>
      </c>
      <c r="AA29" s="81"/>
      <c r="AB29" s="81">
        <f>+'MWh by mo-WgtbyActulCDH&amp;Days'!AB29</f>
        <v>4465732</v>
      </c>
      <c r="AC29" s="308">
        <f>+Z29*1000/AB29</f>
        <v>2.5355654578027149</v>
      </c>
      <c r="AD29" s="309">
        <f t="shared" si="3"/>
        <v>0</v>
      </c>
      <c r="AE29" s="107">
        <f t="shared" si="4"/>
        <v>0</v>
      </c>
      <c r="AF29" s="309">
        <f t="shared" si="13"/>
        <v>2.5355654578027149</v>
      </c>
      <c r="AG29" s="107">
        <f t="shared" si="5"/>
        <v>1.9064401938366277E-4</v>
      </c>
      <c r="AH29" s="119">
        <f t="shared" si="14"/>
        <v>1.9064401938366277E-4</v>
      </c>
      <c r="AI29" s="122">
        <f t="shared" si="6"/>
        <v>1.9064401938366277E-4</v>
      </c>
      <c r="AJ29" s="87" t="b">
        <f t="shared" si="15"/>
        <v>1</v>
      </c>
      <c r="AK29" s="88">
        <f t="shared" si="21"/>
        <v>1.9064401938366277E-4</v>
      </c>
      <c r="AL29" s="312">
        <f>+AC29/'MWh by month-WgtbyCDH&amp;DayLtHrs'!AC29-1</f>
        <v>-0.55047242114430017</v>
      </c>
      <c r="AM29" s="89">
        <f t="shared" si="8"/>
        <v>0</v>
      </c>
      <c r="AN29" s="90"/>
      <c r="AO29" s="96"/>
      <c r="AP29" s="92"/>
      <c r="AR29" s="94">
        <f t="shared" si="9"/>
        <v>1.9064401938366277E-4</v>
      </c>
      <c r="AS29" s="95">
        <v>23915.309480274562</v>
      </c>
      <c r="AU29" s="141">
        <v>2.5355654578027149</v>
      </c>
    </row>
    <row r="30" spans="1:47">
      <c r="A30" s="78">
        <v>2007</v>
      </c>
      <c r="B30" s="78">
        <v>2</v>
      </c>
      <c r="C30" s="317">
        <v>0</v>
      </c>
      <c r="D30" s="318">
        <f t="shared" si="22"/>
        <v>0</v>
      </c>
      <c r="E30" s="104">
        <f>$D30*'MWh Impact Summary'!B$13</f>
        <v>0</v>
      </c>
      <c r="F30" s="320">
        <f>$D30*'MWh Impact Summary'!N$13</f>
        <v>0</v>
      </c>
      <c r="G30" s="320">
        <f>$D30*'MWh Impact Summary'!C$13</f>
        <v>0</v>
      </c>
      <c r="H30" s="320">
        <f>$D30*'MWh Impact Summary'!D$13</f>
        <v>0</v>
      </c>
      <c r="I30" s="320">
        <f>$D30*'MWh Impact Summary'!E$13</f>
        <v>0</v>
      </c>
      <c r="J30" s="104">
        <f t="shared" si="10"/>
        <v>0</v>
      </c>
      <c r="K30" s="298">
        <f t="shared" si="18"/>
        <v>12.733333333333333</v>
      </c>
      <c r="L30" s="299">
        <f t="shared" si="23"/>
        <v>8.9639798193124468E-2</v>
      </c>
      <c r="M30" s="297">
        <f>(28/365)</f>
        <v>7.6712328767123292E-2</v>
      </c>
      <c r="N30" s="304">
        <f>$M30*'MWh Impact Summary'!F$13</f>
        <v>10227.36653174576</v>
      </c>
      <c r="O30" s="304">
        <f>$M30*'MWh Impact Summary'!G$13</f>
        <v>0</v>
      </c>
      <c r="P30" s="304">
        <f>$M30*'MWh Impact Summary'!H$13</f>
        <v>0</v>
      </c>
      <c r="Q30" s="320">
        <f>$D30*'MWh Impact Summary'!I$13</f>
        <v>0</v>
      </c>
      <c r="R30" s="304">
        <f>$M30*'MWh Impact Summary'!J$13</f>
        <v>0</v>
      </c>
      <c r="S30" s="304">
        <f>$M30*'MWh Impact Summary'!K$13</f>
        <v>0</v>
      </c>
      <c r="T30" s="304">
        <f>$M30*'MWh Impact Summary'!L$13</f>
        <v>0</v>
      </c>
      <c r="U30" s="304">
        <f>$M30*'MWh Impact Summary'!M$13</f>
        <v>0</v>
      </c>
      <c r="V30" s="304">
        <f>$M30*'MWh Impact Summary'!O$13</f>
        <v>0</v>
      </c>
      <c r="W30" s="304">
        <f>$M30*'MWh Impact Summary'!P$13</f>
        <v>0</v>
      </c>
      <c r="X30" s="304">
        <f>$M30*'MWh Impact Summary'!Q$13</f>
        <v>0</v>
      </c>
      <c r="Y30" s="85">
        <f t="shared" si="2"/>
        <v>10227.36653174576</v>
      </c>
      <c r="Z30" s="81">
        <f t="shared" si="11"/>
        <v>10227.36653174576</v>
      </c>
      <c r="AA30" s="81"/>
      <c r="AB30" s="81">
        <f>+'MWh by mo-WgtbyActulCDH&amp;Days'!AB30</f>
        <v>4476835</v>
      </c>
      <c r="AC30" s="308">
        <f t="shared" si="12"/>
        <v>2.2845082590146295</v>
      </c>
      <c r="AD30" s="309">
        <f t="shared" si="3"/>
        <v>0</v>
      </c>
      <c r="AE30" s="107">
        <f t="shared" si="4"/>
        <v>0</v>
      </c>
      <c r="AF30" s="309">
        <f t="shared" si="13"/>
        <v>2.2845082590146295</v>
      </c>
      <c r="AG30" s="107">
        <f t="shared" si="5"/>
        <v>1.7941164337811227E-4</v>
      </c>
      <c r="AH30" s="119">
        <f t="shared" si="14"/>
        <v>1.7941164337811227E-4</v>
      </c>
      <c r="AI30" s="122">
        <f t="shared" si="6"/>
        <v>1.7941164337811227E-4</v>
      </c>
      <c r="AJ30" s="87" t="b">
        <f t="shared" si="15"/>
        <v>1</v>
      </c>
      <c r="AK30" s="88">
        <f t="shared" si="21"/>
        <v>1.7941164337811227E-4</v>
      </c>
      <c r="AL30" s="312">
        <f>+AC30/'MWh by month-WgtbyCDH&amp;DayLtHrs'!AC30-1</f>
        <v>-0.6464075577852566</v>
      </c>
      <c r="AM30" s="89">
        <f t="shared" si="8"/>
        <v>0</v>
      </c>
      <c r="AN30" s="90"/>
      <c r="AO30" s="96"/>
      <c r="AP30" s="92"/>
      <c r="AR30" s="94">
        <f t="shared" si="9"/>
        <v>1.7941164337811227E-4</v>
      </c>
      <c r="AS30" s="95">
        <v>24907.649804064211</v>
      </c>
      <c r="AU30" s="141">
        <v>2.2845082590146295</v>
      </c>
    </row>
    <row r="31" spans="1:47">
      <c r="A31" s="78">
        <v>2007</v>
      </c>
      <c r="B31" s="78">
        <v>3</v>
      </c>
      <c r="C31" s="317">
        <v>0</v>
      </c>
      <c r="D31" s="318">
        <f t="shared" si="22"/>
        <v>0</v>
      </c>
      <c r="E31" s="104">
        <f>$D31*'MWh Impact Summary'!B$13</f>
        <v>0</v>
      </c>
      <c r="F31" s="320">
        <f>$D31*'MWh Impact Summary'!N$13</f>
        <v>0</v>
      </c>
      <c r="G31" s="320">
        <f>$D31*'MWh Impact Summary'!C$13</f>
        <v>0</v>
      </c>
      <c r="H31" s="320">
        <f>$D31*'MWh Impact Summary'!D$13</f>
        <v>0</v>
      </c>
      <c r="I31" s="320">
        <f>$D31*'MWh Impact Summary'!E$13</f>
        <v>0</v>
      </c>
      <c r="J31" s="104">
        <f t="shared" si="10"/>
        <v>0</v>
      </c>
      <c r="K31" s="298">
        <f t="shared" si="18"/>
        <v>12</v>
      </c>
      <c r="L31" s="299">
        <f t="shared" si="23"/>
        <v>8.4477296726504739E-2</v>
      </c>
      <c r="M31" s="297">
        <f t="shared" ref="M31:M40" si="24">(31/365)</f>
        <v>8.4931506849315067E-2</v>
      </c>
      <c r="N31" s="304">
        <f>$M31*'MWh Impact Summary'!F$13</f>
        <v>11323.155803004232</v>
      </c>
      <c r="O31" s="304">
        <f>$M31*'MWh Impact Summary'!G$13</f>
        <v>0</v>
      </c>
      <c r="P31" s="304">
        <f>$M31*'MWh Impact Summary'!H$13</f>
        <v>0</v>
      </c>
      <c r="Q31" s="320">
        <f>$D31*'MWh Impact Summary'!I$13</f>
        <v>0</v>
      </c>
      <c r="R31" s="304">
        <f>$M31*'MWh Impact Summary'!J$13</f>
        <v>0</v>
      </c>
      <c r="S31" s="304">
        <f>$M31*'MWh Impact Summary'!K$13</f>
        <v>0</v>
      </c>
      <c r="T31" s="304">
        <f>$M31*'MWh Impact Summary'!L$13</f>
        <v>0</v>
      </c>
      <c r="U31" s="304">
        <f>$M31*'MWh Impact Summary'!M$13</f>
        <v>0</v>
      </c>
      <c r="V31" s="304">
        <f>$M31*'MWh Impact Summary'!O$13</f>
        <v>0</v>
      </c>
      <c r="W31" s="304">
        <f>$M31*'MWh Impact Summary'!P$13</f>
        <v>0</v>
      </c>
      <c r="X31" s="304">
        <f>$M31*'MWh Impact Summary'!Q$13</f>
        <v>0</v>
      </c>
      <c r="Y31" s="85">
        <f t="shared" si="2"/>
        <v>11323.155803004232</v>
      </c>
      <c r="Z31" s="81">
        <f t="shared" si="11"/>
        <v>11323.155803004232</v>
      </c>
      <c r="AA31" s="81"/>
      <c r="AB31" s="81">
        <f>+'MWh by mo-WgtbyActulCDH&amp;Days'!AB31</f>
        <v>4488392</v>
      </c>
      <c r="AC31" s="308">
        <f t="shared" si="12"/>
        <v>2.5227644561803499</v>
      </c>
      <c r="AD31" s="309">
        <f t="shared" si="3"/>
        <v>0</v>
      </c>
      <c r="AE31" s="107">
        <f t="shared" si="4"/>
        <v>0</v>
      </c>
      <c r="AF31" s="309">
        <f t="shared" si="13"/>
        <v>2.5227644561803499</v>
      </c>
      <c r="AG31" s="107">
        <f t="shared" si="5"/>
        <v>2.1023037134836251E-4</v>
      </c>
      <c r="AH31" s="119">
        <f t="shared" si="14"/>
        <v>2.1023037134836251E-4</v>
      </c>
      <c r="AI31" s="122">
        <f t="shared" si="6"/>
        <v>2.1023037134836251E-4</v>
      </c>
      <c r="AJ31" s="87" t="b">
        <f t="shared" si="15"/>
        <v>1</v>
      </c>
      <c r="AK31" s="88">
        <f t="shared" si="21"/>
        <v>2.1023037134836251E-4</v>
      </c>
      <c r="AL31" s="312">
        <f>+AC31/'MWh by month-WgtbyCDH&amp;DayLtHrs'!AC31-1</f>
        <v>-0.73264163454788245</v>
      </c>
      <c r="AM31" s="89">
        <f t="shared" si="8"/>
        <v>0</v>
      </c>
      <c r="AN31" s="90"/>
      <c r="AO31" s="96"/>
      <c r="AP31" s="92"/>
      <c r="AR31" s="94">
        <f t="shared" si="9"/>
        <v>2.1023037134836251E-4</v>
      </c>
      <c r="AS31" s="95">
        <v>39962.531076133993</v>
      </c>
      <c r="AU31" s="141">
        <v>2.5227644561803499</v>
      </c>
    </row>
    <row r="32" spans="1:47">
      <c r="A32" s="78">
        <v>2007</v>
      </c>
      <c r="B32" s="78">
        <v>4</v>
      </c>
      <c r="C32" s="317">
        <v>101.96136613292563</v>
      </c>
      <c r="D32" s="318">
        <f t="shared" si="22"/>
        <v>5.6243144969131027E-2</v>
      </c>
      <c r="E32" s="104">
        <f>$D32*'MWh Impact Summary'!B$13</f>
        <v>23833.871064007522</v>
      </c>
      <c r="F32" s="320">
        <f>$D32*'MWh Impact Summary'!N$13</f>
        <v>0</v>
      </c>
      <c r="G32" s="320">
        <f>$D32*'MWh Impact Summary'!C$13</f>
        <v>19462.762432821877</v>
      </c>
      <c r="H32" s="320">
        <f>$D32*'MWh Impact Summary'!D$13</f>
        <v>0</v>
      </c>
      <c r="I32" s="320">
        <f>$D32*'MWh Impact Summary'!E$13</f>
        <v>9547.9864786595463</v>
      </c>
      <c r="J32" s="104">
        <f t="shared" si="10"/>
        <v>52844.619975488939</v>
      </c>
      <c r="K32" s="298">
        <f t="shared" si="18"/>
        <v>11.2</v>
      </c>
      <c r="L32" s="299">
        <f t="shared" si="23"/>
        <v>7.8845476944737758E-2</v>
      </c>
      <c r="M32" s="297">
        <f>(30/365)</f>
        <v>8.2191780821917804E-2</v>
      </c>
      <c r="N32" s="304">
        <f>$M32*'MWh Impact Summary'!F$13</f>
        <v>10957.892712584742</v>
      </c>
      <c r="O32" s="304">
        <f>$M32*'MWh Impact Summary'!G$13</f>
        <v>0</v>
      </c>
      <c r="P32" s="304">
        <f>$M32*'MWh Impact Summary'!H$13</f>
        <v>0</v>
      </c>
      <c r="Q32" s="320">
        <f>$D32*'MWh Impact Summary'!I$13</f>
        <v>153.86110304034344</v>
      </c>
      <c r="R32" s="304">
        <f>$M32*'MWh Impact Summary'!J$13</f>
        <v>0</v>
      </c>
      <c r="S32" s="304">
        <f>$M32*'MWh Impact Summary'!K$13</f>
        <v>0</v>
      </c>
      <c r="T32" s="304">
        <f>$M32*'MWh Impact Summary'!L$13</f>
        <v>0</v>
      </c>
      <c r="U32" s="304">
        <f>$M32*'MWh Impact Summary'!M$13</f>
        <v>0</v>
      </c>
      <c r="V32" s="304">
        <f>$M32*'MWh Impact Summary'!O$13</f>
        <v>0</v>
      </c>
      <c r="W32" s="304">
        <f>$M32*'MWh Impact Summary'!P$13</f>
        <v>0</v>
      </c>
      <c r="X32" s="304">
        <f>$M32*'MWh Impact Summary'!Q$13</f>
        <v>0</v>
      </c>
      <c r="Y32" s="85">
        <f t="shared" si="2"/>
        <v>11111.753815625085</v>
      </c>
      <c r="Z32" s="81">
        <f t="shared" si="11"/>
        <v>63956.37379111402</v>
      </c>
      <c r="AA32" s="81"/>
      <c r="AB32" s="81">
        <f>+'MWh by mo-WgtbyActulCDH&amp;Days'!AB32</f>
        <v>4493310</v>
      </c>
      <c r="AC32" s="308">
        <f t="shared" si="12"/>
        <v>14.233688259014851</v>
      </c>
      <c r="AD32" s="309">
        <f t="shared" si="3"/>
        <v>11.76073317342648</v>
      </c>
      <c r="AE32" s="107">
        <f t="shared" si="4"/>
        <v>1.0500654619130787E-3</v>
      </c>
      <c r="AF32" s="309">
        <f t="shared" si="13"/>
        <v>2.4729550855883713</v>
      </c>
      <c r="AG32" s="107">
        <f t="shared" si="5"/>
        <v>2.2079956121324746E-4</v>
      </c>
      <c r="AH32" s="119">
        <f t="shared" si="14"/>
        <v>1.2708650231263263E-3</v>
      </c>
      <c r="AI32" s="122">
        <f t="shared" si="6"/>
        <v>1.2708650231263261E-3</v>
      </c>
      <c r="AJ32" s="87" t="b">
        <f t="shared" si="15"/>
        <v>1</v>
      </c>
      <c r="AK32" s="88">
        <f t="shared" si="21"/>
        <v>4.8656430275236125E-4</v>
      </c>
      <c r="AL32" s="312">
        <f>+AC32/'MWh by month-WgtbyCDH&amp;DayLtHrs'!AC32-1</f>
        <v>-1.9558280471600908E-2</v>
      </c>
      <c r="AM32" s="89">
        <f t="shared" si="8"/>
        <v>0</v>
      </c>
      <c r="AN32" s="90"/>
      <c r="AO32" s="96"/>
      <c r="AP32" s="92"/>
      <c r="AR32" s="94">
        <f t="shared" si="9"/>
        <v>1.2708650231263261E-3</v>
      </c>
      <c r="AS32" s="95">
        <v>65231.07069002543</v>
      </c>
      <c r="AU32" s="141">
        <v>14.233688259014851</v>
      </c>
    </row>
    <row r="33" spans="1:47">
      <c r="A33" s="78">
        <v>2007</v>
      </c>
      <c r="B33" s="78">
        <v>5</v>
      </c>
      <c r="C33" s="317">
        <v>167.18600773431663</v>
      </c>
      <c r="D33" s="318">
        <f t="shared" si="22"/>
        <v>9.2221860361823546E-2</v>
      </c>
      <c r="E33" s="104">
        <f>$D33*'MWh Impact Summary'!B$13</f>
        <v>39080.388025118082</v>
      </c>
      <c r="F33" s="320">
        <f>$D33*'MWh Impact Summary'!N$13</f>
        <v>0</v>
      </c>
      <c r="G33" s="320">
        <f>$D33*'MWh Impact Summary'!C$13</f>
        <v>31913.08310230817</v>
      </c>
      <c r="H33" s="320">
        <f>$D33*'MWh Impact Summary'!D$13</f>
        <v>0</v>
      </c>
      <c r="I33" s="320">
        <f>$D33*'MWh Impact Summary'!E$13</f>
        <v>15655.829279369056</v>
      </c>
      <c r="J33" s="104">
        <f t="shared" si="10"/>
        <v>86649.300406795315</v>
      </c>
      <c r="K33" s="298">
        <f t="shared" si="18"/>
        <v>10.533333333333333</v>
      </c>
      <c r="L33" s="299">
        <f t="shared" si="23"/>
        <v>7.4152293793265281E-2</v>
      </c>
      <c r="M33" s="297">
        <f t="shared" si="24"/>
        <v>8.4931506849315067E-2</v>
      </c>
      <c r="N33" s="304">
        <f>$M33*'MWh Impact Summary'!F$13</f>
        <v>11323.155803004232</v>
      </c>
      <c r="O33" s="304">
        <f>$M33*'MWh Impact Summary'!G$13</f>
        <v>0</v>
      </c>
      <c r="P33" s="304">
        <f>$M33*'MWh Impact Summary'!H$13</f>
        <v>0</v>
      </c>
      <c r="Q33" s="320">
        <f>$D33*'MWh Impact Summary'!I$13</f>
        <v>252.28598378505515</v>
      </c>
      <c r="R33" s="304">
        <f>$M33*'MWh Impact Summary'!J$13</f>
        <v>0</v>
      </c>
      <c r="S33" s="304">
        <f>$M33*'MWh Impact Summary'!K$13</f>
        <v>0</v>
      </c>
      <c r="T33" s="304">
        <f>$M33*'MWh Impact Summary'!L$13</f>
        <v>0</v>
      </c>
      <c r="U33" s="304">
        <f>$M33*'MWh Impact Summary'!M$13</f>
        <v>0</v>
      </c>
      <c r="V33" s="304">
        <f>$M33*'MWh Impact Summary'!O$13</f>
        <v>0</v>
      </c>
      <c r="W33" s="304">
        <f>$M33*'MWh Impact Summary'!P$13</f>
        <v>0</v>
      </c>
      <c r="X33" s="304">
        <f>$M33*'MWh Impact Summary'!Q$13</f>
        <v>0</v>
      </c>
      <c r="Y33" s="85">
        <f t="shared" si="2"/>
        <v>11575.441786789288</v>
      </c>
      <c r="Z33" s="81">
        <f t="shared" si="11"/>
        <v>98224.742193584607</v>
      </c>
      <c r="AA33" s="81"/>
      <c r="AB33" s="81">
        <f>+'MWh by mo-WgtbyActulCDH&amp;Days'!AB33</f>
        <v>4494060</v>
      </c>
      <c r="AC33" s="308">
        <f t="shared" si="12"/>
        <v>21.856571161396289</v>
      </c>
      <c r="AD33" s="309">
        <f t="shared" si="3"/>
        <v>19.280850813472743</v>
      </c>
      <c r="AE33" s="107">
        <f t="shared" si="4"/>
        <v>1.8304605202663997E-3</v>
      </c>
      <c r="AF33" s="309">
        <f t="shared" si="13"/>
        <v>2.5757203479235455</v>
      </c>
      <c r="AG33" s="107">
        <f t="shared" si="5"/>
        <v>2.445304127775518E-4</v>
      </c>
      <c r="AH33" s="119">
        <f t="shared" si="14"/>
        <v>2.0749909330439516E-3</v>
      </c>
      <c r="AI33" s="122">
        <f t="shared" si="6"/>
        <v>2.0749909330439516E-3</v>
      </c>
      <c r="AJ33" s="87" t="b">
        <f t="shared" si="15"/>
        <v>1</v>
      </c>
      <c r="AK33" s="88">
        <f t="shared" si="21"/>
        <v>8.0786536875131925E-4</v>
      </c>
      <c r="AL33" s="312">
        <f>+AC33/'MWh by month-WgtbyCDH&amp;DayLtHrs'!AC33-1</f>
        <v>-0.10491662261341006</v>
      </c>
      <c r="AM33" s="89">
        <f t="shared" si="8"/>
        <v>0</v>
      </c>
      <c r="AN33" s="90"/>
      <c r="AO33" s="96"/>
      <c r="AP33" s="92"/>
      <c r="AR33" s="94">
        <f t="shared" si="9"/>
        <v>2.0749909330439516E-3</v>
      </c>
      <c r="AS33" s="95">
        <v>102984.96257484006</v>
      </c>
      <c r="AU33" s="141">
        <v>21.856571161396289</v>
      </c>
    </row>
    <row r="34" spans="1:47">
      <c r="A34" s="78">
        <v>2007</v>
      </c>
      <c r="B34" s="78">
        <v>6</v>
      </c>
      <c r="C34" s="317">
        <v>252.06000455953384</v>
      </c>
      <c r="D34" s="318">
        <f t="shared" si="22"/>
        <v>0.1390394020307632</v>
      </c>
      <c r="E34" s="104">
        <f>$D34*'MWh Impact Summary'!B$13</f>
        <v>58920.019188768987</v>
      </c>
      <c r="F34" s="320">
        <f>$D34*'MWh Impact Summary'!N$13</f>
        <v>0</v>
      </c>
      <c r="G34" s="320">
        <f>$D34*'MWh Impact Summary'!C$13</f>
        <v>48114.145324049532</v>
      </c>
      <c r="H34" s="320">
        <f>$D34*'MWh Impact Summary'!D$13</f>
        <v>0</v>
      </c>
      <c r="I34" s="320">
        <f>$D34*'MWh Impact Summary'!E$13</f>
        <v>23603.700172158893</v>
      </c>
      <c r="J34" s="104">
        <f t="shared" si="10"/>
        <v>130637.86468497741</v>
      </c>
      <c r="K34" s="298">
        <f t="shared" si="18"/>
        <v>10.199999999999999</v>
      </c>
      <c r="L34" s="299">
        <f t="shared" si="23"/>
        <v>7.1805702217529022E-2</v>
      </c>
      <c r="M34" s="297">
        <f>(30/365)</f>
        <v>8.2191780821917804E-2</v>
      </c>
      <c r="N34" s="304">
        <f>$M34*'MWh Impact Summary'!F$13</f>
        <v>10957.892712584742</v>
      </c>
      <c r="O34" s="304">
        <f>$M34*'MWh Impact Summary'!G$13</f>
        <v>0</v>
      </c>
      <c r="P34" s="304">
        <f>$M34*'MWh Impact Summary'!H$13</f>
        <v>0</v>
      </c>
      <c r="Q34" s="320">
        <f>$D34*'MWh Impact Summary'!I$13</f>
        <v>380.36201165963206</v>
      </c>
      <c r="R34" s="304">
        <f>$M34*'MWh Impact Summary'!J$13</f>
        <v>0</v>
      </c>
      <c r="S34" s="304">
        <f>$M34*'MWh Impact Summary'!K$13</f>
        <v>0</v>
      </c>
      <c r="T34" s="304">
        <f>$M34*'MWh Impact Summary'!L$13</f>
        <v>0</v>
      </c>
      <c r="U34" s="304">
        <f>$M34*'MWh Impact Summary'!M$13</f>
        <v>0</v>
      </c>
      <c r="V34" s="304">
        <f>$M34*'MWh Impact Summary'!O$13</f>
        <v>0</v>
      </c>
      <c r="W34" s="304">
        <f>$M34*'MWh Impact Summary'!P$13</f>
        <v>0</v>
      </c>
      <c r="X34" s="304">
        <f>$M34*'MWh Impact Summary'!Q$13</f>
        <v>0</v>
      </c>
      <c r="Y34" s="85">
        <f t="shared" si="2"/>
        <v>11338.254724244374</v>
      </c>
      <c r="Z34" s="81">
        <f t="shared" si="11"/>
        <v>141976.11940922178</v>
      </c>
      <c r="AA34" s="81"/>
      <c r="AB34" s="81">
        <f>+'MWh by mo-WgtbyActulCDH&amp;Days'!AB34</f>
        <v>4497400</v>
      </c>
      <c r="AC34" s="308">
        <f t="shared" si="12"/>
        <v>31.568488328639162</v>
      </c>
      <c r="AD34" s="309">
        <f t="shared" si="3"/>
        <v>29.04741955017953</v>
      </c>
      <c r="AE34" s="107">
        <f t="shared" si="4"/>
        <v>2.8477862304097583E-3</v>
      </c>
      <c r="AF34" s="309">
        <f t="shared" si="13"/>
        <v>2.5210687784596377</v>
      </c>
      <c r="AG34" s="107">
        <f t="shared" si="5"/>
        <v>2.4716360573133706E-4</v>
      </c>
      <c r="AH34" s="119">
        <f t="shared" si="14"/>
        <v>3.0949498361410952E-3</v>
      </c>
      <c r="AI34" s="122">
        <f t="shared" si="6"/>
        <v>3.0949498361410948E-3</v>
      </c>
      <c r="AJ34" s="87" t="b">
        <f t="shared" si="15"/>
        <v>0</v>
      </c>
      <c r="AK34" s="88">
        <f t="shared" si="21"/>
        <v>1.2529226564323833E-3</v>
      </c>
      <c r="AL34" s="312">
        <f>+AC34/'MWh by month-WgtbyCDH&amp;DayLtHrs'!AC34-1</f>
        <v>1.6884647717962942E-2</v>
      </c>
      <c r="AM34" s="89">
        <f t="shared" si="8"/>
        <v>0</v>
      </c>
      <c r="AN34" s="90"/>
      <c r="AO34" s="96"/>
      <c r="AP34" s="92"/>
      <c r="AR34" s="94">
        <f t="shared" si="9"/>
        <v>3.0949498361410948E-3</v>
      </c>
      <c r="AS34" s="95">
        <v>144692.84347818667</v>
      </c>
      <c r="AU34" s="141">
        <v>31.568488328639162</v>
      </c>
    </row>
    <row r="35" spans="1:47">
      <c r="A35" s="78">
        <v>2007</v>
      </c>
      <c r="B35" s="78">
        <v>7</v>
      </c>
      <c r="C35" s="317">
        <v>317.68883259272025</v>
      </c>
      <c r="D35" s="318">
        <f t="shared" si="22"/>
        <v>0.17524107163582267</v>
      </c>
      <c r="E35" s="104">
        <f>$D35*'MWh Impact Summary'!B$13</f>
        <v>74261.01632081678</v>
      </c>
      <c r="F35" s="320">
        <f>$D35*'MWh Impact Summary'!N$13</f>
        <v>0</v>
      </c>
      <c r="G35" s="320">
        <f>$D35*'MWh Impact Summary'!C$13</f>
        <v>60641.618593574043</v>
      </c>
      <c r="H35" s="320">
        <f>$D35*'MWh Impact Summary'!D$13</f>
        <v>0</v>
      </c>
      <c r="I35" s="320">
        <f>$D35*'MWh Impact Summary'!E$13</f>
        <v>29749.392275324877</v>
      </c>
      <c r="J35" s="104">
        <f t="shared" si="10"/>
        <v>164652.02718971571</v>
      </c>
      <c r="K35" s="298">
        <f t="shared" si="18"/>
        <v>10.366666666666667</v>
      </c>
      <c r="L35" s="299">
        <f t="shared" si="23"/>
        <v>7.2978998005397158E-2</v>
      </c>
      <c r="M35" s="297">
        <f t="shared" si="24"/>
        <v>8.4931506849315067E-2</v>
      </c>
      <c r="N35" s="304">
        <f>$M35*'MWh Impact Summary'!F$13</f>
        <v>11323.155803004232</v>
      </c>
      <c r="O35" s="304">
        <f>$M35*'MWh Impact Summary'!G$13</f>
        <v>0</v>
      </c>
      <c r="P35" s="304">
        <f>$M35*'MWh Impact Summary'!H$13</f>
        <v>0</v>
      </c>
      <c r="Q35" s="320">
        <f>$D35*'MWh Impact Summary'!I$13</f>
        <v>479.39681528580957</v>
      </c>
      <c r="R35" s="304">
        <f>$M35*'MWh Impact Summary'!J$13</f>
        <v>0</v>
      </c>
      <c r="S35" s="304">
        <f>$M35*'MWh Impact Summary'!K$13</f>
        <v>0</v>
      </c>
      <c r="T35" s="304">
        <f>$M35*'MWh Impact Summary'!L$13</f>
        <v>0</v>
      </c>
      <c r="U35" s="304">
        <f>$M35*'MWh Impact Summary'!M$13</f>
        <v>0</v>
      </c>
      <c r="V35" s="304">
        <f>$M35*'MWh Impact Summary'!O$13</f>
        <v>0</v>
      </c>
      <c r="W35" s="304">
        <f>$M35*'MWh Impact Summary'!P$13</f>
        <v>0</v>
      </c>
      <c r="X35" s="304">
        <f>$M35*'MWh Impact Summary'!Q$13</f>
        <v>0</v>
      </c>
      <c r="Y35" s="85">
        <f t="shared" si="2"/>
        <v>11802.552618290041</v>
      </c>
      <c r="Z35" s="81">
        <f t="shared" si="11"/>
        <v>176454.57980800574</v>
      </c>
      <c r="AA35" s="81"/>
      <c r="AB35" s="81">
        <f>+'MWh by mo-WgtbyActulCDH&amp;Days'!AB35</f>
        <v>4502735</v>
      </c>
      <c r="AC35" s="308">
        <f t="shared" si="12"/>
        <v>39.188311061611607</v>
      </c>
      <c r="AD35" s="309">
        <f t="shared" si="3"/>
        <v>36.567114695782834</v>
      </c>
      <c r="AE35" s="107">
        <f t="shared" si="4"/>
        <v>3.527374407953328E-3</v>
      </c>
      <c r="AF35" s="309">
        <f t="shared" si="13"/>
        <v>2.6211963658287774</v>
      </c>
      <c r="AG35" s="107">
        <f t="shared" si="5"/>
        <v>2.5284852403493032E-4</v>
      </c>
      <c r="AH35" s="119">
        <f t="shared" si="14"/>
        <v>3.7802229319882585E-3</v>
      </c>
      <c r="AI35" s="122">
        <f t="shared" si="6"/>
        <v>3.780222931988258E-3</v>
      </c>
      <c r="AJ35" s="87" t="b">
        <f t="shared" si="15"/>
        <v>1</v>
      </c>
      <c r="AK35" s="88">
        <f t="shared" si="21"/>
        <v>1.8164689339088872E-3</v>
      </c>
      <c r="AL35" s="312">
        <f>+AC35/'MWh by month-WgtbyCDH&amp;DayLtHrs'!AC35-1</f>
        <v>7.6062868347928969E-2</v>
      </c>
      <c r="AM35" s="89">
        <f t="shared" si="8"/>
        <v>0</v>
      </c>
      <c r="AN35" s="90"/>
      <c r="AO35" s="96"/>
      <c r="AP35" s="92"/>
      <c r="AR35" s="94">
        <f t="shared" si="9"/>
        <v>3.780222931988258E-3</v>
      </c>
      <c r="AS35" s="95">
        <v>160999.38431175053</v>
      </c>
      <c r="AU35" s="141">
        <v>39.188311061611607</v>
      </c>
    </row>
    <row r="36" spans="1:47">
      <c r="A36" s="78">
        <v>2007</v>
      </c>
      <c r="B36" s="78">
        <v>8</v>
      </c>
      <c r="C36" s="317">
        <v>363.99549307537717</v>
      </c>
      <c r="D36" s="318">
        <f t="shared" si="22"/>
        <v>0.20078439571375864</v>
      </c>
      <c r="E36" s="104">
        <f>$D36*'MWh Impact Summary'!B$13</f>
        <v>85085.380658085283</v>
      </c>
      <c r="F36" s="320">
        <f>$D36*'MWh Impact Summary'!N$13</f>
        <v>0</v>
      </c>
      <c r="G36" s="320">
        <f>$D36*'MWh Impact Summary'!C$13</f>
        <v>69480.80510325986</v>
      </c>
      <c r="H36" s="320">
        <f>$D36*'MWh Impact Summary'!D$13</f>
        <v>0</v>
      </c>
      <c r="I36" s="320">
        <f>$D36*'MWh Impact Summary'!E$13</f>
        <v>34085.695180327944</v>
      </c>
      <c r="J36" s="104">
        <f t="shared" si="10"/>
        <v>188651.88094167309</v>
      </c>
      <c r="K36" s="298">
        <f t="shared" si="18"/>
        <v>10.933333333333334</v>
      </c>
      <c r="L36" s="299">
        <f t="shared" si="23"/>
        <v>7.6968203684148764E-2</v>
      </c>
      <c r="M36" s="297">
        <f t="shared" si="24"/>
        <v>8.4931506849315067E-2</v>
      </c>
      <c r="N36" s="304">
        <f>$M36*'MWh Impact Summary'!F$13</f>
        <v>11323.155803004232</v>
      </c>
      <c r="O36" s="304">
        <f>$M36*'MWh Impact Summary'!G$13</f>
        <v>0</v>
      </c>
      <c r="P36" s="304">
        <f>$M36*'MWh Impact Summary'!H$13</f>
        <v>0</v>
      </c>
      <c r="Q36" s="320">
        <f>$D36*'MWh Impact Summary'!I$13</f>
        <v>549.27420247859959</v>
      </c>
      <c r="R36" s="304">
        <f>$M36*'MWh Impact Summary'!J$13</f>
        <v>0</v>
      </c>
      <c r="S36" s="304">
        <f>$M36*'MWh Impact Summary'!K$13</f>
        <v>0</v>
      </c>
      <c r="T36" s="304">
        <f>$M36*'MWh Impact Summary'!L$13</f>
        <v>0</v>
      </c>
      <c r="U36" s="304">
        <f>$M36*'MWh Impact Summary'!M$13</f>
        <v>0</v>
      </c>
      <c r="V36" s="304">
        <f>$M36*'MWh Impact Summary'!O$13</f>
        <v>0</v>
      </c>
      <c r="W36" s="304">
        <f>$M36*'MWh Impact Summary'!P$13</f>
        <v>0</v>
      </c>
      <c r="X36" s="304">
        <f>$M36*'MWh Impact Summary'!Q$13</f>
        <v>0</v>
      </c>
      <c r="Y36" s="85">
        <f t="shared" si="2"/>
        <v>11872.430005482833</v>
      </c>
      <c r="Z36" s="81">
        <f t="shared" si="11"/>
        <v>200524.31094715593</v>
      </c>
      <c r="AA36" s="81"/>
      <c r="AB36" s="81">
        <f>+'MWh by mo-WgtbyActulCDH&amp;Days'!AB36</f>
        <v>4508215</v>
      </c>
      <c r="AC36" s="308">
        <f t="shared" si="12"/>
        <v>44.479757719442375</v>
      </c>
      <c r="AD36" s="309">
        <f t="shared" si="3"/>
        <v>41.846247559549198</v>
      </c>
      <c r="AE36" s="107">
        <f t="shared" si="4"/>
        <v>3.8274006914221824E-3</v>
      </c>
      <c r="AF36" s="309">
        <f t="shared" si="13"/>
        <v>2.6335101598931798</v>
      </c>
      <c r="AG36" s="107">
        <f t="shared" si="5"/>
        <v>2.4086983169754693E-4</v>
      </c>
      <c r="AH36" s="119">
        <f t="shared" si="14"/>
        <v>4.0682705231197295E-3</v>
      </c>
      <c r="AI36" s="122">
        <f t="shared" si="6"/>
        <v>4.0682705231197287E-3</v>
      </c>
      <c r="AJ36" s="87" t="b">
        <f t="shared" si="15"/>
        <v>1</v>
      </c>
      <c r="AK36" s="88">
        <f t="shared" si="21"/>
        <v>2.0640788446692052E-3</v>
      </c>
      <c r="AL36" s="312">
        <f>+AC36/'MWh by month-WgtbyCDH&amp;DayLtHrs'!AC36-1</f>
        <v>0.20442566447705901</v>
      </c>
      <c r="AM36" s="89">
        <f t="shared" si="8"/>
        <v>0</v>
      </c>
      <c r="AN36" s="90"/>
      <c r="AO36" s="96"/>
      <c r="AP36" s="92"/>
      <c r="AR36" s="94">
        <f t="shared" si="9"/>
        <v>4.0682705231197287E-3</v>
      </c>
      <c r="AS36" s="95">
        <v>168022.38742171641</v>
      </c>
      <c r="AU36" s="141">
        <v>44.479757719442375</v>
      </c>
    </row>
    <row r="37" spans="1:47">
      <c r="A37" s="78">
        <v>2007</v>
      </c>
      <c r="B37" s="78">
        <v>9</v>
      </c>
      <c r="C37" s="317">
        <v>282.71295608659966</v>
      </c>
      <c r="D37" s="318">
        <f t="shared" si="22"/>
        <v>0.15594794751083191</v>
      </c>
      <c r="E37" s="104">
        <f>$D37*'MWh Impact Summary'!B$13</f>
        <v>66085.267381647398</v>
      </c>
      <c r="F37" s="320">
        <f>$D37*'MWh Impact Summary'!N$13</f>
        <v>0</v>
      </c>
      <c r="G37" s="320">
        <f>$D37*'MWh Impact Summary'!C$13</f>
        <v>53965.294009702877</v>
      </c>
      <c r="H37" s="320">
        <f>$D37*'MWh Impact Summary'!D$13</f>
        <v>0</v>
      </c>
      <c r="I37" s="320">
        <f>$D37*'MWh Impact Summary'!E$13</f>
        <v>26474.140004534973</v>
      </c>
      <c r="J37" s="104">
        <f t="shared" si="10"/>
        <v>146524.70139588526</v>
      </c>
      <c r="K37" s="298">
        <f t="shared" si="18"/>
        <v>11.683333333333334</v>
      </c>
      <c r="L37" s="299">
        <f t="shared" si="23"/>
        <v>8.2248034729555317E-2</v>
      </c>
      <c r="M37" s="297">
        <f>(30/365)</f>
        <v>8.2191780821917804E-2</v>
      </c>
      <c r="N37" s="304">
        <f>$M37*'MWh Impact Summary'!F$13</f>
        <v>10957.892712584742</v>
      </c>
      <c r="O37" s="304">
        <f>$M37*'MWh Impact Summary'!G$13</f>
        <v>0</v>
      </c>
      <c r="P37" s="304">
        <f>$M37*'MWh Impact Summary'!H$13</f>
        <v>0</v>
      </c>
      <c r="Q37" s="320">
        <f>$D37*'MWh Impact Summary'!I$13</f>
        <v>426.61773686488243</v>
      </c>
      <c r="R37" s="304">
        <f>$M37*'MWh Impact Summary'!J$13</f>
        <v>0</v>
      </c>
      <c r="S37" s="304">
        <f>$M37*'MWh Impact Summary'!K$13</f>
        <v>0</v>
      </c>
      <c r="T37" s="304">
        <f>$M37*'MWh Impact Summary'!L$13</f>
        <v>0</v>
      </c>
      <c r="U37" s="304">
        <f>$M37*'MWh Impact Summary'!M$13</f>
        <v>0</v>
      </c>
      <c r="V37" s="304">
        <f>$M37*'MWh Impact Summary'!O$13</f>
        <v>0</v>
      </c>
      <c r="W37" s="304">
        <f>$M37*'MWh Impact Summary'!P$13</f>
        <v>0</v>
      </c>
      <c r="X37" s="304">
        <f>$M37*'MWh Impact Summary'!Q$13</f>
        <v>0</v>
      </c>
      <c r="Y37" s="85">
        <f t="shared" si="2"/>
        <v>11384.510449449625</v>
      </c>
      <c r="Z37" s="81">
        <f t="shared" si="11"/>
        <v>157909.21184533488</v>
      </c>
      <c r="AA37" s="81"/>
      <c r="AB37" s="81">
        <f>+'MWh by mo-WgtbyActulCDH&amp;Days'!AB37</f>
        <v>4507674</v>
      </c>
      <c r="AC37" s="308">
        <f t="shared" si="12"/>
        <v>35.03119609921545</v>
      </c>
      <c r="AD37" s="309">
        <f t="shared" si="3"/>
        <v>32.505611851230867</v>
      </c>
      <c r="AE37" s="107">
        <f t="shared" si="4"/>
        <v>2.7822207005333125E-3</v>
      </c>
      <c r="AF37" s="309">
        <f t="shared" si="13"/>
        <v>2.5255842479845758</v>
      </c>
      <c r="AG37" s="107">
        <f t="shared" si="5"/>
        <v>2.1616983577614057E-4</v>
      </c>
      <c r="AH37" s="119">
        <f t="shared" si="14"/>
        <v>2.9983905363094531E-3</v>
      </c>
      <c r="AI37" s="122">
        <f t="shared" si="6"/>
        <v>2.9983905363094535E-3</v>
      </c>
      <c r="AJ37" s="87" t="b">
        <f t="shared" si="15"/>
        <v>1</v>
      </c>
      <c r="AK37" s="88">
        <f t="shared" si="21"/>
        <v>1.4508165065123919E-3</v>
      </c>
      <c r="AL37" s="312">
        <f>+AC37/'MWh by month-WgtbyCDH&amp;DayLtHrs'!AC37-1</f>
        <v>9.6744232817196352E-2</v>
      </c>
      <c r="AM37" s="89">
        <f t="shared" si="8"/>
        <v>0</v>
      </c>
      <c r="AN37" s="90"/>
      <c r="AO37" s="96"/>
      <c r="AP37" s="92"/>
      <c r="AR37" s="94">
        <f t="shared" si="9"/>
        <v>2.9983905363094535E-3</v>
      </c>
      <c r="AS37" s="95">
        <v>152906.03362448115</v>
      </c>
      <c r="AU37" s="141">
        <v>35.03119609921545</v>
      </c>
    </row>
    <row r="38" spans="1:47">
      <c r="A38" s="78">
        <v>2007</v>
      </c>
      <c r="B38" s="78">
        <v>10</v>
      </c>
      <c r="C38" s="317">
        <v>252.26314149058356</v>
      </c>
      <c r="D38" s="318">
        <f t="shared" si="22"/>
        <v>0.1391514548630754</v>
      </c>
      <c r="E38" s="104">
        <f>$D38*'MWh Impact Summary'!B$13</f>
        <v>58967.503246766653</v>
      </c>
      <c r="F38" s="320">
        <f>$D38*'MWh Impact Summary'!N$13</f>
        <v>0</v>
      </c>
      <c r="G38" s="320">
        <f>$D38*'MWh Impact Summary'!C$13</f>
        <v>48152.920852274598</v>
      </c>
      <c r="H38" s="320">
        <f>$D38*'MWh Impact Summary'!D$13</f>
        <v>0</v>
      </c>
      <c r="I38" s="320">
        <f>$D38*'MWh Impact Summary'!E$13</f>
        <v>23622.722560192131</v>
      </c>
      <c r="J38" s="104">
        <f t="shared" si="10"/>
        <v>130743.14665923337</v>
      </c>
      <c r="K38" s="298">
        <f t="shared" si="18"/>
        <v>12.466666666666667</v>
      </c>
      <c r="L38" s="299">
        <f t="shared" si="23"/>
        <v>8.7762524932535488E-2</v>
      </c>
      <c r="M38" s="297">
        <f t="shared" si="24"/>
        <v>8.4931506849315067E-2</v>
      </c>
      <c r="N38" s="304">
        <f>$M38*'MWh Impact Summary'!F$13</f>
        <v>11323.155803004232</v>
      </c>
      <c r="O38" s="304">
        <f>$M38*'MWh Impact Summary'!G$13</f>
        <v>0</v>
      </c>
      <c r="P38" s="304">
        <f>$M38*'MWh Impact Summary'!H$13</f>
        <v>0</v>
      </c>
      <c r="Q38" s="320">
        <f>$D38*'MWh Impact Summary'!I$13</f>
        <v>380.66854808087612</v>
      </c>
      <c r="R38" s="304">
        <f>$M38*'MWh Impact Summary'!J$13</f>
        <v>0</v>
      </c>
      <c r="S38" s="304">
        <f>$M38*'MWh Impact Summary'!K$13</f>
        <v>0</v>
      </c>
      <c r="T38" s="304">
        <f>$M38*'MWh Impact Summary'!L$13</f>
        <v>0</v>
      </c>
      <c r="U38" s="304">
        <f>$M38*'MWh Impact Summary'!M$13</f>
        <v>0</v>
      </c>
      <c r="V38" s="304">
        <f>$M38*'MWh Impact Summary'!O$13</f>
        <v>0</v>
      </c>
      <c r="W38" s="304">
        <f>$M38*'MWh Impact Summary'!P$13</f>
        <v>0</v>
      </c>
      <c r="X38" s="304">
        <f>$M38*'MWh Impact Summary'!Q$13</f>
        <v>0</v>
      </c>
      <c r="Y38" s="85">
        <f t="shared" si="2"/>
        <v>11703.824351085108</v>
      </c>
      <c r="Z38" s="81">
        <f t="shared" si="11"/>
        <v>142446.97101031849</v>
      </c>
      <c r="AA38" s="81"/>
      <c r="AB38" s="81">
        <f>+'MWh by mo-WgtbyActulCDH&amp;Days'!AB38</f>
        <v>4507737</v>
      </c>
      <c r="AC38" s="308">
        <f t="shared" si="12"/>
        <v>31.600550566796262</v>
      </c>
      <c r="AD38" s="309">
        <f t="shared" si="3"/>
        <v>29.004164763657101</v>
      </c>
      <c r="AE38" s="107">
        <f t="shared" si="4"/>
        <v>2.3265372805072538E-3</v>
      </c>
      <c r="AF38" s="309">
        <f t="shared" si="13"/>
        <v>2.5963858031391602</v>
      </c>
      <c r="AG38" s="107">
        <f t="shared" si="5"/>
        <v>2.0826624089351553E-4</v>
      </c>
      <c r="AH38" s="119">
        <f t="shared" si="14"/>
        <v>2.5348035214007693E-3</v>
      </c>
      <c r="AI38" s="122">
        <f t="shared" si="6"/>
        <v>2.5348035214007698E-3</v>
      </c>
      <c r="AJ38" s="87" t="b">
        <f t="shared" si="15"/>
        <v>1</v>
      </c>
      <c r="AK38" s="88">
        <f t="shared" si="21"/>
        <v>1.4703226596883179E-3</v>
      </c>
      <c r="AL38" s="312">
        <f>+AC38/'MWh by month-WgtbyCDH&amp;DayLtHrs'!AC38-1</f>
        <v>0.33164464092052914</v>
      </c>
      <c r="AM38" s="89">
        <f t="shared" si="8"/>
        <v>0</v>
      </c>
      <c r="AN38" s="90"/>
      <c r="AO38" s="96"/>
      <c r="AP38" s="92"/>
      <c r="AR38" s="94">
        <f t="shared" si="9"/>
        <v>2.5348035214007698E-3</v>
      </c>
      <c r="AS38" s="95">
        <v>106144.52831218758</v>
      </c>
      <c r="AU38" s="141">
        <v>31.600550566796262</v>
      </c>
    </row>
    <row r="39" spans="1:47">
      <c r="A39" s="78">
        <v>2007</v>
      </c>
      <c r="B39" s="78">
        <v>11</v>
      </c>
      <c r="C39" s="317">
        <v>74.999636464394925</v>
      </c>
      <c r="D39" s="318">
        <f t="shared" si="22"/>
        <v>4.1370722914793628E-2</v>
      </c>
      <c r="E39" s="104">
        <f>$D39*'MWh Impact Summary'!B$13</f>
        <v>17531.460524071885</v>
      </c>
      <c r="F39" s="320">
        <f>$D39*'MWh Impact Summary'!N$13</f>
        <v>0</v>
      </c>
      <c r="G39" s="320">
        <f>$D39*'MWh Impact Summary'!C$13</f>
        <v>14316.207818866729</v>
      </c>
      <c r="H39" s="320">
        <f>$D39*'MWh Impact Summary'!D$13</f>
        <v>0</v>
      </c>
      <c r="I39" s="320">
        <f>$D39*'MWh Impact Summary'!E$13</f>
        <v>7023.2043961912041</v>
      </c>
      <c r="J39" s="104">
        <f t="shared" si="10"/>
        <v>38870.872739129816</v>
      </c>
      <c r="K39" s="298">
        <f t="shared" si="18"/>
        <v>13.15</v>
      </c>
      <c r="L39" s="299">
        <f t="shared" si="23"/>
        <v>9.2573037662794788E-2</v>
      </c>
      <c r="M39" s="297">
        <f>(30/365)</f>
        <v>8.2191780821917804E-2</v>
      </c>
      <c r="N39" s="304">
        <f>$M39*'MWh Impact Summary'!F$13</f>
        <v>10957.892712584742</v>
      </c>
      <c r="O39" s="304">
        <f>$M39*'MWh Impact Summary'!G$13</f>
        <v>0</v>
      </c>
      <c r="P39" s="304">
        <f>$M39*'MWh Impact Summary'!H$13</f>
        <v>0</v>
      </c>
      <c r="Q39" s="320">
        <f>$D39*'MWh Impact Summary'!I$13</f>
        <v>113.17548235860869</v>
      </c>
      <c r="R39" s="304">
        <f>$M39*'MWh Impact Summary'!J$13</f>
        <v>0</v>
      </c>
      <c r="S39" s="304">
        <f>$M39*'MWh Impact Summary'!K$13</f>
        <v>0</v>
      </c>
      <c r="T39" s="304">
        <f>$M39*'MWh Impact Summary'!L$13</f>
        <v>0</v>
      </c>
      <c r="U39" s="304">
        <f>$M39*'MWh Impact Summary'!M$13</f>
        <v>0</v>
      </c>
      <c r="V39" s="304">
        <f>$M39*'MWh Impact Summary'!O$13</f>
        <v>0</v>
      </c>
      <c r="W39" s="304">
        <f>$M39*'MWh Impact Summary'!P$13</f>
        <v>0</v>
      </c>
      <c r="X39" s="304">
        <f>$M39*'MWh Impact Summary'!Q$13</f>
        <v>0</v>
      </c>
      <c r="Y39" s="85">
        <f t="shared" si="2"/>
        <v>11071.068194943351</v>
      </c>
      <c r="Z39" s="81">
        <f t="shared" si="11"/>
        <v>49941.940934073165</v>
      </c>
      <c r="AA39" s="81"/>
      <c r="AB39" s="81">
        <f>+'MWh by mo-WgtbyActulCDH&amp;Days'!AB39</f>
        <v>4507950</v>
      </c>
      <c r="AC39" s="308">
        <f t="shared" si="12"/>
        <v>11.078636838046821</v>
      </c>
      <c r="AD39" s="309">
        <f t="shared" si="3"/>
        <v>8.622738215625688</v>
      </c>
      <c r="AE39" s="107">
        <f t="shared" si="4"/>
        <v>6.5572153730993825E-4</v>
      </c>
      <c r="AF39" s="309">
        <f t="shared" si="13"/>
        <v>2.4558986224211341</v>
      </c>
      <c r="AG39" s="107">
        <f t="shared" si="5"/>
        <v>1.8676035151491514E-4</v>
      </c>
      <c r="AH39" s="119">
        <f t="shared" si="14"/>
        <v>8.4248188882485341E-4</v>
      </c>
      <c r="AI39" s="122">
        <f t="shared" si="6"/>
        <v>8.424818888248533E-4</v>
      </c>
      <c r="AJ39" s="87" t="b">
        <f t="shared" si="15"/>
        <v>1</v>
      </c>
      <c r="AK39" s="88">
        <f t="shared" si="21"/>
        <v>4.9975134363666133E-4</v>
      </c>
      <c r="AL39" s="312">
        <f>+AC39/'MWh by month-WgtbyCDH&amp;DayLtHrs'!AC39-1</f>
        <v>8.570168927017896E-4</v>
      </c>
      <c r="AM39" s="89">
        <f t="shared" si="8"/>
        <v>0</v>
      </c>
      <c r="AN39" s="90"/>
      <c r="AO39" s="96"/>
      <c r="AP39" s="92"/>
      <c r="AR39" s="94">
        <f t="shared" si="9"/>
        <v>8.424818888248533E-4</v>
      </c>
      <c r="AS39" s="95">
        <v>55297.667493486748</v>
      </c>
      <c r="AU39" s="141">
        <v>11.078636838046821</v>
      </c>
    </row>
    <row r="40" spans="1:47">
      <c r="A40" s="78">
        <v>2007</v>
      </c>
      <c r="B40" s="78">
        <v>12</v>
      </c>
      <c r="C40" s="317">
        <v>0</v>
      </c>
      <c r="D40" s="318">
        <f t="shared" si="22"/>
        <v>0</v>
      </c>
      <c r="E40" s="104">
        <f>$D40*'MWh Impact Summary'!B$13</f>
        <v>0</v>
      </c>
      <c r="F40" s="320">
        <f>$D40*'MWh Impact Summary'!N$13</f>
        <v>0</v>
      </c>
      <c r="G40" s="320">
        <f>$D40*'MWh Impact Summary'!C$13</f>
        <v>0</v>
      </c>
      <c r="H40" s="320">
        <f>$D40*'MWh Impact Summary'!D$13</f>
        <v>0</v>
      </c>
      <c r="I40" s="320">
        <f>$D40*'MWh Impact Summary'!E$13</f>
        <v>0</v>
      </c>
      <c r="J40" s="104">
        <f t="shared" si="10"/>
        <v>0</v>
      </c>
      <c r="K40" s="298">
        <f t="shared" si="18"/>
        <v>13.483333333333333</v>
      </c>
      <c r="L40" s="299">
        <f t="shared" si="23"/>
        <v>9.491962923853102E-2</v>
      </c>
      <c r="M40" s="297">
        <f t="shared" si="24"/>
        <v>8.4931506849315067E-2</v>
      </c>
      <c r="N40" s="304">
        <f>$M40*'MWh Impact Summary'!F$13</f>
        <v>11323.155803004232</v>
      </c>
      <c r="O40" s="304">
        <f>$M40*'MWh Impact Summary'!G$13</f>
        <v>0</v>
      </c>
      <c r="P40" s="304">
        <f>$M40*'MWh Impact Summary'!H$13</f>
        <v>0</v>
      </c>
      <c r="Q40" s="320">
        <f>$D40*'MWh Impact Summary'!I$13</f>
        <v>0</v>
      </c>
      <c r="R40" s="304">
        <f>$M40*'MWh Impact Summary'!J$13</f>
        <v>0</v>
      </c>
      <c r="S40" s="304">
        <f>$M40*'MWh Impact Summary'!K$13</f>
        <v>0</v>
      </c>
      <c r="T40" s="304">
        <f>$M40*'MWh Impact Summary'!L$13</f>
        <v>0</v>
      </c>
      <c r="U40" s="304">
        <f>$M40*'MWh Impact Summary'!M$13</f>
        <v>0</v>
      </c>
      <c r="V40" s="304">
        <f>$M40*'MWh Impact Summary'!O$13</f>
        <v>0</v>
      </c>
      <c r="W40" s="304">
        <f>$M40*'MWh Impact Summary'!P$13</f>
        <v>0</v>
      </c>
      <c r="X40" s="304">
        <f>$M40*'MWh Impact Summary'!Q$13</f>
        <v>0</v>
      </c>
      <c r="Y40" s="85">
        <f t="shared" si="2"/>
        <v>11323.155803004232</v>
      </c>
      <c r="Z40" s="81">
        <f t="shared" si="11"/>
        <v>11323.155803004232</v>
      </c>
      <c r="AA40" s="81">
        <f>SUM(Z29:Z40)</f>
        <v>1075631.083879567</v>
      </c>
      <c r="AB40" s="81">
        <f>+'MWh by mo-WgtbyActulCDH&amp;Days'!AB40</f>
        <v>4509032</v>
      </c>
      <c r="AC40" s="308">
        <f t="shared" si="12"/>
        <v>2.5112165544631826</v>
      </c>
      <c r="AD40" s="309">
        <f t="shared" si="3"/>
        <v>0</v>
      </c>
      <c r="AE40" s="107">
        <f t="shared" si="4"/>
        <v>0</v>
      </c>
      <c r="AF40" s="309">
        <f t="shared" si="13"/>
        <v>2.5112165544631826</v>
      </c>
      <c r="AG40" s="107">
        <f t="shared" si="5"/>
        <v>1.86245974373042E-4</v>
      </c>
      <c r="AH40" s="119">
        <f t="shared" si="14"/>
        <v>1.86245974373042E-4</v>
      </c>
      <c r="AI40" s="122">
        <f t="shared" si="6"/>
        <v>1.86245974373042E-4</v>
      </c>
      <c r="AJ40" s="87" t="b">
        <f t="shared" si="15"/>
        <v>1</v>
      </c>
      <c r="AK40" s="88">
        <f t="shared" si="21"/>
        <v>1.86245974373042E-4</v>
      </c>
      <c r="AL40" s="312">
        <f>+AC40/'MWh by month-WgtbyCDH&amp;DayLtHrs'!AC40-1</f>
        <v>-0.65951361618144821</v>
      </c>
      <c r="AM40" s="89">
        <f t="shared" si="8"/>
        <v>0</v>
      </c>
      <c r="AN40" s="90">
        <f>SUM(AM29:AM40)</f>
        <v>0</v>
      </c>
      <c r="AO40" s="96"/>
      <c r="AP40" s="92"/>
      <c r="AR40" s="94">
        <f t="shared" si="9"/>
        <v>1.86245974373042E-4</v>
      </c>
      <c r="AS40" s="95">
        <v>30566.715612419801</v>
      </c>
      <c r="AU40" s="141">
        <v>2.5112165544631826</v>
      </c>
    </row>
    <row r="41" spans="1:47">
      <c r="A41" s="78">
        <v>2008</v>
      </c>
      <c r="B41" s="78">
        <v>1</v>
      </c>
      <c r="C41" s="317">
        <v>0</v>
      </c>
      <c r="D41" s="318">
        <f t="shared" ref="D41:D52" si="25">C41/(SUM(C$41:C$52))</f>
        <v>0</v>
      </c>
      <c r="E41" s="104">
        <f>$D41*'MWh Impact Summary'!B$14</f>
        <v>0</v>
      </c>
      <c r="F41" s="320">
        <f>$D41*'MWh Impact Summary'!N$14</f>
        <v>0</v>
      </c>
      <c r="G41" s="320">
        <f>$D41*'MWh Impact Summary'!C$14</f>
        <v>0</v>
      </c>
      <c r="H41" s="320">
        <f>$D41*'MWh Impact Summary'!D$14</f>
        <v>0</v>
      </c>
      <c r="I41" s="320">
        <f>$D41*'MWh Impact Summary'!E$14</f>
        <v>0</v>
      </c>
      <c r="J41" s="104">
        <f t="shared" si="10"/>
        <v>0</v>
      </c>
      <c r="K41" s="298">
        <f t="shared" si="18"/>
        <v>13.3</v>
      </c>
      <c r="L41" s="299">
        <f t="shared" ref="L41:L52" si="26">K41/(SUM(K$41:K$52))</f>
        <v>9.3629003871876101E-2</v>
      </c>
      <c r="M41" s="297">
        <f>(31/366)</f>
        <v>8.4699453551912565E-2</v>
      </c>
      <c r="N41" s="304">
        <f>$M41*'MWh Impact Summary'!F$14</f>
        <v>19160.258394397697</v>
      </c>
      <c r="O41" s="304">
        <f>$M41*'MWh Impact Summary'!G$14</f>
        <v>0</v>
      </c>
      <c r="P41" s="304">
        <f>$M41*'MWh Impact Summary'!H$14</f>
        <v>0</v>
      </c>
      <c r="Q41" s="320">
        <f>$D41*'MWh Impact Summary'!I$14</f>
        <v>0</v>
      </c>
      <c r="R41" s="304">
        <f>$M41*'MWh Impact Summary'!J$14</f>
        <v>0</v>
      </c>
      <c r="S41" s="304">
        <f>$M41*'MWh Impact Summary'!K$14</f>
        <v>0</v>
      </c>
      <c r="T41" s="304">
        <f>$M41*'MWh Impact Summary'!L$14</f>
        <v>0</v>
      </c>
      <c r="U41" s="304">
        <f>$M41*'MWh Impact Summary'!M$14</f>
        <v>0</v>
      </c>
      <c r="V41" s="304">
        <f>$M41*'LED Impact Forecast'!$H$15+$D41*'LED Impact Forecast'!$J$15</f>
        <v>0</v>
      </c>
      <c r="W41" s="304">
        <f>$M41*'CFL Impact Forecast'!$H$15+$D41*'CFL Impact Forecast'!$J$15</f>
        <v>110662.89374164811</v>
      </c>
      <c r="X41" s="304">
        <f>$M41*'EISA Incand Impact Forecast'!$G$15+$D41*'EISA Incand Impact Forecast'!$I$15</f>
        <v>0</v>
      </c>
      <c r="Y41" s="85">
        <f t="shared" si="2"/>
        <v>129823.1521360458</v>
      </c>
      <c r="Z41" s="81">
        <f t="shared" si="11"/>
        <v>129823.1521360458</v>
      </c>
      <c r="AA41" s="81"/>
      <c r="AB41" s="81">
        <f>+'MWh by mo-WgtbyActulCDH&amp;Days'!AB41</f>
        <v>4512537</v>
      </c>
      <c r="AC41" s="308">
        <f t="shared" si="12"/>
        <v>28.769437710105379</v>
      </c>
      <c r="AD41" s="309">
        <f t="shared" si="3"/>
        <v>0</v>
      </c>
      <c r="AE41" s="107">
        <f t="shared" si="4"/>
        <v>0</v>
      </c>
      <c r="AF41" s="309">
        <f t="shared" si="13"/>
        <v>28.769437710105379</v>
      </c>
      <c r="AG41" s="107">
        <f t="shared" si="5"/>
        <v>2.1631156173011561E-3</v>
      </c>
      <c r="AH41" s="119">
        <f t="shared" si="14"/>
        <v>2.1631156173011561E-3</v>
      </c>
      <c r="AI41" s="122">
        <f t="shared" si="6"/>
        <v>2.1631156173011561E-3</v>
      </c>
      <c r="AJ41" s="87" t="b">
        <f t="shared" si="15"/>
        <v>1</v>
      </c>
      <c r="AK41" s="88">
        <f t="shared" si="21"/>
        <v>1.9724715979174932E-3</v>
      </c>
      <c r="AL41" s="312">
        <f>+AC41/'MWh by month-WgtbyCDH&amp;DayLtHrs'!AC41-1</f>
        <v>-0.28265824017508512</v>
      </c>
      <c r="AM41" s="89">
        <f t="shared" si="8"/>
        <v>110662.89374164811</v>
      </c>
      <c r="AN41" s="93"/>
      <c r="AO41" s="96">
        <f>+AM41*1000/AB41</f>
        <v>24.523431883583029</v>
      </c>
      <c r="AP41" s="92">
        <f t="shared" ref="AP41:AP104" si="27">+AO41/K41/1000</f>
        <v>1.8438670589160171E-3</v>
      </c>
      <c r="AQ41" s="98"/>
      <c r="AR41" s="94">
        <f t="shared" si="9"/>
        <v>2.1631156173011561E-3</v>
      </c>
      <c r="AS41" s="95">
        <v>166053.03297524751</v>
      </c>
      <c r="AU41" s="141">
        <v>28.769437710105379</v>
      </c>
    </row>
    <row r="42" spans="1:47">
      <c r="A42" s="78">
        <v>2008</v>
      </c>
      <c r="B42" s="78">
        <v>2</v>
      </c>
      <c r="C42" s="317">
        <v>0</v>
      </c>
      <c r="D42" s="318">
        <f t="shared" si="25"/>
        <v>0</v>
      </c>
      <c r="E42" s="104">
        <f>$D42*'MWh Impact Summary'!B$14</f>
        <v>0</v>
      </c>
      <c r="F42" s="320">
        <f>$D42*'MWh Impact Summary'!N$14</f>
        <v>0</v>
      </c>
      <c r="G42" s="320">
        <f>$D42*'MWh Impact Summary'!C$14</f>
        <v>0</v>
      </c>
      <c r="H42" s="320">
        <f>$D42*'MWh Impact Summary'!D$14</f>
        <v>0</v>
      </c>
      <c r="I42" s="320">
        <f>$D42*'MWh Impact Summary'!E$14</f>
        <v>0</v>
      </c>
      <c r="J42" s="104">
        <f t="shared" si="10"/>
        <v>0</v>
      </c>
      <c r="K42" s="298">
        <f t="shared" si="18"/>
        <v>12.733333333333333</v>
      </c>
      <c r="L42" s="299">
        <f t="shared" si="26"/>
        <v>8.9639798193124468E-2</v>
      </c>
      <c r="M42" s="297">
        <f>(29/366)</f>
        <v>7.9234972677595633E-2</v>
      </c>
      <c r="N42" s="304">
        <f>$M42*'MWh Impact Summary'!F$14</f>
        <v>17924.11269153333</v>
      </c>
      <c r="O42" s="304">
        <f>$M42*'MWh Impact Summary'!G$14</f>
        <v>0</v>
      </c>
      <c r="P42" s="304">
        <f>$M42*'MWh Impact Summary'!H$14</f>
        <v>0</v>
      </c>
      <c r="Q42" s="320">
        <f>$D42*'MWh Impact Summary'!I$14</f>
        <v>0</v>
      </c>
      <c r="R42" s="304">
        <f>$M42*'MWh Impact Summary'!J$14</f>
        <v>0</v>
      </c>
      <c r="S42" s="304">
        <f>$M42*'MWh Impact Summary'!K$14</f>
        <v>0</v>
      </c>
      <c r="T42" s="304">
        <f>$M42*'MWh Impact Summary'!L$14</f>
        <v>0</v>
      </c>
      <c r="U42" s="304">
        <f>$M42*'MWh Impact Summary'!M$14</f>
        <v>0</v>
      </c>
      <c r="V42" s="304">
        <f>$M42*'LED Impact Forecast'!$H$15+$D42*'LED Impact Forecast'!$J$15</f>
        <v>0</v>
      </c>
      <c r="W42" s="304">
        <f>$M42*'CFL Impact Forecast'!$H$15+$D42*'CFL Impact Forecast'!$J$15</f>
        <v>103523.35220992888</v>
      </c>
      <c r="X42" s="304">
        <f>$M42*'EISA Incand Impact Forecast'!$G$15+$D42*'EISA Incand Impact Forecast'!$I$15</f>
        <v>0</v>
      </c>
      <c r="Y42" s="85">
        <f t="shared" si="2"/>
        <v>121447.46490146221</v>
      </c>
      <c r="Z42" s="81">
        <f t="shared" si="11"/>
        <v>121447.46490146221</v>
      </c>
      <c r="AA42" s="81"/>
      <c r="AB42" s="81">
        <f>+'MWh by mo-WgtbyActulCDH&amp;Days'!AB42</f>
        <v>4519123</v>
      </c>
      <c r="AC42" s="308">
        <f t="shared" si="12"/>
        <v>26.874122457269301</v>
      </c>
      <c r="AD42" s="309">
        <f t="shared" si="3"/>
        <v>0</v>
      </c>
      <c r="AE42" s="107">
        <f t="shared" si="4"/>
        <v>0</v>
      </c>
      <c r="AF42" s="309">
        <f t="shared" si="13"/>
        <v>26.874122457269301</v>
      </c>
      <c r="AG42" s="107">
        <f t="shared" si="5"/>
        <v>2.1105331772724584E-3</v>
      </c>
      <c r="AH42" s="119">
        <f t="shared" si="14"/>
        <v>2.1105331772724584E-3</v>
      </c>
      <c r="AI42" s="122">
        <f t="shared" si="6"/>
        <v>2.1105331772724584E-3</v>
      </c>
      <c r="AJ42" s="87" t="b">
        <f t="shared" si="15"/>
        <v>1</v>
      </c>
      <c r="AK42" s="88">
        <f t="shared" si="21"/>
        <v>1.9311215338943461E-3</v>
      </c>
      <c r="AL42" s="312">
        <f>+AC42/'MWh by month-WgtbyCDH&amp;DayLtHrs'!AC42-1</f>
        <v>-0.32419564424089187</v>
      </c>
      <c r="AM42" s="89">
        <f t="shared" si="8"/>
        <v>103523.35220992888</v>
      </c>
      <c r="AN42" s="93"/>
      <c r="AO42" s="96">
        <f>+AM42*1000/AB42</f>
        <v>22.907841235993995</v>
      </c>
      <c r="AP42" s="92">
        <f t="shared" si="27"/>
        <v>1.7990451232456019E-3</v>
      </c>
      <c r="AQ42" s="98"/>
      <c r="AR42" s="94">
        <f t="shared" si="9"/>
        <v>2.1105331772724584E-3</v>
      </c>
      <c r="AS42" s="95">
        <v>159234.2562554724</v>
      </c>
      <c r="AU42" s="141">
        <v>26.874122457269301</v>
      </c>
    </row>
    <row r="43" spans="1:47">
      <c r="A43" s="78">
        <v>2008</v>
      </c>
      <c r="B43" s="78">
        <v>3</v>
      </c>
      <c r="C43" s="317">
        <v>0</v>
      </c>
      <c r="D43" s="318">
        <f t="shared" si="25"/>
        <v>0</v>
      </c>
      <c r="E43" s="104">
        <f>$D43*'MWh Impact Summary'!B$14</f>
        <v>0</v>
      </c>
      <c r="F43" s="320">
        <f>$D43*'MWh Impact Summary'!N$14</f>
        <v>0</v>
      </c>
      <c r="G43" s="320">
        <f>$D43*'MWh Impact Summary'!C$14</f>
        <v>0</v>
      </c>
      <c r="H43" s="320">
        <f>$D43*'MWh Impact Summary'!D$14</f>
        <v>0</v>
      </c>
      <c r="I43" s="320">
        <f>$D43*'MWh Impact Summary'!E$14</f>
        <v>0</v>
      </c>
      <c r="J43" s="104">
        <f t="shared" si="10"/>
        <v>0</v>
      </c>
      <c r="K43" s="298">
        <f t="shared" si="18"/>
        <v>12</v>
      </c>
      <c r="L43" s="299">
        <f t="shared" si="26"/>
        <v>8.4477296726504739E-2</v>
      </c>
      <c r="M43" s="297">
        <f>(31/366)</f>
        <v>8.4699453551912565E-2</v>
      </c>
      <c r="N43" s="304">
        <f>$M43*'MWh Impact Summary'!F$14</f>
        <v>19160.258394397697</v>
      </c>
      <c r="O43" s="304">
        <f>$M43*'MWh Impact Summary'!G$14</f>
        <v>0</v>
      </c>
      <c r="P43" s="304">
        <f>$M43*'MWh Impact Summary'!H$14</f>
        <v>0</v>
      </c>
      <c r="Q43" s="320">
        <f>$D43*'MWh Impact Summary'!I$14</f>
        <v>0</v>
      </c>
      <c r="R43" s="304">
        <f>$M43*'MWh Impact Summary'!J$14</f>
        <v>0</v>
      </c>
      <c r="S43" s="304">
        <f>$M43*'MWh Impact Summary'!K$14</f>
        <v>0</v>
      </c>
      <c r="T43" s="304">
        <f>$M43*'MWh Impact Summary'!L$14</f>
        <v>0</v>
      </c>
      <c r="U43" s="304">
        <f>$M43*'MWh Impact Summary'!M$14</f>
        <v>0</v>
      </c>
      <c r="V43" s="304">
        <f>$M43*'LED Impact Forecast'!$H$15+$D43*'LED Impact Forecast'!$J$15</f>
        <v>0</v>
      </c>
      <c r="W43" s="304">
        <f>$M43*'CFL Impact Forecast'!$H$15+$D43*'CFL Impact Forecast'!$J$15</f>
        <v>110662.89374164811</v>
      </c>
      <c r="X43" s="304">
        <f>$M43*'EISA Incand Impact Forecast'!$G$15+$D43*'EISA Incand Impact Forecast'!$I$15</f>
        <v>0</v>
      </c>
      <c r="Y43" s="85">
        <f t="shared" si="2"/>
        <v>129823.1521360458</v>
      </c>
      <c r="Z43" s="81">
        <f t="shared" si="11"/>
        <v>129823.1521360458</v>
      </c>
      <c r="AA43" s="81"/>
      <c r="AB43" s="81">
        <f>+'MWh by mo-WgtbyActulCDH&amp;Days'!AB43</f>
        <v>4519652</v>
      </c>
      <c r="AC43" s="308">
        <f t="shared" si="12"/>
        <v>28.724147818470492</v>
      </c>
      <c r="AD43" s="309">
        <f t="shared" si="3"/>
        <v>0</v>
      </c>
      <c r="AE43" s="107">
        <f t="shared" si="4"/>
        <v>0</v>
      </c>
      <c r="AF43" s="309">
        <f t="shared" si="13"/>
        <v>28.724147818470492</v>
      </c>
      <c r="AG43" s="107">
        <f t="shared" si="5"/>
        <v>2.3936789848725409E-3</v>
      </c>
      <c r="AH43" s="119">
        <f t="shared" si="14"/>
        <v>2.3936789848725409E-3</v>
      </c>
      <c r="AI43" s="122">
        <f t="shared" si="6"/>
        <v>2.3936789848725409E-3</v>
      </c>
      <c r="AJ43" s="87" t="b">
        <f t="shared" si="15"/>
        <v>1</v>
      </c>
      <c r="AK43" s="88">
        <f t="shared" si="21"/>
        <v>2.1834486135241782E-3</v>
      </c>
      <c r="AL43" s="312">
        <f>+AC43/'MWh by month-WgtbyCDH&amp;DayLtHrs'!AC43-1</f>
        <v>-0.31518225981131243</v>
      </c>
      <c r="AM43" s="89">
        <f t="shared" si="8"/>
        <v>110662.89374164811</v>
      </c>
      <c r="AN43" s="93"/>
      <c r="AO43" s="96">
        <f t="shared" ref="AO43:AO106" si="28">+AM43*1000/AB43</f>
        <v>24.484826208223136</v>
      </c>
      <c r="AP43" s="92">
        <f t="shared" si="27"/>
        <v>2.0404021840185948E-3</v>
      </c>
      <c r="AQ43" s="98"/>
      <c r="AR43" s="94">
        <f t="shared" si="9"/>
        <v>2.3936789848725409E-3</v>
      </c>
      <c r="AS43" s="95">
        <v>187542.91902984036</v>
      </c>
      <c r="AU43" s="141">
        <v>28.724147818470492</v>
      </c>
    </row>
    <row r="44" spans="1:47">
      <c r="A44" s="78">
        <v>2008</v>
      </c>
      <c r="B44" s="78">
        <v>4</v>
      </c>
      <c r="C44" s="317">
        <v>109.06085505519766</v>
      </c>
      <c r="D44" s="318">
        <f t="shared" si="25"/>
        <v>6.1997365706678777E-2</v>
      </c>
      <c r="E44" s="104">
        <f>$D44*'MWh Impact Summary'!B$14</f>
        <v>35770.03774614523</v>
      </c>
      <c r="F44" s="320">
        <f>$D44*'MWh Impact Summary'!N$14</f>
        <v>0</v>
      </c>
      <c r="G44" s="320">
        <f>$D44*'MWh Impact Summary'!C$14</f>
        <v>28636.352649039422</v>
      </c>
      <c r="H44" s="320">
        <f>$D44*'MWh Impact Summary'!D$14</f>
        <v>0</v>
      </c>
      <c r="I44" s="320">
        <f>$D44*'MWh Impact Summary'!E$14</f>
        <v>13601.526587548535</v>
      </c>
      <c r="J44" s="104">
        <f t="shared" si="10"/>
        <v>78007.916982733179</v>
      </c>
      <c r="K44" s="298">
        <f t="shared" si="18"/>
        <v>11.2</v>
      </c>
      <c r="L44" s="299">
        <f t="shared" si="26"/>
        <v>7.8845476944737758E-2</v>
      </c>
      <c r="M44" s="297">
        <f>(30/366)</f>
        <v>8.1967213114754092E-2</v>
      </c>
      <c r="N44" s="304">
        <f>$M44*'MWh Impact Summary'!F$14</f>
        <v>18542.185542965512</v>
      </c>
      <c r="O44" s="304">
        <f>$M44*'MWh Impact Summary'!G$14</f>
        <v>0</v>
      </c>
      <c r="P44" s="304">
        <f>$M44*'MWh Impact Summary'!H$14</f>
        <v>0</v>
      </c>
      <c r="Q44" s="320">
        <f>$D44*'MWh Impact Summary'!I$14</f>
        <v>254.40388544578943</v>
      </c>
      <c r="R44" s="304">
        <f>$M44*'MWh Impact Summary'!J$14</f>
        <v>0</v>
      </c>
      <c r="S44" s="304">
        <f>$M44*'MWh Impact Summary'!K$14</f>
        <v>0</v>
      </c>
      <c r="T44" s="304">
        <f>$M44*'MWh Impact Summary'!L$14</f>
        <v>0</v>
      </c>
      <c r="U44" s="304">
        <f>$M44*'MWh Impact Summary'!M$14</f>
        <v>0</v>
      </c>
      <c r="V44" s="304">
        <f>$M44*'LED Impact Forecast'!$H$15+$D44*'LED Impact Forecast'!$J$15</f>
        <v>0</v>
      </c>
      <c r="W44" s="304">
        <f>$M44*'CFL Impact Forecast'!$H$15+$D44*'CFL Impact Forecast'!$J$15</f>
        <v>120611.56392399651</v>
      </c>
      <c r="X44" s="304">
        <f>$M44*'EISA Incand Impact Forecast'!$G$15+$D44*'EISA Incand Impact Forecast'!$I$15</f>
        <v>0</v>
      </c>
      <c r="Y44" s="85">
        <f t="shared" si="2"/>
        <v>139408.1533524078</v>
      </c>
      <c r="Z44" s="81">
        <f t="shared" si="11"/>
        <v>217416.07033514098</v>
      </c>
      <c r="AA44" s="81"/>
      <c r="AB44" s="81">
        <f>+'MWh by mo-WgtbyActulCDH&amp;Days'!AB44</f>
        <v>4518324</v>
      </c>
      <c r="AC44" s="308">
        <f t="shared" si="12"/>
        <v>48.118742776113656</v>
      </c>
      <c r="AD44" s="309">
        <f t="shared" si="3"/>
        <v>17.264790436173495</v>
      </c>
      <c r="AE44" s="107">
        <f t="shared" si="4"/>
        <v>1.5414991460869195E-3</v>
      </c>
      <c r="AF44" s="309">
        <f t="shared" si="13"/>
        <v>30.853952339940161</v>
      </c>
      <c r="AG44" s="107">
        <f t="shared" si="5"/>
        <v>2.7548171732089434E-3</v>
      </c>
      <c r="AH44" s="119">
        <f t="shared" si="14"/>
        <v>4.2963163192958629E-3</v>
      </c>
      <c r="AI44" s="122">
        <f t="shared" si="6"/>
        <v>4.2963163192958629E-3</v>
      </c>
      <c r="AJ44" s="87" t="b">
        <f t="shared" si="15"/>
        <v>1</v>
      </c>
      <c r="AK44" s="88">
        <f t="shared" si="21"/>
        <v>3.025451296169537E-3</v>
      </c>
      <c r="AL44" s="312">
        <f>+AC44/'MWh by month-WgtbyCDH&amp;DayLtHrs'!AC44-1</f>
        <v>2.8657682439996002E-2</v>
      </c>
      <c r="AM44" s="89">
        <f t="shared" si="8"/>
        <v>120611.56392399651</v>
      </c>
      <c r="AN44" s="93"/>
      <c r="AO44" s="96">
        <f t="shared" si="28"/>
        <v>26.693872312830269</v>
      </c>
      <c r="AP44" s="92">
        <f t="shared" si="27"/>
        <v>2.3833814565027028E-3</v>
      </c>
      <c r="AQ44" s="98"/>
      <c r="AR44" s="94">
        <f t="shared" si="9"/>
        <v>4.2963163192958629E-3</v>
      </c>
      <c r="AS44" s="95">
        <v>221381.67633899365</v>
      </c>
      <c r="AU44" s="141">
        <v>48.118742776113656</v>
      </c>
    </row>
    <row r="45" spans="1:47">
      <c r="A45" s="78">
        <v>2008</v>
      </c>
      <c r="B45" s="78">
        <v>5</v>
      </c>
      <c r="C45" s="317">
        <v>237.1304063366201</v>
      </c>
      <c r="D45" s="318">
        <f t="shared" si="25"/>
        <v>0.13480052503149825</v>
      </c>
      <c r="E45" s="104">
        <f>$D45*'MWh Impact Summary'!B$14</f>
        <v>77774.592736566032</v>
      </c>
      <c r="F45" s="320">
        <f>$D45*'MWh Impact Summary'!N$14</f>
        <v>0</v>
      </c>
      <c r="G45" s="320">
        <f>$D45*'MWh Impact Summary'!C$14</f>
        <v>62263.861183085777</v>
      </c>
      <c r="H45" s="320">
        <f>$D45*'MWh Impact Summary'!D$14</f>
        <v>0</v>
      </c>
      <c r="I45" s="320">
        <f>$D45*'MWh Impact Summary'!E$14</f>
        <v>29573.723082139099</v>
      </c>
      <c r="J45" s="104">
        <f t="shared" si="10"/>
        <v>169612.1770017909</v>
      </c>
      <c r="K45" s="298">
        <f t="shared" si="18"/>
        <v>10.533333333333333</v>
      </c>
      <c r="L45" s="299">
        <f t="shared" si="26"/>
        <v>7.4152293793265281E-2</v>
      </c>
      <c r="M45" s="297">
        <f>(31/366)</f>
        <v>8.4699453551912565E-2</v>
      </c>
      <c r="N45" s="304">
        <f>$M45*'MWh Impact Summary'!F$14</f>
        <v>19160.258394397697</v>
      </c>
      <c r="O45" s="304">
        <f>$M45*'MWh Impact Summary'!G$14</f>
        <v>0</v>
      </c>
      <c r="P45" s="304">
        <f>$M45*'MWh Impact Summary'!H$14</f>
        <v>0</v>
      </c>
      <c r="Q45" s="320">
        <f>$D45*'MWh Impact Summary'!I$14</f>
        <v>553.14894330181505</v>
      </c>
      <c r="R45" s="304">
        <f>$M45*'MWh Impact Summary'!J$14</f>
        <v>0</v>
      </c>
      <c r="S45" s="304">
        <f>$M45*'MWh Impact Summary'!K$14</f>
        <v>0</v>
      </c>
      <c r="T45" s="304">
        <f>$M45*'MWh Impact Summary'!L$14</f>
        <v>0</v>
      </c>
      <c r="U45" s="304">
        <f>$M45*'MWh Impact Summary'!M$14</f>
        <v>0</v>
      </c>
      <c r="V45" s="304">
        <f>$M45*'LED Impact Forecast'!$H$15+$D45*'LED Impact Forecast'!$J$15</f>
        <v>0</v>
      </c>
      <c r="W45" s="304">
        <f>$M45*'CFL Impact Forecast'!$H$15+$D45*'CFL Impact Forecast'!$J$15</f>
        <v>140055.96418350138</v>
      </c>
      <c r="X45" s="304">
        <f>$M45*'EISA Incand Impact Forecast'!$G$15+$D45*'EISA Incand Impact Forecast'!$I$15</f>
        <v>0</v>
      </c>
      <c r="Y45" s="85">
        <f t="shared" si="2"/>
        <v>159769.3715212009</v>
      </c>
      <c r="Z45" s="81">
        <f t="shared" si="11"/>
        <v>329381.54852299183</v>
      </c>
      <c r="AA45" s="81"/>
      <c r="AB45" s="81">
        <f>+'MWh by mo-WgtbyActulCDH&amp;Days'!AB45</f>
        <v>4514164</v>
      </c>
      <c r="AC45" s="308">
        <f t="shared" si="12"/>
        <v>72.966234395336954</v>
      </c>
      <c r="AD45" s="309">
        <f t="shared" si="3"/>
        <v>37.573330743364863</v>
      </c>
      <c r="AE45" s="107">
        <f t="shared" si="4"/>
        <v>3.5670883617118544E-3</v>
      </c>
      <c r="AF45" s="309">
        <f t="shared" si="13"/>
        <v>35.392903651972084</v>
      </c>
      <c r="AG45" s="107">
        <f t="shared" si="5"/>
        <v>3.3600857897441855E-3</v>
      </c>
      <c r="AH45" s="119">
        <f t="shared" si="14"/>
        <v>6.9271741514560399E-3</v>
      </c>
      <c r="AI45" s="122">
        <f t="shared" si="6"/>
        <v>6.9271741514560399E-3</v>
      </c>
      <c r="AJ45" s="87" t="b">
        <f t="shared" si="15"/>
        <v>1</v>
      </c>
      <c r="AK45" s="88">
        <f t="shared" si="21"/>
        <v>4.8521832184120883E-3</v>
      </c>
      <c r="AL45" s="312">
        <f>+AC45/'MWh by month-WgtbyCDH&amp;DayLtHrs'!AC45-1</f>
        <v>0.24964139159129117</v>
      </c>
      <c r="AM45" s="89">
        <f t="shared" si="8"/>
        <v>140055.96418350138</v>
      </c>
      <c r="AN45" s="93"/>
      <c r="AO45" s="96">
        <f t="shared" si="28"/>
        <v>31.025891877987011</v>
      </c>
      <c r="AP45" s="92">
        <f t="shared" si="27"/>
        <v>2.9454960643658557E-3</v>
      </c>
      <c r="AQ45" s="98"/>
      <c r="AR45" s="94">
        <f t="shared" si="9"/>
        <v>6.9271741514560399E-3</v>
      </c>
      <c r="AS45" s="95">
        <v>267616.95239971823</v>
      </c>
      <c r="AU45" s="141">
        <v>72.966234395336954</v>
      </c>
    </row>
    <row r="46" spans="1:47">
      <c r="A46" s="78">
        <v>2008</v>
      </c>
      <c r="B46" s="78">
        <v>6</v>
      </c>
      <c r="C46" s="317">
        <v>279.15273616670316</v>
      </c>
      <c r="D46" s="318">
        <f t="shared" si="25"/>
        <v>0.15868878217934254</v>
      </c>
      <c r="E46" s="104">
        <f>$D46*'MWh Impact Summary'!B$14</f>
        <v>91557.176079070268</v>
      </c>
      <c r="F46" s="320">
        <f>$D46*'MWh Impact Summary'!N$14</f>
        <v>0</v>
      </c>
      <c r="G46" s="320">
        <f>$D46*'MWh Impact Summary'!C$14</f>
        <v>73297.758318217006</v>
      </c>
      <c r="H46" s="320">
        <f>$D46*'MWh Impact Summary'!D$14</f>
        <v>0</v>
      </c>
      <c r="I46" s="320">
        <f>$D46*'MWh Impact Summary'!E$14</f>
        <v>34814.53873653066</v>
      </c>
      <c r="J46" s="104">
        <f t="shared" si="10"/>
        <v>199669.47313381793</v>
      </c>
      <c r="K46" s="298">
        <f t="shared" si="18"/>
        <v>10.199999999999999</v>
      </c>
      <c r="L46" s="299">
        <f t="shared" si="26"/>
        <v>7.1805702217529022E-2</v>
      </c>
      <c r="M46" s="297">
        <f>(30/366)</f>
        <v>8.1967213114754092E-2</v>
      </c>
      <c r="N46" s="304">
        <f>$M46*'MWh Impact Summary'!F$14</f>
        <v>18542.185542965512</v>
      </c>
      <c r="O46" s="304">
        <f>$M46*'MWh Impact Summary'!G$14</f>
        <v>0</v>
      </c>
      <c r="P46" s="304">
        <f>$M46*'MWh Impact Summary'!H$14</f>
        <v>0</v>
      </c>
      <c r="Q46" s="320">
        <f>$D46*'MWh Impact Summary'!I$14</f>
        <v>651.17351846993472</v>
      </c>
      <c r="R46" s="304">
        <f>$M46*'MWh Impact Summary'!J$14</f>
        <v>0</v>
      </c>
      <c r="S46" s="304">
        <f>$M46*'MWh Impact Summary'!K$14</f>
        <v>0</v>
      </c>
      <c r="T46" s="304">
        <f>$M46*'MWh Impact Summary'!L$14</f>
        <v>0</v>
      </c>
      <c r="U46" s="304">
        <f>$M46*'MWh Impact Summary'!M$14</f>
        <v>0</v>
      </c>
      <c r="V46" s="304">
        <f>$M46*'LED Impact Forecast'!$H$15+$D46*'LED Impact Forecast'!$J$15</f>
        <v>0</v>
      </c>
      <c r="W46" s="304">
        <f>$M46*'CFL Impact Forecast'!$H$15+$D46*'CFL Impact Forecast'!$J$15</f>
        <v>141694.99527442697</v>
      </c>
      <c r="X46" s="304">
        <f>$M46*'EISA Incand Impact Forecast'!$G$15+$D46*'EISA Incand Impact Forecast'!$I$15</f>
        <v>0</v>
      </c>
      <c r="Y46" s="85">
        <f t="shared" si="2"/>
        <v>160888.35433586242</v>
      </c>
      <c r="Z46" s="81">
        <f t="shared" si="11"/>
        <v>360557.82746968034</v>
      </c>
      <c r="AA46" s="81"/>
      <c r="AB46" s="81">
        <f>+'MWh by mo-WgtbyActulCDH&amp;Days'!AB46</f>
        <v>4514262</v>
      </c>
      <c r="AC46" s="308">
        <f t="shared" si="12"/>
        <v>79.870824393816832</v>
      </c>
      <c r="AD46" s="309">
        <f t="shared" si="3"/>
        <v>44.230811843401632</v>
      </c>
      <c r="AE46" s="107">
        <f t="shared" si="4"/>
        <v>4.3363541022942778E-3</v>
      </c>
      <c r="AF46" s="309">
        <f t="shared" si="13"/>
        <v>35.6400125504152</v>
      </c>
      <c r="AG46" s="107">
        <f t="shared" si="5"/>
        <v>3.4941188774916866E-3</v>
      </c>
      <c r="AH46" s="119">
        <f t="shared" si="14"/>
        <v>7.8304729797859639E-3</v>
      </c>
      <c r="AI46" s="122">
        <f t="shared" si="6"/>
        <v>7.8304729797859639E-3</v>
      </c>
      <c r="AJ46" s="87" t="b">
        <f t="shared" si="15"/>
        <v>1</v>
      </c>
      <c r="AK46" s="88">
        <f t="shared" si="21"/>
        <v>4.7355231436448687E-3</v>
      </c>
      <c r="AL46" s="312">
        <f>+AC46/'MWh by month-WgtbyCDH&amp;DayLtHrs'!AC46-1</f>
        <v>0.20223415102627995</v>
      </c>
      <c r="AM46" s="89">
        <f t="shared" si="8"/>
        <v>141694.99527442697</v>
      </c>
      <c r="AN46" s="93"/>
      <c r="AO46" s="96">
        <f t="shared" si="28"/>
        <v>31.388296752476254</v>
      </c>
      <c r="AP46" s="92">
        <f t="shared" si="27"/>
        <v>3.0772839953408094E-3</v>
      </c>
      <c r="AQ46" s="98"/>
      <c r="AR46" s="94">
        <f t="shared" si="9"/>
        <v>7.8304729797859639E-3</v>
      </c>
      <c r="AS46" s="95">
        <v>327794.14361333713</v>
      </c>
      <c r="AU46" s="141">
        <v>79.870824393816832</v>
      </c>
    </row>
    <row r="47" spans="1:47">
      <c r="A47" s="78">
        <v>2008</v>
      </c>
      <c r="B47" s="78">
        <v>7</v>
      </c>
      <c r="C47" s="317">
        <v>286.59632428968291</v>
      </c>
      <c r="D47" s="318">
        <f t="shared" si="25"/>
        <v>0.16292020742166896</v>
      </c>
      <c r="E47" s="104">
        <f>$D47*'MWh Impact Summary'!B$14</f>
        <v>93998.541755059021</v>
      </c>
      <c r="F47" s="320">
        <f>$D47*'MWh Impact Summary'!N$14</f>
        <v>0</v>
      </c>
      <c r="G47" s="320">
        <f>$D47*'MWh Impact Summary'!C$14</f>
        <v>75252.237900794702</v>
      </c>
      <c r="H47" s="320">
        <f>$D47*'MWh Impact Summary'!D$14</f>
        <v>0</v>
      </c>
      <c r="I47" s="320">
        <f>$D47*'MWh Impact Summary'!E$14</f>
        <v>35742.865969158971</v>
      </c>
      <c r="J47" s="104">
        <f t="shared" si="10"/>
        <v>204993.64562501269</v>
      </c>
      <c r="K47" s="298">
        <f t="shared" si="18"/>
        <v>10.366666666666667</v>
      </c>
      <c r="L47" s="299">
        <f t="shared" si="26"/>
        <v>7.2978998005397158E-2</v>
      </c>
      <c r="M47" s="297">
        <f>(31/366)</f>
        <v>8.4699453551912565E-2</v>
      </c>
      <c r="N47" s="304">
        <f>$M47*'MWh Impact Summary'!F$14</f>
        <v>19160.258394397697</v>
      </c>
      <c r="O47" s="304">
        <f>$M47*'MWh Impact Summary'!G$14</f>
        <v>0</v>
      </c>
      <c r="P47" s="304">
        <f>$M47*'MWh Impact Summary'!H$14</f>
        <v>0</v>
      </c>
      <c r="Q47" s="320">
        <f>$D47*'MWh Impact Summary'!I$14</f>
        <v>668.53701464998721</v>
      </c>
      <c r="R47" s="304">
        <f>$M47*'MWh Impact Summary'!J$14</f>
        <v>0</v>
      </c>
      <c r="S47" s="304">
        <f>$M47*'MWh Impact Summary'!K$14</f>
        <v>0</v>
      </c>
      <c r="T47" s="304">
        <f>$M47*'MWh Impact Summary'!L$14</f>
        <v>0</v>
      </c>
      <c r="U47" s="304">
        <f>$M47*'MWh Impact Summary'!M$14</f>
        <v>0</v>
      </c>
      <c r="V47" s="304">
        <f>$M47*'LED Impact Forecast'!$H$15+$D47*'LED Impact Forecast'!$J$15</f>
        <v>0</v>
      </c>
      <c r="W47" s="304">
        <f>$M47*'CFL Impact Forecast'!$H$15+$D47*'CFL Impact Forecast'!$J$15</f>
        <v>146187.42253727038</v>
      </c>
      <c r="X47" s="304">
        <f>$M47*'EISA Incand Impact Forecast'!$G$15+$D47*'EISA Incand Impact Forecast'!$I$15</f>
        <v>0</v>
      </c>
      <c r="Y47" s="85">
        <f t="shared" si="2"/>
        <v>166016.21794631807</v>
      </c>
      <c r="Z47" s="81">
        <f t="shared" si="11"/>
        <v>371009.86357133079</v>
      </c>
      <c r="AA47" s="81"/>
      <c r="AB47" s="81">
        <f>+'MWh by mo-WgtbyActulCDH&amp;Days'!AB47</f>
        <v>4509574</v>
      </c>
      <c r="AC47" s="308">
        <f t="shared" si="12"/>
        <v>82.271598951770343</v>
      </c>
      <c r="AD47" s="309">
        <f t="shared" si="3"/>
        <v>45.457430263925751</v>
      </c>
      <c r="AE47" s="107">
        <f t="shared" si="4"/>
        <v>4.384961118706664E-3</v>
      </c>
      <c r="AF47" s="309">
        <f t="shared" si="13"/>
        <v>36.814168687844585</v>
      </c>
      <c r="AG47" s="107">
        <f t="shared" si="5"/>
        <v>3.5512059827502817E-3</v>
      </c>
      <c r="AH47" s="119">
        <f t="shared" si="14"/>
        <v>7.9361671014569462E-3</v>
      </c>
      <c r="AI47" s="122">
        <f t="shared" si="6"/>
        <v>7.9361671014569462E-3</v>
      </c>
      <c r="AJ47" s="87" t="b">
        <f t="shared" si="15"/>
        <v>1</v>
      </c>
      <c r="AK47" s="88">
        <f t="shared" si="21"/>
        <v>4.1559441694686882E-3</v>
      </c>
      <c r="AL47" s="312">
        <f>+AC47/'MWh by month-WgtbyCDH&amp;DayLtHrs'!AC47-1</f>
        <v>0.10955473632726531</v>
      </c>
      <c r="AM47" s="89">
        <f t="shared" si="8"/>
        <v>146187.42253727038</v>
      </c>
      <c r="AN47" s="93"/>
      <c r="AO47" s="96">
        <f t="shared" si="28"/>
        <v>32.417124663498228</v>
      </c>
      <c r="AP47" s="92">
        <f t="shared" si="27"/>
        <v>3.1270538260609218E-3</v>
      </c>
      <c r="AQ47" s="98"/>
      <c r="AR47" s="94">
        <f t="shared" si="9"/>
        <v>7.9361671014569462E-3</v>
      </c>
      <c r="AS47" s="95">
        <v>345307.86638142471</v>
      </c>
      <c r="AU47" s="141">
        <v>82.271598951770343</v>
      </c>
    </row>
    <row r="48" spans="1:47">
      <c r="A48" s="78">
        <v>2008</v>
      </c>
      <c r="B48" s="78">
        <v>8</v>
      </c>
      <c r="C48" s="317">
        <v>325.17191015162445</v>
      </c>
      <c r="D48" s="318">
        <f t="shared" si="25"/>
        <v>0.18484910851841674</v>
      </c>
      <c r="E48" s="104">
        <f>$D48*'MWh Impact Summary'!B$14</f>
        <v>106650.65384113193</v>
      </c>
      <c r="F48" s="320">
        <f>$D48*'MWh Impact Summary'!N$14</f>
        <v>0</v>
      </c>
      <c r="G48" s="320">
        <f>$D48*'MWh Impact Summary'!C$14</f>
        <v>85381.115762854053</v>
      </c>
      <c r="H48" s="320">
        <f>$D48*'MWh Impact Summary'!D$14</f>
        <v>0</v>
      </c>
      <c r="I48" s="320">
        <f>$D48*'MWh Impact Summary'!E$14</f>
        <v>40553.820884796718</v>
      </c>
      <c r="J48" s="104">
        <f t="shared" si="10"/>
        <v>232585.59048878273</v>
      </c>
      <c r="K48" s="298">
        <f t="shared" si="18"/>
        <v>10.933333333333334</v>
      </c>
      <c r="L48" s="299">
        <f t="shared" si="26"/>
        <v>7.6968203684148764E-2</v>
      </c>
      <c r="M48" s="297">
        <f>(31/366)</f>
        <v>8.4699453551912565E-2</v>
      </c>
      <c r="N48" s="304">
        <f>$M48*'MWh Impact Summary'!F$14</f>
        <v>19160.258394397697</v>
      </c>
      <c r="O48" s="304">
        <f>$M48*'MWh Impact Summary'!G$14</f>
        <v>0</v>
      </c>
      <c r="P48" s="304">
        <f>$M48*'MWh Impact Summary'!H$14</f>
        <v>0</v>
      </c>
      <c r="Q48" s="320">
        <f>$D48*'MWh Impact Summary'!I$14</f>
        <v>758.52144510084554</v>
      </c>
      <c r="R48" s="304">
        <f>$M48*'MWh Impact Summary'!J$14</f>
        <v>0</v>
      </c>
      <c r="S48" s="304">
        <f>$M48*'MWh Impact Summary'!K$14</f>
        <v>0</v>
      </c>
      <c r="T48" s="304">
        <f>$M48*'MWh Impact Summary'!L$14</f>
        <v>0</v>
      </c>
      <c r="U48" s="304">
        <f>$M48*'MWh Impact Summary'!M$14</f>
        <v>0</v>
      </c>
      <c r="V48" s="304">
        <f>$M48*'LED Impact Forecast'!$H$15+$D48*'LED Impact Forecast'!$J$15</f>
        <v>0</v>
      </c>
      <c r="W48" s="304">
        <f>$M48*'CFL Impact Forecast'!$H$15+$D48*'CFL Impact Forecast'!$J$15</f>
        <v>150968.98948219532</v>
      </c>
      <c r="X48" s="304">
        <f>$M48*'EISA Incand Impact Forecast'!$G$15+$D48*'EISA Incand Impact Forecast'!$I$15</f>
        <v>0</v>
      </c>
      <c r="Y48" s="85">
        <f t="shared" si="2"/>
        <v>170887.76932169386</v>
      </c>
      <c r="Z48" s="81">
        <f t="shared" si="11"/>
        <v>403473.3598104766</v>
      </c>
      <c r="AA48" s="81"/>
      <c r="AB48" s="81">
        <f>+'MWh by mo-WgtbyActulCDH&amp;Days'!AB48</f>
        <v>4507318</v>
      </c>
      <c r="AC48" s="308">
        <f t="shared" si="12"/>
        <v>89.515175057645507</v>
      </c>
      <c r="AD48" s="309">
        <f t="shared" si="3"/>
        <v>51.601770828857148</v>
      </c>
      <c r="AE48" s="107">
        <f t="shared" si="4"/>
        <v>4.7196741611759581E-3</v>
      </c>
      <c r="AF48" s="309">
        <f t="shared" si="13"/>
        <v>37.913404228788352</v>
      </c>
      <c r="AG48" s="107">
        <f t="shared" si="5"/>
        <v>3.4676894111696664E-3</v>
      </c>
      <c r="AH48" s="119">
        <f t="shared" si="14"/>
        <v>8.1873635723456253E-3</v>
      </c>
      <c r="AI48" s="122">
        <f t="shared" si="6"/>
        <v>8.1873635723456253E-3</v>
      </c>
      <c r="AJ48" s="87" t="b">
        <f t="shared" si="15"/>
        <v>1</v>
      </c>
      <c r="AK48" s="88">
        <f t="shared" si="21"/>
        <v>4.1190930492258967E-3</v>
      </c>
      <c r="AL48" s="312">
        <f>+AC48/'MWh by month-WgtbyCDH&amp;DayLtHrs'!AC48-1</f>
        <v>0.17286099998676807</v>
      </c>
      <c r="AM48" s="89">
        <f t="shared" si="8"/>
        <v>150968.98948219532</v>
      </c>
      <c r="AN48" s="93"/>
      <c r="AO48" s="96">
        <f t="shared" si="28"/>
        <v>33.494195324624378</v>
      </c>
      <c r="AP48" s="92">
        <f t="shared" si="27"/>
        <v>3.0634934748132053E-3</v>
      </c>
      <c r="AQ48" s="98"/>
      <c r="AR48" s="94">
        <f t="shared" si="9"/>
        <v>8.1873635723456253E-3</v>
      </c>
      <c r="AS48" s="95">
        <v>359036.26475295093</v>
      </c>
      <c r="AU48" s="141">
        <v>89.515175057645507</v>
      </c>
    </row>
    <row r="49" spans="1:47">
      <c r="A49" s="78">
        <v>2008</v>
      </c>
      <c r="B49" s="78">
        <v>9</v>
      </c>
      <c r="C49" s="317">
        <v>294.55016644585379</v>
      </c>
      <c r="D49" s="318">
        <f t="shared" si="25"/>
        <v>0.16744169462878603</v>
      </c>
      <c r="E49" s="104">
        <f>$D49*'MWh Impact Summary'!B$14</f>
        <v>96607.26175830049</v>
      </c>
      <c r="F49" s="320">
        <f>$D49*'MWh Impact Summary'!N$14</f>
        <v>0</v>
      </c>
      <c r="G49" s="320">
        <f>$D49*'MWh Impact Summary'!C$14</f>
        <v>77340.696026156249</v>
      </c>
      <c r="H49" s="320">
        <f>$D49*'MWh Impact Summary'!D$14</f>
        <v>0</v>
      </c>
      <c r="I49" s="320">
        <f>$D49*'MWh Impact Summary'!E$14</f>
        <v>36734.829543124797</v>
      </c>
      <c r="J49" s="104">
        <f t="shared" si="10"/>
        <v>210682.78732758152</v>
      </c>
      <c r="K49" s="298">
        <f t="shared" si="18"/>
        <v>11.683333333333334</v>
      </c>
      <c r="L49" s="299">
        <f t="shared" si="26"/>
        <v>8.2248034729555317E-2</v>
      </c>
      <c r="M49" s="297">
        <f>(30/366)</f>
        <v>8.1967213114754092E-2</v>
      </c>
      <c r="N49" s="304">
        <f>$M49*'MWh Impact Summary'!F$14</f>
        <v>18542.185542965512</v>
      </c>
      <c r="O49" s="304">
        <f>$M49*'MWh Impact Summary'!G$14</f>
        <v>0</v>
      </c>
      <c r="P49" s="304">
        <f>$M49*'MWh Impact Summary'!H$14</f>
        <v>0</v>
      </c>
      <c r="Q49" s="320">
        <f>$D49*'MWh Impact Summary'!I$14</f>
        <v>687.09076931960044</v>
      </c>
      <c r="R49" s="304">
        <f>$M49*'MWh Impact Summary'!J$14</f>
        <v>0</v>
      </c>
      <c r="S49" s="304">
        <f>$M49*'MWh Impact Summary'!K$14</f>
        <v>0</v>
      </c>
      <c r="T49" s="304">
        <f>$M49*'MWh Impact Summary'!L$14</f>
        <v>0</v>
      </c>
      <c r="U49" s="304">
        <f>$M49*'MWh Impact Summary'!M$14</f>
        <v>0</v>
      </c>
      <c r="V49" s="304">
        <f>$M49*'LED Impact Forecast'!$H$15+$D49*'LED Impact Forecast'!$J$15</f>
        <v>0</v>
      </c>
      <c r="W49" s="304">
        <f>$M49*'CFL Impact Forecast'!$H$15+$D49*'CFL Impact Forecast'!$J$15</f>
        <v>143603.55588379959</v>
      </c>
      <c r="X49" s="304">
        <f>$M49*'EISA Incand Impact Forecast'!$G$15+$D49*'EISA Incand Impact Forecast'!$I$15</f>
        <v>0</v>
      </c>
      <c r="Y49" s="85">
        <f t="shared" si="2"/>
        <v>162832.8321960847</v>
      </c>
      <c r="Z49" s="81">
        <f t="shared" si="11"/>
        <v>373515.61952366622</v>
      </c>
      <c r="AA49" s="81"/>
      <c r="AB49" s="81">
        <f>+'MWh by mo-WgtbyActulCDH&amp;Days'!AB49</f>
        <v>4503137</v>
      </c>
      <c r="AC49" s="308">
        <f t="shared" si="12"/>
        <v>82.945648671951616</v>
      </c>
      <c r="AD49" s="309">
        <f t="shared" si="3"/>
        <v>46.78578229522698</v>
      </c>
      <c r="AE49" s="107">
        <f t="shared" si="4"/>
        <v>4.0044892121449622E-3</v>
      </c>
      <c r="AF49" s="309">
        <f t="shared" si="13"/>
        <v>36.159866376724651</v>
      </c>
      <c r="AG49" s="107">
        <f t="shared" si="5"/>
        <v>3.0949956955827092E-3</v>
      </c>
      <c r="AH49" s="119">
        <f t="shared" si="14"/>
        <v>7.0994849077276713E-3</v>
      </c>
      <c r="AI49" s="122">
        <f t="shared" si="6"/>
        <v>7.0994849077276705E-3</v>
      </c>
      <c r="AJ49" s="87" t="b">
        <f t="shared" si="15"/>
        <v>1</v>
      </c>
      <c r="AK49" s="88">
        <f t="shared" si="21"/>
        <v>4.1010943714182169E-3</v>
      </c>
      <c r="AL49" s="312">
        <f>+AC49/'MWh by month-WgtbyCDH&amp;DayLtHrs'!AC49-1</f>
        <v>0.1593922075133507</v>
      </c>
      <c r="AM49" s="89">
        <f t="shared" si="8"/>
        <v>143603.55588379959</v>
      </c>
      <c r="AN49" s="93"/>
      <c r="AO49" s="96">
        <f t="shared" si="28"/>
        <v>31.889670663761635</v>
      </c>
      <c r="AP49" s="92">
        <f t="shared" si="27"/>
        <v>2.7295010553861597E-3</v>
      </c>
      <c r="AR49" s="94">
        <f t="shared" si="9"/>
        <v>7.0994849077276705E-3</v>
      </c>
      <c r="AS49" s="95">
        <v>338792.96476964944</v>
      </c>
      <c r="AU49" s="141">
        <v>82.945648671951616</v>
      </c>
    </row>
    <row r="50" spans="1:47">
      <c r="A50" s="78">
        <v>2008</v>
      </c>
      <c r="B50" s="78">
        <v>10</v>
      </c>
      <c r="C50" s="317">
        <v>173.3138637202282</v>
      </c>
      <c r="D50" s="318">
        <f t="shared" si="25"/>
        <v>9.8523003378822166E-2</v>
      </c>
      <c r="E50" s="104">
        <f>$D50*'MWh Impact Summary'!B$14</f>
        <v>56843.891825946004</v>
      </c>
      <c r="F50" s="320">
        <f>$D50*'MWh Impact Summary'!N$14</f>
        <v>0</v>
      </c>
      <c r="G50" s="320">
        <f>$D50*'MWh Impact Summary'!C$14</f>
        <v>45507.408849381485</v>
      </c>
      <c r="H50" s="320">
        <f>$D50*'MWh Impact Summary'!D$14</f>
        <v>0</v>
      </c>
      <c r="I50" s="320">
        <f>$D50*'MWh Impact Summary'!E$14</f>
        <v>21614.84177057257</v>
      </c>
      <c r="J50" s="104">
        <f t="shared" si="10"/>
        <v>123966.14244590006</v>
      </c>
      <c r="K50" s="298">
        <f t="shared" si="18"/>
        <v>12.466666666666667</v>
      </c>
      <c r="L50" s="299">
        <f t="shared" si="26"/>
        <v>8.7762524932535488E-2</v>
      </c>
      <c r="M50" s="297">
        <f>(31/366)</f>
        <v>8.4699453551912565E-2</v>
      </c>
      <c r="N50" s="304">
        <f>$M50*'MWh Impact Summary'!F$14</f>
        <v>19160.258394397697</v>
      </c>
      <c r="O50" s="304">
        <f>$M50*'MWh Impact Summary'!G$14</f>
        <v>0</v>
      </c>
      <c r="P50" s="304">
        <f>$M50*'MWh Impact Summary'!H$14</f>
        <v>0</v>
      </c>
      <c r="Q50" s="320">
        <f>$D50*'MWh Impact Summary'!I$14</f>
        <v>404.28548180492879</v>
      </c>
      <c r="R50" s="304">
        <f>$M50*'MWh Impact Summary'!J$14</f>
        <v>0</v>
      </c>
      <c r="S50" s="304">
        <f>$M50*'MWh Impact Summary'!K$14</f>
        <v>0</v>
      </c>
      <c r="T50" s="304">
        <f>$M50*'MWh Impact Summary'!L$14</f>
        <v>0</v>
      </c>
      <c r="U50" s="304">
        <f>$M50*'MWh Impact Summary'!M$14</f>
        <v>0</v>
      </c>
      <c r="V50" s="304">
        <f>$M50*'LED Impact Forecast'!$H$15+$D50*'LED Impact Forecast'!$J$15</f>
        <v>0</v>
      </c>
      <c r="W50" s="304">
        <f>$M50*'CFL Impact Forecast'!$H$15+$D50*'CFL Impact Forecast'!$J$15</f>
        <v>132145.70011632651</v>
      </c>
      <c r="X50" s="304">
        <f>$M50*'EISA Incand Impact Forecast'!$G$15+$D50*'EISA Incand Impact Forecast'!$I$15</f>
        <v>0</v>
      </c>
      <c r="Y50" s="85">
        <f t="shared" si="2"/>
        <v>151710.24399252914</v>
      </c>
      <c r="Z50" s="81">
        <f t="shared" si="11"/>
        <v>275676.38643842918</v>
      </c>
      <c r="AA50" s="81"/>
      <c r="AB50" s="81">
        <f>+'MWh by mo-WgtbyActulCDH&amp;Days'!AB50</f>
        <v>4501918</v>
      </c>
      <c r="AC50" s="308">
        <f t="shared" si="12"/>
        <v>61.235319354645995</v>
      </c>
      <c r="AD50" s="309">
        <f t="shared" si="3"/>
        <v>27.53629507376635</v>
      </c>
      <c r="AE50" s="107">
        <f t="shared" si="4"/>
        <v>2.2087937224946268E-3</v>
      </c>
      <c r="AF50" s="309">
        <f t="shared" si="13"/>
        <v>33.699024280879648</v>
      </c>
      <c r="AG50" s="107">
        <f t="shared" si="5"/>
        <v>2.7031302899101321E-3</v>
      </c>
      <c r="AH50" s="119">
        <f t="shared" si="14"/>
        <v>4.9119240124047593E-3</v>
      </c>
      <c r="AI50" s="122">
        <f t="shared" si="6"/>
        <v>4.9119240124047593E-3</v>
      </c>
      <c r="AJ50" s="87" t="b">
        <f t="shared" si="15"/>
        <v>1</v>
      </c>
      <c r="AK50" s="88">
        <f t="shared" si="21"/>
        <v>2.3771204910039896E-3</v>
      </c>
      <c r="AL50" s="312">
        <f>+AC50/'MWh by month-WgtbyCDH&amp;DayLtHrs'!AC50-1</f>
        <v>-1.9899884370415899E-2</v>
      </c>
      <c r="AM50" s="89">
        <f t="shared" si="8"/>
        <v>132145.70011632651</v>
      </c>
      <c r="AN50" s="93"/>
      <c r="AO50" s="96">
        <f t="shared" si="28"/>
        <v>29.353200150763854</v>
      </c>
      <c r="AP50" s="92">
        <f t="shared" si="27"/>
        <v>2.3545347714516458E-3</v>
      </c>
      <c r="AR50" s="94">
        <f t="shared" si="9"/>
        <v>4.9119240124047593E-3</v>
      </c>
      <c r="AS50" s="95">
        <v>271848.13393304445</v>
      </c>
      <c r="AU50" s="141">
        <v>61.235319354645995</v>
      </c>
    </row>
    <row r="51" spans="1:47">
      <c r="A51" s="78">
        <v>2008</v>
      </c>
      <c r="B51" s="78">
        <v>11</v>
      </c>
      <c r="C51" s="317">
        <v>54.144529694587938</v>
      </c>
      <c r="D51" s="318">
        <f t="shared" si="25"/>
        <v>3.0779313134786542E-2</v>
      </c>
      <c r="E51" s="104">
        <f>$D51*'MWh Impact Summary'!B$14</f>
        <v>17758.451187114446</v>
      </c>
      <c r="F51" s="320">
        <f>$D51*'MWh Impact Summary'!N$14</f>
        <v>0</v>
      </c>
      <c r="G51" s="320">
        <f>$D51*'MWh Impact Summary'!C$14</f>
        <v>14216.850267365591</v>
      </c>
      <c r="H51" s="320">
        <f>$D51*'MWh Impact Summary'!D$14</f>
        <v>0</v>
      </c>
      <c r="I51" s="320">
        <f>$D51*'MWh Impact Summary'!E$14</f>
        <v>6752.6360382789881</v>
      </c>
      <c r="J51" s="104">
        <f t="shared" si="10"/>
        <v>38727.937492759025</v>
      </c>
      <c r="K51" s="298">
        <f t="shared" si="18"/>
        <v>13.15</v>
      </c>
      <c r="L51" s="299">
        <f t="shared" si="26"/>
        <v>9.2573037662794788E-2</v>
      </c>
      <c r="M51" s="297">
        <f>(30/366)</f>
        <v>8.1967213114754092E-2</v>
      </c>
      <c r="N51" s="304">
        <f>$M51*'MWh Impact Summary'!F$14</f>
        <v>18542.185542965512</v>
      </c>
      <c r="O51" s="304">
        <f>$M51*'MWh Impact Summary'!G$14</f>
        <v>0</v>
      </c>
      <c r="P51" s="304">
        <f>$M51*'MWh Impact Summary'!H$14</f>
        <v>0</v>
      </c>
      <c r="Q51" s="320">
        <f>$D51*'MWh Impact Summary'!I$14</f>
        <v>126.30176723780984</v>
      </c>
      <c r="R51" s="304">
        <f>$M51*'MWh Impact Summary'!J$14</f>
        <v>0</v>
      </c>
      <c r="S51" s="304">
        <f>$M51*'MWh Impact Summary'!K$14</f>
        <v>0</v>
      </c>
      <c r="T51" s="304">
        <f>$M51*'MWh Impact Summary'!L$14</f>
        <v>0</v>
      </c>
      <c r="U51" s="304">
        <f>$M51*'MWh Impact Summary'!M$14</f>
        <v>0</v>
      </c>
      <c r="V51" s="304">
        <f>$M51*'LED Impact Forecast'!$H$15+$D51*'LED Impact Forecast'!$J$15</f>
        <v>0</v>
      </c>
      <c r="W51" s="304">
        <f>$M51*'CFL Impact Forecast'!$H$15+$D51*'CFL Impact Forecast'!$J$15</f>
        <v>113804.51018226445</v>
      </c>
      <c r="X51" s="304">
        <f>$M51*'EISA Incand Impact Forecast'!$G$15+$D51*'EISA Incand Impact Forecast'!$I$15</f>
        <v>0</v>
      </c>
      <c r="Y51" s="85">
        <f t="shared" si="2"/>
        <v>132472.99749246778</v>
      </c>
      <c r="Z51" s="81">
        <f t="shared" si="11"/>
        <v>171200.93498522681</v>
      </c>
      <c r="AA51" s="81"/>
      <c r="AB51" s="81">
        <f>+'MWh by mo-WgtbyActulCDH&amp;Days'!AB51</f>
        <v>4498960</v>
      </c>
      <c r="AC51" s="308">
        <f t="shared" si="12"/>
        <v>38.053446793309298</v>
      </c>
      <c r="AD51" s="309">
        <f t="shared" si="3"/>
        <v>8.6081977818782622</v>
      </c>
      <c r="AE51" s="107">
        <f t="shared" si="4"/>
        <v>6.5461580090328986E-4</v>
      </c>
      <c r="AF51" s="309">
        <f t="shared" si="13"/>
        <v>29.445249011431038</v>
      </c>
      <c r="AG51" s="107">
        <f t="shared" si="5"/>
        <v>2.2391824343293565E-3</v>
      </c>
      <c r="AH51" s="119">
        <f t="shared" si="14"/>
        <v>2.8937982352326462E-3</v>
      </c>
      <c r="AI51" s="122">
        <f t="shared" si="6"/>
        <v>2.8937982352326462E-3</v>
      </c>
      <c r="AJ51" s="87" t="b">
        <f t="shared" si="15"/>
        <v>1</v>
      </c>
      <c r="AK51" s="88">
        <f t="shared" si="21"/>
        <v>2.0513163464077932E-3</v>
      </c>
      <c r="AL51" s="312">
        <f>+AC51/'MWh by month-WgtbyCDH&amp;DayLtHrs'!AC51-1</f>
        <v>-0.19400281861931257</v>
      </c>
      <c r="AM51" s="89">
        <f t="shared" si="8"/>
        <v>113804.51018226445</v>
      </c>
      <c r="AN51" s="93"/>
      <c r="AO51" s="96">
        <f t="shared" si="28"/>
        <v>25.295737277562914</v>
      </c>
      <c r="AP51" s="92">
        <f t="shared" si="27"/>
        <v>1.9236302112215142E-3</v>
      </c>
      <c r="AR51" s="94">
        <f t="shared" si="9"/>
        <v>2.8937982352326462E-3</v>
      </c>
      <c r="AS51" s="95">
        <v>208079.20515712729</v>
      </c>
      <c r="AU51" s="141">
        <v>38.053446793309298</v>
      </c>
    </row>
    <row r="52" spans="1:47">
      <c r="A52" s="78">
        <v>2008</v>
      </c>
      <c r="B52" s="78">
        <v>12</v>
      </c>
      <c r="C52" s="317">
        <v>0</v>
      </c>
      <c r="D52" s="318">
        <f t="shared" si="25"/>
        <v>0</v>
      </c>
      <c r="E52" s="104">
        <f>$D52*'MWh Impact Summary'!B$14</f>
        <v>0</v>
      </c>
      <c r="F52" s="320">
        <f>$D52*'MWh Impact Summary'!N$14</f>
        <v>0</v>
      </c>
      <c r="G52" s="320">
        <f>$D52*'MWh Impact Summary'!C$14</f>
        <v>0</v>
      </c>
      <c r="H52" s="320">
        <f>$D52*'MWh Impact Summary'!D$14</f>
        <v>0</v>
      </c>
      <c r="I52" s="320">
        <f>$D52*'MWh Impact Summary'!E$14</f>
        <v>0</v>
      </c>
      <c r="J52" s="104">
        <f t="shared" si="10"/>
        <v>0</v>
      </c>
      <c r="K52" s="298">
        <f t="shared" si="18"/>
        <v>13.483333333333333</v>
      </c>
      <c r="L52" s="299">
        <f t="shared" si="26"/>
        <v>9.491962923853102E-2</v>
      </c>
      <c r="M52" s="297">
        <f>(31/366)</f>
        <v>8.4699453551912565E-2</v>
      </c>
      <c r="N52" s="304">
        <f>$M52*'MWh Impact Summary'!F$14</f>
        <v>19160.258394397697</v>
      </c>
      <c r="O52" s="304">
        <f>$M52*'MWh Impact Summary'!G$14</f>
        <v>0</v>
      </c>
      <c r="P52" s="304">
        <f>$M52*'MWh Impact Summary'!H$14</f>
        <v>0</v>
      </c>
      <c r="Q52" s="320">
        <f>$D52*'MWh Impact Summary'!I$14</f>
        <v>0</v>
      </c>
      <c r="R52" s="304">
        <f>$M52*'MWh Impact Summary'!J$14</f>
        <v>0</v>
      </c>
      <c r="S52" s="304">
        <f>$M52*'MWh Impact Summary'!K$14</f>
        <v>0</v>
      </c>
      <c r="T52" s="304">
        <f>$M52*'MWh Impact Summary'!L$14</f>
        <v>0</v>
      </c>
      <c r="U52" s="304">
        <f>$M52*'MWh Impact Summary'!M$14</f>
        <v>0</v>
      </c>
      <c r="V52" s="304">
        <f>$M52*'LED Impact Forecast'!$H$15+$D52*'LED Impact Forecast'!$J$15</f>
        <v>0</v>
      </c>
      <c r="W52" s="304">
        <f>$M52*'CFL Impact Forecast'!$H$15+$D52*'CFL Impact Forecast'!$J$15</f>
        <v>110662.89374164811</v>
      </c>
      <c r="X52" s="304">
        <f>$M52*'EISA Incand Impact Forecast'!$G$15+$D52*'EISA Incand Impact Forecast'!$I$15</f>
        <v>0</v>
      </c>
      <c r="Y52" s="85">
        <f t="shared" si="2"/>
        <v>129823.1521360458</v>
      </c>
      <c r="Z52" s="81">
        <f t="shared" si="11"/>
        <v>129823.1521360458</v>
      </c>
      <c r="AA52" s="81">
        <f>SUM(Z41:Z52)</f>
        <v>3013148.5319665433</v>
      </c>
      <c r="AB52" s="81">
        <f>+'MWh by mo-WgtbyActulCDH&amp;Days'!AB52</f>
        <v>4497793</v>
      </c>
      <c r="AC52" s="308">
        <f t="shared" si="12"/>
        <v>28.863745427156342</v>
      </c>
      <c r="AD52" s="309">
        <f t="shared" si="3"/>
        <v>0</v>
      </c>
      <c r="AE52" s="107">
        <f t="shared" si="4"/>
        <v>0</v>
      </c>
      <c r="AF52" s="309">
        <f t="shared" si="13"/>
        <v>28.863745427156342</v>
      </c>
      <c r="AG52" s="107">
        <f t="shared" si="5"/>
        <v>2.1406980539300131E-3</v>
      </c>
      <c r="AH52" s="119">
        <f t="shared" si="14"/>
        <v>2.1406980539300131E-3</v>
      </c>
      <c r="AI52" s="122">
        <f t="shared" si="6"/>
        <v>2.1406980539300131E-3</v>
      </c>
      <c r="AJ52" s="87" t="b">
        <f t="shared" si="15"/>
        <v>1</v>
      </c>
      <c r="AK52" s="88">
        <f t="shared" si="21"/>
        <v>1.954452079556971E-3</v>
      </c>
      <c r="AL52" s="312">
        <f>+AC52/'MWh by month-WgtbyCDH&amp;DayLtHrs'!AC52-1</f>
        <v>-0.33015281060918467</v>
      </c>
      <c r="AM52" s="89">
        <f t="shared" si="8"/>
        <v>110662.89374164811</v>
      </c>
      <c r="AN52" s="90">
        <f>SUM(AM41:AM52)</f>
        <v>1524584.7350186545</v>
      </c>
      <c r="AO52" s="96">
        <f t="shared" si="28"/>
        <v>24.603820972118573</v>
      </c>
      <c r="AP52" s="92">
        <f t="shared" si="27"/>
        <v>1.8247580449037262E-3</v>
      </c>
      <c r="AR52" s="94">
        <f t="shared" si="9"/>
        <v>2.1406980539300131E-3</v>
      </c>
      <c r="AS52" s="95">
        <v>170636.93213893208</v>
      </c>
      <c r="AU52" s="141">
        <v>28.863745427156342</v>
      </c>
    </row>
    <row r="53" spans="1:47">
      <c r="A53" s="78">
        <v>2009</v>
      </c>
      <c r="B53" s="78">
        <v>1</v>
      </c>
      <c r="C53" s="317">
        <v>0</v>
      </c>
      <c r="D53" s="318">
        <f t="shared" ref="D53:D64" si="29">C53/(SUM(C$53:C$64))</f>
        <v>0</v>
      </c>
      <c r="E53" s="104">
        <f>$D53*'MWh Impact Summary'!B$15</f>
        <v>0</v>
      </c>
      <c r="F53" s="320">
        <f>$D53*'MWh Impact Summary'!N$15</f>
        <v>0</v>
      </c>
      <c r="G53" s="320">
        <f>$D53*'MWh Impact Summary'!C$15</f>
        <v>0</v>
      </c>
      <c r="H53" s="320">
        <f>$D53*'MWh Impact Summary'!D$15</f>
        <v>0</v>
      </c>
      <c r="I53" s="320">
        <f>$D53*'MWh Impact Summary'!E$15</f>
        <v>0</v>
      </c>
      <c r="J53" s="104">
        <f t="shared" si="10"/>
        <v>0</v>
      </c>
      <c r="K53" s="298">
        <f t="shared" si="18"/>
        <v>13.3</v>
      </c>
      <c r="L53" s="299">
        <f t="shared" ref="L53:L64" si="30">K53/(SUM(K$53:K$64))</f>
        <v>9.3629003871876101E-2</v>
      </c>
      <c r="M53" s="297">
        <f>(31/365)</f>
        <v>8.4931506849315067E-2</v>
      </c>
      <c r="N53" s="304">
        <f>$M53*'MWh Impact Summary'!F$15</f>
        <v>25209.25095135537</v>
      </c>
      <c r="O53" s="304">
        <f>$M53*'MWh Impact Summary'!G$15</f>
        <v>0</v>
      </c>
      <c r="P53" s="304">
        <f>$M53*'MWh Impact Summary'!H$15</f>
        <v>0</v>
      </c>
      <c r="Q53" s="320">
        <f>$D53*'MWh Impact Summary'!I$15</f>
        <v>0</v>
      </c>
      <c r="R53" s="304">
        <f>$M53*'MWh Impact Summary'!J$15</f>
        <v>2901.5041676750739</v>
      </c>
      <c r="S53" s="304">
        <f>$M53*'MWh Impact Summary'!K$15</f>
        <v>0</v>
      </c>
      <c r="T53" s="304">
        <f>$M53*'MWh Impact Summary'!L$15</f>
        <v>0</v>
      </c>
      <c r="U53" s="304">
        <f>$M53*'MWh Impact Summary'!M$15</f>
        <v>0</v>
      </c>
      <c r="V53" s="304">
        <f>$M53*'LED Impact Forecast'!$H$16+$D53*'LED Impact Forecast'!$J$16</f>
        <v>0</v>
      </c>
      <c r="W53" s="304">
        <f>$M53*'CFL Impact Forecast'!$H$16+$D53*'CFL Impact Forecast'!$J$16</f>
        <v>134010.29372077063</v>
      </c>
      <c r="X53" s="304">
        <f>$M53*'EISA Incand Impact Forecast'!$G$16+$D53*'EISA Incand Impact Forecast'!$I$16</f>
        <v>0</v>
      </c>
      <c r="Y53" s="85">
        <f t="shared" si="2"/>
        <v>162121.04883980108</v>
      </c>
      <c r="Z53" s="81">
        <f t="shared" si="11"/>
        <v>162121.04883980108</v>
      </c>
      <c r="AA53" s="81"/>
      <c r="AB53" s="81">
        <f>+'MWh by mo-WgtbyActulCDH&amp;Days'!AB53</f>
        <v>4497781</v>
      </c>
      <c r="AC53" s="308">
        <f t="shared" si="12"/>
        <v>36.044673771311025</v>
      </c>
      <c r="AD53" s="309">
        <f t="shared" si="3"/>
        <v>0</v>
      </c>
      <c r="AE53" s="107">
        <f t="shared" si="4"/>
        <v>0</v>
      </c>
      <c r="AF53" s="309">
        <f t="shared" si="13"/>
        <v>36.044673771311025</v>
      </c>
      <c r="AG53" s="107">
        <f t="shared" si="5"/>
        <v>2.710125847466994E-3</v>
      </c>
      <c r="AH53" s="119">
        <f t="shared" si="14"/>
        <v>2.710125847466994E-3</v>
      </c>
      <c r="AI53" s="122">
        <f t="shared" si="6"/>
        <v>2.710125847466994E-3</v>
      </c>
      <c r="AJ53" s="87" t="b">
        <f t="shared" si="15"/>
        <v>1</v>
      </c>
      <c r="AK53" s="88">
        <f t="shared" si="21"/>
        <v>5.470102301658379E-4</v>
      </c>
      <c r="AL53" s="312">
        <f>+AC53/'MWh by month-WgtbyCDH&amp;DayLtHrs'!AC53-1</f>
        <v>-0.27656911419320529</v>
      </c>
      <c r="AM53" s="89">
        <f t="shared" si="8"/>
        <v>134010.29372077063</v>
      </c>
      <c r="AN53" s="90"/>
      <c r="AO53" s="96">
        <f t="shared" si="28"/>
        <v>29.794757397207785</v>
      </c>
      <c r="AP53" s="92">
        <f t="shared" si="27"/>
        <v>2.2402073230983299E-3</v>
      </c>
      <c r="AR53" s="94">
        <f t="shared" si="9"/>
        <v>2.710125847466994E-3</v>
      </c>
      <c r="AS53" s="95">
        <v>211653.90202135124</v>
      </c>
      <c r="AU53" s="141">
        <v>36.044673771311025</v>
      </c>
    </row>
    <row r="54" spans="1:47">
      <c r="A54" s="78">
        <v>2009</v>
      </c>
      <c r="B54" s="78">
        <v>2</v>
      </c>
      <c r="C54" s="317">
        <v>0</v>
      </c>
      <c r="D54" s="318">
        <f t="shared" si="29"/>
        <v>0</v>
      </c>
      <c r="E54" s="104">
        <f>$D54*'MWh Impact Summary'!B$15</f>
        <v>0</v>
      </c>
      <c r="F54" s="320">
        <f>$D54*'MWh Impact Summary'!N$15</f>
        <v>0</v>
      </c>
      <c r="G54" s="320">
        <f>$D54*'MWh Impact Summary'!C$15</f>
        <v>0</v>
      </c>
      <c r="H54" s="320">
        <f>$D54*'MWh Impact Summary'!D$15</f>
        <v>0</v>
      </c>
      <c r="I54" s="320">
        <f>$D54*'MWh Impact Summary'!E$15</f>
        <v>0</v>
      </c>
      <c r="J54" s="104">
        <f t="shared" si="10"/>
        <v>0</v>
      </c>
      <c r="K54" s="298">
        <f t="shared" si="18"/>
        <v>12.733333333333333</v>
      </c>
      <c r="L54" s="299">
        <f t="shared" si="30"/>
        <v>8.9639798193124468E-2</v>
      </c>
      <c r="M54" s="297">
        <f>(28/365)</f>
        <v>7.6712328767123292E-2</v>
      </c>
      <c r="N54" s="304">
        <f>$M54*'MWh Impact Summary'!F$15</f>
        <v>22769.646020579046</v>
      </c>
      <c r="O54" s="304">
        <f>$M54*'MWh Impact Summary'!G$15</f>
        <v>0</v>
      </c>
      <c r="P54" s="304">
        <f>$M54*'MWh Impact Summary'!H$15</f>
        <v>0</v>
      </c>
      <c r="Q54" s="320">
        <f>$D54*'MWh Impact Summary'!I$15</f>
        <v>0</v>
      </c>
      <c r="R54" s="304">
        <f>$M54*'MWh Impact Summary'!J$15</f>
        <v>2620.7134417710345</v>
      </c>
      <c r="S54" s="304">
        <f>$M54*'MWh Impact Summary'!K$15</f>
        <v>0</v>
      </c>
      <c r="T54" s="304">
        <f>$M54*'MWh Impact Summary'!L$15</f>
        <v>0</v>
      </c>
      <c r="U54" s="304">
        <f>$M54*'MWh Impact Summary'!M$15</f>
        <v>0</v>
      </c>
      <c r="V54" s="304">
        <f>$M54*'LED Impact Forecast'!$H$16+$D54*'LED Impact Forecast'!$J$16</f>
        <v>0</v>
      </c>
      <c r="W54" s="304">
        <f>$M54*'CFL Impact Forecast'!$H$16+$D54*'CFL Impact Forecast'!$J$16</f>
        <v>121041.55561876057</v>
      </c>
      <c r="X54" s="304">
        <f>$M54*'EISA Incand Impact Forecast'!$G$16+$D54*'EISA Incand Impact Forecast'!$I$16</f>
        <v>0</v>
      </c>
      <c r="Y54" s="85">
        <f t="shared" si="2"/>
        <v>146431.91508111064</v>
      </c>
      <c r="Z54" s="81">
        <f t="shared" si="11"/>
        <v>146431.91508111064</v>
      </c>
      <c r="AA54" s="81"/>
      <c r="AB54" s="81">
        <f>+'MWh by mo-WgtbyActulCDH&amp;Days'!AB54</f>
        <v>4502684</v>
      </c>
      <c r="AC54" s="308">
        <f t="shared" si="12"/>
        <v>32.521028586751953</v>
      </c>
      <c r="AD54" s="309">
        <f t="shared" si="3"/>
        <v>0</v>
      </c>
      <c r="AE54" s="107">
        <f t="shared" si="4"/>
        <v>0</v>
      </c>
      <c r="AF54" s="309">
        <f t="shared" si="13"/>
        <v>32.521028586751953</v>
      </c>
      <c r="AG54" s="107">
        <f t="shared" si="5"/>
        <v>2.5540074806349703E-3</v>
      </c>
      <c r="AH54" s="119">
        <f t="shared" si="14"/>
        <v>2.5540074806349703E-3</v>
      </c>
      <c r="AI54" s="122">
        <f t="shared" si="6"/>
        <v>2.5540074806349703E-3</v>
      </c>
      <c r="AJ54" s="87" t="b">
        <f t="shared" si="15"/>
        <v>1</v>
      </c>
      <c r="AK54" s="88">
        <f t="shared" si="21"/>
        <v>4.4347430336251189E-4</v>
      </c>
      <c r="AL54" s="312">
        <f>+AC54/'MWh by month-WgtbyCDH&amp;DayLtHrs'!AC54-1</f>
        <v>-0.34217713870726385</v>
      </c>
      <c r="AM54" s="89">
        <f t="shared" si="8"/>
        <v>121041.55561876057</v>
      </c>
      <c r="AN54" s="99"/>
      <c r="AO54" s="96">
        <f t="shared" si="28"/>
        <v>26.882089797720774</v>
      </c>
      <c r="AP54" s="92">
        <f t="shared" si="27"/>
        <v>2.1111588846377573E-3</v>
      </c>
      <c r="AR54" s="94">
        <f t="shared" si="9"/>
        <v>2.5540074806349703E-3</v>
      </c>
      <c r="AS54" s="95">
        <v>196612.42709287113</v>
      </c>
      <c r="AU54" s="141">
        <v>32.521028586751953</v>
      </c>
    </row>
    <row r="55" spans="1:47">
      <c r="A55" s="78">
        <v>2009</v>
      </c>
      <c r="B55" s="78">
        <v>3</v>
      </c>
      <c r="C55" s="317">
        <v>0</v>
      </c>
      <c r="D55" s="318">
        <f t="shared" si="29"/>
        <v>0</v>
      </c>
      <c r="E55" s="104">
        <f>$D55*'MWh Impact Summary'!B$15</f>
        <v>0</v>
      </c>
      <c r="F55" s="320">
        <f>$D55*'MWh Impact Summary'!N$15</f>
        <v>0</v>
      </c>
      <c r="G55" s="320">
        <f>$D55*'MWh Impact Summary'!C$15</f>
        <v>0</v>
      </c>
      <c r="H55" s="320">
        <f>$D55*'MWh Impact Summary'!D$15</f>
        <v>0</v>
      </c>
      <c r="I55" s="320">
        <f>$D55*'MWh Impact Summary'!E$15</f>
        <v>0</v>
      </c>
      <c r="J55" s="104">
        <f>SUM(E55:I55)</f>
        <v>0</v>
      </c>
      <c r="K55" s="298">
        <f t="shared" si="18"/>
        <v>12</v>
      </c>
      <c r="L55" s="299">
        <f>K55/(SUM(K$53:K$64))</f>
        <v>8.4477296726504739E-2</v>
      </c>
      <c r="M55" s="297">
        <f t="shared" ref="M55:M64" si="31">(31/365)</f>
        <v>8.4931506849315067E-2</v>
      </c>
      <c r="N55" s="304">
        <f>$M55*'MWh Impact Summary'!F$15</f>
        <v>25209.25095135537</v>
      </c>
      <c r="O55" s="304">
        <f>$M55*'MWh Impact Summary'!G$15</f>
        <v>0</v>
      </c>
      <c r="P55" s="304">
        <f>$M55*'MWh Impact Summary'!H$15</f>
        <v>0</v>
      </c>
      <c r="Q55" s="320">
        <f>$D55*'MWh Impact Summary'!I$15</f>
        <v>0</v>
      </c>
      <c r="R55" s="304">
        <f>$M55*'MWh Impact Summary'!J$15</f>
        <v>2901.5041676750739</v>
      </c>
      <c r="S55" s="304">
        <f>$M55*'MWh Impact Summary'!K$15</f>
        <v>0</v>
      </c>
      <c r="T55" s="304">
        <f>$M55*'MWh Impact Summary'!L$15</f>
        <v>0</v>
      </c>
      <c r="U55" s="304">
        <f>$M55*'MWh Impact Summary'!M$15</f>
        <v>0</v>
      </c>
      <c r="V55" s="304">
        <f>$M55*'LED Impact Forecast'!$H$16+$D55*'LED Impact Forecast'!$J$16</f>
        <v>0</v>
      </c>
      <c r="W55" s="304">
        <f>$M55*'CFL Impact Forecast'!$H$16+$D55*'CFL Impact Forecast'!$J$16</f>
        <v>134010.29372077063</v>
      </c>
      <c r="X55" s="304">
        <f>$M55*'EISA Incand Impact Forecast'!$G$16+$D55*'EISA Incand Impact Forecast'!$I$16</f>
        <v>0</v>
      </c>
      <c r="Y55" s="85">
        <f t="shared" si="2"/>
        <v>162121.04883980108</v>
      </c>
      <c r="Z55" s="81">
        <f t="shared" si="11"/>
        <v>162121.04883980108</v>
      </c>
      <c r="AA55" s="81"/>
      <c r="AB55" s="81">
        <f>+'MWh by mo-WgtbyActulCDH&amp;Days'!AB55</f>
        <v>4502987</v>
      </c>
      <c r="AC55" s="308">
        <f t="shared" si="12"/>
        <v>36.003001749683285</v>
      </c>
      <c r="AD55" s="309">
        <f t="shared" si="3"/>
        <v>0</v>
      </c>
      <c r="AE55" s="107">
        <f t="shared" si="4"/>
        <v>0</v>
      </c>
      <c r="AF55" s="309">
        <f t="shared" si="13"/>
        <v>36.003001749683285</v>
      </c>
      <c r="AG55" s="107">
        <f t="shared" si="5"/>
        <v>3.0002501458069406E-3</v>
      </c>
      <c r="AH55" s="119">
        <f t="shared" si="14"/>
        <v>3.0002501458069406E-3</v>
      </c>
      <c r="AI55" s="122">
        <f t="shared" si="6"/>
        <v>3.0002501458069406E-3</v>
      </c>
      <c r="AJ55" s="87" t="b">
        <f t="shared" si="15"/>
        <v>1</v>
      </c>
      <c r="AK55" s="88">
        <f t="shared" si="21"/>
        <v>6.0657116093439968E-4</v>
      </c>
      <c r="AL55" s="312">
        <f>+AC55/'MWh by month-WgtbyCDH&amp;DayLtHrs'!AC55-1</f>
        <v>-0.30960341515801593</v>
      </c>
      <c r="AM55" s="89">
        <f t="shared" si="8"/>
        <v>134010.29372077063</v>
      </c>
      <c r="AN55" s="93"/>
      <c r="AO55" s="96">
        <f t="shared" si="28"/>
        <v>29.760311038155479</v>
      </c>
      <c r="AP55" s="92">
        <f t="shared" si="27"/>
        <v>2.4800259198462897E-3</v>
      </c>
      <c r="AR55" s="94">
        <f t="shared" si="9"/>
        <v>3.0002501458069406E-3</v>
      </c>
      <c r="AS55" s="95">
        <v>238059.33620390375</v>
      </c>
      <c r="AU55" s="141">
        <v>36.003001749683285</v>
      </c>
    </row>
    <row r="56" spans="1:47">
      <c r="A56" s="78">
        <v>2009</v>
      </c>
      <c r="B56" s="78">
        <v>4</v>
      </c>
      <c r="C56" s="317">
        <v>123.06823193915518</v>
      </c>
      <c r="D56" s="318">
        <f t="shared" si="29"/>
        <v>6.2634857882842329E-2</v>
      </c>
      <c r="E56" s="104">
        <f>$D56*'MWh Impact Summary'!B$15</f>
        <v>44433.107742184002</v>
      </c>
      <c r="F56" s="320">
        <f>$D56*'MWh Impact Summary'!N$15</f>
        <v>1069.1816050634454</v>
      </c>
      <c r="G56" s="320">
        <f>$D56*'MWh Impact Summary'!C$15</f>
        <v>35097.266958809021</v>
      </c>
      <c r="H56" s="320">
        <f>$D56*'MWh Impact Summary'!D$15</f>
        <v>0</v>
      </c>
      <c r="I56" s="320">
        <f>$D56*'MWh Impact Summary'!E$15</f>
        <v>16382.894570360559</v>
      </c>
      <c r="J56" s="104">
        <f t="shared" si="10"/>
        <v>96982.450876417031</v>
      </c>
      <c r="K56" s="298">
        <f t="shared" si="18"/>
        <v>11.2</v>
      </c>
      <c r="L56" s="299">
        <f>K56/(SUM(K$53:K$64))</f>
        <v>7.8845476944737758E-2</v>
      </c>
      <c r="M56" s="297">
        <f>(30/365)</f>
        <v>8.2191780821917804E-2</v>
      </c>
      <c r="N56" s="304">
        <f>$M56*'MWh Impact Summary'!F$15</f>
        <v>24396.04930776326</v>
      </c>
      <c r="O56" s="304">
        <f>$M56*'MWh Impact Summary'!G$15</f>
        <v>0</v>
      </c>
      <c r="P56" s="304">
        <f>$M56*'MWh Impact Summary'!H$15</f>
        <v>0</v>
      </c>
      <c r="Q56" s="320">
        <f>$D56*'MWh Impact Summary'!I$15</f>
        <v>342.6930811894876</v>
      </c>
      <c r="R56" s="304">
        <f>$M56*'MWh Impact Summary'!J$15</f>
        <v>2807.9072590403939</v>
      </c>
      <c r="S56" s="304">
        <f>$M56*'MWh Impact Summary'!K$15</f>
        <v>0</v>
      </c>
      <c r="T56" s="304">
        <f>$M56*'MWh Impact Summary'!L$15</f>
        <v>0</v>
      </c>
      <c r="U56" s="304">
        <f>$M56*'MWh Impact Summary'!M$15</f>
        <v>0</v>
      </c>
      <c r="V56" s="304">
        <f>$M56*'LED Impact Forecast'!$H$16+$D56*'LED Impact Forecast'!$J$16</f>
        <v>0</v>
      </c>
      <c r="W56" s="304">
        <f>$M56*'CFL Impact Forecast'!$H$16+$D56*'CFL Impact Forecast'!$J$16</f>
        <v>146216.97968767272</v>
      </c>
      <c r="X56" s="304">
        <f>$M56*'EISA Incand Impact Forecast'!$G$16+$D56*'EISA Incand Impact Forecast'!$I$16</f>
        <v>0</v>
      </c>
      <c r="Y56" s="85">
        <f t="shared" si="2"/>
        <v>173763.62933566587</v>
      </c>
      <c r="Z56" s="81">
        <f t="shared" si="11"/>
        <v>270746.08021208289</v>
      </c>
      <c r="AA56" s="81"/>
      <c r="AB56" s="81">
        <f>+'MWh by mo-WgtbyActulCDH&amp;Days'!AB56</f>
        <v>4502465</v>
      </c>
      <c r="AC56" s="308">
        <f t="shared" si="12"/>
        <v>60.132856160366124</v>
      </c>
      <c r="AD56" s="309">
        <f t="shared" si="3"/>
        <v>21.539856695480591</v>
      </c>
      <c r="AE56" s="107">
        <f t="shared" si="4"/>
        <v>1.92320149066791E-3</v>
      </c>
      <c r="AF56" s="309">
        <f t="shared" si="13"/>
        <v>38.592999464885544</v>
      </c>
      <c r="AG56" s="107">
        <f t="shared" si="5"/>
        <v>3.4458035236504952E-3</v>
      </c>
      <c r="AH56" s="119">
        <f t="shared" si="14"/>
        <v>5.3690050143184054E-3</v>
      </c>
      <c r="AI56" s="122">
        <f t="shared" si="6"/>
        <v>5.3690050143184046E-3</v>
      </c>
      <c r="AJ56" s="87" t="b">
        <f t="shared" si="15"/>
        <v>0</v>
      </c>
      <c r="AK56" s="88">
        <f t="shared" si="21"/>
        <v>1.0726886950225417E-3</v>
      </c>
      <c r="AL56" s="312">
        <f>+AC56/'MWh by month-WgtbyCDH&amp;DayLtHrs'!AC56-1</f>
        <v>3.4479942796442176E-2</v>
      </c>
      <c r="AM56" s="89">
        <f t="shared" si="8"/>
        <v>146216.97968767272</v>
      </c>
      <c r="AN56" s="93"/>
      <c r="AO56" s="96">
        <f t="shared" si="28"/>
        <v>32.47487313897448</v>
      </c>
      <c r="AP56" s="92">
        <f t="shared" si="27"/>
        <v>2.8995422445512935E-3</v>
      </c>
      <c r="AR56" s="94">
        <f t="shared" si="9"/>
        <v>5.3690050143184046E-3</v>
      </c>
      <c r="AS56" s="95">
        <v>279638.2946346883</v>
      </c>
      <c r="AU56" s="141">
        <v>60.132856160366124</v>
      </c>
    </row>
    <row r="57" spans="1:47">
      <c r="A57" s="78">
        <v>2009</v>
      </c>
      <c r="B57" s="78">
        <v>5</v>
      </c>
      <c r="C57" s="317">
        <v>205.55904412801459</v>
      </c>
      <c r="D57" s="318">
        <f t="shared" si="29"/>
        <v>0.10461807497044873</v>
      </c>
      <c r="E57" s="104">
        <f>$D57*'MWh Impact Summary'!B$15</f>
        <v>74215.961432159733</v>
      </c>
      <c r="F57" s="320">
        <f>$D57*'MWh Impact Summary'!N$15</f>
        <v>1785.8381913275332</v>
      </c>
      <c r="G57" s="320">
        <f>$D57*'MWh Impact Summary'!C$15</f>
        <v>58622.444914341533</v>
      </c>
      <c r="H57" s="320">
        <f>$D57*'MWh Impact Summary'!D$15</f>
        <v>0</v>
      </c>
      <c r="I57" s="320">
        <f>$D57*'MWh Impact Summary'!E$15</f>
        <v>27364.106031833795</v>
      </c>
      <c r="J57" s="104">
        <f t="shared" si="10"/>
        <v>161988.35056966261</v>
      </c>
      <c r="K57" s="298">
        <f t="shared" si="18"/>
        <v>10.533333333333333</v>
      </c>
      <c r="L57" s="299">
        <f>K57/(SUM(K$53:K$64))</f>
        <v>7.4152293793265281E-2</v>
      </c>
      <c r="M57" s="297">
        <f t="shared" si="31"/>
        <v>8.4931506849315067E-2</v>
      </c>
      <c r="N57" s="304">
        <f>$M57*'MWh Impact Summary'!F$15</f>
        <v>25209.25095135537</v>
      </c>
      <c r="O57" s="304">
        <f>$M57*'MWh Impact Summary'!G$15</f>
        <v>0</v>
      </c>
      <c r="P57" s="304">
        <f>$M57*'MWh Impact Summary'!H$15</f>
        <v>0</v>
      </c>
      <c r="Q57" s="320">
        <f>$D57*'MWh Impact Summary'!I$15</f>
        <v>572.39517533186347</v>
      </c>
      <c r="R57" s="304">
        <f>$M57*'MWh Impact Summary'!J$15</f>
        <v>2901.5041676750739</v>
      </c>
      <c r="S57" s="304">
        <f>$M57*'MWh Impact Summary'!K$15</f>
        <v>0</v>
      </c>
      <c r="T57" s="304">
        <f>$M57*'MWh Impact Summary'!L$15</f>
        <v>0</v>
      </c>
      <c r="U57" s="304">
        <f>$M57*'MWh Impact Summary'!M$15</f>
        <v>0</v>
      </c>
      <c r="V57" s="304">
        <f>$M57*'LED Impact Forecast'!$H$16+$D57*'LED Impact Forecast'!$J$16</f>
        <v>0</v>
      </c>
      <c r="W57" s="304">
        <f>$M57*'CFL Impact Forecast'!$H$16+$D57*'CFL Impact Forecast'!$J$16</f>
        <v>161619.43743225015</v>
      </c>
      <c r="X57" s="304">
        <f>$M57*'EISA Incand Impact Forecast'!$G$16+$D57*'EISA Incand Impact Forecast'!$I$16</f>
        <v>0</v>
      </c>
      <c r="Y57" s="85">
        <f t="shared" si="2"/>
        <v>190302.58772661246</v>
      </c>
      <c r="Z57" s="81">
        <f t="shared" si="11"/>
        <v>352290.9382962751</v>
      </c>
      <c r="AA57" s="81"/>
      <c r="AB57" s="81">
        <f>+'MWh by mo-WgtbyActulCDH&amp;Days'!AB57</f>
        <v>4499097</v>
      </c>
      <c r="AC57" s="308">
        <f t="shared" si="12"/>
        <v>78.302587896254536</v>
      </c>
      <c r="AD57" s="309">
        <f t="shared" si="3"/>
        <v>36.004636168027183</v>
      </c>
      <c r="AE57" s="107">
        <f t="shared" si="4"/>
        <v>3.4181616615215683E-3</v>
      </c>
      <c r="AF57" s="309">
        <f t="shared" si="13"/>
        <v>42.297951728227339</v>
      </c>
      <c r="AG57" s="107">
        <f t="shared" si="5"/>
        <v>4.0156283286291779E-3</v>
      </c>
      <c r="AH57" s="119">
        <f t="shared" si="14"/>
        <v>7.4337899901507458E-3</v>
      </c>
      <c r="AI57" s="122">
        <f t="shared" si="6"/>
        <v>7.4337899901507475E-3</v>
      </c>
      <c r="AJ57" s="87" t="b">
        <f t="shared" si="15"/>
        <v>1</v>
      </c>
      <c r="AK57" s="88">
        <f t="shared" si="21"/>
        <v>5.0661583869470762E-4</v>
      </c>
      <c r="AL57" s="312">
        <f>+AC57/'MWh by month-WgtbyCDH&amp;DayLtHrs'!AC57-1</f>
        <v>8.0447976522727505E-2</v>
      </c>
      <c r="AM57" s="89">
        <f t="shared" si="8"/>
        <v>161619.43743225015</v>
      </c>
      <c r="AN57" s="93"/>
      <c r="AO57" s="96">
        <f t="shared" si="28"/>
        <v>35.922639016729391</v>
      </c>
      <c r="AP57" s="92">
        <f t="shared" si="27"/>
        <v>3.4103771218413977E-3</v>
      </c>
      <c r="AR57" s="94">
        <f t="shared" si="9"/>
        <v>7.4337899901507475E-3</v>
      </c>
      <c r="AS57" s="95">
        <v>336203.57287137385</v>
      </c>
      <c r="AU57" s="141">
        <v>78.302587896254536</v>
      </c>
    </row>
    <row r="58" spans="1:47">
      <c r="A58" s="78">
        <v>2009</v>
      </c>
      <c r="B58" s="78">
        <v>6</v>
      </c>
      <c r="C58" s="317">
        <v>286.28501498299062</v>
      </c>
      <c r="D58" s="318">
        <f t="shared" si="29"/>
        <v>0.1457030863684812</v>
      </c>
      <c r="E58" s="104">
        <f>$D58*'MWh Impact Summary'!B$15</f>
        <v>103361.628872681</v>
      </c>
      <c r="F58" s="320">
        <f>$D58*'MWh Impact Summary'!N$15</f>
        <v>2487.16234077741</v>
      </c>
      <c r="G58" s="320">
        <f>$D58*'MWh Impact Summary'!C$15</f>
        <v>81644.315830687279</v>
      </c>
      <c r="H58" s="320">
        <f>$D58*'MWh Impact Summary'!D$15</f>
        <v>0</v>
      </c>
      <c r="I58" s="320">
        <f>$D58*'MWh Impact Summary'!E$15</f>
        <v>38110.381075916055</v>
      </c>
      <c r="J58" s="104">
        <f t="shared" si="10"/>
        <v>225603.48812006175</v>
      </c>
      <c r="K58" s="298">
        <f t="shared" si="18"/>
        <v>10.199999999999999</v>
      </c>
      <c r="L58" s="299">
        <f t="shared" si="30"/>
        <v>7.1805702217529022E-2</v>
      </c>
      <c r="M58" s="297">
        <f>(30/365)</f>
        <v>8.2191780821917804E-2</v>
      </c>
      <c r="N58" s="304">
        <f>$M58*'MWh Impact Summary'!F$15</f>
        <v>24396.04930776326</v>
      </c>
      <c r="O58" s="304">
        <f>$M58*'MWh Impact Summary'!G$15</f>
        <v>0</v>
      </c>
      <c r="P58" s="304">
        <f>$M58*'MWh Impact Summary'!H$15</f>
        <v>0</v>
      </c>
      <c r="Q58" s="320">
        <f>$D58*'MWh Impact Summary'!I$15</f>
        <v>797.18293126534991</v>
      </c>
      <c r="R58" s="304">
        <f>$M58*'MWh Impact Summary'!J$15</f>
        <v>2807.9072590403939</v>
      </c>
      <c r="S58" s="304">
        <f>$M58*'MWh Impact Summary'!K$15</f>
        <v>0</v>
      </c>
      <c r="T58" s="304">
        <f>$M58*'MWh Impact Summary'!L$15</f>
        <v>0</v>
      </c>
      <c r="U58" s="304">
        <f>$M58*'MWh Impact Summary'!M$15</f>
        <v>0</v>
      </c>
      <c r="V58" s="304">
        <f>$M58*'LED Impact Forecast'!$H$16+$D58*'LED Impact Forecast'!$J$16</f>
        <v>0</v>
      </c>
      <c r="W58" s="304">
        <f>$M58*'CFL Impact Forecast'!$H$16+$D58*'CFL Impact Forecast'!$J$16</f>
        <v>168139.02957021783</v>
      </c>
      <c r="X58" s="304">
        <f>$M58*'EISA Incand Impact Forecast'!$G$16+$D58*'EISA Incand Impact Forecast'!$I$16</f>
        <v>0</v>
      </c>
      <c r="Y58" s="85">
        <f t="shared" si="2"/>
        <v>196140.16906828684</v>
      </c>
      <c r="Z58" s="81">
        <f t="shared" si="11"/>
        <v>421743.65718834859</v>
      </c>
      <c r="AA58" s="81"/>
      <c r="AB58" s="81">
        <f>+'MWh by mo-WgtbyActulCDH&amp;Days'!AB58</f>
        <v>4497918</v>
      </c>
      <c r="AC58" s="308">
        <f t="shared" si="12"/>
        <v>93.764194275740152</v>
      </c>
      <c r="AD58" s="309">
        <f t="shared" si="3"/>
        <v>50.157314588674531</v>
      </c>
      <c r="AE58" s="107">
        <f t="shared" si="4"/>
        <v>4.9173837832033858E-3</v>
      </c>
      <c r="AF58" s="309">
        <f t="shared" si="13"/>
        <v>43.606879687065621</v>
      </c>
      <c r="AG58" s="107">
        <f t="shared" si="5"/>
        <v>4.2751842830456499E-3</v>
      </c>
      <c r="AH58" s="119">
        <f t="shared" si="14"/>
        <v>9.1925680662490357E-3</v>
      </c>
      <c r="AI58" s="122">
        <f t="shared" si="6"/>
        <v>9.192568066249034E-3</v>
      </c>
      <c r="AJ58" s="87" t="b">
        <f t="shared" si="15"/>
        <v>0</v>
      </c>
      <c r="AK58" s="88">
        <f t="shared" si="21"/>
        <v>1.36209508646307E-3</v>
      </c>
      <c r="AL58" s="312">
        <f>+AC58/'MWh by month-WgtbyCDH&amp;DayLtHrs'!AC58-1</f>
        <v>0.13739092831410193</v>
      </c>
      <c r="AM58" s="89">
        <f t="shared" si="8"/>
        <v>168139.02957021783</v>
      </c>
      <c r="AN58" s="93"/>
      <c r="AO58" s="96">
        <f t="shared" si="28"/>
        <v>37.381523978475776</v>
      </c>
      <c r="AP58" s="92">
        <f t="shared" si="27"/>
        <v>3.6648552920074289E-3</v>
      </c>
      <c r="AR58" s="94">
        <f t="shared" si="9"/>
        <v>9.192568066249034E-3</v>
      </c>
      <c r="AS58" s="95">
        <v>410391.3099683905</v>
      </c>
      <c r="AU58" s="141">
        <v>93.764194275740152</v>
      </c>
    </row>
    <row r="59" spans="1:47">
      <c r="A59" s="78">
        <v>2009</v>
      </c>
      <c r="B59" s="78">
        <v>7</v>
      </c>
      <c r="C59" s="317">
        <v>333.19100931503795</v>
      </c>
      <c r="D59" s="318">
        <f t="shared" si="29"/>
        <v>0.16957561823595543</v>
      </c>
      <c r="E59" s="104">
        <f>$D59*'MWh Impact Summary'!B$15</f>
        <v>120296.77994351581</v>
      </c>
      <c r="F59" s="320">
        <f>$D59*'MWh Impact Summary'!N$15</f>
        <v>2894.6682057501826</v>
      </c>
      <c r="G59" s="320">
        <f>$D59*'MWh Impact Summary'!C$15</f>
        <v>95021.222113489523</v>
      </c>
      <c r="H59" s="320">
        <f>$D59*'MWh Impact Summary'!D$15</f>
        <v>0</v>
      </c>
      <c r="I59" s="320">
        <f>$D59*'MWh Impact Summary'!E$15</f>
        <v>44354.526683206372</v>
      </c>
      <c r="J59" s="104">
        <f t="shared" si="10"/>
        <v>262567.19694596191</v>
      </c>
      <c r="K59" s="298">
        <f t="shared" si="18"/>
        <v>10.366666666666667</v>
      </c>
      <c r="L59" s="299">
        <f t="shared" si="30"/>
        <v>7.2978998005397158E-2</v>
      </c>
      <c r="M59" s="297">
        <f t="shared" si="31"/>
        <v>8.4931506849315067E-2</v>
      </c>
      <c r="N59" s="304">
        <f>$M59*'MWh Impact Summary'!F$15</f>
        <v>25209.25095135537</v>
      </c>
      <c r="O59" s="304">
        <f>$M59*'MWh Impact Summary'!G$15</f>
        <v>0</v>
      </c>
      <c r="P59" s="304">
        <f>$M59*'MWh Impact Summary'!H$15</f>
        <v>0</v>
      </c>
      <c r="Q59" s="320">
        <f>$D59*'MWh Impact Summary'!I$15</f>
        <v>927.7963273516209</v>
      </c>
      <c r="R59" s="304">
        <f>$M59*'MWh Impact Summary'!J$15</f>
        <v>2901.5041676750739</v>
      </c>
      <c r="S59" s="304">
        <f>$M59*'MWh Impact Summary'!K$15</f>
        <v>0</v>
      </c>
      <c r="T59" s="304">
        <f>$M59*'MWh Impact Summary'!L$15</f>
        <v>0</v>
      </c>
      <c r="U59" s="304">
        <f>$M59*'MWh Impact Summary'!M$15</f>
        <v>0</v>
      </c>
      <c r="V59" s="304">
        <f>$M59*'LED Impact Forecast'!$H$16+$D59*'LED Impact Forecast'!$J$16</f>
        <v>0</v>
      </c>
      <c r="W59" s="304">
        <f>$M59*'CFL Impact Forecast'!$H$16+$D59*'CFL Impact Forecast'!$J$16</f>
        <v>178762.0024017223</v>
      </c>
      <c r="X59" s="304">
        <f>$M59*'EISA Incand Impact Forecast'!$G$16+$D59*'EISA Incand Impact Forecast'!$I$16</f>
        <v>0</v>
      </c>
      <c r="Y59" s="85">
        <f t="shared" si="2"/>
        <v>207800.55384810438</v>
      </c>
      <c r="Z59" s="81">
        <f t="shared" si="11"/>
        <v>470367.75079406629</v>
      </c>
      <c r="AA59" s="81"/>
      <c r="AB59" s="81">
        <f>+'MWh by mo-WgtbyActulCDH&amp;Days'!AB59</f>
        <v>4498393</v>
      </c>
      <c r="AC59" s="308">
        <f t="shared" si="12"/>
        <v>104.56350763351853</v>
      </c>
      <c r="AD59" s="309">
        <f t="shared" si="3"/>
        <v>58.369110245805985</v>
      </c>
      <c r="AE59" s="107">
        <f t="shared" si="4"/>
        <v>5.6304607954153676E-3</v>
      </c>
      <c r="AF59" s="309">
        <f t="shared" si="13"/>
        <v>46.194397387712542</v>
      </c>
      <c r="AG59" s="107">
        <f t="shared" si="5"/>
        <v>4.4560511949561935E-3</v>
      </c>
      <c r="AH59" s="119">
        <f t="shared" si="14"/>
        <v>1.0086511990371562E-2</v>
      </c>
      <c r="AI59" s="122">
        <f t="shared" si="6"/>
        <v>1.0086511990371562E-2</v>
      </c>
      <c r="AJ59" s="87" t="b">
        <f t="shared" si="15"/>
        <v>1</v>
      </c>
      <c r="AK59" s="88">
        <f t="shared" si="21"/>
        <v>2.1503448889146157E-3</v>
      </c>
      <c r="AL59" s="312">
        <f>+AC59/'MWh by month-WgtbyCDH&amp;DayLtHrs'!AC59-1</f>
        <v>0.13835445424128623</v>
      </c>
      <c r="AM59" s="89">
        <f t="shared" si="8"/>
        <v>178762.0024017223</v>
      </c>
      <c r="AN59" s="93"/>
      <c r="AO59" s="96">
        <f t="shared" si="28"/>
        <v>39.73908068986465</v>
      </c>
      <c r="AP59" s="92">
        <f t="shared" si="27"/>
        <v>3.8333518350351752E-3</v>
      </c>
      <c r="AR59" s="94">
        <f t="shared" si="9"/>
        <v>1.0086511990371562E-2</v>
      </c>
      <c r="AS59" s="95">
        <v>431665.33151051996</v>
      </c>
      <c r="AU59" s="141">
        <v>104.56350763351853</v>
      </c>
    </row>
    <row r="60" spans="1:47">
      <c r="A60" s="78">
        <v>2009</v>
      </c>
      <c r="B60" s="78">
        <v>8</v>
      </c>
      <c r="C60" s="317">
        <v>358.89720244871319</v>
      </c>
      <c r="D60" s="318">
        <f t="shared" si="29"/>
        <v>0.18265863509795666</v>
      </c>
      <c r="E60" s="104">
        <f>$D60*'MWh Impact Summary'!B$15</f>
        <v>129577.85948087918</v>
      </c>
      <c r="F60" s="320">
        <f>$D60*'MWh Impact Summary'!N$15</f>
        <v>3117.996260453383</v>
      </c>
      <c r="G60" s="320">
        <f>$D60*'MWh Impact Summary'!C$15</f>
        <v>102352.25392154668</v>
      </c>
      <c r="H60" s="320">
        <f>$D60*'MWh Impact Summary'!D$15</f>
        <v>0</v>
      </c>
      <c r="I60" s="320">
        <f>$D60*'MWh Impact Summary'!E$15</f>
        <v>47776.545877587421</v>
      </c>
      <c r="J60" s="104">
        <f t="shared" si="10"/>
        <v>282824.65554046666</v>
      </c>
      <c r="K60" s="298">
        <f t="shared" si="18"/>
        <v>10.933333333333334</v>
      </c>
      <c r="L60" s="299">
        <f t="shared" si="30"/>
        <v>7.6968203684148764E-2</v>
      </c>
      <c r="M60" s="297">
        <f t="shared" si="31"/>
        <v>8.4931506849315067E-2</v>
      </c>
      <c r="N60" s="304">
        <f>$M60*'MWh Impact Summary'!F$15</f>
        <v>25209.25095135537</v>
      </c>
      <c r="O60" s="304">
        <f>$M60*'MWh Impact Summary'!G$15</f>
        <v>0</v>
      </c>
      <c r="P60" s="304">
        <f>$M60*'MWh Impact Summary'!H$15</f>
        <v>0</v>
      </c>
      <c r="Q60" s="320">
        <f>$D60*'MWh Impact Summary'!I$15</f>
        <v>999.37722513348331</v>
      </c>
      <c r="R60" s="304">
        <f>$M60*'MWh Impact Summary'!J$15</f>
        <v>2901.5041676750739</v>
      </c>
      <c r="S60" s="304">
        <f>$M60*'MWh Impact Summary'!K$15</f>
        <v>0</v>
      </c>
      <c r="T60" s="304">
        <f>$M60*'MWh Impact Summary'!L$15</f>
        <v>0</v>
      </c>
      <c r="U60" s="304">
        <f>$M60*'MWh Impact Summary'!M$15</f>
        <v>0</v>
      </c>
      <c r="V60" s="304">
        <f>$M60*'LED Impact Forecast'!$H$16+$D60*'LED Impact Forecast'!$J$16</f>
        <v>0</v>
      </c>
      <c r="W60" s="304">
        <f>$M60*'CFL Impact Forecast'!$H$16+$D60*'CFL Impact Forecast'!$J$16</f>
        <v>182214.66479132115</v>
      </c>
      <c r="X60" s="304">
        <f>$M60*'EISA Incand Impact Forecast'!$G$16+$D60*'EISA Incand Impact Forecast'!$I$16</f>
        <v>0</v>
      </c>
      <c r="Y60" s="85">
        <f t="shared" si="2"/>
        <v>211324.79713548507</v>
      </c>
      <c r="Z60" s="81">
        <f t="shared" si="11"/>
        <v>494149.45267595176</v>
      </c>
      <c r="AA60" s="81"/>
      <c r="AB60" s="81">
        <f>+'MWh by mo-WgtbyActulCDH&amp;Days'!AB60</f>
        <v>4498960</v>
      </c>
      <c r="AC60" s="308">
        <f t="shared" si="12"/>
        <v>109.83637388995496</v>
      </c>
      <c r="AD60" s="309">
        <f t="shared" si="3"/>
        <v>62.864452126817454</v>
      </c>
      <c r="AE60" s="107">
        <f t="shared" si="4"/>
        <v>5.7497974506235472E-3</v>
      </c>
      <c r="AF60" s="309">
        <f t="shared" si="13"/>
        <v>46.971921763137502</v>
      </c>
      <c r="AG60" s="107">
        <f t="shared" si="5"/>
        <v>4.2962123563845276E-3</v>
      </c>
      <c r="AH60" s="119">
        <f t="shared" si="14"/>
        <v>1.0046009807008075E-2</v>
      </c>
      <c r="AI60" s="122">
        <f t="shared" si="6"/>
        <v>1.0046009807008075E-2</v>
      </c>
      <c r="AJ60" s="87" t="b">
        <f t="shared" si="15"/>
        <v>1</v>
      </c>
      <c r="AK60" s="88">
        <f t="shared" si="21"/>
        <v>1.8586462346624495E-3</v>
      </c>
      <c r="AL60" s="312">
        <f>+AC60/'MWh by month-WgtbyCDH&amp;DayLtHrs'!AC60-1</f>
        <v>0.16273892877150886</v>
      </c>
      <c r="AM60" s="89">
        <f t="shared" si="8"/>
        <v>182214.66479132115</v>
      </c>
      <c r="AN60" s="93"/>
      <c r="AO60" s="96">
        <f t="shared" si="28"/>
        <v>40.501508079938731</v>
      </c>
      <c r="AP60" s="92">
        <f t="shared" si="27"/>
        <v>3.7044062268236644E-3</v>
      </c>
      <c r="AR60" s="94">
        <f t="shared" si="9"/>
        <v>1.0046009807008075E-2</v>
      </c>
      <c r="AS60" s="95">
        <v>448779.68352140411</v>
      </c>
      <c r="AU60" s="141">
        <v>109.83637388995496</v>
      </c>
    </row>
    <row r="61" spans="1:47">
      <c r="A61" s="78">
        <v>2009</v>
      </c>
      <c r="B61" s="78">
        <v>9</v>
      </c>
      <c r="C61" s="317">
        <v>293.17953447835237</v>
      </c>
      <c r="D61" s="318">
        <f t="shared" si="29"/>
        <v>0.14921201179918023</v>
      </c>
      <c r="E61" s="104">
        <f>$D61*'MWh Impact Summary'!B$15</f>
        <v>105850.85718725898</v>
      </c>
      <c r="F61" s="320">
        <f>$D61*'MWh Impact Summary'!N$15</f>
        <v>2547.0599545160758</v>
      </c>
      <c r="G61" s="320">
        <f>$D61*'MWh Impact Summary'!C$15</f>
        <v>83610.532355200761</v>
      </c>
      <c r="H61" s="320">
        <f>$D61*'MWh Impact Summary'!D$15</f>
        <v>0</v>
      </c>
      <c r="I61" s="320">
        <f>$D61*'MWh Impact Summary'!E$15</f>
        <v>39028.18239820734</v>
      </c>
      <c r="J61" s="104">
        <f t="shared" si="10"/>
        <v>231036.63189518315</v>
      </c>
      <c r="K61" s="298">
        <f t="shared" si="18"/>
        <v>11.683333333333334</v>
      </c>
      <c r="L61" s="299">
        <f t="shared" si="30"/>
        <v>8.2248034729555317E-2</v>
      </c>
      <c r="M61" s="297">
        <f>(30/365)</f>
        <v>8.2191780821917804E-2</v>
      </c>
      <c r="N61" s="304">
        <f>$M61*'MWh Impact Summary'!F$15</f>
        <v>24396.04930776326</v>
      </c>
      <c r="O61" s="304">
        <f>$M61*'MWh Impact Summary'!G$15</f>
        <v>0</v>
      </c>
      <c r="P61" s="304">
        <f>$M61*'MWh Impact Summary'!H$15</f>
        <v>0</v>
      </c>
      <c r="Q61" s="320">
        <f>$D61*'MWh Impact Summary'!I$15</f>
        <v>816.38125801432454</v>
      </c>
      <c r="R61" s="304">
        <f>$M61*'MWh Impact Summary'!J$15</f>
        <v>2807.9072590403939</v>
      </c>
      <c r="S61" s="304">
        <f>$M61*'MWh Impact Summary'!K$15</f>
        <v>0</v>
      </c>
      <c r="T61" s="304">
        <f>$M61*'MWh Impact Summary'!L$15</f>
        <v>0</v>
      </c>
      <c r="U61" s="304">
        <f>$M61*'MWh Impact Summary'!M$15</f>
        <v>0</v>
      </c>
      <c r="V61" s="304">
        <f>$M61*'LED Impact Forecast'!$H$16+$D61*'LED Impact Forecast'!$J$16</f>
        <v>0</v>
      </c>
      <c r="W61" s="304">
        <f>$M61*'CFL Impact Forecast'!$H$16+$D61*'CFL Impact Forecast'!$J$16</f>
        <v>169065.04953872133</v>
      </c>
      <c r="X61" s="304">
        <f>$M61*'EISA Incand Impact Forecast'!$G$16+$D61*'EISA Incand Impact Forecast'!$I$16</f>
        <v>0</v>
      </c>
      <c r="Y61" s="85">
        <f t="shared" si="2"/>
        <v>197085.38736353931</v>
      </c>
      <c r="Z61" s="81">
        <f t="shared" si="11"/>
        <v>428122.01925872243</v>
      </c>
      <c r="AA61" s="81"/>
      <c r="AB61" s="81">
        <f>+'MWh by mo-WgtbyActulCDH&amp;Days'!AB61</f>
        <v>4495923</v>
      </c>
      <c r="AC61" s="308">
        <f t="shared" si="12"/>
        <v>95.224499898846673</v>
      </c>
      <c r="AD61" s="309">
        <f t="shared" si="3"/>
        <v>51.388031310852774</v>
      </c>
      <c r="AE61" s="107">
        <f t="shared" si="4"/>
        <v>4.3984049624125054E-3</v>
      </c>
      <c r="AF61" s="309">
        <f t="shared" si="13"/>
        <v>43.836468587993899</v>
      </c>
      <c r="AG61" s="107">
        <f t="shared" si="5"/>
        <v>3.7520515196571096E-3</v>
      </c>
      <c r="AH61" s="119">
        <f t="shared" si="14"/>
        <v>8.1504564820696155E-3</v>
      </c>
      <c r="AI61" s="122">
        <f t="shared" si="6"/>
        <v>8.1504564820696138E-3</v>
      </c>
      <c r="AJ61" s="87" t="b">
        <f t="shared" si="15"/>
        <v>0</v>
      </c>
      <c r="AK61" s="88">
        <f t="shared" si="21"/>
        <v>1.0509715743419433E-3</v>
      </c>
      <c r="AL61" s="312">
        <f>+AC61/'MWh by month-WgtbyCDH&amp;DayLtHrs'!AC61-1</f>
        <v>7.5618693018689287E-2</v>
      </c>
      <c r="AM61" s="89">
        <f t="shared" si="8"/>
        <v>169065.04953872133</v>
      </c>
      <c r="AN61" s="93"/>
      <c r="AO61" s="96">
        <f t="shared" si="28"/>
        <v>37.604080305361393</v>
      </c>
      <c r="AP61" s="92">
        <f t="shared" si="27"/>
        <v>3.2186088706443418E-3</v>
      </c>
      <c r="AR61" s="94">
        <f t="shared" si="9"/>
        <v>8.1504564820696138E-3</v>
      </c>
      <c r="AS61" s="95">
        <v>424214.99137736217</v>
      </c>
      <c r="AU61" s="141">
        <v>95.224499898846673</v>
      </c>
    </row>
    <row r="62" spans="1:47">
      <c r="A62" s="78">
        <v>2009</v>
      </c>
      <c r="B62" s="78">
        <v>10</v>
      </c>
      <c r="C62" s="317">
        <v>264.36692505127553</v>
      </c>
      <c r="D62" s="318">
        <f t="shared" si="29"/>
        <v>0.13454800250723697</v>
      </c>
      <c r="E62" s="104">
        <f>$D62*'MWh Impact Summary'!B$15</f>
        <v>95448.223145683442</v>
      </c>
      <c r="F62" s="320">
        <f>$D62*'MWh Impact Summary'!N$15</f>
        <v>2296.7442434027598</v>
      </c>
      <c r="G62" s="320">
        <f>$D62*'MWh Impact Summary'!C$15</f>
        <v>75393.595872827544</v>
      </c>
      <c r="H62" s="320">
        <f>$D62*'MWh Impact Summary'!D$15</f>
        <v>0</v>
      </c>
      <c r="I62" s="320">
        <f>$D62*'MWh Impact Summary'!E$15</f>
        <v>35192.635766041945</v>
      </c>
      <c r="J62" s="104">
        <f t="shared" si="10"/>
        <v>208331.19902795571</v>
      </c>
      <c r="K62" s="298">
        <f t="shared" si="18"/>
        <v>12.466666666666667</v>
      </c>
      <c r="L62" s="299">
        <f t="shared" si="30"/>
        <v>8.7762524932535488E-2</v>
      </c>
      <c r="M62" s="297">
        <f t="shared" si="31"/>
        <v>8.4931506849315067E-2</v>
      </c>
      <c r="N62" s="304">
        <f>$M62*'MWh Impact Summary'!F$15</f>
        <v>25209.25095135537</v>
      </c>
      <c r="O62" s="304">
        <f>$M62*'MWh Impact Summary'!G$15</f>
        <v>0</v>
      </c>
      <c r="P62" s="304">
        <f>$M62*'MWh Impact Summary'!H$15</f>
        <v>0</v>
      </c>
      <c r="Q62" s="320">
        <f>$D62*'MWh Impact Summary'!I$15</f>
        <v>736.15030201460024</v>
      </c>
      <c r="R62" s="304">
        <f>$M62*'MWh Impact Summary'!J$15</f>
        <v>2901.5041676750739</v>
      </c>
      <c r="S62" s="304">
        <f>$M62*'MWh Impact Summary'!K$15</f>
        <v>0</v>
      </c>
      <c r="T62" s="304">
        <f>$M62*'MWh Impact Summary'!L$15</f>
        <v>0</v>
      </c>
      <c r="U62" s="304">
        <f>$M62*'MWh Impact Summary'!M$15</f>
        <v>0</v>
      </c>
      <c r="V62" s="304">
        <f>$M62*'LED Impact Forecast'!$H$16+$D62*'LED Impact Forecast'!$J$16</f>
        <v>0</v>
      </c>
      <c r="W62" s="304">
        <f>$M62*'CFL Impact Forecast'!$H$16+$D62*'CFL Impact Forecast'!$J$16</f>
        <v>169518.06939303485</v>
      </c>
      <c r="X62" s="304">
        <f>$M62*'EISA Incand Impact Forecast'!$G$16+$D62*'EISA Incand Impact Forecast'!$I$16</f>
        <v>0</v>
      </c>
      <c r="Y62" s="85">
        <f t="shared" si="2"/>
        <v>198364.97481407991</v>
      </c>
      <c r="Z62" s="81">
        <f t="shared" si="11"/>
        <v>406696.17384203558</v>
      </c>
      <c r="AA62" s="81"/>
      <c r="AB62" s="81">
        <f>+'MWh by mo-WgtbyActulCDH&amp;Days'!AB62</f>
        <v>4495215</v>
      </c>
      <c r="AC62" s="308">
        <f t="shared" si="12"/>
        <v>90.473130616007381</v>
      </c>
      <c r="AD62" s="309">
        <f t="shared" si="3"/>
        <v>46.345102298322928</v>
      </c>
      <c r="AE62" s="107">
        <f t="shared" si="4"/>
        <v>3.7175215747317857E-3</v>
      </c>
      <c r="AF62" s="309">
        <f t="shared" si="13"/>
        <v>44.128028317684453</v>
      </c>
      <c r="AG62" s="107">
        <f t="shared" si="5"/>
        <v>3.5396814158570418E-3</v>
      </c>
      <c r="AH62" s="119">
        <f t="shared" si="14"/>
        <v>7.257202990588827E-3</v>
      </c>
      <c r="AI62" s="122">
        <f t="shared" si="6"/>
        <v>7.257202990588827E-3</v>
      </c>
      <c r="AJ62" s="87" t="b">
        <f t="shared" si="15"/>
        <v>1</v>
      </c>
      <c r="AK62" s="88">
        <f t="shared" si="21"/>
        <v>2.3452789781840677E-3</v>
      </c>
      <c r="AL62" s="312">
        <f>+AC62/'MWh by month-WgtbyCDH&amp;DayLtHrs'!AC62-1</f>
        <v>0.16995843212553297</v>
      </c>
      <c r="AM62" s="89">
        <f t="shared" si="8"/>
        <v>169518.06939303485</v>
      </c>
      <c r="AN62" s="93"/>
      <c r="AO62" s="96">
        <f t="shared" si="28"/>
        <v>37.710781218036253</v>
      </c>
      <c r="AP62" s="92">
        <f t="shared" si="27"/>
        <v>3.0249289747087903E-3</v>
      </c>
      <c r="AR62" s="94">
        <f t="shared" si="9"/>
        <v>7.257202990588827E-3</v>
      </c>
      <c r="AS62" s="95">
        <v>341701.86044827267</v>
      </c>
      <c r="AU62" s="141">
        <v>90.473130616007381</v>
      </c>
    </row>
    <row r="63" spans="1:47">
      <c r="A63" s="78">
        <v>2009</v>
      </c>
      <c r="B63" s="78">
        <v>11</v>
      </c>
      <c r="C63" s="317">
        <v>100.30513597769693</v>
      </c>
      <c r="D63" s="318">
        <f t="shared" si="29"/>
        <v>5.1049713137898439E-2</v>
      </c>
      <c r="E63" s="104">
        <f>$D63*'MWh Impact Summary'!B$15</f>
        <v>36214.617239279891</v>
      </c>
      <c r="F63" s="320">
        <f>$D63*'MWh Impact Summary'!N$15</f>
        <v>871.42233695014556</v>
      </c>
      <c r="G63" s="320">
        <f>$D63*'MWh Impact Summary'!C$15</f>
        <v>28605.563590849091</v>
      </c>
      <c r="H63" s="320">
        <f>$D63*'MWh Impact Summary'!D$15</f>
        <v>0</v>
      </c>
      <c r="I63" s="320">
        <f>$D63*'MWh Impact Summary'!E$15</f>
        <v>13352.661703962147</v>
      </c>
      <c r="J63" s="104">
        <f t="shared" si="10"/>
        <v>79044.264871041276</v>
      </c>
      <c r="K63" s="298">
        <f t="shared" si="18"/>
        <v>13.15</v>
      </c>
      <c r="L63" s="299">
        <f t="shared" si="30"/>
        <v>9.2573037662794788E-2</v>
      </c>
      <c r="M63" s="297">
        <f>(30/365)</f>
        <v>8.2191780821917804E-2</v>
      </c>
      <c r="N63" s="304">
        <f>$M63*'MWh Impact Summary'!F$15</f>
        <v>24396.04930776326</v>
      </c>
      <c r="O63" s="304">
        <f>$M63*'MWh Impact Summary'!G$15</f>
        <v>0</v>
      </c>
      <c r="P63" s="304">
        <f>$M63*'MWh Impact Summary'!H$15</f>
        <v>0</v>
      </c>
      <c r="Q63" s="320">
        <f>$D63*'MWh Impact Summary'!I$15</f>
        <v>279.30746680688401</v>
      </c>
      <c r="R63" s="304">
        <f>$M63*'MWh Impact Summary'!J$15</f>
        <v>2807.9072590403939</v>
      </c>
      <c r="S63" s="304">
        <f>$M63*'MWh Impact Summary'!K$15</f>
        <v>0</v>
      </c>
      <c r="T63" s="304">
        <f>$M63*'MWh Impact Summary'!L$15</f>
        <v>0</v>
      </c>
      <c r="U63" s="304">
        <f>$M63*'MWh Impact Summary'!M$15</f>
        <v>0</v>
      </c>
      <c r="V63" s="304">
        <f>$M63*'LED Impact Forecast'!$H$16+$D63*'LED Impact Forecast'!$J$16</f>
        <v>0</v>
      </c>
      <c r="W63" s="304">
        <f>$M63*'CFL Impact Forecast'!$H$16+$D63*'CFL Impact Forecast'!$J$16</f>
        <v>143159.61195966016</v>
      </c>
      <c r="X63" s="304">
        <f>$M63*'EISA Incand Impact Forecast'!$G$16+$D63*'EISA Incand Impact Forecast'!$I$16</f>
        <v>0</v>
      </c>
      <c r="Y63" s="85">
        <f t="shared" si="2"/>
        <v>170642.87599327072</v>
      </c>
      <c r="Z63" s="81">
        <f t="shared" si="11"/>
        <v>249687.14086431201</v>
      </c>
      <c r="AA63" s="81"/>
      <c r="AB63" s="81">
        <f>+'MWh by mo-WgtbyActulCDH&amp;Days'!AB63</f>
        <v>4498782</v>
      </c>
      <c r="AC63" s="308">
        <f t="shared" si="12"/>
        <v>55.501053588351695</v>
      </c>
      <c r="AD63" s="309">
        <f t="shared" si="3"/>
        <v>17.570147846915294</v>
      </c>
      <c r="AE63" s="107">
        <f t="shared" si="4"/>
        <v>1.3361329161152313E-3</v>
      </c>
      <c r="AF63" s="309">
        <f t="shared" si="13"/>
        <v>37.930905741436398</v>
      </c>
      <c r="AG63" s="107">
        <f t="shared" si="5"/>
        <v>2.8844795240636043E-3</v>
      </c>
      <c r="AH63" s="119">
        <f t="shared" si="14"/>
        <v>4.2206124401788355E-3</v>
      </c>
      <c r="AI63" s="122">
        <f t="shared" si="6"/>
        <v>4.2206124401788355E-3</v>
      </c>
      <c r="AJ63" s="87" t="b">
        <f t="shared" si="15"/>
        <v>1</v>
      </c>
      <c r="AK63" s="88">
        <f t="shared" si="21"/>
        <v>1.3268142049461893E-3</v>
      </c>
      <c r="AL63" s="312">
        <f>+AC63/'MWh by month-WgtbyCDH&amp;DayLtHrs'!AC63-1</f>
        <v>-4.9879644862857231E-2</v>
      </c>
      <c r="AM63" s="89">
        <f t="shared" si="8"/>
        <v>143159.61195966016</v>
      </c>
      <c r="AN63" s="93"/>
      <c r="AO63" s="96">
        <f t="shared" si="28"/>
        <v>31.82186021897931</v>
      </c>
      <c r="AP63" s="92">
        <f t="shared" si="27"/>
        <v>2.4199133246372096E-3</v>
      </c>
      <c r="AR63" s="94">
        <f t="shared" si="9"/>
        <v>4.2206124401788355E-3</v>
      </c>
      <c r="AS63" s="95">
        <v>263250.27865551104</v>
      </c>
      <c r="AU63" s="141">
        <v>55.501053588351695</v>
      </c>
    </row>
    <row r="64" spans="1:47">
      <c r="A64" s="78">
        <v>2009</v>
      </c>
      <c r="B64" s="78">
        <v>12</v>
      </c>
      <c r="C64" s="317">
        <v>0</v>
      </c>
      <c r="D64" s="318">
        <f t="shared" si="29"/>
        <v>0</v>
      </c>
      <c r="E64" s="104">
        <f>$D64*'MWh Impact Summary'!B$15</f>
        <v>0</v>
      </c>
      <c r="F64" s="320">
        <f>$D64*'MWh Impact Summary'!N$15</f>
        <v>0</v>
      </c>
      <c r="G64" s="320">
        <f>$D64*'MWh Impact Summary'!C$15</f>
        <v>0</v>
      </c>
      <c r="H64" s="320">
        <f>$D64*'MWh Impact Summary'!D$15</f>
        <v>0</v>
      </c>
      <c r="I64" s="320">
        <f>$D64*'MWh Impact Summary'!E$15</f>
        <v>0</v>
      </c>
      <c r="J64" s="104">
        <f t="shared" si="10"/>
        <v>0</v>
      </c>
      <c r="K64" s="298">
        <f t="shared" si="18"/>
        <v>13.483333333333333</v>
      </c>
      <c r="L64" s="299">
        <f t="shared" si="30"/>
        <v>9.491962923853102E-2</v>
      </c>
      <c r="M64" s="297">
        <f t="shared" si="31"/>
        <v>8.4931506849315067E-2</v>
      </c>
      <c r="N64" s="304">
        <f>$M64*'MWh Impact Summary'!F$15</f>
        <v>25209.25095135537</v>
      </c>
      <c r="O64" s="304">
        <f>$M64*'MWh Impact Summary'!G$15</f>
        <v>0</v>
      </c>
      <c r="P64" s="304">
        <f>$M64*'MWh Impact Summary'!H$15</f>
        <v>0</v>
      </c>
      <c r="Q64" s="320">
        <f>$D64*'MWh Impact Summary'!I$15</f>
        <v>0</v>
      </c>
      <c r="R64" s="304">
        <f>$M64*'MWh Impact Summary'!J$15</f>
        <v>2901.5041676750739</v>
      </c>
      <c r="S64" s="304">
        <f>$M64*'MWh Impact Summary'!K$15</f>
        <v>0</v>
      </c>
      <c r="T64" s="304">
        <f>$M64*'MWh Impact Summary'!L$15</f>
        <v>0</v>
      </c>
      <c r="U64" s="304">
        <f>$M64*'MWh Impact Summary'!M$15</f>
        <v>0</v>
      </c>
      <c r="V64" s="304">
        <f>$M64*'LED Impact Forecast'!$H$16+$D64*'LED Impact Forecast'!$J$16</f>
        <v>0</v>
      </c>
      <c r="W64" s="304">
        <f>$M64*'CFL Impact Forecast'!$H$16+$D64*'CFL Impact Forecast'!$J$16</f>
        <v>134010.29372077063</v>
      </c>
      <c r="X64" s="304">
        <f>$M64*'EISA Incand Impact Forecast'!$G$16+$D64*'EISA Incand Impact Forecast'!$I$16</f>
        <v>0</v>
      </c>
      <c r="Y64" s="85">
        <f t="shared" si="2"/>
        <v>162121.04883980108</v>
      </c>
      <c r="Z64" s="81">
        <f t="shared" si="11"/>
        <v>162121.04883980108</v>
      </c>
      <c r="AA64" s="81">
        <f>SUM(Z53:Z64)</f>
        <v>3726598.2747323085</v>
      </c>
      <c r="AB64" s="81">
        <f>+'MWh by mo-WgtbyActulCDH&amp;Days'!AB64</f>
        <v>4498596</v>
      </c>
      <c r="AC64" s="308">
        <f t="shared" si="12"/>
        <v>36.038143642994633</v>
      </c>
      <c r="AD64" s="309">
        <f t="shared" si="3"/>
        <v>0</v>
      </c>
      <c r="AE64" s="107">
        <f t="shared" si="4"/>
        <v>0</v>
      </c>
      <c r="AF64" s="309">
        <f t="shared" si="13"/>
        <v>36.038143642994633</v>
      </c>
      <c r="AG64" s="107">
        <f t="shared" si="5"/>
        <v>2.6727918647462029E-3</v>
      </c>
      <c r="AH64" s="119">
        <f t="shared" si="14"/>
        <v>2.6727918647462029E-3</v>
      </c>
      <c r="AI64" s="122">
        <f t="shared" si="6"/>
        <v>2.6727918647462029E-3</v>
      </c>
      <c r="AJ64" s="87" t="b">
        <f t="shared" si="15"/>
        <v>1</v>
      </c>
      <c r="AK64" s="88">
        <f t="shared" si="21"/>
        <v>5.3209381081618977E-4</v>
      </c>
      <c r="AL64" s="312">
        <f>+AC64/'MWh by month-WgtbyCDH&amp;DayLtHrs'!AC64-1</f>
        <v>-0.3241311491660287</v>
      </c>
      <c r="AM64" s="89">
        <f t="shared" si="8"/>
        <v>134010.29372077063</v>
      </c>
      <c r="AN64" s="90">
        <f>SUM(AM53:AM64)</f>
        <v>1841767.2815556729</v>
      </c>
      <c r="AO64" s="96">
        <f t="shared" si="28"/>
        <v>29.789359551462418</v>
      </c>
      <c r="AP64" s="92">
        <f t="shared" si="27"/>
        <v>2.2093468146943697E-3</v>
      </c>
      <c r="AR64" s="94">
        <f t="shared" si="9"/>
        <v>2.6727918647462029E-3</v>
      </c>
      <c r="AS64" s="95">
        <v>217032.35405401044</v>
      </c>
      <c r="AU64" s="141">
        <v>36.038143642994633</v>
      </c>
    </row>
    <row r="65" spans="1:47">
      <c r="A65" s="78">
        <v>2010</v>
      </c>
      <c r="B65" s="78">
        <v>1</v>
      </c>
      <c r="C65" s="317">
        <v>0</v>
      </c>
      <c r="D65" s="318">
        <f t="shared" ref="D65:D76" si="32">C65/(SUM(C$65:C$76))</f>
        <v>0</v>
      </c>
      <c r="E65" s="321">
        <f>$D65*'MWh Impact Summary'!B$16</f>
        <v>0</v>
      </c>
      <c r="F65" s="319">
        <f>$D65*'MWh Impact Summary'!N$16</f>
        <v>0</v>
      </c>
      <c r="G65" s="319">
        <f>$D65*'MWh Impact Summary'!C$16</f>
        <v>0</v>
      </c>
      <c r="H65" s="319">
        <f>$D65*'MWh Impact Summary'!D$16</f>
        <v>0</v>
      </c>
      <c r="I65" s="319">
        <f>$D65*'MWh Impact Summary'!E$16</f>
        <v>0</v>
      </c>
      <c r="J65" s="104">
        <f t="shared" si="10"/>
        <v>0</v>
      </c>
      <c r="K65" s="298">
        <f t="shared" si="18"/>
        <v>13.3</v>
      </c>
      <c r="L65" s="299">
        <f t="shared" ref="L65:L76" si="33">K65/(SUM(K$65:K$76))</f>
        <v>9.3629003871876101E-2</v>
      </c>
      <c r="M65" s="297">
        <f>(31/365)</f>
        <v>8.4931506849315067E-2</v>
      </c>
      <c r="N65" s="304">
        <f>$M65*'MWh Impact Summary'!F$16</f>
        <v>32751.921227896411</v>
      </c>
      <c r="O65" s="304">
        <f>$M65*'MWh Impact Summary'!G$16</f>
        <v>0</v>
      </c>
      <c r="P65" s="304">
        <f>$M65*'MWh Impact Summary'!H$16</f>
        <v>629.02008129806632</v>
      </c>
      <c r="Q65" s="320">
        <f>$D65*'MWh Impact Summary'!I$16</f>
        <v>0</v>
      </c>
      <c r="R65" s="304">
        <f>$M65*'MWh Impact Summary'!J$16</f>
        <v>5891.6079990401058</v>
      </c>
      <c r="S65" s="304">
        <f>$M65*'MWh Impact Summary'!K$16</f>
        <v>0</v>
      </c>
      <c r="T65" s="304">
        <f>$M65*'MWh Impact Summary'!L$16</f>
        <v>0</v>
      </c>
      <c r="U65" s="304">
        <f>$M65*'MWh Impact Summary'!M$16</f>
        <v>0</v>
      </c>
      <c r="V65" s="304">
        <f>$M65*'LED Impact Forecast'!$H$17+$D65*'LED Impact Forecast'!$J$17</f>
        <v>0</v>
      </c>
      <c r="W65" s="304">
        <f>$M65*'CFL Impact Forecast'!$H$17+$D65*'CFL Impact Forecast'!$J$17</f>
        <v>155792.8085141617</v>
      </c>
      <c r="X65" s="304">
        <f>$M65*'EISA Incand Impact Forecast'!$G$17+$D65*'EISA Incand Impact Forecast'!$I$17</f>
        <v>0</v>
      </c>
      <c r="Y65" s="85">
        <f t="shared" si="2"/>
        <v>195065.3578223963</v>
      </c>
      <c r="Z65" s="81">
        <f t="shared" si="11"/>
        <v>195065.3578223963</v>
      </c>
      <c r="AA65" s="81"/>
      <c r="AB65" s="81">
        <f>+'MWh by mo-WgtbyActulCDH&amp;Days'!AB65</f>
        <v>4502130</v>
      </c>
      <c r="AC65" s="308">
        <f t="shared" si="12"/>
        <v>43.327349015331926</v>
      </c>
      <c r="AD65" s="309">
        <f t="shared" si="3"/>
        <v>0</v>
      </c>
      <c r="AE65" s="107">
        <f t="shared" si="4"/>
        <v>0</v>
      </c>
      <c r="AF65" s="309">
        <f t="shared" si="13"/>
        <v>43.327349015331926</v>
      </c>
      <c r="AG65" s="107">
        <f t="shared" si="5"/>
        <v>3.2576954146866107E-3</v>
      </c>
      <c r="AH65" s="119">
        <f t="shared" si="14"/>
        <v>3.2576954146866107E-3</v>
      </c>
      <c r="AI65" s="122">
        <f t="shared" si="6"/>
        <v>3.2576954146866107E-3</v>
      </c>
      <c r="AJ65" s="87" t="b">
        <f t="shared" si="15"/>
        <v>1</v>
      </c>
      <c r="AK65" s="88">
        <f t="shared" si="21"/>
        <v>5.4756956721961668E-4</v>
      </c>
      <c r="AL65" s="312">
        <f>+AC65/'MWh by month-WgtbyCDH&amp;DayLtHrs'!AC65-1</f>
        <v>-0.27383140290137109</v>
      </c>
      <c r="AM65" s="89">
        <f t="shared" si="8"/>
        <v>155792.8085141617</v>
      </c>
      <c r="AN65" s="93"/>
      <c r="AO65" s="96">
        <f t="shared" si="28"/>
        <v>34.604244771732873</v>
      </c>
      <c r="AP65" s="92">
        <f t="shared" si="27"/>
        <v>2.6018229151678848E-3</v>
      </c>
      <c r="AR65" s="94">
        <f t="shared" si="9"/>
        <v>3.2576954146866107E-3</v>
      </c>
      <c r="AS65" s="95">
        <v>252377.30894529319</v>
      </c>
      <c r="AU65" s="141">
        <v>43.327349015331926</v>
      </c>
    </row>
    <row r="66" spans="1:47">
      <c r="A66" s="78">
        <v>2010</v>
      </c>
      <c r="B66" s="78">
        <v>2</v>
      </c>
      <c r="C66" s="317">
        <v>0</v>
      </c>
      <c r="D66" s="318">
        <f t="shared" si="32"/>
        <v>0</v>
      </c>
      <c r="E66" s="321">
        <f>$D66*'MWh Impact Summary'!B$16</f>
        <v>0</v>
      </c>
      <c r="F66" s="319">
        <f>$D66*'MWh Impact Summary'!N$16</f>
        <v>0</v>
      </c>
      <c r="G66" s="319">
        <f>$D66*'MWh Impact Summary'!C$16</f>
        <v>0</v>
      </c>
      <c r="H66" s="319">
        <f>$D66*'MWh Impact Summary'!D$16</f>
        <v>0</v>
      </c>
      <c r="I66" s="319">
        <f>$D66*'MWh Impact Summary'!E$16</f>
        <v>0</v>
      </c>
      <c r="J66" s="104">
        <f t="shared" si="10"/>
        <v>0</v>
      </c>
      <c r="K66" s="298">
        <f t="shared" si="18"/>
        <v>12.733333333333333</v>
      </c>
      <c r="L66" s="299">
        <f t="shared" si="33"/>
        <v>8.9639798193124468E-2</v>
      </c>
      <c r="M66" s="297">
        <f>(28/365)</f>
        <v>7.6712328767123292E-2</v>
      </c>
      <c r="N66" s="304">
        <f>$M66*'MWh Impact Summary'!F$16</f>
        <v>29582.38046390644</v>
      </c>
      <c r="O66" s="304">
        <f>$M66*'MWh Impact Summary'!G$16</f>
        <v>0</v>
      </c>
      <c r="P66" s="304">
        <f>$M66*'MWh Impact Summary'!H$16</f>
        <v>568.14717020470505</v>
      </c>
      <c r="Q66" s="320">
        <f>$D66*'MWh Impact Summary'!I$16</f>
        <v>0</v>
      </c>
      <c r="R66" s="304">
        <f>$M66*'MWh Impact Summary'!J$16</f>
        <v>5321.4523862297738</v>
      </c>
      <c r="S66" s="304">
        <f>$M66*'MWh Impact Summary'!K$16</f>
        <v>0</v>
      </c>
      <c r="T66" s="304">
        <f>$M66*'MWh Impact Summary'!L$16</f>
        <v>0</v>
      </c>
      <c r="U66" s="304">
        <f>$M66*'MWh Impact Summary'!M$16</f>
        <v>0</v>
      </c>
      <c r="V66" s="304">
        <f>$M66*'LED Impact Forecast'!$H$17+$D66*'LED Impact Forecast'!$J$17</f>
        <v>0</v>
      </c>
      <c r="W66" s="304">
        <f>$M66*'CFL Impact Forecast'!$H$17+$D66*'CFL Impact Forecast'!$J$17</f>
        <v>140716.08510956541</v>
      </c>
      <c r="X66" s="304">
        <f>$M66*'EISA Incand Impact Forecast'!$G$17+$D66*'EISA Incand Impact Forecast'!$I$17</f>
        <v>0</v>
      </c>
      <c r="Y66" s="85">
        <f t="shared" si="2"/>
        <v>176188.06512990632</v>
      </c>
      <c r="Z66" s="81">
        <f t="shared" si="11"/>
        <v>176188.06512990632</v>
      </c>
      <c r="AA66" s="81"/>
      <c r="AB66" s="81">
        <f>+'MWh by mo-WgtbyActulCDH&amp;Days'!AB66</f>
        <v>4510659</v>
      </c>
      <c r="AC66" s="308">
        <f t="shared" si="12"/>
        <v>39.060382336573511</v>
      </c>
      <c r="AD66" s="309">
        <f t="shared" si="3"/>
        <v>0</v>
      </c>
      <c r="AE66" s="107">
        <f t="shared" si="4"/>
        <v>0</v>
      </c>
      <c r="AF66" s="309">
        <f t="shared" si="13"/>
        <v>39.060382336573511</v>
      </c>
      <c r="AG66" s="107">
        <f t="shared" si="5"/>
        <v>3.0675692934481816E-3</v>
      </c>
      <c r="AH66" s="119">
        <f t="shared" si="14"/>
        <v>3.0675692934481816E-3</v>
      </c>
      <c r="AI66" s="122">
        <f t="shared" si="6"/>
        <v>3.0675692934481816E-3</v>
      </c>
      <c r="AJ66" s="87" t="b">
        <f t="shared" si="15"/>
        <v>1</v>
      </c>
      <c r="AK66" s="88">
        <f t="shared" si="21"/>
        <v>5.1356181281321132E-4</v>
      </c>
      <c r="AL66" s="312">
        <f>+AC66/'MWh by month-WgtbyCDH&amp;DayLtHrs'!AC66-1</f>
        <v>-0.34034403545136316</v>
      </c>
      <c r="AM66" s="89">
        <f t="shared" si="8"/>
        <v>140716.08510956541</v>
      </c>
      <c r="AN66" s="93"/>
      <c r="AO66" s="96">
        <f t="shared" si="28"/>
        <v>31.196347387280973</v>
      </c>
      <c r="AP66" s="92">
        <f t="shared" si="27"/>
        <v>2.4499749257026943E-3</v>
      </c>
      <c r="AR66" s="94">
        <f t="shared" si="9"/>
        <v>3.0675692934481816E-3</v>
      </c>
      <c r="AS66" s="95">
        <v>234507.32757270089</v>
      </c>
      <c r="AU66" s="141">
        <v>39.060382336573511</v>
      </c>
    </row>
    <row r="67" spans="1:47">
      <c r="A67" s="78">
        <v>2010</v>
      </c>
      <c r="B67" s="78">
        <v>3</v>
      </c>
      <c r="C67" s="317">
        <v>0</v>
      </c>
      <c r="D67" s="318">
        <f t="shared" si="32"/>
        <v>0</v>
      </c>
      <c r="E67" s="321">
        <f>$D67*'MWh Impact Summary'!B$16</f>
        <v>0</v>
      </c>
      <c r="F67" s="319">
        <f>$D67*'MWh Impact Summary'!N$16</f>
        <v>0</v>
      </c>
      <c r="G67" s="319">
        <f>$D67*'MWh Impact Summary'!C$16</f>
        <v>0</v>
      </c>
      <c r="H67" s="319">
        <f>$D67*'MWh Impact Summary'!D$16</f>
        <v>0</v>
      </c>
      <c r="I67" s="319">
        <f>$D67*'MWh Impact Summary'!E$16</f>
        <v>0</v>
      </c>
      <c r="J67" s="104">
        <f t="shared" si="10"/>
        <v>0</v>
      </c>
      <c r="K67" s="298">
        <f t="shared" si="18"/>
        <v>12</v>
      </c>
      <c r="L67" s="299">
        <f t="shared" si="33"/>
        <v>8.4477296726504739E-2</v>
      </c>
      <c r="M67" s="297">
        <f t="shared" ref="M67:M76" si="34">(31/365)</f>
        <v>8.4931506849315067E-2</v>
      </c>
      <c r="N67" s="304">
        <f>$M67*'MWh Impact Summary'!F$16</f>
        <v>32751.921227896411</v>
      </c>
      <c r="O67" s="304">
        <f>$M67*'MWh Impact Summary'!G$16</f>
        <v>0</v>
      </c>
      <c r="P67" s="304">
        <f>$M67*'MWh Impact Summary'!H$16</f>
        <v>629.02008129806632</v>
      </c>
      <c r="Q67" s="320">
        <f>$D67*'MWh Impact Summary'!I$16</f>
        <v>0</v>
      </c>
      <c r="R67" s="304">
        <f>$M67*'MWh Impact Summary'!J$16</f>
        <v>5891.6079990401058</v>
      </c>
      <c r="S67" s="304">
        <f>$M67*'MWh Impact Summary'!K$16</f>
        <v>0</v>
      </c>
      <c r="T67" s="304">
        <f>$M67*'MWh Impact Summary'!L$16</f>
        <v>0</v>
      </c>
      <c r="U67" s="304">
        <f>$M67*'MWh Impact Summary'!M$16</f>
        <v>0</v>
      </c>
      <c r="V67" s="304">
        <f>$M67*'LED Impact Forecast'!$H$17+$D67*'LED Impact Forecast'!$J$17</f>
        <v>0</v>
      </c>
      <c r="W67" s="304">
        <f>$M67*'CFL Impact Forecast'!$H$17+$D67*'CFL Impact Forecast'!$J$17</f>
        <v>155792.8085141617</v>
      </c>
      <c r="X67" s="304">
        <f>$M67*'EISA Incand Impact Forecast'!$G$17+$D67*'EISA Incand Impact Forecast'!$I$17</f>
        <v>0</v>
      </c>
      <c r="Y67" s="85">
        <f t="shared" si="2"/>
        <v>195065.3578223963</v>
      </c>
      <c r="Z67" s="81">
        <f t="shared" si="11"/>
        <v>195065.3578223963</v>
      </c>
      <c r="AA67" s="81"/>
      <c r="AB67" s="81">
        <f>+'MWh by mo-WgtbyActulCDH&amp;Days'!AB67</f>
        <v>4516712</v>
      </c>
      <c r="AC67" s="308">
        <f t="shared" si="12"/>
        <v>43.187468632579694</v>
      </c>
      <c r="AD67" s="309">
        <f t="shared" si="3"/>
        <v>0</v>
      </c>
      <c r="AE67" s="107">
        <f t="shared" si="4"/>
        <v>0</v>
      </c>
      <c r="AF67" s="309">
        <f t="shared" si="13"/>
        <v>43.187468632579694</v>
      </c>
      <c r="AG67" s="107">
        <f t="shared" si="5"/>
        <v>3.5989557193816411E-3</v>
      </c>
      <c r="AH67" s="119">
        <f t="shared" si="14"/>
        <v>3.5989557193816411E-3</v>
      </c>
      <c r="AI67" s="122">
        <f t="shared" si="6"/>
        <v>3.5989557193816411E-3</v>
      </c>
      <c r="AJ67" s="87" t="b">
        <f t="shared" si="15"/>
        <v>1</v>
      </c>
      <c r="AK67" s="88">
        <f t="shared" si="21"/>
        <v>5.9870557357470048E-4</v>
      </c>
      <c r="AL67" s="312">
        <f>+AC67/'MWh by month-WgtbyCDH&amp;DayLtHrs'!AC67-1</f>
        <v>-0.30908915883452304</v>
      </c>
      <c r="AM67" s="89">
        <f t="shared" si="8"/>
        <v>155792.8085141617</v>
      </c>
      <c r="AN67" s="93"/>
      <c r="AO67" s="96">
        <f t="shared" si="28"/>
        <v>34.492526535710425</v>
      </c>
      <c r="AP67" s="92">
        <f t="shared" si="27"/>
        <v>2.8743772113092019E-3</v>
      </c>
      <c r="AR67" s="94">
        <f t="shared" si="9"/>
        <v>3.5989557193816411E-3</v>
      </c>
      <c r="AS67" s="95">
        <v>284181.446267744</v>
      </c>
      <c r="AU67" s="141">
        <v>43.187468632579694</v>
      </c>
    </row>
    <row r="68" spans="1:47">
      <c r="A68" s="78">
        <v>2010</v>
      </c>
      <c r="B68" s="78">
        <v>4</v>
      </c>
      <c r="C68" s="317">
        <v>89.075753220245673</v>
      </c>
      <c r="D68" s="318">
        <f t="shared" si="32"/>
        <v>4.4674389439015479E-2</v>
      </c>
      <c r="E68" s="321">
        <f>$D68*'MWh Impact Summary'!B$16</f>
        <v>37933.310414009946</v>
      </c>
      <c r="F68" s="319">
        <f>$D68*'MWh Impact Summary'!N$16</f>
        <v>1217.2452531825054</v>
      </c>
      <c r="G68" s="319">
        <f>$D68*'MWh Impact Summary'!C$16</f>
        <v>31093.005253082792</v>
      </c>
      <c r="H68" s="319">
        <f>$D68*'MWh Impact Summary'!D$16</f>
        <v>31.714250866564338</v>
      </c>
      <c r="I68" s="319">
        <f>$D68*'MWh Impact Summary'!E$16</f>
        <v>13841.11888302127</v>
      </c>
      <c r="J68" s="104">
        <f t="shared" si="10"/>
        <v>84116.394054163073</v>
      </c>
      <c r="K68" s="298">
        <f t="shared" si="18"/>
        <v>11.2</v>
      </c>
      <c r="L68" s="299">
        <f t="shared" si="33"/>
        <v>7.8845476944737758E-2</v>
      </c>
      <c r="M68" s="297">
        <f>(30/365)</f>
        <v>8.2191780821917804E-2</v>
      </c>
      <c r="N68" s="304">
        <f>$M68*'MWh Impact Summary'!F$16</f>
        <v>31695.407639899753</v>
      </c>
      <c r="O68" s="304">
        <f>$M68*'MWh Impact Summary'!G$16</f>
        <v>0</v>
      </c>
      <c r="P68" s="304">
        <f>$M68*'MWh Impact Summary'!H$16</f>
        <v>608.72911093361256</v>
      </c>
      <c r="Q68" s="320">
        <f>$D68*'MWh Impact Summary'!I$16</f>
        <v>305.53282717891153</v>
      </c>
      <c r="R68" s="304">
        <f>$M68*'MWh Impact Summary'!J$16</f>
        <v>5701.5561281033288</v>
      </c>
      <c r="S68" s="304">
        <f>$M68*'MWh Impact Summary'!K$16</f>
        <v>0</v>
      </c>
      <c r="T68" s="304">
        <f>$M68*'MWh Impact Summary'!L$16</f>
        <v>0</v>
      </c>
      <c r="U68" s="304">
        <f>$M68*'MWh Impact Summary'!M$16</f>
        <v>0</v>
      </c>
      <c r="V68" s="304">
        <f>$M68*'LED Impact Forecast'!$H$17+$D68*'LED Impact Forecast'!$J$17</f>
        <v>0</v>
      </c>
      <c r="W68" s="304">
        <f>$M68*'CFL Impact Forecast'!$H$17+$D68*'CFL Impact Forecast'!$J$17</f>
        <v>164506.94508982322</v>
      </c>
      <c r="X68" s="304">
        <f>$M68*'EISA Incand Impact Forecast'!$G$17+$D68*'EISA Incand Impact Forecast'!$I$17</f>
        <v>0</v>
      </c>
      <c r="Y68" s="85">
        <f t="shared" si="2"/>
        <v>202818.17079593881</v>
      </c>
      <c r="Z68" s="81">
        <f t="shared" si="11"/>
        <v>286934.56485010189</v>
      </c>
      <c r="AA68" s="81"/>
      <c r="AB68" s="81">
        <f>+'MWh by mo-WgtbyActulCDH&amp;Days'!AB68</f>
        <v>4520229</v>
      </c>
      <c r="AC68" s="308">
        <f t="shared" si="12"/>
        <v>63.477882392706626</v>
      </c>
      <c r="AD68" s="309">
        <f t="shared" si="3"/>
        <v>18.60887889842817</v>
      </c>
      <c r="AE68" s="107">
        <f t="shared" si="4"/>
        <v>1.6615070445025154E-3</v>
      </c>
      <c r="AF68" s="309">
        <f t="shared" si="13"/>
        <v>44.869003494278459</v>
      </c>
      <c r="AG68" s="107">
        <f t="shared" si="5"/>
        <v>4.0061610262748628E-3</v>
      </c>
      <c r="AH68" s="119">
        <f t="shared" si="14"/>
        <v>5.6676680707773777E-3</v>
      </c>
      <c r="AI68" s="122">
        <f t="shared" si="6"/>
        <v>5.6676680707773777E-3</v>
      </c>
      <c r="AJ68" s="87" t="b">
        <f t="shared" si="15"/>
        <v>1</v>
      </c>
      <c r="AK68" s="88">
        <f t="shared" si="21"/>
        <v>2.9866305645897314E-4</v>
      </c>
      <c r="AL68" s="312">
        <f>+AC68/'MWh by month-WgtbyCDH&amp;DayLtHrs'!AC68-1</f>
        <v>-9.0402172032581496E-2</v>
      </c>
      <c r="AM68" s="89">
        <f t="shared" si="8"/>
        <v>164506.94508982322</v>
      </c>
      <c r="AN68" s="93"/>
      <c r="AO68" s="96">
        <f t="shared" si="28"/>
        <v>36.393498004154928</v>
      </c>
      <c r="AP68" s="92">
        <f t="shared" si="27"/>
        <v>3.2494194646566902E-3</v>
      </c>
      <c r="AR68" s="94">
        <f t="shared" si="9"/>
        <v>5.6676680707773777E-3</v>
      </c>
      <c r="AS68" s="95">
        <v>334261.39929994685</v>
      </c>
      <c r="AU68" s="141">
        <v>63.477882392706626</v>
      </c>
    </row>
    <row r="69" spans="1:47">
      <c r="A69" s="78">
        <v>2010</v>
      </c>
      <c r="B69" s="78">
        <v>5</v>
      </c>
      <c r="C69" s="317">
        <v>255.19546441188365</v>
      </c>
      <c r="D69" s="318">
        <f t="shared" si="32"/>
        <v>0.12798883139408229</v>
      </c>
      <c r="E69" s="321">
        <f>$D69*'MWh Impact Summary'!B$16</f>
        <v>108676.13708354463</v>
      </c>
      <c r="F69" s="319">
        <f>$D69*'MWh Impact Summary'!N$16</f>
        <v>3487.3178890893432</v>
      </c>
      <c r="G69" s="319">
        <f>$D69*'MWh Impact Summary'!C$16</f>
        <v>89079.167210658343</v>
      </c>
      <c r="H69" s="319">
        <f>$D69*'MWh Impact Summary'!D$16</f>
        <v>90.858990081807903</v>
      </c>
      <c r="I69" s="319">
        <f>$D69*'MWh Impact Summary'!E$16</f>
        <v>39653.784937401892</v>
      </c>
      <c r="J69" s="104">
        <f t="shared" si="10"/>
        <v>240987.26611077602</v>
      </c>
      <c r="K69" s="298">
        <f t="shared" si="18"/>
        <v>10.533333333333333</v>
      </c>
      <c r="L69" s="299">
        <f t="shared" si="33"/>
        <v>7.4152293793265281E-2</v>
      </c>
      <c r="M69" s="297">
        <f t="shared" si="34"/>
        <v>8.4931506849315067E-2</v>
      </c>
      <c r="N69" s="304">
        <f>$M69*'MWh Impact Summary'!F$16</f>
        <v>32751.921227896411</v>
      </c>
      <c r="O69" s="304">
        <f>$M69*'MWh Impact Summary'!G$16</f>
        <v>0</v>
      </c>
      <c r="P69" s="304">
        <f>$M69*'MWh Impact Summary'!H$16</f>
        <v>629.02008129806632</v>
      </c>
      <c r="Q69" s="320">
        <f>$D69*'MWh Impact Summary'!I$16</f>
        <v>875.32901947189487</v>
      </c>
      <c r="R69" s="304">
        <f>$M69*'MWh Impact Summary'!J$16</f>
        <v>5891.6079990401058</v>
      </c>
      <c r="S69" s="304">
        <f>$M69*'MWh Impact Summary'!K$16</f>
        <v>0</v>
      </c>
      <c r="T69" s="304">
        <f>$M69*'MWh Impact Summary'!L$16</f>
        <v>0</v>
      </c>
      <c r="U69" s="304">
        <f>$M69*'MWh Impact Summary'!M$16</f>
        <v>0</v>
      </c>
      <c r="V69" s="304">
        <f>$M69*'LED Impact Forecast'!$H$17+$D69*'LED Impact Forecast'!$J$17</f>
        <v>0</v>
      </c>
      <c r="W69" s="304">
        <f>$M69*'CFL Impact Forecast'!$H$17+$D69*'CFL Impact Forecast'!$J$17</f>
        <v>195156.0674703159</v>
      </c>
      <c r="X69" s="304">
        <f>$M69*'EISA Incand Impact Forecast'!$G$17+$D69*'EISA Incand Impact Forecast'!$I$17</f>
        <v>0</v>
      </c>
      <c r="Y69" s="85">
        <f t="shared" ref="Y69:Y132" si="35">SUM(N69:X69)</f>
        <v>235303.94579802238</v>
      </c>
      <c r="Z69" s="81">
        <f t="shared" ref="Z69:Z132" si="36">Y69+J69</f>
        <v>476291.21190879843</v>
      </c>
      <c r="AA69" s="81"/>
      <c r="AB69" s="81">
        <f>+'MWh by mo-WgtbyActulCDH&amp;Days'!AB69</f>
        <v>4521728</v>
      </c>
      <c r="AC69" s="308">
        <f t="shared" si="12"/>
        <v>105.3338926863355</v>
      </c>
      <c r="AD69" s="309">
        <f t="shared" ref="AD69:AD132" si="37">+J69*1000/AB69</f>
        <v>53.29539196315568</v>
      </c>
      <c r="AE69" s="107">
        <f t="shared" ref="AE69:AE132" si="38">+AD69/K69/1000</f>
        <v>5.0596891104261717E-3</v>
      </c>
      <c r="AF69" s="309">
        <f t="shared" si="13"/>
        <v>52.038500723179808</v>
      </c>
      <c r="AG69" s="107">
        <f t="shared" ref="AG69:AG132" si="39">+AF69/K69/1000</f>
        <v>4.9403639927069441E-3</v>
      </c>
      <c r="AH69" s="119">
        <f t="shared" si="14"/>
        <v>1.0000053103133115E-2</v>
      </c>
      <c r="AI69" s="122">
        <f t="shared" ref="AI69:AI132" si="40">+AC69/K69/1000</f>
        <v>1.0000053103133117E-2</v>
      </c>
      <c r="AJ69" s="87" t="b">
        <f t="shared" si="15"/>
        <v>1</v>
      </c>
      <c r="AK69" s="88">
        <f t="shared" si="21"/>
        <v>2.5662631129823692E-3</v>
      </c>
      <c r="AL69" s="312">
        <f>+AC69/'MWh by month-WgtbyCDH&amp;DayLtHrs'!AC69-1</f>
        <v>0.20876183453709229</v>
      </c>
      <c r="AM69" s="89">
        <f t="shared" ref="AM69:AM132" si="41">+W69</f>
        <v>195156.0674703159</v>
      </c>
      <c r="AN69" s="93"/>
      <c r="AO69" s="96">
        <f t="shared" si="28"/>
        <v>43.159621160387331</v>
      </c>
      <c r="AP69" s="92">
        <f t="shared" si="27"/>
        <v>4.0974323886443665E-3</v>
      </c>
      <c r="AR69" s="94">
        <f t="shared" ref="AR69:AR132" si="42">AI69</f>
        <v>1.0000053103133117E-2</v>
      </c>
      <c r="AS69" s="95">
        <v>402473.95118086669</v>
      </c>
      <c r="AU69" s="141">
        <v>105.3338926863355</v>
      </c>
    </row>
    <row r="70" spans="1:47">
      <c r="A70" s="78">
        <v>2010</v>
      </c>
      <c r="B70" s="78">
        <v>6</v>
      </c>
      <c r="C70" s="317">
        <v>357.76280800516599</v>
      </c>
      <c r="D70" s="318">
        <f t="shared" si="32"/>
        <v>0.1794296925236197</v>
      </c>
      <c r="E70" s="321">
        <f>$D70*'MWh Impact Summary'!B$16</f>
        <v>152354.90197980468</v>
      </c>
      <c r="F70" s="319">
        <f>$D70*'MWh Impact Summary'!N$16</f>
        <v>4888.9295242080834</v>
      </c>
      <c r="G70" s="319">
        <f>$D70*'MWh Impact Summary'!C$16</f>
        <v>124881.58075023681</v>
      </c>
      <c r="H70" s="319">
        <f>$D70*'MWh Impact Summary'!D$16</f>
        <v>127.37674432848353</v>
      </c>
      <c r="I70" s="319">
        <f>$D70*'MWh Impact Summary'!E$16</f>
        <v>55591.307157170719</v>
      </c>
      <c r="J70" s="104">
        <f t="shared" ref="J70:J133" si="43">SUM(E70:I70)</f>
        <v>337844.09615574876</v>
      </c>
      <c r="K70" s="298">
        <f t="shared" si="18"/>
        <v>10.199999999999999</v>
      </c>
      <c r="L70" s="299">
        <f t="shared" si="33"/>
        <v>7.1805702217529022E-2</v>
      </c>
      <c r="M70" s="297">
        <f>(30/365)</f>
        <v>8.2191780821917804E-2</v>
      </c>
      <c r="N70" s="304">
        <f>$M70*'MWh Impact Summary'!F$16</f>
        <v>31695.407639899753</v>
      </c>
      <c r="O70" s="304">
        <f>$M70*'MWh Impact Summary'!G$16</f>
        <v>0</v>
      </c>
      <c r="P70" s="304">
        <f>$M70*'MWh Impact Summary'!H$16</f>
        <v>608.72911093361256</v>
      </c>
      <c r="Q70" s="320">
        <f>$D70*'MWh Impact Summary'!I$16</f>
        <v>1227.1384550519888</v>
      </c>
      <c r="R70" s="304">
        <f>$M70*'MWh Impact Summary'!J$16</f>
        <v>5701.5561281033288</v>
      </c>
      <c r="S70" s="304">
        <f>$M70*'MWh Impact Summary'!K$16</f>
        <v>0</v>
      </c>
      <c r="T70" s="304">
        <f>$M70*'MWh Impact Summary'!L$16</f>
        <v>0</v>
      </c>
      <c r="U70" s="304">
        <f>$M70*'MWh Impact Summary'!M$16</f>
        <v>0</v>
      </c>
      <c r="V70" s="304">
        <f>$M70*'LED Impact Forecast'!$H$17+$D70*'LED Impact Forecast'!$J$17</f>
        <v>0</v>
      </c>
      <c r="W70" s="304">
        <f>$M70*'CFL Impact Forecast'!$H$17+$D70*'CFL Impact Forecast'!$J$17</f>
        <v>205951.24795013966</v>
      </c>
      <c r="X70" s="304">
        <f>$M70*'EISA Incand Impact Forecast'!$G$17+$D70*'EISA Incand Impact Forecast'!$I$17</f>
        <v>0</v>
      </c>
      <c r="Y70" s="85">
        <f t="shared" si="35"/>
        <v>245184.07928412833</v>
      </c>
      <c r="Z70" s="81">
        <f t="shared" si="36"/>
        <v>583028.17543987709</v>
      </c>
      <c r="AA70" s="81"/>
      <c r="AB70" s="81">
        <f>+'MWh by mo-WgtbyActulCDH&amp;Days'!AB70</f>
        <v>4521918</v>
      </c>
      <c r="AC70" s="308">
        <f t="shared" ref="AC70:AC133" si="44">+Z70*1000/AB70</f>
        <v>128.93382309008635</v>
      </c>
      <c r="AD70" s="309">
        <f t="shared" si="37"/>
        <v>74.712565808523905</v>
      </c>
      <c r="AE70" s="107">
        <f t="shared" si="38"/>
        <v>7.3247613537768532E-3</v>
      </c>
      <c r="AF70" s="309">
        <f t="shared" ref="AF70:AF133" si="45">+Y70*1000/AB70</f>
        <v>54.221257281562458</v>
      </c>
      <c r="AG70" s="107">
        <f t="shared" si="39"/>
        <v>5.3158095374080845E-3</v>
      </c>
      <c r="AH70" s="119">
        <f t="shared" ref="AH70:AH133" si="46">AE70+AG70</f>
        <v>1.2640570891184939E-2</v>
      </c>
      <c r="AI70" s="122">
        <f t="shared" si="40"/>
        <v>1.2640570891184937E-2</v>
      </c>
      <c r="AJ70" s="87" t="b">
        <f t="shared" ref="AJ70:AJ133" si="47">AH70=AI70</f>
        <v>1</v>
      </c>
      <c r="AK70" s="88">
        <f t="shared" si="21"/>
        <v>3.4480028249359029E-3</v>
      </c>
      <c r="AL70" s="312">
        <f>+AC70/'MWh by month-WgtbyCDH&amp;DayLtHrs'!AC70-1</f>
        <v>0.29963836605042893</v>
      </c>
      <c r="AM70" s="89">
        <f t="shared" si="41"/>
        <v>205951.24795013966</v>
      </c>
      <c r="AN70" s="93"/>
      <c r="AO70" s="96">
        <f t="shared" si="28"/>
        <v>45.545108944952048</v>
      </c>
      <c r="AP70" s="92">
        <f t="shared" si="27"/>
        <v>4.4652067593090247E-3</v>
      </c>
      <c r="AR70" s="94">
        <f t="shared" si="42"/>
        <v>1.2640570891184937E-2</v>
      </c>
      <c r="AS70" s="95">
        <v>491747.42381475423</v>
      </c>
      <c r="AU70" s="141">
        <v>128.93382309008635</v>
      </c>
    </row>
    <row r="71" spans="1:47">
      <c r="A71" s="78">
        <v>2010</v>
      </c>
      <c r="B71" s="78">
        <v>7</v>
      </c>
      <c r="C71" s="317">
        <v>367.3022325447152</v>
      </c>
      <c r="D71" s="318">
        <f t="shared" si="32"/>
        <v>0.18421402441526472</v>
      </c>
      <c r="E71" s="321">
        <f>$D71*'MWh Impact Summary'!B$16</f>
        <v>156417.30885426598</v>
      </c>
      <c r="F71" s="319">
        <f>$D71*'MWh Impact Summary'!N$16</f>
        <v>5019.2884470245763</v>
      </c>
      <c r="G71" s="319">
        <f>$D71*'MWh Impact Summary'!C$16</f>
        <v>128211.43614406328</v>
      </c>
      <c r="H71" s="319">
        <f>$D71*'MWh Impact Summary'!D$16</f>
        <v>130.77313102219898</v>
      </c>
      <c r="I71" s="319">
        <f>$D71*'MWh Impact Summary'!E$16</f>
        <v>57073.599524668782</v>
      </c>
      <c r="J71" s="104">
        <f t="shared" si="43"/>
        <v>346852.40610104479</v>
      </c>
      <c r="K71" s="298">
        <f t="shared" si="18"/>
        <v>10.366666666666667</v>
      </c>
      <c r="L71" s="299">
        <f t="shared" si="33"/>
        <v>7.2978998005397158E-2</v>
      </c>
      <c r="M71" s="297">
        <f t="shared" si="34"/>
        <v>8.4931506849315067E-2</v>
      </c>
      <c r="N71" s="304">
        <f>$M71*'MWh Impact Summary'!F$16</f>
        <v>32751.921227896411</v>
      </c>
      <c r="O71" s="304">
        <f>$M71*'MWh Impact Summary'!G$16</f>
        <v>0</v>
      </c>
      <c r="P71" s="304">
        <f>$M71*'MWh Impact Summary'!H$16</f>
        <v>629.02008129806632</v>
      </c>
      <c r="Q71" s="320">
        <f>$D71*'MWh Impact Summary'!I$16</f>
        <v>1259.8590018210045</v>
      </c>
      <c r="R71" s="304">
        <f>$M71*'MWh Impact Summary'!J$16</f>
        <v>5891.6079990401058</v>
      </c>
      <c r="S71" s="304">
        <f>$M71*'MWh Impact Summary'!K$16</f>
        <v>0</v>
      </c>
      <c r="T71" s="304">
        <f>$M71*'MWh Impact Summary'!L$16</f>
        <v>0</v>
      </c>
      <c r="U71" s="304">
        <f>$M71*'MWh Impact Summary'!M$16</f>
        <v>0</v>
      </c>
      <c r="V71" s="304">
        <f>$M71*'LED Impact Forecast'!$H$17+$D71*'LED Impact Forecast'!$J$17</f>
        <v>0</v>
      </c>
      <c r="W71" s="304">
        <f>$M71*'CFL Impact Forecast'!$H$17+$D71*'CFL Impact Forecast'!$J$17</f>
        <v>212448.25467638558</v>
      </c>
      <c r="X71" s="304">
        <f>$M71*'EISA Incand Impact Forecast'!$G$17+$D71*'EISA Incand Impact Forecast'!$I$17</f>
        <v>0</v>
      </c>
      <c r="Y71" s="85">
        <f t="shared" si="35"/>
        <v>252980.66298644117</v>
      </c>
      <c r="Z71" s="81">
        <f t="shared" si="36"/>
        <v>599833.06908748602</v>
      </c>
      <c r="AA71" s="81"/>
      <c r="AB71" s="81">
        <f>+'MWh by mo-WgtbyActulCDH&amp;Days'!AB71</f>
        <v>4522790</v>
      </c>
      <c r="AC71" s="308">
        <f t="shared" si="44"/>
        <v>132.62456781930754</v>
      </c>
      <c r="AD71" s="309">
        <f t="shared" si="37"/>
        <v>76.689920624447467</v>
      </c>
      <c r="AE71" s="107">
        <f t="shared" si="38"/>
        <v>7.3977415393357681E-3</v>
      </c>
      <c r="AF71" s="309">
        <f t="shared" si="45"/>
        <v>55.934647194860069</v>
      </c>
      <c r="AG71" s="107">
        <f t="shared" si="39"/>
        <v>5.3956251313369841E-3</v>
      </c>
      <c r="AH71" s="119">
        <f t="shared" si="46"/>
        <v>1.2793366670672752E-2</v>
      </c>
      <c r="AI71" s="122">
        <f t="shared" si="40"/>
        <v>1.2793366670672754E-2</v>
      </c>
      <c r="AJ71" s="87" t="b">
        <f t="shared" si="47"/>
        <v>1</v>
      </c>
      <c r="AK71" s="88">
        <f t="shared" si="21"/>
        <v>2.706854680301192E-3</v>
      </c>
      <c r="AL71" s="312">
        <f>+AC71/'MWh by month-WgtbyCDH&amp;DayLtHrs'!AC71-1</f>
        <v>0.19946786550190398</v>
      </c>
      <c r="AM71" s="89">
        <f t="shared" si="41"/>
        <v>212448.25467638558</v>
      </c>
      <c r="AN71" s="93"/>
      <c r="AO71" s="96">
        <f t="shared" si="28"/>
        <v>46.972831963541438</v>
      </c>
      <c r="AP71" s="92">
        <f t="shared" si="27"/>
        <v>4.5311413469654119E-3</v>
      </c>
      <c r="AR71" s="94">
        <f t="shared" si="42"/>
        <v>1.2793366670672754E-2</v>
      </c>
      <c r="AS71" s="95">
        <v>517453.27171815862</v>
      </c>
      <c r="AU71" s="141">
        <v>132.62456781930754</v>
      </c>
    </row>
    <row r="72" spans="1:47">
      <c r="A72" s="78">
        <v>2010</v>
      </c>
      <c r="B72" s="78">
        <v>8</v>
      </c>
      <c r="C72" s="317">
        <v>354.6581128382694</v>
      </c>
      <c r="D72" s="318">
        <f t="shared" si="32"/>
        <v>0.17787258684714655</v>
      </c>
      <c r="E72" s="321">
        <f>$D72*'MWh Impact Summary'!B$16</f>
        <v>151032.75356961312</v>
      </c>
      <c r="F72" s="319">
        <f>$D72*'MWh Impact Summary'!N$16</f>
        <v>4846.5029904111789</v>
      </c>
      <c r="G72" s="319">
        <f>$D72*'MWh Impact Summary'!C$16</f>
        <v>123797.84808850058</v>
      </c>
      <c r="H72" s="319">
        <f>$D72*'MWh Impact Summary'!D$16</f>
        <v>126.27135843133919</v>
      </c>
      <c r="I72" s="319">
        <f>$D72*'MWh Impact Summary'!E$16</f>
        <v>55108.881206819169</v>
      </c>
      <c r="J72" s="104">
        <f t="shared" si="43"/>
        <v>334912.25721377536</v>
      </c>
      <c r="K72" s="298">
        <f t="shared" si="18"/>
        <v>10.933333333333334</v>
      </c>
      <c r="L72" s="299">
        <f t="shared" si="33"/>
        <v>7.6968203684148764E-2</v>
      </c>
      <c r="M72" s="297">
        <f t="shared" si="34"/>
        <v>8.4931506849315067E-2</v>
      </c>
      <c r="N72" s="304">
        <f>$M72*'MWh Impact Summary'!F$16</f>
        <v>32751.921227896411</v>
      </c>
      <c r="O72" s="304">
        <f>$M72*'MWh Impact Summary'!G$16</f>
        <v>0</v>
      </c>
      <c r="P72" s="304">
        <f>$M72*'MWh Impact Summary'!H$16</f>
        <v>629.02008129806632</v>
      </c>
      <c r="Q72" s="320">
        <f>$D72*'MWh Impact Summary'!I$16</f>
        <v>1216.4892462877904</v>
      </c>
      <c r="R72" s="304">
        <f>$M72*'MWh Impact Summary'!J$16</f>
        <v>5891.6079990401058</v>
      </c>
      <c r="S72" s="304">
        <f>$M72*'MWh Impact Summary'!K$16</f>
        <v>0</v>
      </c>
      <c r="T72" s="304">
        <f>$M72*'MWh Impact Summary'!L$16</f>
        <v>0</v>
      </c>
      <c r="U72" s="304">
        <f>$M72*'MWh Impact Summary'!M$16</f>
        <v>0</v>
      </c>
      <c r="V72" s="304">
        <f>$M72*'LED Impact Forecast'!$H$17+$D72*'LED Impact Forecast'!$J$17</f>
        <v>0</v>
      </c>
      <c r="W72" s="304">
        <f>$M72*'CFL Impact Forecast'!$H$17+$D72*'CFL Impact Forecast'!$J$17</f>
        <v>210497.93099244215</v>
      </c>
      <c r="X72" s="304">
        <f>$M72*'EISA Incand Impact Forecast'!$G$17+$D72*'EISA Incand Impact Forecast'!$I$17</f>
        <v>0</v>
      </c>
      <c r="Y72" s="85">
        <f t="shared" si="35"/>
        <v>250986.96954696454</v>
      </c>
      <c r="Z72" s="81">
        <f t="shared" si="36"/>
        <v>585899.22676073993</v>
      </c>
      <c r="AA72" s="81"/>
      <c r="AB72" s="81">
        <f>+'MWh by mo-WgtbyActulCDH&amp;Days'!AB72</f>
        <v>4526766</v>
      </c>
      <c r="AC72" s="308">
        <f t="shared" si="44"/>
        <v>129.42997865600739</v>
      </c>
      <c r="AD72" s="309">
        <f t="shared" si="37"/>
        <v>73.984883957725089</v>
      </c>
      <c r="AE72" s="107">
        <f t="shared" si="38"/>
        <v>6.7669101180846116E-3</v>
      </c>
      <c r="AF72" s="309">
        <f t="shared" si="45"/>
        <v>55.44509469828229</v>
      </c>
      <c r="AG72" s="107">
        <f t="shared" si="39"/>
        <v>5.0711976858185022E-3</v>
      </c>
      <c r="AH72" s="119">
        <f t="shared" si="46"/>
        <v>1.1838107803903115E-2</v>
      </c>
      <c r="AI72" s="122">
        <f t="shared" si="40"/>
        <v>1.1838107803903115E-2</v>
      </c>
      <c r="AJ72" s="87" t="b">
        <f t="shared" si="47"/>
        <v>1</v>
      </c>
      <c r="AK72" s="88">
        <f t="shared" si="21"/>
        <v>1.7920979968950399E-3</v>
      </c>
      <c r="AL72" s="312">
        <f>+AC72/'MWh by month-WgtbyCDH&amp;DayLtHrs'!AC72-1</f>
        <v>0.13960376172840383</v>
      </c>
      <c r="AM72" s="89">
        <f t="shared" si="41"/>
        <v>210497.93099244215</v>
      </c>
      <c r="AN72" s="93"/>
      <c r="AO72" s="96">
        <f t="shared" si="28"/>
        <v>46.500731646487175</v>
      </c>
      <c r="AP72" s="92">
        <f t="shared" si="27"/>
        <v>4.2531156993738262E-3</v>
      </c>
      <c r="AR72" s="94">
        <f t="shared" si="42"/>
        <v>1.1838107803903115E-2</v>
      </c>
      <c r="AS72" s="95">
        <v>537984.46334324288</v>
      </c>
      <c r="AU72" s="141">
        <v>129.42997865600739</v>
      </c>
    </row>
    <row r="73" spans="1:47">
      <c r="A73" s="78">
        <v>2010</v>
      </c>
      <c r="B73" s="78">
        <v>9</v>
      </c>
      <c r="C73" s="317">
        <v>310.20753392323581</v>
      </c>
      <c r="D73" s="318">
        <f t="shared" si="32"/>
        <v>0.15557917476305366</v>
      </c>
      <c r="E73" s="321">
        <f>$D73*'MWh Impact Summary'!B$16</f>
        <v>132103.27447896454</v>
      </c>
      <c r="F73" s="319">
        <f>$D73*'MWh Impact Summary'!N$16</f>
        <v>4239.0733114080131</v>
      </c>
      <c r="G73" s="319">
        <f>$D73*'MWh Impact Summary'!C$16</f>
        <v>108281.81781379304</v>
      </c>
      <c r="H73" s="319">
        <f>$D73*'MWh Impact Summary'!D$16</f>
        <v>110.44531419470195</v>
      </c>
      <c r="I73" s="319">
        <f>$D73*'MWh Impact Summary'!E$16</f>
        <v>48201.886598972713</v>
      </c>
      <c r="J73" s="104">
        <f t="shared" si="43"/>
        <v>292936.49751733302</v>
      </c>
      <c r="K73" s="298">
        <f t="shared" si="18"/>
        <v>11.683333333333334</v>
      </c>
      <c r="L73" s="299">
        <f t="shared" si="33"/>
        <v>8.2248034729555317E-2</v>
      </c>
      <c r="M73" s="297">
        <f>(30/365)</f>
        <v>8.2191780821917804E-2</v>
      </c>
      <c r="N73" s="304">
        <f>$M73*'MWh Impact Summary'!F$16</f>
        <v>31695.407639899753</v>
      </c>
      <c r="O73" s="304">
        <f>$M73*'MWh Impact Summary'!G$16</f>
        <v>0</v>
      </c>
      <c r="P73" s="304">
        <f>$M73*'MWh Impact Summary'!H$16</f>
        <v>608.72911093361256</v>
      </c>
      <c r="Q73" s="320">
        <f>$D73*'MWh Impact Summary'!I$16</f>
        <v>1064.0222667263677</v>
      </c>
      <c r="R73" s="304">
        <f>$M73*'MWh Impact Summary'!J$16</f>
        <v>5701.5561281033288</v>
      </c>
      <c r="S73" s="304">
        <f>$M73*'MWh Impact Summary'!K$16</f>
        <v>0</v>
      </c>
      <c r="T73" s="304">
        <f>$M73*'MWh Impact Summary'!L$16</f>
        <v>0</v>
      </c>
      <c r="U73" s="304">
        <f>$M73*'MWh Impact Summary'!M$16</f>
        <v>0</v>
      </c>
      <c r="V73" s="304">
        <f>$M73*'LED Impact Forecast'!$H$17+$D73*'LED Impact Forecast'!$J$17</f>
        <v>0</v>
      </c>
      <c r="W73" s="304">
        <f>$M73*'CFL Impact Forecast'!$H$17+$D73*'CFL Impact Forecast'!$J$17</f>
        <v>198615.96645235951</v>
      </c>
      <c r="X73" s="304">
        <f>$M73*'EISA Incand Impact Forecast'!$G$17+$D73*'EISA Incand Impact Forecast'!$I$17</f>
        <v>0</v>
      </c>
      <c r="Y73" s="85">
        <f t="shared" si="35"/>
        <v>237685.68159802258</v>
      </c>
      <c r="Z73" s="81">
        <f t="shared" si="36"/>
        <v>530622.1791153556</v>
      </c>
      <c r="AA73" s="81"/>
      <c r="AB73" s="81">
        <f>+'MWh by mo-WgtbyActulCDH&amp;Days'!AB73</f>
        <v>4524923</v>
      </c>
      <c r="AC73" s="308">
        <f t="shared" si="44"/>
        <v>117.26656544550164</v>
      </c>
      <c r="AD73" s="309">
        <f t="shared" si="37"/>
        <v>64.738449144291081</v>
      </c>
      <c r="AE73" s="107">
        <f t="shared" si="38"/>
        <v>5.5410940779707053E-3</v>
      </c>
      <c r="AF73" s="309">
        <f t="shared" si="45"/>
        <v>52.528116301210559</v>
      </c>
      <c r="AG73" s="107">
        <f t="shared" si="39"/>
        <v>4.4959871299181647E-3</v>
      </c>
      <c r="AH73" s="119">
        <f t="shared" si="46"/>
        <v>1.0037081207888869E-2</v>
      </c>
      <c r="AI73" s="122">
        <f t="shared" si="40"/>
        <v>1.0037081207888871E-2</v>
      </c>
      <c r="AJ73" s="87" t="b">
        <f>AH73=AI73</f>
        <v>1</v>
      </c>
      <c r="AK73" s="88">
        <f t="shared" si="21"/>
        <v>1.8866247258192571E-3</v>
      </c>
      <c r="AL73" s="312">
        <f>+AC73/'MWh by month-WgtbyCDH&amp;DayLtHrs'!AC73-1</f>
        <v>0.10327674431635692</v>
      </c>
      <c r="AM73" s="89">
        <f t="shared" si="41"/>
        <v>198615.96645235951</v>
      </c>
      <c r="AN73" s="93"/>
      <c r="AO73" s="96">
        <f t="shared" si="28"/>
        <v>43.893778181940228</v>
      </c>
      <c r="AP73" s="92">
        <f t="shared" si="27"/>
        <v>3.7569567630761961E-3</v>
      </c>
      <c r="AR73" s="94">
        <f t="shared" si="42"/>
        <v>1.0037081207888871E-2</v>
      </c>
      <c r="AS73" s="95">
        <v>508025.22154489503</v>
      </c>
      <c r="AU73" s="141">
        <v>117.26656544550164</v>
      </c>
    </row>
    <row r="74" spans="1:47">
      <c r="A74" s="78">
        <v>2010</v>
      </c>
      <c r="B74" s="78">
        <v>10</v>
      </c>
      <c r="C74" s="317">
        <v>181.64747294989201</v>
      </c>
      <c r="D74" s="318">
        <f>C74/(SUM(C$65:C$76))</f>
        <v>9.1102119867700226E-2</v>
      </c>
      <c r="E74" s="321">
        <f>$D74*'MWh Impact Summary'!B$16</f>
        <v>77355.393900420211</v>
      </c>
      <c r="F74" s="319">
        <f>$D74*'MWh Impact Summary'!N$16</f>
        <v>2482.263873246693</v>
      </c>
      <c r="G74" s="319">
        <f>$D74*'MWh Impact Summary'!C$16</f>
        <v>63406.321321529991</v>
      </c>
      <c r="H74" s="319">
        <f>$D74*'MWh Impact Summary'!D$16</f>
        <v>64.673194647777422</v>
      </c>
      <c r="I74" s="319">
        <f>$D74*'MWh Impact Summary'!E$16</f>
        <v>28225.461778395631</v>
      </c>
      <c r="J74" s="104">
        <f t="shared" si="43"/>
        <v>171534.11406824028</v>
      </c>
      <c r="K74" s="298">
        <f t="shared" si="18"/>
        <v>12.466666666666667</v>
      </c>
      <c r="L74" s="299">
        <f t="shared" si="33"/>
        <v>8.7762524932535488E-2</v>
      </c>
      <c r="M74" s="297">
        <f t="shared" si="34"/>
        <v>8.4931506849315067E-2</v>
      </c>
      <c r="N74" s="304">
        <f>$M74*'MWh Impact Summary'!F$16</f>
        <v>32751.921227896411</v>
      </c>
      <c r="O74" s="304">
        <f>$M74*'MWh Impact Summary'!G$16</f>
        <v>0</v>
      </c>
      <c r="P74" s="304">
        <f>$M74*'MWh Impact Summary'!H$16</f>
        <v>629.02008129806632</v>
      </c>
      <c r="Q74" s="320">
        <f>$D74*'MWh Impact Summary'!I$16</f>
        <v>623.05693697655045</v>
      </c>
      <c r="R74" s="304">
        <f>$M74*'MWh Impact Summary'!J$16</f>
        <v>5891.6079990401058</v>
      </c>
      <c r="S74" s="304">
        <f>$M74*'MWh Impact Summary'!K$16</f>
        <v>0</v>
      </c>
      <c r="T74" s="304">
        <f>$M74*'MWh Impact Summary'!L$16</f>
        <v>0</v>
      </c>
      <c r="U74" s="304">
        <f>$M74*'MWh Impact Summary'!M$16</f>
        <v>0</v>
      </c>
      <c r="V74" s="304">
        <f>$M74*'LED Impact Forecast'!$H$17+$D74*'LED Impact Forecast'!$J$17</f>
        <v>0</v>
      </c>
      <c r="W74" s="304">
        <f>$M74*'CFL Impact Forecast'!$H$17+$D74*'CFL Impact Forecast'!$J$17</f>
        <v>183811.47464890612</v>
      </c>
      <c r="X74" s="304">
        <f>$M74*'EISA Incand Impact Forecast'!$G$17+$D74*'EISA Incand Impact Forecast'!$I$17</f>
        <v>0</v>
      </c>
      <c r="Y74" s="85">
        <f t="shared" si="35"/>
        <v>223707.08089411724</v>
      </c>
      <c r="Z74" s="81">
        <f t="shared" si="36"/>
        <v>395241.19496235752</v>
      </c>
      <c r="AA74" s="81"/>
      <c r="AB74" s="81">
        <f>+'MWh by mo-WgtbyActulCDH&amp;Days'!AB74</f>
        <v>4524001</v>
      </c>
      <c r="AC74" s="308">
        <f t="shared" si="44"/>
        <v>87.365408398971951</v>
      </c>
      <c r="AD74" s="309">
        <f t="shared" si="37"/>
        <v>37.916462456184313</v>
      </c>
      <c r="AE74" s="107">
        <f t="shared" si="38"/>
        <v>3.0414274697474048E-3</v>
      </c>
      <c r="AF74" s="309">
        <f t="shared" si="45"/>
        <v>49.448945942787645</v>
      </c>
      <c r="AG74" s="107">
        <f t="shared" si="39"/>
        <v>3.9664929900631802E-3</v>
      </c>
      <c r="AH74" s="119">
        <f t="shared" si="46"/>
        <v>7.0079204598105845E-3</v>
      </c>
      <c r="AI74" s="122">
        <f t="shared" si="40"/>
        <v>7.0079204598105845E-3</v>
      </c>
      <c r="AJ74" s="87" t="b">
        <f t="shared" si="47"/>
        <v>1</v>
      </c>
      <c r="AK74" s="88">
        <f t="shared" si="21"/>
        <v>-2.4928253077824251E-4</v>
      </c>
      <c r="AL74" s="312">
        <f>+AC74/'MWh by month-WgtbyCDH&amp;DayLtHrs'!AC74-1</f>
        <v>-5.7266872840210259E-2</v>
      </c>
      <c r="AM74" s="89">
        <f t="shared" si="41"/>
        <v>183811.47464890612</v>
      </c>
      <c r="AN74" s="93"/>
      <c r="AO74" s="96">
        <f t="shared" si="28"/>
        <v>40.630290455043252</v>
      </c>
      <c r="AP74" s="92">
        <f t="shared" si="27"/>
        <v>3.2591142076237901E-3</v>
      </c>
      <c r="AR74" s="94">
        <f t="shared" si="42"/>
        <v>7.0079204598105845E-3</v>
      </c>
      <c r="AS74" s="95">
        <v>408735.92382140399</v>
      </c>
      <c r="AU74" s="141">
        <v>87.365408398971951</v>
      </c>
    </row>
    <row r="75" spans="1:47">
      <c r="A75" s="78">
        <v>2010</v>
      </c>
      <c r="B75" s="78">
        <v>11</v>
      </c>
      <c r="C75" s="317">
        <v>78.039164038250874</v>
      </c>
      <c r="D75" s="318">
        <f t="shared" si="32"/>
        <v>3.9139180750117221E-2</v>
      </c>
      <c r="E75" s="321">
        <f>$D75*'MWh Impact Summary'!B$16</f>
        <v>33233.329238241917</v>
      </c>
      <c r="F75" s="319">
        <f>$D75*'MWh Impact Summary'!N$16</f>
        <v>1066.4271538969285</v>
      </c>
      <c r="G75" s="319">
        <f>$D75*'MWh Impact Summary'!C$16</f>
        <v>27240.545823821572</v>
      </c>
      <c r="H75" s="319">
        <f>$D75*'MWh Impact Summary'!D$16</f>
        <v>27.784818384937687</v>
      </c>
      <c r="I75" s="319">
        <f>$D75*'MWh Impact Summary'!E$16</f>
        <v>12126.188193034846</v>
      </c>
      <c r="J75" s="104">
        <f t="shared" si="43"/>
        <v>73694.275227380189</v>
      </c>
      <c r="K75" s="298">
        <f t="shared" si="18"/>
        <v>13.15</v>
      </c>
      <c r="L75" s="299">
        <f t="shared" si="33"/>
        <v>9.2573037662794788E-2</v>
      </c>
      <c r="M75" s="297">
        <f>(30/365)</f>
        <v>8.2191780821917804E-2</v>
      </c>
      <c r="N75" s="304">
        <f>$M75*'MWh Impact Summary'!F$16</f>
        <v>31695.407639899753</v>
      </c>
      <c r="O75" s="304">
        <f>$M75*'MWh Impact Summary'!G$16</f>
        <v>0</v>
      </c>
      <c r="P75" s="304">
        <f>$M75*'MWh Impact Summary'!H$16</f>
        <v>608.72911093361256</v>
      </c>
      <c r="Q75" s="320">
        <f>$D75*'MWh Impact Summary'!I$16</f>
        <v>267.67695537000895</v>
      </c>
      <c r="R75" s="304">
        <f>$M75*'MWh Impact Summary'!J$16</f>
        <v>5701.5561281033288</v>
      </c>
      <c r="S75" s="304">
        <f>$M75*'MWh Impact Summary'!K$16</f>
        <v>0</v>
      </c>
      <c r="T75" s="304">
        <f>$M75*'MWh Impact Summary'!L$16</f>
        <v>0</v>
      </c>
      <c r="U75" s="304">
        <f>$M75*'MWh Impact Summary'!M$16</f>
        <v>0</v>
      </c>
      <c r="V75" s="304">
        <f>$M75*'LED Impact Forecast'!$H$17+$D75*'LED Impact Forecast'!$J$17</f>
        <v>0</v>
      </c>
      <c r="W75" s="304">
        <f>$M75*'CFL Impact Forecast'!$H$17+$D75*'CFL Impact Forecast'!$J$17</f>
        <v>162804.57894877624</v>
      </c>
      <c r="X75" s="304">
        <f>$M75*'EISA Incand Impact Forecast'!$G$17+$D75*'EISA Incand Impact Forecast'!$I$17</f>
        <v>0</v>
      </c>
      <c r="Y75" s="85">
        <f t="shared" si="35"/>
        <v>201077.94878308295</v>
      </c>
      <c r="Z75" s="81">
        <f t="shared" si="36"/>
        <v>274772.22401046311</v>
      </c>
      <c r="AA75" s="81"/>
      <c r="AB75" s="81">
        <f>+'MWh by mo-WgtbyActulCDH&amp;Days'!AB75</f>
        <v>4525048</v>
      </c>
      <c r="AC75" s="308">
        <f t="shared" si="44"/>
        <v>60.722499299557292</v>
      </c>
      <c r="AD75" s="309">
        <f t="shared" si="37"/>
        <v>16.285854918529083</v>
      </c>
      <c r="AE75" s="107">
        <f t="shared" si="38"/>
        <v>1.2384680546409948E-3</v>
      </c>
      <c r="AF75" s="309">
        <f t="shared" si="45"/>
        <v>44.436644381028209</v>
      </c>
      <c r="AG75" s="107">
        <f t="shared" si="39"/>
        <v>3.379212500458419E-3</v>
      </c>
      <c r="AH75" s="119">
        <f t="shared" si="46"/>
        <v>4.6176805550994134E-3</v>
      </c>
      <c r="AI75" s="122">
        <f t="shared" si="40"/>
        <v>4.6176805550994134E-3</v>
      </c>
      <c r="AJ75" s="87" t="b">
        <f t="shared" si="47"/>
        <v>1</v>
      </c>
      <c r="AK75" s="88">
        <f t="shared" si="21"/>
        <v>3.9706811492057782E-4</v>
      </c>
      <c r="AL75" s="312">
        <f>+AC75/'MWh by month-WgtbyCDH&amp;DayLtHrs'!AC75-1</f>
        <v>-0.12979081713316998</v>
      </c>
      <c r="AM75" s="89">
        <f t="shared" si="41"/>
        <v>162804.57894877624</v>
      </c>
      <c r="AN75" s="93"/>
      <c r="AO75" s="96">
        <f t="shared" si="28"/>
        <v>35.978530824153964</v>
      </c>
      <c r="AP75" s="92">
        <f t="shared" si="27"/>
        <v>2.7360099486048641E-3</v>
      </c>
      <c r="AR75" s="94">
        <f t="shared" si="42"/>
        <v>4.6176805550994134E-3</v>
      </c>
      <c r="AS75" s="95">
        <v>314574.29537016101</v>
      </c>
      <c r="AU75" s="141">
        <v>60.722499299557292</v>
      </c>
    </row>
    <row r="76" spans="1:47">
      <c r="A76" s="78">
        <v>2010</v>
      </c>
      <c r="B76" s="78">
        <v>12</v>
      </c>
      <c r="C76" s="317">
        <v>0</v>
      </c>
      <c r="D76" s="318">
        <f t="shared" si="32"/>
        <v>0</v>
      </c>
      <c r="E76" s="321">
        <f>$D76*'MWh Impact Summary'!B$16</f>
        <v>0</v>
      </c>
      <c r="F76" s="319">
        <f>$D76*'MWh Impact Summary'!N$16</f>
        <v>0</v>
      </c>
      <c r="G76" s="319">
        <f>$D76*'MWh Impact Summary'!C$16</f>
        <v>0</v>
      </c>
      <c r="H76" s="319">
        <f>$D76*'MWh Impact Summary'!D$16</f>
        <v>0</v>
      </c>
      <c r="I76" s="319">
        <f>$D76*'MWh Impact Summary'!E$16</f>
        <v>0</v>
      </c>
      <c r="J76" s="104">
        <f t="shared" si="43"/>
        <v>0</v>
      </c>
      <c r="K76" s="298">
        <f t="shared" si="18"/>
        <v>13.483333333333333</v>
      </c>
      <c r="L76" s="299">
        <f t="shared" si="33"/>
        <v>9.491962923853102E-2</v>
      </c>
      <c r="M76" s="297">
        <f t="shared" si="34"/>
        <v>8.4931506849315067E-2</v>
      </c>
      <c r="N76" s="304">
        <f>$M76*'MWh Impact Summary'!F$16</f>
        <v>32751.921227896411</v>
      </c>
      <c r="O76" s="304">
        <f>$M76*'MWh Impact Summary'!G$16</f>
        <v>0</v>
      </c>
      <c r="P76" s="304">
        <f>$M76*'MWh Impact Summary'!H$16</f>
        <v>629.02008129806632</v>
      </c>
      <c r="Q76" s="320">
        <f>$D76*'MWh Impact Summary'!I$16</f>
        <v>0</v>
      </c>
      <c r="R76" s="304">
        <f>$M76*'MWh Impact Summary'!J$16</f>
        <v>5891.6079990401058</v>
      </c>
      <c r="S76" s="304">
        <f>$M76*'MWh Impact Summary'!K$16</f>
        <v>0</v>
      </c>
      <c r="T76" s="304">
        <f>$M76*'MWh Impact Summary'!L$16</f>
        <v>0</v>
      </c>
      <c r="U76" s="304">
        <f>$M76*'MWh Impact Summary'!M$16</f>
        <v>0</v>
      </c>
      <c r="V76" s="304">
        <f>$M76*'LED Impact Forecast'!$H$17+$D76*'LED Impact Forecast'!$J$17</f>
        <v>0</v>
      </c>
      <c r="W76" s="304">
        <f>$M76*'CFL Impact Forecast'!$H$17+$D76*'CFL Impact Forecast'!$J$17</f>
        <v>155792.8085141617</v>
      </c>
      <c r="X76" s="304">
        <f>$M76*'EISA Incand Impact Forecast'!$G$17+$D76*'EISA Incand Impact Forecast'!$I$17</f>
        <v>0</v>
      </c>
      <c r="Y76" s="85">
        <f t="shared" si="35"/>
        <v>195065.3578223963</v>
      </c>
      <c r="Z76" s="81">
        <f t="shared" si="36"/>
        <v>195065.3578223963</v>
      </c>
      <c r="AA76" s="81">
        <f>SUM(Z65:Z76)</f>
        <v>4494005.9847322749</v>
      </c>
      <c r="AB76" s="81">
        <f>+'MWh by mo-WgtbyActulCDH&amp;Days'!AB76</f>
        <v>4527028</v>
      </c>
      <c r="AC76" s="308">
        <f t="shared" si="44"/>
        <v>43.08905485506083</v>
      </c>
      <c r="AD76" s="309">
        <f t="shared" si="37"/>
        <v>0</v>
      </c>
      <c r="AE76" s="107">
        <f t="shared" si="38"/>
        <v>0</v>
      </c>
      <c r="AF76" s="309">
        <f t="shared" si="45"/>
        <v>43.08905485506083</v>
      </c>
      <c r="AG76" s="107">
        <f t="shared" si="39"/>
        <v>3.1957271833172435E-3</v>
      </c>
      <c r="AH76" s="119">
        <f t="shared" si="46"/>
        <v>3.1957271833172435E-3</v>
      </c>
      <c r="AI76" s="122">
        <f t="shared" si="40"/>
        <v>3.1957271833172435E-3</v>
      </c>
      <c r="AJ76" s="87" t="b">
        <f t="shared" si="47"/>
        <v>1</v>
      </c>
      <c r="AK76" s="88">
        <f t="shared" si="21"/>
        <v>5.2293531857104062E-4</v>
      </c>
      <c r="AL76" s="312">
        <f>+AC76/'MWh by month-WgtbyCDH&amp;DayLtHrs'!AC76-1</f>
        <v>-0.32199660836204036</v>
      </c>
      <c r="AM76" s="89">
        <f t="shared" si="41"/>
        <v>155792.8085141617</v>
      </c>
      <c r="AN76" s="90">
        <f>SUM(AM65:AM76)</f>
        <v>2141886.9768811991</v>
      </c>
      <c r="AO76" s="96">
        <f t="shared" si="28"/>
        <v>34.413926424612725</v>
      </c>
      <c r="AP76" s="92">
        <f t="shared" si="27"/>
        <v>2.5523307607870993E-3</v>
      </c>
      <c r="AR76" s="94">
        <f t="shared" si="42"/>
        <v>3.1957271833172435E-3</v>
      </c>
      <c r="AS76" s="95">
        <v>258947.55583039363</v>
      </c>
      <c r="AU76" s="141">
        <v>43.08905485506083</v>
      </c>
    </row>
    <row r="77" spans="1:47">
      <c r="A77" s="78">
        <v>2011</v>
      </c>
      <c r="B77" s="78">
        <v>1</v>
      </c>
      <c r="C77" s="317">
        <v>0</v>
      </c>
      <c r="D77" s="318">
        <f t="shared" ref="D77:D86" si="48">C77/(SUM(C$77:C$88))</f>
        <v>0</v>
      </c>
      <c r="E77" s="321">
        <f>$D77*'MWh Impact Summary'!B$17</f>
        <v>0</v>
      </c>
      <c r="F77" s="319">
        <f>$D77*'MWh Impact Summary'!N$17</f>
        <v>0</v>
      </c>
      <c r="G77" s="319">
        <f>$D77*'MWh Impact Summary'!C$17</f>
        <v>0</v>
      </c>
      <c r="H77" s="319">
        <f>$D77*'MWh Impact Summary'!D$17</f>
        <v>0</v>
      </c>
      <c r="I77" s="319">
        <f>$D77*'MWh Impact Summary'!E$17</f>
        <v>0</v>
      </c>
      <c r="J77" s="104">
        <f t="shared" si="43"/>
        <v>0</v>
      </c>
      <c r="K77" s="298">
        <f t="shared" si="18"/>
        <v>13.3</v>
      </c>
      <c r="L77" s="299">
        <f t="shared" ref="L77:L87" si="49">K77/(SUM(K$77:K$88))</f>
        <v>9.3629003871876101E-2</v>
      </c>
      <c r="M77" s="297">
        <f>(31/365)</f>
        <v>8.4931506849315067E-2</v>
      </c>
      <c r="N77" s="304">
        <f>$M77*'MWh Impact Summary'!F$17</f>
        <v>41360.554028076185</v>
      </c>
      <c r="O77" s="304">
        <f>$M77*'MWh Impact Summary'!G$17</f>
        <v>0</v>
      </c>
      <c r="P77" s="304">
        <f>$M77*'MWh Impact Summary'!H$17</f>
        <v>1310.2888089999105</v>
      </c>
      <c r="Q77" s="320">
        <f>$D77*'MWh Impact Summary'!I$17</f>
        <v>0</v>
      </c>
      <c r="R77" s="304">
        <f>$M77*'MWh Impact Summary'!J$17</f>
        <v>9083.059220915311</v>
      </c>
      <c r="S77" s="304">
        <f>$M77*'MWh Impact Summary'!K$17</f>
        <v>0</v>
      </c>
      <c r="T77" s="304">
        <f>$M77*'MWh Impact Summary'!L$17</f>
        <v>0</v>
      </c>
      <c r="U77" s="304">
        <f>$M77*'MWh Impact Summary'!M$17</f>
        <v>0</v>
      </c>
      <c r="V77" s="304">
        <f>$M77*'LED Impact Forecast'!$H$18+$D77*'LED Impact Forecast'!$J$18</f>
        <v>0</v>
      </c>
      <c r="W77" s="304">
        <f>$M77*'CFL Impact Forecast'!$H$18+$D77*'CFL Impact Forecast'!$J$18</f>
        <v>175831.44851614357</v>
      </c>
      <c r="X77" s="304">
        <f>$M77*'EISA Incand Impact Forecast'!$G$18+$D77*'EISA Incand Impact Forecast'!$I$18</f>
        <v>0</v>
      </c>
      <c r="Y77" s="85">
        <f t="shared" si="35"/>
        <v>227585.35057413497</v>
      </c>
      <c r="Z77" s="81">
        <f t="shared" si="36"/>
        <v>227585.35057413497</v>
      </c>
      <c r="AA77" s="81"/>
      <c r="AB77" s="81">
        <f>+'MWh by mo-WgtbyActulCDH&amp;Days'!AB77</f>
        <v>4533029</v>
      </c>
      <c r="AC77" s="308">
        <f t="shared" si="44"/>
        <v>50.206021310283916</v>
      </c>
      <c r="AD77" s="309">
        <f t="shared" si="37"/>
        <v>0</v>
      </c>
      <c r="AE77" s="107">
        <f t="shared" si="38"/>
        <v>0</v>
      </c>
      <c r="AF77" s="309">
        <f t="shared" si="45"/>
        <v>50.206021310283916</v>
      </c>
      <c r="AG77" s="107">
        <f t="shared" si="39"/>
        <v>3.774888820322099E-3</v>
      </c>
      <c r="AH77" s="119">
        <f t="shared" si="46"/>
        <v>3.774888820322099E-3</v>
      </c>
      <c r="AI77" s="122">
        <f t="shared" si="40"/>
        <v>3.774888820322099E-3</v>
      </c>
      <c r="AJ77" s="87" t="b">
        <f t="shared" si="47"/>
        <v>1</v>
      </c>
      <c r="AK77" s="88">
        <f t="shared" si="21"/>
        <v>5.171934056354883E-4</v>
      </c>
      <c r="AL77" s="312">
        <f>+AC77/'MWh by month-WgtbyCDH&amp;DayLtHrs'!AC77-1</f>
        <v>-0.27247971783484304</v>
      </c>
      <c r="AM77" s="89">
        <f t="shared" si="41"/>
        <v>175831.44851614357</v>
      </c>
      <c r="AN77" s="93"/>
      <c r="AO77" s="96">
        <f t="shared" si="28"/>
        <v>38.788952931062994</v>
      </c>
      <c r="AP77" s="92">
        <f t="shared" si="27"/>
        <v>2.9164626263957138E-3</v>
      </c>
      <c r="AR77" s="94">
        <f t="shared" si="42"/>
        <v>3.774888820322099E-3</v>
      </c>
      <c r="AS77" s="95">
        <v>291644.66337637795</v>
      </c>
      <c r="AU77" s="141">
        <v>50.206021310283916</v>
      </c>
    </row>
    <row r="78" spans="1:47">
      <c r="A78" s="78">
        <v>2011</v>
      </c>
      <c r="B78" s="78">
        <v>2</v>
      </c>
      <c r="C78" s="317">
        <v>0</v>
      </c>
      <c r="D78" s="318">
        <f t="shared" si="48"/>
        <v>0</v>
      </c>
      <c r="E78" s="321">
        <f>$D78*'MWh Impact Summary'!B$17</f>
        <v>0</v>
      </c>
      <c r="F78" s="319">
        <f>$D78*'MWh Impact Summary'!N$17</f>
        <v>0</v>
      </c>
      <c r="G78" s="319">
        <f>$D78*'MWh Impact Summary'!C$17</f>
        <v>0</v>
      </c>
      <c r="H78" s="319">
        <f>$D78*'MWh Impact Summary'!D$17</f>
        <v>0</v>
      </c>
      <c r="I78" s="319">
        <f>$D78*'MWh Impact Summary'!E$17</f>
        <v>0</v>
      </c>
      <c r="J78" s="104">
        <f t="shared" si="43"/>
        <v>0</v>
      </c>
      <c r="K78" s="298">
        <f t="shared" si="18"/>
        <v>12.733333333333333</v>
      </c>
      <c r="L78" s="299">
        <f t="shared" si="49"/>
        <v>8.9639798193124468E-2</v>
      </c>
      <c r="M78" s="297">
        <f>(28/365)</f>
        <v>7.6712328767123292E-2</v>
      </c>
      <c r="N78" s="304">
        <f>$M78*'MWh Impact Summary'!F$17</f>
        <v>37357.919767294625</v>
      </c>
      <c r="O78" s="304">
        <f>$M78*'MWh Impact Summary'!G$17</f>
        <v>0</v>
      </c>
      <c r="P78" s="304">
        <f>$M78*'MWh Impact Summary'!H$17</f>
        <v>1183.4866661934677</v>
      </c>
      <c r="Q78" s="320">
        <f>$D78*'MWh Impact Summary'!I$17</f>
        <v>0</v>
      </c>
      <c r="R78" s="304">
        <f>$M78*'MWh Impact Summary'!J$17</f>
        <v>8204.0534898589904</v>
      </c>
      <c r="S78" s="304">
        <f>$M78*'MWh Impact Summary'!K$17</f>
        <v>0</v>
      </c>
      <c r="T78" s="304">
        <f>$M78*'MWh Impact Summary'!L$17</f>
        <v>0</v>
      </c>
      <c r="U78" s="304">
        <f>$M78*'MWh Impact Summary'!M$17</f>
        <v>0</v>
      </c>
      <c r="V78" s="304">
        <f>$M78*'LED Impact Forecast'!$H$18+$D78*'LED Impact Forecast'!$J$18</f>
        <v>0</v>
      </c>
      <c r="W78" s="304">
        <f>$M78*'CFL Impact Forecast'!$H$18+$D78*'CFL Impact Forecast'!$J$18</f>
        <v>158815.50188554905</v>
      </c>
      <c r="X78" s="304">
        <f>$M78*'EISA Incand Impact Forecast'!$G$18+$D78*'EISA Incand Impact Forecast'!$I$18</f>
        <v>0</v>
      </c>
      <c r="Y78" s="85">
        <f t="shared" si="35"/>
        <v>205560.96180889613</v>
      </c>
      <c r="Z78" s="81">
        <f t="shared" si="36"/>
        <v>205560.96180889613</v>
      </c>
      <c r="AA78" s="81"/>
      <c r="AB78" s="81">
        <f>+'MWh by mo-WgtbyActulCDH&amp;Days'!AB78</f>
        <v>4539389</v>
      </c>
      <c r="AC78" s="308">
        <f t="shared" si="44"/>
        <v>45.283839258740798</v>
      </c>
      <c r="AD78" s="309">
        <f t="shared" si="37"/>
        <v>0</v>
      </c>
      <c r="AE78" s="107">
        <f t="shared" si="38"/>
        <v>0</v>
      </c>
      <c r="AF78" s="309">
        <f t="shared" si="45"/>
        <v>45.283839258740798</v>
      </c>
      <c r="AG78" s="107">
        <f t="shared" si="39"/>
        <v>3.5563224548749322E-3</v>
      </c>
      <c r="AH78" s="119">
        <f t="shared" si="46"/>
        <v>3.5563224548749322E-3</v>
      </c>
      <c r="AI78" s="122">
        <f t="shared" si="40"/>
        <v>3.5563224548749322E-3</v>
      </c>
      <c r="AJ78" s="87" t="b">
        <f t="shared" si="47"/>
        <v>1</v>
      </c>
      <c r="AK78" s="88">
        <f t="shared" si="21"/>
        <v>4.8875316142675063E-4</v>
      </c>
      <c r="AL78" s="312">
        <f>+AC78/'MWh by month-WgtbyCDH&amp;DayLtHrs'!AC78-1</f>
        <v>-0.34004511802831583</v>
      </c>
      <c r="AM78" s="89">
        <f t="shared" si="41"/>
        <v>158815.50188554905</v>
      </c>
      <c r="AN78" s="93"/>
      <c r="AO78" s="96">
        <f t="shared" si="28"/>
        <v>34.986096561794781</v>
      </c>
      <c r="AP78" s="92">
        <f t="shared" si="27"/>
        <v>2.7475992064236745E-3</v>
      </c>
      <c r="AR78" s="94">
        <f t="shared" si="42"/>
        <v>3.5563224548749322E-3</v>
      </c>
      <c r="AS78" s="95">
        <v>271269.7836528655</v>
      </c>
      <c r="AU78" s="141">
        <v>45.283839258740798</v>
      </c>
    </row>
    <row r="79" spans="1:47">
      <c r="A79" s="78">
        <v>2011</v>
      </c>
      <c r="B79" s="78">
        <v>3</v>
      </c>
      <c r="C79" s="317">
        <v>0</v>
      </c>
      <c r="D79" s="318">
        <f t="shared" si="48"/>
        <v>0</v>
      </c>
      <c r="E79" s="321">
        <f>$D79*'MWh Impact Summary'!B$17</f>
        <v>0</v>
      </c>
      <c r="F79" s="319">
        <f>$D79*'MWh Impact Summary'!N$17</f>
        <v>0</v>
      </c>
      <c r="G79" s="319">
        <f>$D79*'MWh Impact Summary'!C$17</f>
        <v>0</v>
      </c>
      <c r="H79" s="319">
        <f>$D79*'MWh Impact Summary'!D$17</f>
        <v>0</v>
      </c>
      <c r="I79" s="319">
        <f>$D79*'MWh Impact Summary'!E$17</f>
        <v>0</v>
      </c>
      <c r="J79" s="104">
        <f t="shared" si="43"/>
        <v>0</v>
      </c>
      <c r="K79" s="298">
        <f t="shared" si="18"/>
        <v>12</v>
      </c>
      <c r="L79" s="299">
        <f t="shared" si="49"/>
        <v>8.4477296726504739E-2</v>
      </c>
      <c r="M79" s="297">
        <f t="shared" ref="M79:M88" si="50">(31/365)</f>
        <v>8.4931506849315067E-2</v>
      </c>
      <c r="N79" s="304">
        <f>$M79*'MWh Impact Summary'!F$17</f>
        <v>41360.554028076185</v>
      </c>
      <c r="O79" s="304">
        <f>$M79*'MWh Impact Summary'!G$17</f>
        <v>0</v>
      </c>
      <c r="P79" s="304">
        <f>$M79*'MWh Impact Summary'!H$17</f>
        <v>1310.2888089999105</v>
      </c>
      <c r="Q79" s="320">
        <f>$D79*'MWh Impact Summary'!I$17</f>
        <v>0</v>
      </c>
      <c r="R79" s="304">
        <f>$M79*'MWh Impact Summary'!J$17</f>
        <v>9083.059220915311</v>
      </c>
      <c r="S79" s="304">
        <f>$M79*'MWh Impact Summary'!K$17</f>
        <v>0</v>
      </c>
      <c r="T79" s="304">
        <f>$M79*'MWh Impact Summary'!L$17</f>
        <v>0</v>
      </c>
      <c r="U79" s="304">
        <f>$M79*'MWh Impact Summary'!M$17</f>
        <v>0</v>
      </c>
      <c r="V79" s="304">
        <f>$M79*'LED Impact Forecast'!$H$18+$D79*'LED Impact Forecast'!$J$18</f>
        <v>0</v>
      </c>
      <c r="W79" s="304">
        <f>$M79*'CFL Impact Forecast'!$H$18+$D79*'CFL Impact Forecast'!$J$18</f>
        <v>175831.44851614357</v>
      </c>
      <c r="X79" s="304">
        <f>$M79*'EISA Incand Impact Forecast'!$G$18+$D79*'EISA Incand Impact Forecast'!$I$18</f>
        <v>0</v>
      </c>
      <c r="Y79" s="85">
        <f t="shared" si="35"/>
        <v>227585.35057413497</v>
      </c>
      <c r="Z79" s="81">
        <f t="shared" si="36"/>
        <v>227585.35057413497</v>
      </c>
      <c r="AA79" s="81"/>
      <c r="AB79" s="81">
        <f>+'MWh by mo-WgtbyActulCDH&amp;Days'!AB79</f>
        <v>4546574</v>
      </c>
      <c r="AC79" s="308">
        <f t="shared" si="44"/>
        <v>50.056449223994811</v>
      </c>
      <c r="AD79" s="309">
        <f t="shared" si="37"/>
        <v>0</v>
      </c>
      <c r="AE79" s="107">
        <f t="shared" si="38"/>
        <v>0</v>
      </c>
      <c r="AF79" s="309">
        <f t="shared" si="45"/>
        <v>50.056449223994811</v>
      </c>
      <c r="AG79" s="107">
        <f t="shared" si="39"/>
        <v>4.1713707686662346E-3</v>
      </c>
      <c r="AH79" s="119">
        <f t="shared" si="46"/>
        <v>4.1713707686662346E-3</v>
      </c>
      <c r="AI79" s="122">
        <f t="shared" si="40"/>
        <v>4.1713707686662346E-3</v>
      </c>
      <c r="AJ79" s="87" t="b">
        <f t="shared" si="47"/>
        <v>1</v>
      </c>
      <c r="AK79" s="88">
        <f t="shared" si="21"/>
        <v>5.724150492845935E-4</v>
      </c>
      <c r="AL79" s="312">
        <f>+AC79/'MWh by month-WgtbyCDH&amp;DayLtHrs'!AC79-1</f>
        <v>-0.31111177460901951</v>
      </c>
      <c r="AM79" s="89">
        <f t="shared" si="41"/>
        <v>175831.44851614357</v>
      </c>
      <c r="AN79" s="93"/>
      <c r="AO79" s="96">
        <f t="shared" si="28"/>
        <v>38.673394190030464</v>
      </c>
      <c r="AP79" s="92">
        <f t="shared" si="27"/>
        <v>3.222782849169205E-3</v>
      </c>
      <c r="AR79" s="94">
        <f t="shared" si="42"/>
        <v>4.1713707686662346E-3</v>
      </c>
      <c r="AS79" s="95">
        <v>329734.12848243071</v>
      </c>
      <c r="AU79" s="141">
        <v>50.056449223994811</v>
      </c>
    </row>
    <row r="80" spans="1:47">
      <c r="A80" s="78">
        <v>2011</v>
      </c>
      <c r="B80" s="78">
        <v>4</v>
      </c>
      <c r="C80" s="317">
        <v>190.37241736512024</v>
      </c>
      <c r="D80" s="318">
        <f t="shared" si="48"/>
        <v>9.629391213860021E-2</v>
      </c>
      <c r="E80" s="321">
        <f>$D80*'MWh Impact Summary'!B$17</f>
        <v>97395.546923286369</v>
      </c>
      <c r="F80" s="319">
        <f>$D80*'MWh Impact Summary'!N$17</f>
        <v>3553.1678282636576</v>
      </c>
      <c r="G80" s="319">
        <f>$D80*'MWh Impact Summary'!C$17</f>
        <v>81217.326247275487</v>
      </c>
      <c r="H80" s="319">
        <f>$D80*'MWh Impact Summary'!D$17</f>
        <v>142.43008247642589</v>
      </c>
      <c r="I80" s="319">
        <f>$D80*'MWh Impact Summary'!E$17</f>
        <v>34885.274131831684</v>
      </c>
      <c r="J80" s="104">
        <f t="shared" si="43"/>
        <v>217193.74521313363</v>
      </c>
      <c r="K80" s="298">
        <f t="shared" si="18"/>
        <v>11.2</v>
      </c>
      <c r="L80" s="299">
        <f t="shared" si="49"/>
        <v>7.8845476944737758E-2</v>
      </c>
      <c r="M80" s="297">
        <f>(30/365)</f>
        <v>8.2191780821917804E-2</v>
      </c>
      <c r="N80" s="304">
        <f>$M80*'MWh Impact Summary'!F$17</f>
        <v>40026.342607815663</v>
      </c>
      <c r="O80" s="304">
        <f>$M80*'MWh Impact Summary'!G$17</f>
        <v>0</v>
      </c>
      <c r="P80" s="304">
        <f>$M80*'MWh Impact Summary'!H$17</f>
        <v>1268.0214280644295</v>
      </c>
      <c r="Q80" s="320">
        <f>$D80*'MWh Impact Summary'!I$17</f>
        <v>763.55010362421217</v>
      </c>
      <c r="R80" s="304">
        <f>$M80*'MWh Impact Summary'!J$17</f>
        <v>8790.0573105632047</v>
      </c>
      <c r="S80" s="304">
        <f>$M80*'MWh Impact Summary'!K$17</f>
        <v>0</v>
      </c>
      <c r="T80" s="304">
        <f>$M80*'MWh Impact Summary'!L$17</f>
        <v>0</v>
      </c>
      <c r="U80" s="304">
        <f>$M80*'MWh Impact Summary'!M$17</f>
        <v>0</v>
      </c>
      <c r="V80" s="304">
        <f>$M80*'LED Impact Forecast'!$H$18+$D80*'LED Impact Forecast'!$J$18</f>
        <v>0</v>
      </c>
      <c r="W80" s="304">
        <f>$M80*'CFL Impact Forecast'!$H$18+$D80*'CFL Impact Forecast'!$J$18</f>
        <v>203662.40197851998</v>
      </c>
      <c r="X80" s="304">
        <f>$M80*'EISA Incand Impact Forecast'!$G$18+$D80*'EISA Incand Impact Forecast'!$I$18</f>
        <v>0</v>
      </c>
      <c r="Y80" s="85">
        <f t="shared" si="35"/>
        <v>254510.37342858748</v>
      </c>
      <c r="Z80" s="81">
        <f t="shared" si="36"/>
        <v>471704.11864172108</v>
      </c>
      <c r="AA80" s="81"/>
      <c r="AB80" s="81">
        <f>+'MWh by mo-WgtbyActulCDH&amp;Days'!AB80</f>
        <v>4550254</v>
      </c>
      <c r="AC80" s="308">
        <f t="shared" si="44"/>
        <v>103.66544782812588</v>
      </c>
      <c r="AD80" s="309">
        <f t="shared" si="37"/>
        <v>47.732224445741629</v>
      </c>
      <c r="AE80" s="107">
        <f t="shared" si="38"/>
        <v>4.2618057540840743E-3</v>
      </c>
      <c r="AF80" s="309">
        <f t="shared" si="45"/>
        <v>55.933223382384256</v>
      </c>
      <c r="AG80" s="107">
        <f t="shared" si="39"/>
        <v>4.9940378019985941E-3</v>
      </c>
      <c r="AH80" s="119">
        <f t="shared" si="46"/>
        <v>9.2558435560826692E-3</v>
      </c>
      <c r="AI80" s="122">
        <f t="shared" si="40"/>
        <v>9.2558435560826692E-3</v>
      </c>
      <c r="AJ80" s="87" t="b">
        <f t="shared" si="47"/>
        <v>1</v>
      </c>
      <c r="AK80" s="88">
        <f t="shared" si="21"/>
        <v>3.5881754853052915E-3</v>
      </c>
      <c r="AL80" s="312">
        <f>+AC80/'MWh by month-WgtbyCDH&amp;DayLtHrs'!AC80-1</f>
        <v>0.27235507471418918</v>
      </c>
      <c r="AM80" s="89">
        <f t="shared" si="41"/>
        <v>203662.40197851998</v>
      </c>
      <c r="AN80" s="93"/>
      <c r="AO80" s="96">
        <f t="shared" si="28"/>
        <v>44.758468863171153</v>
      </c>
      <c r="AP80" s="92">
        <f t="shared" si="27"/>
        <v>3.9962918627831391E-3</v>
      </c>
      <c r="AR80" s="94">
        <f t="shared" si="42"/>
        <v>9.2558435560826692E-3</v>
      </c>
      <c r="AS80" s="95">
        <v>389711.18757361744</v>
      </c>
      <c r="AU80" s="141">
        <v>103.66544782812588</v>
      </c>
    </row>
    <row r="81" spans="1:47">
      <c r="A81" s="78">
        <v>2011</v>
      </c>
      <c r="B81" s="78">
        <v>5</v>
      </c>
      <c r="C81" s="317">
        <v>242.30649337743392</v>
      </c>
      <c r="D81" s="318">
        <f t="shared" si="48"/>
        <v>0.12256313444372907</v>
      </c>
      <c r="E81" s="321">
        <f>$D81*'MWh Impact Summary'!B$17</f>
        <v>123965.29797852282</v>
      </c>
      <c r="F81" s="319">
        <f>$D81*'MWh Impact Summary'!N$17</f>
        <v>4522.4809810384968</v>
      </c>
      <c r="G81" s="319">
        <f>$D81*'MWh Impact Summary'!C$17</f>
        <v>103373.61786358235</v>
      </c>
      <c r="H81" s="319">
        <f>$D81*'MWh Impact Summary'!D$17</f>
        <v>181.28536851076751</v>
      </c>
      <c r="I81" s="319">
        <f>$D81*'MWh Impact Summary'!E$17</f>
        <v>44402.06497552924</v>
      </c>
      <c r="J81" s="104">
        <f t="shared" si="43"/>
        <v>276444.74716718367</v>
      </c>
      <c r="K81" s="298">
        <f t="shared" si="18"/>
        <v>10.533333333333333</v>
      </c>
      <c r="L81" s="299">
        <f t="shared" si="49"/>
        <v>7.4152293793265281E-2</v>
      </c>
      <c r="M81" s="297">
        <f t="shared" si="50"/>
        <v>8.4931506849315067E-2</v>
      </c>
      <c r="N81" s="304">
        <f>$M81*'MWh Impact Summary'!F$17</f>
        <v>41360.554028076185</v>
      </c>
      <c r="O81" s="304">
        <f>$M81*'MWh Impact Summary'!G$17</f>
        <v>0</v>
      </c>
      <c r="P81" s="304">
        <f>$M81*'MWh Impact Summary'!H$17</f>
        <v>1310.2888089999105</v>
      </c>
      <c r="Q81" s="320">
        <f>$D81*'MWh Impact Summary'!I$17</f>
        <v>971.84849931446513</v>
      </c>
      <c r="R81" s="304">
        <f>$M81*'MWh Impact Summary'!J$17</f>
        <v>9083.059220915311</v>
      </c>
      <c r="S81" s="304">
        <f>$M81*'MWh Impact Summary'!K$17</f>
        <v>0</v>
      </c>
      <c r="T81" s="304">
        <f>$M81*'MWh Impact Summary'!L$17</f>
        <v>0</v>
      </c>
      <c r="U81" s="304">
        <f>$M81*'MWh Impact Summary'!M$17</f>
        <v>0</v>
      </c>
      <c r="V81" s="304">
        <f>$M81*'LED Impact Forecast'!$H$18+$D81*'LED Impact Forecast'!$J$18</f>
        <v>0</v>
      </c>
      <c r="W81" s="304">
        <f>$M81*'CFL Impact Forecast'!$H$18+$D81*'CFL Impact Forecast'!$J$18</f>
        <v>218474.06961130784</v>
      </c>
      <c r="X81" s="304">
        <f>$M81*'EISA Incand Impact Forecast'!$G$18+$D81*'EISA Incand Impact Forecast'!$I$18</f>
        <v>0</v>
      </c>
      <c r="Y81" s="85">
        <f t="shared" si="35"/>
        <v>271199.82016861369</v>
      </c>
      <c r="Z81" s="81">
        <f t="shared" si="36"/>
        <v>547644.56733579736</v>
      </c>
      <c r="AA81" s="81"/>
      <c r="AB81" s="81">
        <f>+'MWh by mo-WgtbyActulCDH&amp;Days'!AB81</f>
        <v>4549811</v>
      </c>
      <c r="AC81" s="308">
        <f t="shared" si="44"/>
        <v>120.36644320737659</v>
      </c>
      <c r="AD81" s="309">
        <f t="shared" si="37"/>
        <v>60.759611150261776</v>
      </c>
      <c r="AE81" s="107">
        <f t="shared" si="38"/>
        <v>5.7683175142653588E-3</v>
      </c>
      <c r="AF81" s="309">
        <f t="shared" si="45"/>
        <v>59.606832057114829</v>
      </c>
      <c r="AG81" s="107">
        <f t="shared" si="39"/>
        <v>5.6588764611184969E-3</v>
      </c>
      <c r="AH81" s="119">
        <f t="shared" si="46"/>
        <v>1.1427193975383856E-2</v>
      </c>
      <c r="AI81" s="122">
        <f t="shared" si="40"/>
        <v>1.1427193975383854E-2</v>
      </c>
      <c r="AJ81" s="87" t="b">
        <f t="shared" si="47"/>
        <v>1</v>
      </c>
      <c r="AK81" s="88">
        <f t="shared" si="21"/>
        <v>1.4271408722507373E-3</v>
      </c>
      <c r="AL81" s="312">
        <f>+AC81/'MWh by month-WgtbyCDH&amp;DayLtHrs'!AC81-1</f>
        <v>0.17661490273543645</v>
      </c>
      <c r="AM81" s="89">
        <f t="shared" si="41"/>
        <v>218474.06961130784</v>
      </c>
      <c r="AN81" s="93"/>
      <c r="AO81" s="96">
        <f t="shared" si="28"/>
        <v>48.018273640665043</v>
      </c>
      <c r="AP81" s="92">
        <f t="shared" si="27"/>
        <v>4.5586968646200996E-3</v>
      </c>
      <c r="AR81" s="94">
        <f t="shared" si="42"/>
        <v>1.1427193975383854E-2</v>
      </c>
      <c r="AS81" s="95">
        <v>471746.54588684964</v>
      </c>
      <c r="AU81" s="141">
        <v>120.36644320737659</v>
      </c>
    </row>
    <row r="82" spans="1:47">
      <c r="A82" s="78">
        <v>2011</v>
      </c>
      <c r="B82" s="78">
        <v>6</v>
      </c>
      <c r="C82" s="317">
        <v>304.55790465228421</v>
      </c>
      <c r="D82" s="318">
        <f t="shared" si="48"/>
        <v>0.15405105696302671</v>
      </c>
      <c r="E82" s="321">
        <f>$D82*'MWh Impact Summary'!B$17</f>
        <v>155813.45293592964</v>
      </c>
      <c r="F82" s="319">
        <f>$D82*'MWh Impact Summary'!N$17</f>
        <v>5684.3599699551633</v>
      </c>
      <c r="G82" s="319">
        <f>$D82*'MWh Impact Summary'!C$17</f>
        <v>129931.52603557349</v>
      </c>
      <c r="H82" s="319">
        <f>$D82*'MWh Impact Summary'!D$17</f>
        <v>227.85972925518979</v>
      </c>
      <c r="I82" s="319">
        <f>$D82*'MWh Impact Summary'!E$17</f>
        <v>55809.481961002879</v>
      </c>
      <c r="J82" s="104">
        <f t="shared" si="43"/>
        <v>347466.68063171639</v>
      </c>
      <c r="K82" s="298">
        <f t="shared" ref="K82:K145" si="51">+K70</f>
        <v>10.199999999999999</v>
      </c>
      <c r="L82" s="299">
        <f t="shared" si="49"/>
        <v>7.1805702217529022E-2</v>
      </c>
      <c r="M82" s="297">
        <f>(30/365)</f>
        <v>8.2191780821917804E-2</v>
      </c>
      <c r="N82" s="304">
        <f>$M82*'MWh Impact Summary'!F$17</f>
        <v>40026.342607815663</v>
      </c>
      <c r="O82" s="304">
        <f>$M82*'MWh Impact Summary'!G$17</f>
        <v>0</v>
      </c>
      <c r="P82" s="304">
        <f>$M82*'MWh Impact Summary'!H$17</f>
        <v>1268.0214280644295</v>
      </c>
      <c r="Q82" s="320">
        <f>$D82*'MWh Impact Summary'!I$17</f>
        <v>1221.5279023894514</v>
      </c>
      <c r="R82" s="304">
        <f>$M82*'MWh Impact Summary'!J$17</f>
        <v>8790.0573105632047</v>
      </c>
      <c r="S82" s="304">
        <f>$M82*'MWh Impact Summary'!K$17</f>
        <v>0</v>
      </c>
      <c r="T82" s="304">
        <f>$M82*'MWh Impact Summary'!L$17</f>
        <v>0</v>
      </c>
      <c r="U82" s="304">
        <f>$M82*'MWh Impact Summary'!M$17</f>
        <v>0</v>
      </c>
      <c r="V82" s="304">
        <f>$M82*'LED Impact Forecast'!$H$18+$D82*'LED Impact Forecast'!$J$18</f>
        <v>0</v>
      </c>
      <c r="W82" s="304">
        <f>$M82*'CFL Impact Forecast'!$H$18+$D82*'CFL Impact Forecast'!$J$18</f>
        <v>223757.48239127916</v>
      </c>
      <c r="X82" s="304">
        <f>$M82*'EISA Incand Impact Forecast'!$G$18+$D82*'EISA Incand Impact Forecast'!$I$18</f>
        <v>0</v>
      </c>
      <c r="Y82" s="85">
        <f t="shared" si="35"/>
        <v>275063.4316401119</v>
      </c>
      <c r="Z82" s="81">
        <f t="shared" si="36"/>
        <v>622530.11227182834</v>
      </c>
      <c r="AA82" s="81"/>
      <c r="AB82" s="81">
        <f>+'MWh by mo-WgtbyActulCDH&amp;Days'!AB82</f>
        <v>4549338</v>
      </c>
      <c r="AC82" s="308">
        <f t="shared" si="44"/>
        <v>136.83971432147453</v>
      </c>
      <c r="AD82" s="309">
        <f t="shared" si="37"/>
        <v>76.377415929903734</v>
      </c>
      <c r="AE82" s="107">
        <f t="shared" si="38"/>
        <v>7.487981953912131E-3</v>
      </c>
      <c r="AF82" s="309">
        <f t="shared" si="45"/>
        <v>60.462298391570798</v>
      </c>
      <c r="AG82" s="107">
        <f t="shared" si="39"/>
        <v>5.9276763128990988E-3</v>
      </c>
      <c r="AH82" s="119">
        <f t="shared" si="46"/>
        <v>1.341565826681123E-2</v>
      </c>
      <c r="AI82" s="122">
        <f t="shared" si="40"/>
        <v>1.341565826681123E-2</v>
      </c>
      <c r="AJ82" s="87" t="b">
        <f t="shared" si="47"/>
        <v>1</v>
      </c>
      <c r="AK82" s="88">
        <f t="shared" si="21"/>
        <v>7.7508737562629292E-4</v>
      </c>
      <c r="AL82" s="312">
        <f>+AC82/'MWh by month-WgtbyCDH&amp;DayLtHrs'!AC82-1</f>
        <v>0.17214016519938835</v>
      </c>
      <c r="AM82" s="89">
        <f t="shared" si="41"/>
        <v>223757.48239127916</v>
      </c>
      <c r="AN82" s="93"/>
      <c r="AO82" s="96">
        <f t="shared" si="28"/>
        <v>49.184624750079934</v>
      </c>
      <c r="AP82" s="92">
        <f t="shared" si="27"/>
        <v>4.8220220343215617E-3</v>
      </c>
      <c r="AR82" s="94">
        <f t="shared" si="42"/>
        <v>1.341565826681123E-2</v>
      </c>
      <c r="AS82" s="95">
        <v>578320.56171354384</v>
      </c>
      <c r="AU82" s="141">
        <v>136.83971432147453</v>
      </c>
    </row>
    <row r="83" spans="1:47">
      <c r="A83" s="78">
        <v>2011</v>
      </c>
      <c r="B83" s="78">
        <v>7</v>
      </c>
      <c r="C83" s="317">
        <v>355.81307292026935</v>
      </c>
      <c r="D83" s="318">
        <f t="shared" si="48"/>
        <v>0.17997687509444482</v>
      </c>
      <c r="E83" s="321">
        <f>$D83*'MWh Impact Summary'!B$17</f>
        <v>182035.8711580566</v>
      </c>
      <c r="F83" s="319">
        <f>$D83*'MWh Impact Summary'!N$17</f>
        <v>6641.0017852069805</v>
      </c>
      <c r="G83" s="319">
        <f>$D83*'MWh Impact Summary'!C$17</f>
        <v>151798.17972782554</v>
      </c>
      <c r="H83" s="319">
        <f>$D83*'MWh Impact Summary'!D$17</f>
        <v>266.2070799102525</v>
      </c>
      <c r="I83" s="319">
        <f>$D83*'MWh Impact Summary'!E$17</f>
        <v>65201.864641485801</v>
      </c>
      <c r="J83" s="104">
        <f t="shared" si="43"/>
        <v>405943.12439248519</v>
      </c>
      <c r="K83" s="298">
        <f t="shared" si="51"/>
        <v>10.366666666666667</v>
      </c>
      <c r="L83" s="299">
        <f t="shared" si="49"/>
        <v>7.2978998005397158E-2</v>
      </c>
      <c r="M83" s="297">
        <f t="shared" si="50"/>
        <v>8.4931506849315067E-2</v>
      </c>
      <c r="N83" s="304">
        <f>$M83*'MWh Impact Summary'!F$17</f>
        <v>41360.554028076185</v>
      </c>
      <c r="O83" s="304">
        <f>$M83*'MWh Impact Summary'!G$17</f>
        <v>0</v>
      </c>
      <c r="P83" s="304">
        <f>$M83*'MWh Impact Summary'!H$17</f>
        <v>1310.2888089999105</v>
      </c>
      <c r="Q83" s="320">
        <f>$D83*'MWh Impact Summary'!I$17</f>
        <v>1427.103319164439</v>
      </c>
      <c r="R83" s="304">
        <f>$M83*'MWh Impact Summary'!J$17</f>
        <v>9083.059220915311</v>
      </c>
      <c r="S83" s="304">
        <f>$M83*'MWh Impact Summary'!K$17</f>
        <v>0</v>
      </c>
      <c r="T83" s="304">
        <f>$M83*'MWh Impact Summary'!L$17</f>
        <v>0</v>
      </c>
      <c r="U83" s="304">
        <f>$M83*'MWh Impact Summary'!M$17</f>
        <v>0</v>
      </c>
      <c r="V83" s="304">
        <f>$M83*'LED Impact Forecast'!$H$18+$D83*'LED Impact Forecast'!$J$18</f>
        <v>0</v>
      </c>
      <c r="W83" s="304">
        <f>$M83*'CFL Impact Forecast'!$H$18+$D83*'CFL Impact Forecast'!$J$18</f>
        <v>238449.6715680981</v>
      </c>
      <c r="X83" s="304">
        <f>$M83*'EISA Incand Impact Forecast'!$G$18+$D83*'EISA Incand Impact Forecast'!$I$18</f>
        <v>0</v>
      </c>
      <c r="Y83" s="85">
        <f t="shared" si="35"/>
        <v>291630.67694525397</v>
      </c>
      <c r="Z83" s="81">
        <f t="shared" si="36"/>
        <v>697573.80133773922</v>
      </c>
      <c r="AA83" s="81"/>
      <c r="AB83" s="81">
        <f>+'MWh by mo-WgtbyActulCDH&amp;Days'!AB83</f>
        <v>4549687</v>
      </c>
      <c r="AC83" s="308">
        <f t="shared" si="44"/>
        <v>153.32347067781569</v>
      </c>
      <c r="AD83" s="309">
        <f t="shared" si="37"/>
        <v>89.224406952057407</v>
      </c>
      <c r="AE83" s="107">
        <f t="shared" si="38"/>
        <v>8.6068559760827078E-3</v>
      </c>
      <c r="AF83" s="309">
        <f t="shared" si="45"/>
        <v>64.09906372575827</v>
      </c>
      <c r="AG83" s="107">
        <f t="shared" si="39"/>
        <v>6.183189426922019E-3</v>
      </c>
      <c r="AH83" s="119">
        <f t="shared" si="46"/>
        <v>1.4790045403004727E-2</v>
      </c>
      <c r="AI83" s="122">
        <f t="shared" si="40"/>
        <v>1.4790045403004728E-2</v>
      </c>
      <c r="AJ83" s="87" t="b">
        <f t="shared" si="47"/>
        <v>1</v>
      </c>
      <c r="AK83" s="88">
        <f t="shared" si="21"/>
        <v>1.9966787323319746E-3</v>
      </c>
      <c r="AL83" s="312">
        <f>+AC83/'MWh by month-WgtbyCDH&amp;DayLtHrs'!AC83-1</f>
        <v>0.17709334846398184</v>
      </c>
      <c r="AM83" s="89">
        <f t="shared" si="41"/>
        <v>238449.6715680981</v>
      </c>
      <c r="AN83" s="93"/>
      <c r="AO83" s="96">
        <f t="shared" si="28"/>
        <v>52.410126579718145</v>
      </c>
      <c r="AP83" s="92">
        <f t="shared" si="27"/>
        <v>5.0556392199085027E-3</v>
      </c>
      <c r="AR83" s="94">
        <f t="shared" si="42"/>
        <v>1.4790045403004728E-2</v>
      </c>
      <c r="AS83" s="95">
        <v>609448.78170354979</v>
      </c>
      <c r="AU83" s="141">
        <v>153.32347067781569</v>
      </c>
    </row>
    <row r="84" spans="1:47">
      <c r="A84" s="78">
        <v>2011</v>
      </c>
      <c r="B84" s="78">
        <v>8</v>
      </c>
      <c r="C84" s="317">
        <v>342.38255905344039</v>
      </c>
      <c r="D84" s="318">
        <f t="shared" si="48"/>
        <v>0.17318347119608349</v>
      </c>
      <c r="E84" s="321">
        <f>$D84*'MWh Impact Summary'!B$17</f>
        <v>175164.7484312185</v>
      </c>
      <c r="F84" s="319">
        <f>$D84*'MWh Impact Summary'!N$17</f>
        <v>6390.3306509683443</v>
      </c>
      <c r="G84" s="319">
        <f>$D84*'MWh Impact Summary'!C$17</f>
        <v>146068.40835922046</v>
      </c>
      <c r="H84" s="319">
        <f>$D84*'MWh Impact Summary'!D$17</f>
        <v>256.15883224796426</v>
      </c>
      <c r="I84" s="319">
        <f>$D84*'MWh Impact Summary'!E$17</f>
        <v>62740.756228510756</v>
      </c>
      <c r="J84" s="104">
        <f t="shared" si="43"/>
        <v>390620.40250216599</v>
      </c>
      <c r="K84" s="298">
        <f t="shared" si="51"/>
        <v>10.933333333333334</v>
      </c>
      <c r="L84" s="299">
        <f t="shared" si="49"/>
        <v>7.6968203684148764E-2</v>
      </c>
      <c r="M84" s="297">
        <f t="shared" si="50"/>
        <v>8.4931506849315067E-2</v>
      </c>
      <c r="N84" s="304">
        <f>$M84*'MWh Impact Summary'!F$17</f>
        <v>41360.554028076185</v>
      </c>
      <c r="O84" s="304">
        <f>$M84*'MWh Impact Summary'!G$17</f>
        <v>0</v>
      </c>
      <c r="P84" s="304">
        <f>$M84*'MWh Impact Summary'!H$17</f>
        <v>1310.2888089999105</v>
      </c>
      <c r="Q84" s="320">
        <f>$D84*'MWh Impact Summary'!I$17</f>
        <v>1373.2359028828273</v>
      </c>
      <c r="R84" s="304">
        <f>$M84*'MWh Impact Summary'!J$17</f>
        <v>9083.059220915311</v>
      </c>
      <c r="S84" s="304">
        <f>$M84*'MWh Impact Summary'!K$17</f>
        <v>0</v>
      </c>
      <c r="T84" s="304">
        <f>$M84*'MWh Impact Summary'!L$17</f>
        <v>0</v>
      </c>
      <c r="U84" s="304">
        <f>$M84*'MWh Impact Summary'!M$17</f>
        <v>0</v>
      </c>
      <c r="V84" s="304">
        <f>$M84*'LED Impact Forecast'!$H$18+$D84*'LED Impact Forecast'!$J$18</f>
        <v>0</v>
      </c>
      <c r="W84" s="304">
        <f>$M84*'CFL Impact Forecast'!$H$18+$D84*'CFL Impact Forecast'!$J$18</f>
        <v>236086.08524420855</v>
      </c>
      <c r="X84" s="304">
        <f>$M84*'EISA Incand Impact Forecast'!$G$18+$D84*'EISA Incand Impact Forecast'!$I$18</f>
        <v>0</v>
      </c>
      <c r="Y84" s="85">
        <f t="shared" si="35"/>
        <v>289213.22320508276</v>
      </c>
      <c r="Z84" s="81">
        <f t="shared" si="36"/>
        <v>679833.62570724869</v>
      </c>
      <c r="AA84" s="81"/>
      <c r="AB84" s="81">
        <f>+'MWh by mo-WgtbyActulCDH&amp;Days'!AB84</f>
        <v>4550328</v>
      </c>
      <c r="AC84" s="308">
        <f t="shared" si="44"/>
        <v>149.40321350620189</v>
      </c>
      <c r="AD84" s="309">
        <f t="shared" si="37"/>
        <v>85.844449565430438</v>
      </c>
      <c r="AE84" s="107">
        <f t="shared" si="38"/>
        <v>7.8516264846430275E-3</v>
      </c>
      <c r="AF84" s="309">
        <f t="shared" si="45"/>
        <v>63.55876394077147</v>
      </c>
      <c r="AG84" s="107">
        <f t="shared" si="39"/>
        <v>5.8133015799486099E-3</v>
      </c>
      <c r="AH84" s="119">
        <f t="shared" si="46"/>
        <v>1.3664928064591637E-2</v>
      </c>
      <c r="AI84" s="122">
        <f t="shared" si="40"/>
        <v>1.3664928064591637E-2</v>
      </c>
      <c r="AJ84" s="87" t="b">
        <f t="shared" si="47"/>
        <v>1</v>
      </c>
      <c r="AK84" s="88">
        <f t="shared" si="21"/>
        <v>1.8268202606885227E-3</v>
      </c>
      <c r="AL84" s="312">
        <f>+AC84/'MWh by month-WgtbyCDH&amp;DayLtHrs'!AC84-1</f>
        <v>0.11638999545166495</v>
      </c>
      <c r="AM84" s="89">
        <f t="shared" si="41"/>
        <v>236086.08524420855</v>
      </c>
      <c r="AN84" s="93"/>
      <c r="AO84" s="96">
        <f t="shared" si="28"/>
        <v>51.883311542422554</v>
      </c>
      <c r="AP84" s="92">
        <f t="shared" si="27"/>
        <v>4.7454248361971851E-3</v>
      </c>
      <c r="AR84" s="94">
        <f t="shared" si="42"/>
        <v>1.3664928064591637E-2</v>
      </c>
      <c r="AS84" s="95">
        <v>633695.24727322243</v>
      </c>
      <c r="AU84" s="141">
        <v>149.40321350620189</v>
      </c>
    </row>
    <row r="85" spans="1:47">
      <c r="A85" s="78">
        <v>2011</v>
      </c>
      <c r="B85" s="78">
        <v>9</v>
      </c>
      <c r="C85" s="317">
        <v>298.65346555739433</v>
      </c>
      <c r="D85" s="318">
        <f t="shared" si="48"/>
        <v>0.15106448176846698</v>
      </c>
      <c r="E85" s="321">
        <f>$D85*'MWh Impact Summary'!B$17</f>
        <v>152792.71031532672</v>
      </c>
      <c r="F85" s="319">
        <f>$D85*'MWh Impact Summary'!N$17</f>
        <v>5574.1577498737333</v>
      </c>
      <c r="G85" s="319">
        <f>$D85*'MWh Impact Summary'!C$17</f>
        <v>127412.55420701753</v>
      </c>
      <c r="H85" s="319">
        <f>$D85*'MWh Impact Summary'!D$17</f>
        <v>223.44223139020616</v>
      </c>
      <c r="I85" s="319">
        <f>$D85*'MWh Impact Summary'!E$17</f>
        <v>54727.508115890196</v>
      </c>
      <c r="J85" s="104">
        <f t="shared" si="43"/>
        <v>340730.3726194984</v>
      </c>
      <c r="K85" s="298">
        <f t="shared" si="51"/>
        <v>11.683333333333334</v>
      </c>
      <c r="L85" s="299">
        <f t="shared" si="49"/>
        <v>8.2248034729555317E-2</v>
      </c>
      <c r="M85" s="297">
        <f>(30/365)</f>
        <v>8.2191780821917804E-2</v>
      </c>
      <c r="N85" s="304">
        <f>$M85*'MWh Impact Summary'!F$17</f>
        <v>40026.342607815663</v>
      </c>
      <c r="O85" s="304">
        <f>$M85*'MWh Impact Summary'!G$17</f>
        <v>0</v>
      </c>
      <c r="P85" s="304">
        <f>$M85*'MWh Impact Summary'!H$17</f>
        <v>1268.0214280644295</v>
      </c>
      <c r="Q85" s="320">
        <f>$D85*'MWh Impact Summary'!I$17</f>
        <v>1197.8462412268507</v>
      </c>
      <c r="R85" s="304">
        <f>$M85*'MWh Impact Summary'!J$17</f>
        <v>8790.0573105632047</v>
      </c>
      <c r="S85" s="304">
        <f>$M85*'MWh Impact Summary'!K$17</f>
        <v>0</v>
      </c>
      <c r="T85" s="304">
        <f>$M85*'MWh Impact Summary'!L$17</f>
        <v>0</v>
      </c>
      <c r="U85" s="304">
        <f>$M85*'MWh Impact Summary'!M$17</f>
        <v>0</v>
      </c>
      <c r="V85" s="304">
        <f>$M85*'LED Impact Forecast'!$H$18+$D85*'LED Impact Forecast'!$J$18</f>
        <v>0</v>
      </c>
      <c r="W85" s="304">
        <f>$M85*'CFL Impact Forecast'!$H$18+$D85*'CFL Impact Forecast'!$J$18</f>
        <v>222718.38205354832</v>
      </c>
      <c r="X85" s="304">
        <f>$M85*'EISA Incand Impact Forecast'!$G$18+$D85*'EISA Incand Impact Forecast'!$I$18</f>
        <v>0</v>
      </c>
      <c r="Y85" s="85">
        <f t="shared" si="35"/>
        <v>274000.64964121848</v>
      </c>
      <c r="Z85" s="81">
        <f t="shared" si="36"/>
        <v>614731.02226071688</v>
      </c>
      <c r="AA85" s="81"/>
      <c r="AB85" s="81">
        <f>+'MWh by mo-WgtbyActulCDH&amp;Days'!AB85</f>
        <v>4545995</v>
      </c>
      <c r="AC85" s="308">
        <f t="shared" si="44"/>
        <v>135.22474667497806</v>
      </c>
      <c r="AD85" s="309">
        <f t="shared" si="37"/>
        <v>74.951770210811588</v>
      </c>
      <c r="AE85" s="107">
        <f t="shared" si="38"/>
        <v>6.4152727712534887E-3</v>
      </c>
      <c r="AF85" s="309">
        <f t="shared" si="45"/>
        <v>60.272976464166476</v>
      </c>
      <c r="AG85" s="107">
        <f t="shared" si="39"/>
        <v>5.1588852893723093E-3</v>
      </c>
      <c r="AH85" s="119">
        <f t="shared" si="46"/>
        <v>1.1574158060625797E-2</v>
      </c>
      <c r="AI85" s="122">
        <f t="shared" si="40"/>
        <v>1.1574158060625797E-2</v>
      </c>
      <c r="AJ85" s="87" t="b">
        <f t="shared" si="47"/>
        <v>1</v>
      </c>
      <c r="AK85" s="88">
        <f t="shared" si="21"/>
        <v>1.5370768527369263E-3</v>
      </c>
      <c r="AL85" s="312">
        <f>+AC85/'MWh by month-WgtbyCDH&amp;DayLtHrs'!AC85-1</f>
        <v>8.1187973320493878E-2</v>
      </c>
      <c r="AM85" s="89">
        <f t="shared" si="41"/>
        <v>222718.38205354832</v>
      </c>
      <c r="AN85" s="93"/>
      <c r="AO85" s="96">
        <f t="shared" si="28"/>
        <v>48.992218876956166</v>
      </c>
      <c r="AP85" s="92">
        <f t="shared" si="27"/>
        <v>4.1933425572287727E-3</v>
      </c>
      <c r="AR85" s="94">
        <f t="shared" si="42"/>
        <v>1.1574158060625797E-2</v>
      </c>
      <c r="AS85" s="95">
        <v>597815.27720793081</v>
      </c>
      <c r="AU85" s="141">
        <v>135.22474667497806</v>
      </c>
    </row>
    <row r="86" spans="1:47">
      <c r="A86" s="78">
        <v>2011</v>
      </c>
      <c r="B86" s="78">
        <v>10</v>
      </c>
      <c r="C86" s="317">
        <v>161.51919520840667</v>
      </c>
      <c r="D86" s="318">
        <f t="shared" si="48"/>
        <v>8.1699415321630428E-2</v>
      </c>
      <c r="E86" s="321">
        <f>$D86*'MWh Impact Summary'!B$17</f>
        <v>82634.084147602349</v>
      </c>
      <c r="F86" s="319">
        <f>$D86*'MWh Impact Summary'!N$17</f>
        <v>3014.6426462655095</v>
      </c>
      <c r="G86" s="319">
        <f>$D86*'MWh Impact Summary'!C$17</f>
        <v>68907.866769789878</v>
      </c>
      <c r="H86" s="319">
        <f>$D86*'MWh Impact Summary'!D$17</f>
        <v>120.84309593514818</v>
      </c>
      <c r="I86" s="319">
        <f>$D86*'MWh Impact Summary'!E$17</f>
        <v>29597.992610406764</v>
      </c>
      <c r="J86" s="104">
        <f t="shared" si="43"/>
        <v>184275.42926999964</v>
      </c>
      <c r="K86" s="298">
        <f t="shared" si="51"/>
        <v>12.466666666666667</v>
      </c>
      <c r="L86" s="299">
        <f t="shared" si="49"/>
        <v>8.7762524932535488E-2</v>
      </c>
      <c r="M86" s="297">
        <f t="shared" si="50"/>
        <v>8.4931506849315067E-2</v>
      </c>
      <c r="N86" s="304">
        <f>$M86*'MWh Impact Summary'!F$17</f>
        <v>41360.554028076185</v>
      </c>
      <c r="O86" s="304">
        <f>$M86*'MWh Impact Summary'!G$17</f>
        <v>0</v>
      </c>
      <c r="P86" s="304">
        <f>$M86*'MWh Impact Summary'!H$17</f>
        <v>1310.2888089999105</v>
      </c>
      <c r="Q86" s="320">
        <f>$D86*'MWh Impact Summary'!I$17</f>
        <v>647.82493149805555</v>
      </c>
      <c r="R86" s="304">
        <f>$M86*'MWh Impact Summary'!J$17</f>
        <v>9083.059220915311</v>
      </c>
      <c r="S86" s="304">
        <f>$M86*'MWh Impact Summary'!K$17</f>
        <v>0</v>
      </c>
      <c r="T86" s="304">
        <f>$M86*'MWh Impact Summary'!L$17</f>
        <v>0</v>
      </c>
      <c r="U86" s="304">
        <f>$M86*'MWh Impact Summary'!M$17</f>
        <v>0</v>
      </c>
      <c r="V86" s="304">
        <f>$M86*'LED Impact Forecast'!$H$18+$D86*'LED Impact Forecast'!$J$18</f>
        <v>0</v>
      </c>
      <c r="W86" s="304">
        <f>$M86*'CFL Impact Forecast'!$H$18+$D86*'CFL Impact Forecast'!$J$18</f>
        <v>204256.61263314204</v>
      </c>
      <c r="X86" s="304">
        <f>$M86*'EISA Incand Impact Forecast'!$G$18+$D86*'EISA Incand Impact Forecast'!$I$18</f>
        <v>0</v>
      </c>
      <c r="Y86" s="85">
        <f t="shared" si="35"/>
        <v>256658.33962263149</v>
      </c>
      <c r="Z86" s="81">
        <f t="shared" si="36"/>
        <v>440933.76889263117</v>
      </c>
      <c r="AA86" s="81"/>
      <c r="AB86" s="81">
        <f>+'MWh by mo-WgtbyActulCDH&amp;Days'!AB86</f>
        <v>4546841</v>
      </c>
      <c r="AC86" s="308">
        <f t="shared" si="44"/>
        <v>96.97584958273913</v>
      </c>
      <c r="AD86" s="309">
        <f t="shared" si="37"/>
        <v>40.52823251791731</v>
      </c>
      <c r="AE86" s="107">
        <f t="shared" si="38"/>
        <v>3.2509277420789285E-3</v>
      </c>
      <c r="AF86" s="309">
        <f t="shared" si="45"/>
        <v>56.447617064821813</v>
      </c>
      <c r="AG86" s="107">
        <f t="shared" si="39"/>
        <v>4.527883721777151E-3</v>
      </c>
      <c r="AH86" s="119">
        <f t="shared" si="46"/>
        <v>7.7788114638560795E-3</v>
      </c>
      <c r="AI86" s="122">
        <f t="shared" si="40"/>
        <v>7.7788114638560803E-3</v>
      </c>
      <c r="AJ86" s="87" t="b">
        <f t="shared" si="47"/>
        <v>1</v>
      </c>
      <c r="AK86" s="88">
        <f t="shared" ref="AK86:AK149" si="52">AI86-AI74</f>
        <v>7.7089100404549582E-4</v>
      </c>
      <c r="AL86" s="312">
        <f>+AC86/'MWh by month-WgtbyCDH&amp;DayLtHrs'!AC86-1</f>
        <v>-0.10738852770566676</v>
      </c>
      <c r="AM86" s="89">
        <f t="shared" si="41"/>
        <v>204256.61263314204</v>
      </c>
      <c r="AN86" s="93"/>
      <c r="AO86" s="96">
        <f t="shared" si="28"/>
        <v>44.922752441341586</v>
      </c>
      <c r="AP86" s="92">
        <f t="shared" si="27"/>
        <v>3.6034293402145657E-3</v>
      </c>
      <c r="AR86" s="94">
        <f t="shared" si="42"/>
        <v>7.7788114638560803E-3</v>
      </c>
      <c r="AS86" s="95">
        <v>479246.04779028392</v>
      </c>
      <c r="AU86" s="141">
        <v>96.97584958273913</v>
      </c>
    </row>
    <row r="87" spans="1:47">
      <c r="A87" s="78">
        <v>2011</v>
      </c>
      <c r="B87" s="78">
        <v>11</v>
      </c>
      <c r="C87" s="317">
        <v>81.388173550047853</v>
      </c>
      <c r="D87" s="318">
        <f>C87/(SUM(C$77:C$88))</f>
        <v>4.1167653074018123E-2</v>
      </c>
      <c r="E87" s="321">
        <f>$D87*'MWh Impact Summary'!B$17</f>
        <v>41638.62488960864</v>
      </c>
      <c r="F87" s="319">
        <f>$D87*'MWh Impact Summary'!N$17</f>
        <v>1519.0532528907909</v>
      </c>
      <c r="G87" s="319">
        <f>$D87*'MWh Impact Summary'!C$17</f>
        <v>34722.098586405889</v>
      </c>
      <c r="H87" s="319">
        <f>$D87*'MWh Impact Summary'!D$17</f>
        <v>60.89182682965118</v>
      </c>
      <c r="I87" s="319">
        <f>$D87*'MWh Impact Summary'!E$17</f>
        <v>14914.181290964239</v>
      </c>
      <c r="J87" s="104">
        <f t="shared" si="43"/>
        <v>92854.849846699217</v>
      </c>
      <c r="K87" s="298">
        <f t="shared" si="51"/>
        <v>13.15</v>
      </c>
      <c r="L87" s="299">
        <f t="shared" si="49"/>
        <v>9.2573037662794788E-2</v>
      </c>
      <c r="M87" s="297">
        <f>(30/365)</f>
        <v>8.2191780821917804E-2</v>
      </c>
      <c r="N87" s="304">
        <f>$M87*'MWh Impact Summary'!F$17</f>
        <v>40026.342607815663</v>
      </c>
      <c r="O87" s="304">
        <f>$M87*'MWh Impact Summary'!G$17</f>
        <v>0</v>
      </c>
      <c r="P87" s="304">
        <f>$M87*'MWh Impact Summary'!H$17</f>
        <v>1268.0214280644295</v>
      </c>
      <c r="Q87" s="320">
        <f>$D87*'MWh Impact Summary'!I$17</f>
        <v>326.43357272044773</v>
      </c>
      <c r="R87" s="304">
        <f>$M87*'MWh Impact Summary'!J$17</f>
        <v>8790.0573105632047</v>
      </c>
      <c r="S87" s="304">
        <f>$M87*'MWh Impact Summary'!K$17</f>
        <v>0</v>
      </c>
      <c r="T87" s="304">
        <f>$M87*'MWh Impact Summary'!L$17</f>
        <v>0</v>
      </c>
      <c r="U87" s="304">
        <f>$M87*'MWh Impact Summary'!M$17</f>
        <v>0</v>
      </c>
      <c r="V87" s="304">
        <f>$M87*'LED Impact Forecast'!$H$18+$D87*'LED Impact Forecast'!$J$18</f>
        <v>0</v>
      </c>
      <c r="W87" s="304">
        <f>$M87*'CFL Impact Forecast'!$H$18+$D87*'CFL Impact Forecast'!$J$18</f>
        <v>184482.66911387056</v>
      </c>
      <c r="X87" s="304">
        <f>$M87*'EISA Incand Impact Forecast'!$G$18+$D87*'EISA Incand Impact Forecast'!$I$18</f>
        <v>0</v>
      </c>
      <c r="Y87" s="85">
        <f t="shared" si="35"/>
        <v>234893.52403303431</v>
      </c>
      <c r="Z87" s="81">
        <f t="shared" si="36"/>
        <v>327748.3738797335</v>
      </c>
      <c r="AA87" s="81"/>
      <c r="AB87" s="81">
        <f>+'MWh by mo-WgtbyActulCDH&amp;Days'!AB87</f>
        <v>4549257</v>
      </c>
      <c r="AC87" s="308">
        <f t="shared" si="44"/>
        <v>72.044374252704017</v>
      </c>
      <c r="AD87" s="309">
        <f t="shared" si="37"/>
        <v>20.410992354729405</v>
      </c>
      <c r="AE87" s="107">
        <f t="shared" si="38"/>
        <v>1.5521667189908293E-3</v>
      </c>
      <c r="AF87" s="309">
        <f t="shared" si="45"/>
        <v>51.633381897974616</v>
      </c>
      <c r="AG87" s="107">
        <f t="shared" si="39"/>
        <v>3.9264929199980692E-3</v>
      </c>
      <c r="AH87" s="119">
        <f t="shared" si="46"/>
        <v>5.4786596389888986E-3</v>
      </c>
      <c r="AI87" s="122">
        <f t="shared" si="40"/>
        <v>5.4786596389888986E-3</v>
      </c>
      <c r="AJ87" s="87" t="b">
        <f t="shared" si="47"/>
        <v>1</v>
      </c>
      <c r="AK87" s="88">
        <f t="shared" si="52"/>
        <v>8.609790838894852E-4</v>
      </c>
      <c r="AL87" s="312">
        <f>+AC87/'MWh by month-WgtbyCDH&amp;DayLtHrs'!AC87-1</f>
        <v>-0.11278468103354855</v>
      </c>
      <c r="AM87" s="89">
        <f t="shared" si="41"/>
        <v>184482.66911387056</v>
      </c>
      <c r="AN87" s="93"/>
      <c r="AO87" s="96">
        <f t="shared" si="28"/>
        <v>40.55226361444749</v>
      </c>
      <c r="AP87" s="92">
        <f t="shared" si="27"/>
        <v>3.0838223280948659E-3</v>
      </c>
      <c r="AR87" s="94">
        <f t="shared" si="42"/>
        <v>5.4786596389888986E-3</v>
      </c>
      <c r="AS87" s="95">
        <v>366133.39797441743</v>
      </c>
      <c r="AU87" s="141">
        <v>72.044374252704017</v>
      </c>
    </row>
    <row r="88" spans="1:47">
      <c r="A88" s="78">
        <v>2011</v>
      </c>
      <c r="B88" s="78">
        <v>12</v>
      </c>
      <c r="C88" s="317">
        <v>0</v>
      </c>
      <c r="D88" s="318">
        <f>C88/(SUM(C$77:C$88))</f>
        <v>0</v>
      </c>
      <c r="E88" s="321">
        <f>$D88*'MWh Impact Summary'!B$17</f>
        <v>0</v>
      </c>
      <c r="F88" s="319">
        <f>$D88*'MWh Impact Summary'!N$17</f>
        <v>0</v>
      </c>
      <c r="G88" s="319">
        <f>$D88*'MWh Impact Summary'!C$17</f>
        <v>0</v>
      </c>
      <c r="H88" s="319">
        <f>$D88*'MWh Impact Summary'!D$17</f>
        <v>0</v>
      </c>
      <c r="I88" s="319">
        <f>$D88*'MWh Impact Summary'!E$17</f>
        <v>0</v>
      </c>
      <c r="J88" s="104">
        <f t="shared" si="43"/>
        <v>0</v>
      </c>
      <c r="K88" s="298">
        <f t="shared" si="51"/>
        <v>13.483333333333333</v>
      </c>
      <c r="L88" s="299">
        <f>K88/(SUM(K$77:K$88))</f>
        <v>9.491962923853102E-2</v>
      </c>
      <c r="M88" s="297">
        <f t="shared" si="50"/>
        <v>8.4931506849315067E-2</v>
      </c>
      <c r="N88" s="304">
        <f>$M88*'MWh Impact Summary'!F$17</f>
        <v>41360.554028076185</v>
      </c>
      <c r="O88" s="304">
        <f>$M88*'MWh Impact Summary'!G$17</f>
        <v>0</v>
      </c>
      <c r="P88" s="304">
        <f>$M88*'MWh Impact Summary'!H$17</f>
        <v>1310.2888089999105</v>
      </c>
      <c r="Q88" s="320">
        <f>$D88*'MWh Impact Summary'!I$17</f>
        <v>0</v>
      </c>
      <c r="R88" s="304">
        <f>$M88*'MWh Impact Summary'!J$17</f>
        <v>9083.059220915311</v>
      </c>
      <c r="S88" s="304">
        <f>$M88*'MWh Impact Summary'!K$17</f>
        <v>0</v>
      </c>
      <c r="T88" s="304">
        <f>$M88*'MWh Impact Summary'!L$17</f>
        <v>0</v>
      </c>
      <c r="U88" s="304">
        <f>$M88*'MWh Impact Summary'!M$17</f>
        <v>0</v>
      </c>
      <c r="V88" s="304">
        <f>$M88*'LED Impact Forecast'!$H$18+$D88*'LED Impact Forecast'!$J$18</f>
        <v>0</v>
      </c>
      <c r="W88" s="304">
        <f>$M88*'CFL Impact Forecast'!$H$18+$D88*'CFL Impact Forecast'!$J$18</f>
        <v>175831.44851614357</v>
      </c>
      <c r="X88" s="304">
        <f>$M88*'EISA Incand Impact Forecast'!$G$18+$D88*'EISA Incand Impact Forecast'!$I$18</f>
        <v>0</v>
      </c>
      <c r="Y88" s="85">
        <f t="shared" si="35"/>
        <v>227585.35057413497</v>
      </c>
      <c r="Z88" s="81">
        <f t="shared" si="36"/>
        <v>227585.35057413497</v>
      </c>
      <c r="AA88" s="81">
        <f>SUM(Z77:Z88)</f>
        <v>5291016.4038587166</v>
      </c>
      <c r="AB88" s="81">
        <f>+'MWh by mo-WgtbyActulCDH&amp;Days'!AB88</f>
        <v>4554107</v>
      </c>
      <c r="AC88" s="308">
        <f t="shared" si="44"/>
        <v>49.973650284047999</v>
      </c>
      <c r="AD88" s="309">
        <f t="shared" si="37"/>
        <v>0</v>
      </c>
      <c r="AE88" s="107">
        <f t="shared" si="38"/>
        <v>0</v>
      </c>
      <c r="AF88" s="309">
        <f t="shared" si="45"/>
        <v>49.973650284047999</v>
      </c>
      <c r="AG88" s="107">
        <f t="shared" si="39"/>
        <v>3.7063275859615329E-3</v>
      </c>
      <c r="AH88" s="119">
        <f t="shared" si="46"/>
        <v>3.7063275859615329E-3</v>
      </c>
      <c r="AI88" s="122">
        <f t="shared" si="40"/>
        <v>3.7063275859615329E-3</v>
      </c>
      <c r="AJ88" s="87" t="b">
        <f t="shared" si="47"/>
        <v>1</v>
      </c>
      <c r="AK88" s="88">
        <f t="shared" si="52"/>
        <v>5.1060040264428938E-4</v>
      </c>
      <c r="AL88" s="312">
        <f>+AC88/'MWh by month-WgtbyCDH&amp;DayLtHrs'!AC88-1</f>
        <v>-0.32170353910145766</v>
      </c>
      <c r="AM88" s="89">
        <f t="shared" si="41"/>
        <v>175831.44851614357</v>
      </c>
      <c r="AN88" s="90">
        <f>SUM(AM77:AM88)</f>
        <v>2418197.2220279542</v>
      </c>
      <c r="AO88" s="96">
        <f t="shared" si="28"/>
        <v>38.609424090418507</v>
      </c>
      <c r="AP88" s="92">
        <f t="shared" si="27"/>
        <v>2.8634925159766512E-3</v>
      </c>
      <c r="AR88" s="94">
        <f t="shared" si="42"/>
        <v>3.7063275859615329E-3</v>
      </c>
      <c r="AS88" s="95">
        <v>299855.58805098716</v>
      </c>
      <c r="AU88" s="141">
        <v>49.973650284047999</v>
      </c>
    </row>
    <row r="89" spans="1:47">
      <c r="A89" s="78">
        <v>2012</v>
      </c>
      <c r="B89" s="78">
        <v>1</v>
      </c>
      <c r="C89" s="317">
        <v>0</v>
      </c>
      <c r="D89" s="318">
        <f>C89/(SUM(C$89:C$100))</f>
        <v>0</v>
      </c>
      <c r="E89" s="321">
        <f>$D89*'MWh Impact Summary'!B$18</f>
        <v>0</v>
      </c>
      <c r="F89" s="319">
        <f>$D89*'MWh Impact Summary'!N$18</f>
        <v>0</v>
      </c>
      <c r="G89" s="319">
        <f>$D89*'MWh Impact Summary'!C$18</f>
        <v>0</v>
      </c>
      <c r="H89" s="319">
        <f>$D89*'MWh Impact Summary'!D$18</f>
        <v>0</v>
      </c>
      <c r="I89" s="319">
        <f>$D89*'MWh Impact Summary'!E$18</f>
        <v>0</v>
      </c>
      <c r="J89" s="104">
        <f t="shared" si="43"/>
        <v>0</v>
      </c>
      <c r="K89" s="298">
        <f t="shared" si="51"/>
        <v>13.3</v>
      </c>
      <c r="L89" s="299">
        <f>K89/(SUM(K$89:K$100))</f>
        <v>9.3629003871876101E-2</v>
      </c>
      <c r="M89" s="297">
        <f>(31/366)</f>
        <v>8.4699453551912565E-2</v>
      </c>
      <c r="N89" s="304">
        <f>$M89*'MWh Impact Summary'!F$18</f>
        <v>49716.673550694795</v>
      </c>
      <c r="O89" s="304">
        <f>$M89*'MWh Impact Summary'!G$18</f>
        <v>0</v>
      </c>
      <c r="P89" s="304">
        <f>$M89*'MWh Impact Summary'!H$18</f>
        <v>1982.1682430244027</v>
      </c>
      <c r="Q89" s="320">
        <f>$D89*'MWh Impact Summary'!I$18</f>
        <v>0</v>
      </c>
      <c r="R89" s="304">
        <f>$M89*'MWh Impact Summary'!J$18</f>
        <v>12219.065285421244</v>
      </c>
      <c r="S89" s="304">
        <f>$M89*'MWh Impact Summary'!K$18</f>
        <v>0</v>
      </c>
      <c r="T89" s="304">
        <f>$M89*'MWh Impact Summary'!L$18</f>
        <v>0</v>
      </c>
      <c r="U89" s="304">
        <f>$M89*'MWh Impact Summary'!M$18</f>
        <v>0</v>
      </c>
      <c r="V89" s="304">
        <f>$M89*'LED Impact Forecast'!$H$19+$D89*'LED Impact Forecast'!$J$19</f>
        <v>160.78614210506422</v>
      </c>
      <c r="W89" s="304">
        <f>$M89*'CFL Impact Forecast'!$H$19+$D89*'CFL Impact Forecast'!$J$19</f>
        <v>193471.17691097409</v>
      </c>
      <c r="X89" s="304">
        <f>$M89*'EISA Incand Impact Forecast'!$G$19+$D89*'EISA Incand Impact Forecast'!$I$19</f>
        <v>0</v>
      </c>
      <c r="Y89" s="85">
        <f t="shared" si="35"/>
        <v>257549.8701322196</v>
      </c>
      <c r="Z89" s="81">
        <f t="shared" si="36"/>
        <v>257549.8701322196</v>
      </c>
      <c r="AA89" s="81"/>
      <c r="AB89" s="81">
        <f>+'MWh by mo-WgtbyActulCDH&amp;Days'!AB89</f>
        <v>4560015</v>
      </c>
      <c r="AC89" s="308">
        <f t="shared" si="44"/>
        <v>56.480048888483836</v>
      </c>
      <c r="AD89" s="309">
        <f t="shared" si="37"/>
        <v>0</v>
      </c>
      <c r="AE89" s="107">
        <f t="shared" si="38"/>
        <v>0</v>
      </c>
      <c r="AF89" s="309">
        <f t="shared" si="45"/>
        <v>56.480048888483836</v>
      </c>
      <c r="AG89" s="107">
        <f t="shared" si="39"/>
        <v>4.246620217179236E-3</v>
      </c>
      <c r="AH89" s="119">
        <f t="shared" si="46"/>
        <v>4.246620217179236E-3</v>
      </c>
      <c r="AI89" s="122">
        <f t="shared" si="40"/>
        <v>4.246620217179236E-3</v>
      </c>
      <c r="AJ89" s="87" t="b">
        <f t="shared" si="47"/>
        <v>1</v>
      </c>
      <c r="AK89" s="88">
        <f t="shared" si="52"/>
        <v>4.7173139685713697E-4</v>
      </c>
      <c r="AL89" s="312">
        <f>+AC89/'MWh by month-WgtbyCDH&amp;DayLtHrs'!AC89-1</f>
        <v>-0.27395254550728032</v>
      </c>
      <c r="AM89" s="89">
        <f t="shared" si="41"/>
        <v>193471.17691097409</v>
      </c>
      <c r="AN89" s="93"/>
      <c r="AO89" s="96">
        <f t="shared" si="28"/>
        <v>42.427750108491765</v>
      </c>
      <c r="AP89" s="92">
        <f t="shared" si="27"/>
        <v>3.1900563991347189E-3</v>
      </c>
      <c r="AR89" s="94">
        <f t="shared" si="42"/>
        <v>4.246620217179236E-3</v>
      </c>
      <c r="AS89" s="95">
        <v>329688.54211650172</v>
      </c>
      <c r="AU89" s="141">
        <v>56.480048888483836</v>
      </c>
    </row>
    <row r="90" spans="1:47">
      <c r="A90" s="78">
        <v>2012</v>
      </c>
      <c r="B90" s="78">
        <v>2</v>
      </c>
      <c r="C90" s="317">
        <v>0</v>
      </c>
      <c r="D90" s="318">
        <f t="shared" ref="D90:D99" si="53">C90/(SUM(C$89:C$100))</f>
        <v>0</v>
      </c>
      <c r="E90" s="321">
        <f>$D90*'MWh Impact Summary'!B$18</f>
        <v>0</v>
      </c>
      <c r="F90" s="319">
        <f>$D90*'MWh Impact Summary'!N$18</f>
        <v>0</v>
      </c>
      <c r="G90" s="319">
        <f>$D90*'MWh Impact Summary'!C$18</f>
        <v>0</v>
      </c>
      <c r="H90" s="319">
        <f>$D90*'MWh Impact Summary'!D$18</f>
        <v>0</v>
      </c>
      <c r="I90" s="319">
        <f>$D90*'MWh Impact Summary'!E$18</f>
        <v>0</v>
      </c>
      <c r="J90" s="104">
        <f t="shared" si="43"/>
        <v>0</v>
      </c>
      <c r="K90" s="298">
        <f t="shared" si="51"/>
        <v>12.733333333333333</v>
      </c>
      <c r="L90" s="299">
        <f>K90/(SUM(K$89:K$100))</f>
        <v>8.9639798193124468E-2</v>
      </c>
      <c r="M90" s="297">
        <f>(29/366)</f>
        <v>7.9234972677595633E-2</v>
      </c>
      <c r="N90" s="304">
        <f>$M90*'MWh Impact Summary'!F$18</f>
        <v>46509.14622484352</v>
      </c>
      <c r="O90" s="304">
        <f>$M90*'MWh Impact Summary'!G$18</f>
        <v>0</v>
      </c>
      <c r="P90" s="304">
        <f>$M90*'MWh Impact Summary'!H$18</f>
        <v>1854.2864208937963</v>
      </c>
      <c r="Q90" s="320">
        <f>$D90*'MWh Impact Summary'!I$18</f>
        <v>0</v>
      </c>
      <c r="R90" s="304">
        <f>$M90*'MWh Impact Summary'!J$18</f>
        <v>11430.738492813422</v>
      </c>
      <c r="S90" s="304">
        <f>$M90*'MWh Impact Summary'!K$18</f>
        <v>0</v>
      </c>
      <c r="T90" s="304">
        <f>$M90*'MWh Impact Summary'!L$18</f>
        <v>0</v>
      </c>
      <c r="U90" s="304">
        <f>$M90*'MWh Impact Summary'!M$18</f>
        <v>0</v>
      </c>
      <c r="V90" s="304">
        <f>$M90*'LED Impact Forecast'!$H$19+$D90*'LED Impact Forecast'!$J$19</f>
        <v>150.41284261441493</v>
      </c>
      <c r="W90" s="304">
        <f>$M90*'CFL Impact Forecast'!$H$19+$D90*'CFL Impact Forecast'!$J$19</f>
        <v>180989.16549736288</v>
      </c>
      <c r="X90" s="304">
        <f>$M90*'EISA Incand Impact Forecast'!$G$19+$D90*'EISA Incand Impact Forecast'!$I$19</f>
        <v>0</v>
      </c>
      <c r="Y90" s="85">
        <f t="shared" si="35"/>
        <v>240933.74947852804</v>
      </c>
      <c r="Z90" s="81">
        <f t="shared" si="36"/>
        <v>240933.74947852804</v>
      </c>
      <c r="AA90" s="81"/>
      <c r="AB90" s="81">
        <f>+'MWh by mo-WgtbyActulCDH&amp;Days'!AB90</f>
        <v>4565707</v>
      </c>
      <c r="AC90" s="308">
        <f t="shared" si="44"/>
        <v>52.77030468195354</v>
      </c>
      <c r="AD90" s="309">
        <f t="shared" si="37"/>
        <v>0</v>
      </c>
      <c r="AE90" s="107">
        <f t="shared" si="38"/>
        <v>0</v>
      </c>
      <c r="AF90" s="309">
        <f t="shared" si="45"/>
        <v>52.77030468195354</v>
      </c>
      <c r="AG90" s="107">
        <f t="shared" si="39"/>
        <v>4.1442647655984457E-3</v>
      </c>
      <c r="AH90" s="119">
        <f t="shared" si="46"/>
        <v>4.1442647655984457E-3</v>
      </c>
      <c r="AI90" s="122">
        <f t="shared" si="40"/>
        <v>4.1442647655984457E-3</v>
      </c>
      <c r="AJ90" s="87" t="b">
        <f t="shared" si="47"/>
        <v>1</v>
      </c>
      <c r="AK90" s="88">
        <f t="shared" si="52"/>
        <v>5.8794231072351348E-4</v>
      </c>
      <c r="AL90" s="312">
        <f>+AC90/'MWh by month-WgtbyCDH&amp;DayLtHrs'!AC90-1</f>
        <v>-0.31880505471971354</v>
      </c>
      <c r="AM90" s="89">
        <f t="shared" si="41"/>
        <v>180989.16549736288</v>
      </c>
      <c r="AN90" s="93"/>
      <c r="AO90" s="96">
        <f t="shared" si="28"/>
        <v>39.640994373349599</v>
      </c>
      <c r="AP90" s="92">
        <f t="shared" si="27"/>
        <v>3.1131670973834767E-3</v>
      </c>
      <c r="AR90" s="94">
        <f t="shared" si="42"/>
        <v>4.1442647655984457E-3</v>
      </c>
      <c r="AS90" s="95">
        <v>316523.47080675134</v>
      </c>
      <c r="AU90" s="141">
        <v>52.77030468195354</v>
      </c>
    </row>
    <row r="91" spans="1:47">
      <c r="A91" s="78">
        <v>2012</v>
      </c>
      <c r="B91" s="78">
        <v>3</v>
      </c>
      <c r="C91" s="317">
        <v>0</v>
      </c>
      <c r="D91" s="318">
        <f t="shared" si="53"/>
        <v>0</v>
      </c>
      <c r="E91" s="321">
        <f>$D91*'MWh Impact Summary'!B$18</f>
        <v>0</v>
      </c>
      <c r="F91" s="319">
        <f>$D91*'MWh Impact Summary'!N$18</f>
        <v>0</v>
      </c>
      <c r="G91" s="319">
        <f>$D91*'MWh Impact Summary'!C$18</f>
        <v>0</v>
      </c>
      <c r="H91" s="319">
        <f>$D91*'MWh Impact Summary'!D$18</f>
        <v>0</v>
      </c>
      <c r="I91" s="319">
        <f>$D91*'MWh Impact Summary'!E$18</f>
        <v>0</v>
      </c>
      <c r="J91" s="104">
        <f t="shared" si="43"/>
        <v>0</v>
      </c>
      <c r="K91" s="298">
        <f t="shared" si="51"/>
        <v>12</v>
      </c>
      <c r="L91" s="299">
        <f t="shared" ref="L91:L98" si="54">K91/(SUM(K$89:K$100))</f>
        <v>8.4477296726504739E-2</v>
      </c>
      <c r="M91" s="297">
        <f>(31/366)</f>
        <v>8.4699453551912565E-2</v>
      </c>
      <c r="N91" s="304">
        <f>$M91*'MWh Impact Summary'!F$18</f>
        <v>49716.673550694795</v>
      </c>
      <c r="O91" s="304">
        <f>$M91*'MWh Impact Summary'!G$18</f>
        <v>0</v>
      </c>
      <c r="P91" s="304">
        <f>$M91*'MWh Impact Summary'!H$18</f>
        <v>1982.1682430244027</v>
      </c>
      <c r="Q91" s="320">
        <f>$D91*'MWh Impact Summary'!I$18</f>
        <v>0</v>
      </c>
      <c r="R91" s="304">
        <f>$M91*'MWh Impact Summary'!J$18</f>
        <v>12219.065285421244</v>
      </c>
      <c r="S91" s="304">
        <f>$M91*'MWh Impact Summary'!K$18</f>
        <v>0</v>
      </c>
      <c r="T91" s="304">
        <f>$M91*'MWh Impact Summary'!L$18</f>
        <v>0</v>
      </c>
      <c r="U91" s="304">
        <f>$M91*'MWh Impact Summary'!M$18</f>
        <v>0</v>
      </c>
      <c r="V91" s="304">
        <f>$M91*'LED Impact Forecast'!$H$19+$D91*'LED Impact Forecast'!$J$19</f>
        <v>160.78614210506422</v>
      </c>
      <c r="W91" s="304">
        <f>$M91*'CFL Impact Forecast'!$H$19+$D91*'CFL Impact Forecast'!$J$19</f>
        <v>193471.17691097409</v>
      </c>
      <c r="X91" s="304">
        <f>$M91*'EISA Incand Impact Forecast'!$G$19+$D91*'EISA Incand Impact Forecast'!$I$19</f>
        <v>0</v>
      </c>
      <c r="Y91" s="85">
        <f t="shared" si="35"/>
        <v>257549.8701322196</v>
      </c>
      <c r="Z91" s="81">
        <f t="shared" si="36"/>
        <v>257549.8701322196</v>
      </c>
      <c r="AA91" s="81"/>
      <c r="AB91" s="81">
        <f>+'MWh by mo-WgtbyActulCDH&amp;Days'!AB91</f>
        <v>4573930</v>
      </c>
      <c r="AC91" s="308">
        <f t="shared" si="44"/>
        <v>56.308222935685421</v>
      </c>
      <c r="AD91" s="309">
        <f t="shared" si="37"/>
        <v>0</v>
      </c>
      <c r="AE91" s="107">
        <f t="shared" si="38"/>
        <v>0</v>
      </c>
      <c r="AF91" s="309">
        <f t="shared" si="45"/>
        <v>56.308222935685421</v>
      </c>
      <c r="AG91" s="107">
        <f t="shared" si="39"/>
        <v>4.6923519113071183E-3</v>
      </c>
      <c r="AH91" s="119">
        <f t="shared" si="46"/>
        <v>4.6923519113071183E-3</v>
      </c>
      <c r="AI91" s="122">
        <f t="shared" si="40"/>
        <v>4.6923519113071183E-3</v>
      </c>
      <c r="AJ91" s="87" t="b">
        <f t="shared" si="47"/>
        <v>1</v>
      </c>
      <c r="AK91" s="88">
        <f t="shared" si="52"/>
        <v>5.209811426408837E-4</v>
      </c>
      <c r="AL91" s="312">
        <f>+AC91/'MWh by month-WgtbyCDH&amp;DayLtHrs'!AC91-1</f>
        <v>-0.31582984564249417</v>
      </c>
      <c r="AM91" s="89">
        <f t="shared" si="41"/>
        <v>193471.17691097409</v>
      </c>
      <c r="AN91" s="93"/>
      <c r="AO91" s="96">
        <f t="shared" si="28"/>
        <v>42.298674643244233</v>
      </c>
      <c r="AP91" s="92">
        <f t="shared" si="27"/>
        <v>3.5248895536036861E-3</v>
      </c>
      <c r="AR91" s="94">
        <f t="shared" si="42"/>
        <v>4.6923519113071183E-3</v>
      </c>
      <c r="AS91" s="95">
        <v>374414.91472963028</v>
      </c>
      <c r="AU91" s="141">
        <v>56.308222935685421</v>
      </c>
    </row>
    <row r="92" spans="1:47">
      <c r="A92" s="78">
        <v>2012</v>
      </c>
      <c r="B92" s="78">
        <v>4</v>
      </c>
      <c r="C92" s="317">
        <v>106.45317747474797</v>
      </c>
      <c r="D92" s="318">
        <f t="shared" si="53"/>
        <v>6.1132435738030684E-2</v>
      </c>
      <c r="E92" s="321">
        <f>$D92*'MWh Impact Summary'!B$18</f>
        <v>71863.651788835312</v>
      </c>
      <c r="F92" s="319">
        <f>$D92*'MWh Impact Summary'!N$18</f>
        <v>3176.4915426049047</v>
      </c>
      <c r="G92" s="319">
        <f>$D92*'MWh Impact Summary'!C$18</f>
        <v>60495.710161971976</v>
      </c>
      <c r="H92" s="319">
        <f>$D92*'MWh Impact Summary'!D$18</f>
        <v>137.05018489847424</v>
      </c>
      <c r="I92" s="319">
        <f>$D92*'MWh Impact Summary'!E$18</f>
        <v>25325.832017196415</v>
      </c>
      <c r="J92" s="104">
        <f t="shared" si="43"/>
        <v>160998.73569550709</v>
      </c>
      <c r="K92" s="298">
        <f t="shared" si="51"/>
        <v>11.2</v>
      </c>
      <c r="L92" s="299">
        <f t="shared" si="54"/>
        <v>7.8845476944737758E-2</v>
      </c>
      <c r="M92" s="297">
        <f>(30/366)</f>
        <v>8.1967213114754092E-2</v>
      </c>
      <c r="N92" s="304">
        <f>$M92*'MWh Impact Summary'!F$18</f>
        <v>48112.909887769158</v>
      </c>
      <c r="O92" s="304">
        <f>$M92*'MWh Impact Summary'!G$18</f>
        <v>0</v>
      </c>
      <c r="P92" s="304">
        <f>$M92*'MWh Impact Summary'!H$18</f>
        <v>1918.2273319590993</v>
      </c>
      <c r="Q92" s="320">
        <f>$D92*'MWh Impact Summary'!I$18</f>
        <v>551.39233262395908</v>
      </c>
      <c r="R92" s="304">
        <f>$M92*'MWh Impact Summary'!J$18</f>
        <v>11824.901889117331</v>
      </c>
      <c r="S92" s="304">
        <f>$M92*'MWh Impact Summary'!K$18</f>
        <v>0</v>
      </c>
      <c r="T92" s="304">
        <f>$M92*'MWh Impact Summary'!L$18</f>
        <v>0</v>
      </c>
      <c r="U92" s="304">
        <f>$M92*'MWh Impact Summary'!M$18</f>
        <v>0</v>
      </c>
      <c r="V92" s="304">
        <f>$M92*'LED Impact Forecast'!$H$19+$D92*'LED Impact Forecast'!$J$19</f>
        <v>155.59949235973954</v>
      </c>
      <c r="W92" s="304">
        <f>$M92*'CFL Impact Forecast'!$H$19+$D92*'CFL Impact Forecast'!$J$19</f>
        <v>210751.31420646858</v>
      </c>
      <c r="X92" s="304">
        <f>$M92*'EISA Incand Impact Forecast'!$G$19+$D92*'EISA Incand Impact Forecast'!$I$19</f>
        <v>0</v>
      </c>
      <c r="Y92" s="85">
        <f t="shared" si="35"/>
        <v>273314.3451402979</v>
      </c>
      <c r="Z92" s="81">
        <f t="shared" si="36"/>
        <v>434313.08083580498</v>
      </c>
      <c r="AA92" s="81"/>
      <c r="AB92" s="81">
        <f>+'MWh by mo-WgtbyActulCDH&amp;Days'!AB92</f>
        <v>4577038</v>
      </c>
      <c r="AC92" s="308">
        <f t="shared" si="44"/>
        <v>94.889551023130025</v>
      </c>
      <c r="AD92" s="309">
        <f t="shared" si="37"/>
        <v>35.175311128180951</v>
      </c>
      <c r="AE92" s="107">
        <f t="shared" si="38"/>
        <v>3.1406527793018707E-3</v>
      </c>
      <c r="AF92" s="309">
        <f t="shared" si="45"/>
        <v>59.714239894949067</v>
      </c>
      <c r="AG92" s="107">
        <f t="shared" si="39"/>
        <v>5.3316285620490242E-3</v>
      </c>
      <c r="AH92" s="119">
        <f t="shared" si="46"/>
        <v>8.4722813413508954E-3</v>
      </c>
      <c r="AI92" s="122">
        <f t="shared" si="40"/>
        <v>8.4722813413508954E-3</v>
      </c>
      <c r="AJ92" s="87" t="b">
        <f t="shared" si="47"/>
        <v>1</v>
      </c>
      <c r="AK92" s="88">
        <f t="shared" si="52"/>
        <v>-7.8356221473177383E-4</v>
      </c>
      <c r="AL92" s="312">
        <f>+AC92/'MWh by month-WgtbyCDH&amp;DayLtHrs'!AC92-1</f>
        <v>2.3524235925761472E-2</v>
      </c>
      <c r="AM92" s="89">
        <f t="shared" si="41"/>
        <v>210751.31420646858</v>
      </c>
      <c r="AN92" s="93"/>
      <c r="AO92" s="96">
        <f t="shared" si="28"/>
        <v>46.045349461041965</v>
      </c>
      <c r="AP92" s="92">
        <f t="shared" si="27"/>
        <v>4.1111919161644613E-3</v>
      </c>
      <c r="AR92" s="94">
        <f t="shared" si="42"/>
        <v>8.4722813413508954E-3</v>
      </c>
      <c r="AS92" s="95">
        <v>444842.69011799514</v>
      </c>
      <c r="AU92" s="141">
        <v>94.889551023130025</v>
      </c>
    </row>
    <row r="93" spans="1:47">
      <c r="A93" s="78">
        <v>2012</v>
      </c>
      <c r="B93" s="78">
        <v>5</v>
      </c>
      <c r="C93" s="317">
        <v>202.05259632338476</v>
      </c>
      <c r="D93" s="318">
        <f t="shared" si="53"/>
        <v>0.11603192740180644</v>
      </c>
      <c r="E93" s="321">
        <f>$D93*'MWh Impact Summary'!B$18</f>
        <v>136400.22561710957</v>
      </c>
      <c r="F93" s="319">
        <f>$D93*'MWh Impact Summary'!N$18</f>
        <v>6029.1141946875359</v>
      </c>
      <c r="G93" s="319">
        <f>$D93*'MWh Impact Summary'!C$18</f>
        <v>114823.39554921161</v>
      </c>
      <c r="H93" s="319">
        <f>$D93*'MWh Impact Summary'!D$18</f>
        <v>260.12699989068335</v>
      </c>
      <c r="I93" s="319">
        <f>$D93*'MWh Impact Summary'!E$18</f>
        <v>48069.491531507287</v>
      </c>
      <c r="J93" s="104">
        <f t="shared" si="43"/>
        <v>305582.35389240668</v>
      </c>
      <c r="K93" s="298">
        <f t="shared" si="51"/>
        <v>10.533333333333333</v>
      </c>
      <c r="L93" s="299">
        <f t="shared" si="54"/>
        <v>7.4152293793265281E-2</v>
      </c>
      <c r="M93" s="297">
        <f>(31/366)</f>
        <v>8.4699453551912565E-2</v>
      </c>
      <c r="N93" s="304">
        <f>$M93*'MWh Impact Summary'!F$18</f>
        <v>49716.673550694795</v>
      </c>
      <c r="O93" s="304">
        <f>$M93*'MWh Impact Summary'!G$18</f>
        <v>0</v>
      </c>
      <c r="P93" s="304">
        <f>$M93*'MWh Impact Summary'!H$18</f>
        <v>1982.1682430244027</v>
      </c>
      <c r="Q93" s="320">
        <f>$D93*'MWh Impact Summary'!I$18</f>
        <v>1046.5657770140888</v>
      </c>
      <c r="R93" s="304">
        <f>$M93*'MWh Impact Summary'!J$18</f>
        <v>12219.065285421244</v>
      </c>
      <c r="S93" s="304">
        <f>$M93*'MWh Impact Summary'!K$18</f>
        <v>0</v>
      </c>
      <c r="T93" s="304">
        <f>$M93*'MWh Impact Summary'!L$18</f>
        <v>0</v>
      </c>
      <c r="U93" s="304">
        <f>$M93*'MWh Impact Summary'!M$18</f>
        <v>0</v>
      </c>
      <c r="V93" s="304">
        <f>$M93*'LED Impact Forecast'!$H$19+$D93*'LED Impact Forecast'!$J$19</f>
        <v>160.78614210506422</v>
      </c>
      <c r="W93" s="304">
        <f>$M93*'CFL Impact Forecast'!$H$19+$D93*'CFL Impact Forecast'!$J$19</f>
        <v>238115.2929894792</v>
      </c>
      <c r="X93" s="304">
        <f>$M93*'EISA Incand Impact Forecast'!$G$19+$D93*'EISA Incand Impact Forecast'!$I$19</f>
        <v>0</v>
      </c>
      <c r="Y93" s="85">
        <f t="shared" si="35"/>
        <v>303240.55198773881</v>
      </c>
      <c r="Z93" s="81">
        <f t="shared" si="36"/>
        <v>608822.9058801455</v>
      </c>
      <c r="AA93" s="81"/>
      <c r="AB93" s="81">
        <f>+'MWh by mo-WgtbyActulCDH&amp;Days'!AB93</f>
        <v>4576751</v>
      </c>
      <c r="AC93" s="308">
        <f t="shared" si="44"/>
        <v>133.02513199432207</v>
      </c>
      <c r="AD93" s="309">
        <f t="shared" si="37"/>
        <v>66.76840271459092</v>
      </c>
      <c r="AE93" s="107">
        <f t="shared" si="38"/>
        <v>6.3387724096130625E-3</v>
      </c>
      <c r="AF93" s="309">
        <f t="shared" si="45"/>
        <v>66.256729279731147</v>
      </c>
      <c r="AG93" s="107">
        <f t="shared" si="39"/>
        <v>6.2901958176959953E-3</v>
      </c>
      <c r="AH93" s="119">
        <f t="shared" si="46"/>
        <v>1.2628968227309058E-2</v>
      </c>
      <c r="AI93" s="122">
        <f t="shared" si="40"/>
        <v>1.2628968227309058E-2</v>
      </c>
      <c r="AJ93" s="87" t="b">
        <f t="shared" si="47"/>
        <v>1</v>
      </c>
      <c r="AK93" s="88">
        <f t="shared" si="52"/>
        <v>1.2017742519252039E-3</v>
      </c>
      <c r="AL93" s="312">
        <f>+AC93/'MWh by month-WgtbyCDH&amp;DayLtHrs'!AC93-1</f>
        <v>0.13683037623847194</v>
      </c>
      <c r="AM93" s="89">
        <f t="shared" si="41"/>
        <v>238115.2929894792</v>
      </c>
      <c r="AN93" s="93"/>
      <c r="AO93" s="96">
        <f t="shared" si="28"/>
        <v>52.02714611074083</v>
      </c>
      <c r="AP93" s="92">
        <f t="shared" si="27"/>
        <v>4.9392860231715977E-3</v>
      </c>
      <c r="AR93" s="94">
        <f t="shared" si="42"/>
        <v>1.2628968227309058E-2</v>
      </c>
      <c r="AS93" s="95">
        <v>541584.37654085748</v>
      </c>
      <c r="AU93" s="141">
        <v>133.02513199432207</v>
      </c>
    </row>
    <row r="94" spans="1:47">
      <c r="A94" s="78">
        <v>2012</v>
      </c>
      <c r="B94" s="78">
        <v>6</v>
      </c>
      <c r="C94" s="317">
        <v>276.45568441315464</v>
      </c>
      <c r="D94" s="318">
        <f t="shared" si="53"/>
        <v>0.15875908791740345</v>
      </c>
      <c r="E94" s="321">
        <f>$D94*'MWh Impact Summary'!B$18</f>
        <v>186627.73165623748</v>
      </c>
      <c r="F94" s="319">
        <f>$D94*'MWh Impact Summary'!N$18</f>
        <v>8249.2525284343592</v>
      </c>
      <c r="G94" s="319">
        <f>$D94*'MWh Impact Summary'!C$18</f>
        <v>157105.53084105949</v>
      </c>
      <c r="H94" s="319">
        <f>$D94*'MWh Impact Summary'!D$18</f>
        <v>355.91518791484327</v>
      </c>
      <c r="I94" s="319">
        <f>$D94*'MWh Impact Summary'!E$18</f>
        <v>65770.420289309404</v>
      </c>
      <c r="J94" s="104">
        <f t="shared" si="43"/>
        <v>418108.85050295555</v>
      </c>
      <c r="K94" s="298">
        <f t="shared" si="51"/>
        <v>10.199999999999999</v>
      </c>
      <c r="L94" s="299">
        <f t="shared" si="54"/>
        <v>7.1805702217529022E-2</v>
      </c>
      <c r="M94" s="297">
        <f>(30/366)</f>
        <v>8.1967213114754092E-2</v>
      </c>
      <c r="N94" s="304">
        <f>$M94*'MWh Impact Summary'!F$18</f>
        <v>48112.909887769158</v>
      </c>
      <c r="O94" s="304">
        <f>$M94*'MWh Impact Summary'!G$18</f>
        <v>0</v>
      </c>
      <c r="P94" s="304">
        <f>$M94*'MWh Impact Summary'!H$18</f>
        <v>1918.2273319590993</v>
      </c>
      <c r="Q94" s="320">
        <f>$D94*'MWh Impact Summary'!I$18</f>
        <v>1431.9492222942997</v>
      </c>
      <c r="R94" s="304">
        <f>$M94*'MWh Impact Summary'!J$18</f>
        <v>11824.901889117331</v>
      </c>
      <c r="S94" s="304">
        <f>$M94*'MWh Impact Summary'!K$18</f>
        <v>0</v>
      </c>
      <c r="T94" s="304">
        <f>$M94*'MWh Impact Summary'!L$18</f>
        <v>0</v>
      </c>
      <c r="U94" s="304">
        <f>$M94*'MWh Impact Summary'!M$18</f>
        <v>0</v>
      </c>
      <c r="V94" s="304">
        <f>$M94*'LED Impact Forecast'!$H$19+$D94*'LED Impact Forecast'!$J$19</f>
        <v>155.59949235973954</v>
      </c>
      <c r="W94" s="304">
        <f>$M94*'CFL Impact Forecast'!$H$19+$D94*'CFL Impact Forecast'!$J$19</f>
        <v>248313.86866752556</v>
      </c>
      <c r="X94" s="304">
        <f>$M94*'EISA Incand Impact Forecast'!$G$19+$D94*'EISA Incand Impact Forecast'!$I$19</f>
        <v>0</v>
      </c>
      <c r="Y94" s="85">
        <f t="shared" si="35"/>
        <v>311757.45649102516</v>
      </c>
      <c r="Z94" s="81">
        <f t="shared" si="36"/>
        <v>729866.30699398066</v>
      </c>
      <c r="AA94" s="81"/>
      <c r="AB94" s="81">
        <f>+'MWh by mo-WgtbyActulCDH&amp;Days'!AB94</f>
        <v>4575347</v>
      </c>
      <c r="AC94" s="308">
        <f t="shared" si="44"/>
        <v>159.52151978723813</v>
      </c>
      <c r="AD94" s="309">
        <f t="shared" si="37"/>
        <v>91.3829815537391</v>
      </c>
      <c r="AE94" s="107">
        <f t="shared" si="38"/>
        <v>8.9591158386018738E-3</v>
      </c>
      <c r="AF94" s="309">
        <f t="shared" si="45"/>
        <v>68.138538233499048</v>
      </c>
      <c r="AG94" s="107">
        <f t="shared" si="39"/>
        <v>6.6802488464214761E-3</v>
      </c>
      <c r="AH94" s="119">
        <f t="shared" si="46"/>
        <v>1.563936468502335E-2</v>
      </c>
      <c r="AI94" s="122">
        <f t="shared" si="40"/>
        <v>1.5639364685023346E-2</v>
      </c>
      <c r="AJ94" s="87" t="b">
        <f t="shared" si="47"/>
        <v>1</v>
      </c>
      <c r="AK94" s="88">
        <f t="shared" si="52"/>
        <v>2.2237064182121166E-3</v>
      </c>
      <c r="AL94" s="312">
        <f>+AC94/'MWh by month-WgtbyCDH&amp;DayLtHrs'!AC94-1</f>
        <v>0.19155821829109687</v>
      </c>
      <c r="AM94" s="89">
        <f t="shared" si="41"/>
        <v>248313.86866752556</v>
      </c>
      <c r="AN94" s="93"/>
      <c r="AO94" s="96">
        <f t="shared" si="28"/>
        <v>54.272139067818365</v>
      </c>
      <c r="AP94" s="92">
        <f t="shared" si="27"/>
        <v>5.3207979478253299E-3</v>
      </c>
      <c r="AR94" s="94">
        <f t="shared" si="42"/>
        <v>1.5639364685023346E-2</v>
      </c>
      <c r="AS94" s="95">
        <v>666316.34753543139</v>
      </c>
      <c r="AU94" s="141">
        <v>159.52151978723813</v>
      </c>
    </row>
    <row r="95" spans="1:47">
      <c r="A95" s="78">
        <v>2012</v>
      </c>
      <c r="B95" s="78">
        <v>7</v>
      </c>
      <c r="C95" s="317">
        <v>321.70797733942311</v>
      </c>
      <c r="D95" s="318">
        <f t="shared" si="53"/>
        <v>0.1847459391785588</v>
      </c>
      <c r="E95" s="321">
        <f>$D95*'MWh Impact Summary'!B$18</f>
        <v>217176.32680992511</v>
      </c>
      <c r="F95" s="319">
        <f>$D95*'MWh Impact Summary'!N$18</f>
        <v>9599.5506517371541</v>
      </c>
      <c r="G95" s="319">
        <f>$D95*'MWh Impact Summary'!C$18</f>
        <v>182821.71575889888</v>
      </c>
      <c r="H95" s="319">
        <f>$D95*'MWh Impact Summary'!D$18</f>
        <v>414.17399483581255</v>
      </c>
      <c r="I95" s="319">
        <f>$D95*'MWh Impact Summary'!E$18</f>
        <v>76536.204798799488</v>
      </c>
      <c r="J95" s="104">
        <f t="shared" si="43"/>
        <v>486547.97201419645</v>
      </c>
      <c r="K95" s="298">
        <f t="shared" si="51"/>
        <v>10.366666666666667</v>
      </c>
      <c r="L95" s="299">
        <f t="shared" si="54"/>
        <v>7.2978998005397158E-2</v>
      </c>
      <c r="M95" s="297">
        <f>(31/366)</f>
        <v>8.4699453551912565E-2</v>
      </c>
      <c r="N95" s="304">
        <f>$M95*'MWh Impact Summary'!F$18</f>
        <v>49716.673550694795</v>
      </c>
      <c r="O95" s="304">
        <f>$M95*'MWh Impact Summary'!G$18</f>
        <v>0</v>
      </c>
      <c r="P95" s="304">
        <f>$M95*'MWh Impact Summary'!H$18</f>
        <v>1982.1682430244027</v>
      </c>
      <c r="Q95" s="320">
        <f>$D95*'MWh Impact Summary'!I$18</f>
        <v>1666.3411676086305</v>
      </c>
      <c r="R95" s="304">
        <f>$M95*'MWh Impact Summary'!J$18</f>
        <v>12219.065285421244</v>
      </c>
      <c r="S95" s="304">
        <f>$M95*'MWh Impact Summary'!K$18</f>
        <v>0</v>
      </c>
      <c r="T95" s="304">
        <f>$M95*'MWh Impact Summary'!L$18</f>
        <v>0</v>
      </c>
      <c r="U95" s="304">
        <f>$M95*'MWh Impact Summary'!M$18</f>
        <v>0</v>
      </c>
      <c r="V95" s="304">
        <f>$M95*'LED Impact Forecast'!$H$19+$D95*'LED Impact Forecast'!$J$19</f>
        <v>160.78614210506422</v>
      </c>
      <c r="W95" s="304">
        <f>$M95*'CFL Impact Forecast'!$H$19+$D95*'CFL Impact Forecast'!$J$19</f>
        <v>264553.50173661183</v>
      </c>
      <c r="X95" s="304">
        <f>$M95*'EISA Incand Impact Forecast'!$G$19+$D95*'EISA Incand Impact Forecast'!$I$19</f>
        <v>0</v>
      </c>
      <c r="Y95" s="85">
        <f t="shared" si="35"/>
        <v>330298.53612546599</v>
      </c>
      <c r="Z95" s="81">
        <f t="shared" si="36"/>
        <v>816846.50813966244</v>
      </c>
      <c r="AA95" s="81"/>
      <c r="AB95" s="81">
        <f>+'MWh by mo-WgtbyActulCDH&amp;Days'!AB95</f>
        <v>4577123</v>
      </c>
      <c r="AC95" s="308">
        <f t="shared" si="44"/>
        <v>178.46287026581163</v>
      </c>
      <c r="AD95" s="309">
        <f t="shared" si="37"/>
        <v>106.2999556739455</v>
      </c>
      <c r="AE95" s="107">
        <f t="shared" si="38"/>
        <v>1.0254015016779309E-2</v>
      </c>
      <c r="AF95" s="309">
        <f t="shared" si="45"/>
        <v>72.162914591866112</v>
      </c>
      <c r="AG95" s="107">
        <f t="shared" si="39"/>
        <v>6.9610528545208461E-3</v>
      </c>
      <c r="AH95" s="119">
        <f t="shared" si="46"/>
        <v>1.7215067871300154E-2</v>
      </c>
      <c r="AI95" s="122">
        <f t="shared" si="40"/>
        <v>1.7215067871300158E-2</v>
      </c>
      <c r="AJ95" s="87" t="b">
        <f t="shared" si="47"/>
        <v>1</v>
      </c>
      <c r="AK95" s="88">
        <f t="shared" si="52"/>
        <v>2.4250224682954291E-3</v>
      </c>
      <c r="AL95" s="312">
        <f>+AC95/'MWh by month-WgtbyCDH&amp;DayLtHrs'!AC95-1</f>
        <v>0.19386443219278182</v>
      </c>
      <c r="AM95" s="89">
        <f t="shared" si="41"/>
        <v>264553.50173661183</v>
      </c>
      <c r="AN95" s="93"/>
      <c r="AO95" s="96">
        <f t="shared" si="28"/>
        <v>57.799080718742282</v>
      </c>
      <c r="AP95" s="92">
        <f t="shared" si="27"/>
        <v>5.5754740243159759E-3</v>
      </c>
      <c r="AR95" s="94">
        <f t="shared" si="42"/>
        <v>1.7215067871300158E-2</v>
      </c>
      <c r="AS95" s="95">
        <v>703280.56974415644</v>
      </c>
      <c r="AU95" s="141">
        <v>178.46287026581163</v>
      </c>
    </row>
    <row r="96" spans="1:47">
      <c r="A96" s="78">
        <v>2012</v>
      </c>
      <c r="B96" s="78">
        <v>8</v>
      </c>
      <c r="C96" s="317">
        <v>322.40717165394568</v>
      </c>
      <c r="D96" s="318">
        <f t="shared" si="53"/>
        <v>0.18514746267005897</v>
      </c>
      <c r="E96" s="321">
        <f>$D96*'MWh Impact Summary'!B$18</f>
        <v>217648.33392087772</v>
      </c>
      <c r="F96" s="319">
        <f>$D96*'MWh Impact Summary'!N$18</f>
        <v>9620.4141419532643</v>
      </c>
      <c r="G96" s="319">
        <f>$D96*'MWh Impact Summary'!C$18</f>
        <v>183219.05717793063</v>
      </c>
      <c r="H96" s="319">
        <f>$D96*'MWh Impact Summary'!D$18</f>
        <v>415.07415312472796</v>
      </c>
      <c r="I96" s="319">
        <f>$D96*'MWh Impact Summary'!E$18</f>
        <v>76702.547205640076</v>
      </c>
      <c r="J96" s="104">
        <f t="shared" si="43"/>
        <v>487605.42659952637</v>
      </c>
      <c r="K96" s="298">
        <f t="shared" si="51"/>
        <v>10.933333333333334</v>
      </c>
      <c r="L96" s="299">
        <f t="shared" si="54"/>
        <v>7.6968203684148764E-2</v>
      </c>
      <c r="M96" s="297">
        <f>(31/366)</f>
        <v>8.4699453551912565E-2</v>
      </c>
      <c r="N96" s="304">
        <f>$M96*'MWh Impact Summary'!F$18</f>
        <v>49716.673550694795</v>
      </c>
      <c r="O96" s="304">
        <f>$M96*'MWh Impact Summary'!G$18</f>
        <v>0</v>
      </c>
      <c r="P96" s="304">
        <f>$M96*'MWh Impact Summary'!H$18</f>
        <v>1982.1682430244027</v>
      </c>
      <c r="Q96" s="320">
        <f>$D96*'MWh Impact Summary'!I$18</f>
        <v>1669.9627634424744</v>
      </c>
      <c r="R96" s="304">
        <f>$M96*'MWh Impact Summary'!J$18</f>
        <v>12219.065285421244</v>
      </c>
      <c r="S96" s="304">
        <f>$M96*'MWh Impact Summary'!K$18</f>
        <v>0</v>
      </c>
      <c r="T96" s="304">
        <f>$M96*'MWh Impact Summary'!L$18</f>
        <v>0</v>
      </c>
      <c r="U96" s="304">
        <f>$M96*'MWh Impact Summary'!M$18</f>
        <v>0</v>
      </c>
      <c r="V96" s="304">
        <f>$M96*'LED Impact Forecast'!$H$19+$D96*'LED Impact Forecast'!$J$19</f>
        <v>160.78614210506422</v>
      </c>
      <c r="W96" s="304">
        <f>$M96*'CFL Impact Forecast'!$H$19+$D96*'CFL Impact Forecast'!$J$19</f>
        <v>264707.99077910359</v>
      </c>
      <c r="X96" s="304">
        <f>$M96*'EISA Incand Impact Forecast'!$G$19+$D96*'EISA Incand Impact Forecast'!$I$19</f>
        <v>0</v>
      </c>
      <c r="Y96" s="85">
        <f t="shared" si="35"/>
        <v>330456.64676379156</v>
      </c>
      <c r="Z96" s="81">
        <f t="shared" si="36"/>
        <v>818062.07336331788</v>
      </c>
      <c r="AA96" s="81"/>
      <c r="AB96" s="81">
        <f>+'MWh by mo-WgtbyActulCDH&amp;Days'!AB96</f>
        <v>4579585</v>
      </c>
      <c r="AC96" s="308">
        <f t="shared" si="44"/>
        <v>178.63235934332869</v>
      </c>
      <c r="AD96" s="309">
        <f t="shared" si="37"/>
        <v>106.47371467054904</v>
      </c>
      <c r="AE96" s="107">
        <f t="shared" si="38"/>
        <v>9.7384495125502173E-3</v>
      </c>
      <c r="AF96" s="309">
        <f t="shared" si="45"/>
        <v>72.158644672779644</v>
      </c>
      <c r="AG96" s="107">
        <f t="shared" si="39"/>
        <v>6.5998760371444795E-3</v>
      </c>
      <c r="AH96" s="119">
        <f t="shared" si="46"/>
        <v>1.6338325549694697E-2</v>
      </c>
      <c r="AI96" s="122">
        <f t="shared" si="40"/>
        <v>1.6338325549694697E-2</v>
      </c>
      <c r="AJ96" s="87" t="b">
        <f t="shared" si="47"/>
        <v>1</v>
      </c>
      <c r="AK96" s="88">
        <f t="shared" si="52"/>
        <v>2.6733974851030594E-3</v>
      </c>
      <c r="AL96" s="312">
        <f>+AC96/'MWh by month-WgtbyCDH&amp;DayLtHrs'!AC96-1</f>
        <v>0.16410547430469502</v>
      </c>
      <c r="AM96" s="89">
        <f t="shared" si="41"/>
        <v>264707.99077910359</v>
      </c>
      <c r="AN96" s="93"/>
      <c r="AO96" s="96">
        <f t="shared" si="28"/>
        <v>57.801742031014513</v>
      </c>
      <c r="AP96" s="92">
        <f t="shared" si="27"/>
        <v>5.2867446979586443E-3</v>
      </c>
      <c r="AR96" s="94">
        <f t="shared" si="42"/>
        <v>1.6338325549694697E-2</v>
      </c>
      <c r="AS96" s="95">
        <v>731339.80776993698</v>
      </c>
      <c r="AU96" s="141">
        <v>178.63235934332869</v>
      </c>
    </row>
    <row r="97" spans="1:47">
      <c r="A97" s="78">
        <v>2012</v>
      </c>
      <c r="B97" s="78">
        <v>9</v>
      </c>
      <c r="C97" s="317">
        <v>274.50677348457691</v>
      </c>
      <c r="D97" s="318">
        <f t="shared" si="53"/>
        <v>0.15763989471973039</v>
      </c>
      <c r="E97" s="321">
        <f>$D97*'MWh Impact Summary'!B$18</f>
        <v>185312.07476687891</v>
      </c>
      <c r="F97" s="319">
        <f>$D97*'MWh Impact Summary'!N$18</f>
        <v>8191.0983311734471</v>
      </c>
      <c r="G97" s="319">
        <f>$D97*'MWh Impact Summary'!C$18</f>
        <v>155997.99461279891</v>
      </c>
      <c r="H97" s="319">
        <f>$D97*'MWh Impact Summary'!D$18</f>
        <v>353.40611670205033</v>
      </c>
      <c r="I97" s="319">
        <f>$D97*'MWh Impact Summary'!E$18</f>
        <v>65306.763008573515</v>
      </c>
      <c r="J97" s="104">
        <f t="shared" si="43"/>
        <v>415161.33683612687</v>
      </c>
      <c r="K97" s="298">
        <f t="shared" si="51"/>
        <v>11.683333333333334</v>
      </c>
      <c r="L97" s="299">
        <f t="shared" si="54"/>
        <v>8.2248034729555317E-2</v>
      </c>
      <c r="M97" s="297">
        <f>(30/366)</f>
        <v>8.1967213114754092E-2</v>
      </c>
      <c r="N97" s="304">
        <f>$M97*'MWh Impact Summary'!F$18</f>
        <v>48112.909887769158</v>
      </c>
      <c r="O97" s="304">
        <f>$M97*'MWh Impact Summary'!G$18</f>
        <v>0</v>
      </c>
      <c r="P97" s="304">
        <f>$M97*'MWh Impact Summary'!H$18</f>
        <v>1918.2273319590993</v>
      </c>
      <c r="Q97" s="320">
        <f>$D97*'MWh Impact Summary'!I$18</f>
        <v>1421.8545067726359</v>
      </c>
      <c r="R97" s="304">
        <f>$M97*'MWh Impact Summary'!J$18</f>
        <v>11824.901889117331</v>
      </c>
      <c r="S97" s="304">
        <f>$M97*'MWh Impact Summary'!K$18</f>
        <v>0</v>
      </c>
      <c r="T97" s="304">
        <f>$M97*'MWh Impact Summary'!L$18</f>
        <v>0</v>
      </c>
      <c r="U97" s="304">
        <f>$M97*'MWh Impact Summary'!M$18</f>
        <v>0</v>
      </c>
      <c r="V97" s="304">
        <f>$M97*'LED Impact Forecast'!$H$19+$D97*'LED Impact Forecast'!$J$19</f>
        <v>155.59949235973954</v>
      </c>
      <c r="W97" s="304">
        <f>$M97*'CFL Impact Forecast'!$H$19+$D97*'CFL Impact Forecast'!$J$19</f>
        <v>247883.2510595101</v>
      </c>
      <c r="X97" s="304">
        <f>$M97*'EISA Incand Impact Forecast'!$G$19+$D97*'EISA Incand Impact Forecast'!$I$19</f>
        <v>0</v>
      </c>
      <c r="Y97" s="85">
        <f t="shared" si="35"/>
        <v>311316.74416748807</v>
      </c>
      <c r="Z97" s="81">
        <f t="shared" si="36"/>
        <v>726478.08100361493</v>
      </c>
      <c r="AA97" s="81"/>
      <c r="AB97" s="81">
        <f>+'MWh by mo-WgtbyActulCDH&amp;Days'!AB97</f>
        <v>4578976</v>
      </c>
      <c r="AC97" s="308">
        <f t="shared" si="44"/>
        <v>158.65514058243915</v>
      </c>
      <c r="AD97" s="309">
        <f t="shared" si="37"/>
        <v>90.666851461140411</v>
      </c>
      <c r="AE97" s="107">
        <f t="shared" si="38"/>
        <v>7.7603581849763547E-3</v>
      </c>
      <c r="AF97" s="309">
        <f t="shared" si="45"/>
        <v>67.988289121298763</v>
      </c>
      <c r="AG97" s="107">
        <f t="shared" si="39"/>
        <v>5.8192544183707931E-3</v>
      </c>
      <c r="AH97" s="119">
        <f t="shared" si="46"/>
        <v>1.3579612603347148E-2</v>
      </c>
      <c r="AI97" s="122">
        <f t="shared" si="40"/>
        <v>1.3579612603347146E-2</v>
      </c>
      <c r="AJ97" s="87" t="b">
        <f t="shared" si="47"/>
        <v>1</v>
      </c>
      <c r="AK97" s="88">
        <f t="shared" si="52"/>
        <v>2.005454542721349E-3</v>
      </c>
      <c r="AL97" s="312">
        <f>+AC97/'MWh by month-WgtbyCDH&amp;DayLtHrs'!AC97-1</f>
        <v>0.10934241261828004</v>
      </c>
      <c r="AM97" s="89">
        <f t="shared" si="41"/>
        <v>247883.2510595101</v>
      </c>
      <c r="AN97" s="93"/>
      <c r="AO97" s="96">
        <f t="shared" si="28"/>
        <v>54.135084145343875</v>
      </c>
      <c r="AP97" s="92">
        <f t="shared" si="27"/>
        <v>4.6335307399723719E-3</v>
      </c>
      <c r="AR97" s="94">
        <f t="shared" si="42"/>
        <v>1.3579612603347146E-2</v>
      </c>
      <c r="AS97" s="95">
        <v>689207.92416327714</v>
      </c>
      <c r="AU97" s="141">
        <v>158.65514058243915</v>
      </c>
    </row>
    <row r="98" spans="1:47">
      <c r="A98" s="78">
        <v>2012</v>
      </c>
      <c r="B98" s="78">
        <v>10</v>
      </c>
      <c r="C98" s="317">
        <v>198.7182652930268</v>
      </c>
      <c r="D98" s="318">
        <f t="shared" si="53"/>
        <v>0.11411713460484149</v>
      </c>
      <c r="E98" s="321">
        <f>$D98*'MWh Impact Summary'!B$18</f>
        <v>134149.30920673569</v>
      </c>
      <c r="F98" s="319">
        <f>$D98*'MWh Impact Summary'!N$18</f>
        <v>5929.6199891652113</v>
      </c>
      <c r="G98" s="319">
        <f>$D98*'MWh Impact Summary'!C$18</f>
        <v>112928.54629828667</v>
      </c>
      <c r="H98" s="319">
        <f>$D98*'MWh Impact Summary'!D$18</f>
        <v>255.83430807007821</v>
      </c>
      <c r="I98" s="319">
        <f>$D98*'MWh Impact Summary'!E$18</f>
        <v>47276.234725390794</v>
      </c>
      <c r="J98" s="104">
        <f t="shared" si="43"/>
        <v>300539.54452764848</v>
      </c>
      <c r="K98" s="298">
        <f t="shared" si="51"/>
        <v>12.466666666666667</v>
      </c>
      <c r="L98" s="299">
        <f t="shared" si="54"/>
        <v>8.7762524932535488E-2</v>
      </c>
      <c r="M98" s="297">
        <f>(31/366)</f>
        <v>8.4699453551912565E-2</v>
      </c>
      <c r="N98" s="304">
        <f>$M98*'MWh Impact Summary'!F$18</f>
        <v>49716.673550694795</v>
      </c>
      <c r="O98" s="304">
        <f>$M98*'MWh Impact Summary'!G$18</f>
        <v>0</v>
      </c>
      <c r="P98" s="304">
        <f>$M98*'MWh Impact Summary'!H$18</f>
        <v>1982.1682430244027</v>
      </c>
      <c r="Q98" s="320">
        <f>$D98*'MWh Impact Summary'!I$18</f>
        <v>1029.2950425167026</v>
      </c>
      <c r="R98" s="304">
        <f>$M98*'MWh Impact Summary'!J$18</f>
        <v>12219.065285421244</v>
      </c>
      <c r="S98" s="304">
        <f>$M98*'MWh Impact Summary'!K$18</f>
        <v>0</v>
      </c>
      <c r="T98" s="304">
        <f>$M98*'MWh Impact Summary'!L$18</f>
        <v>0</v>
      </c>
      <c r="U98" s="304">
        <f>$M98*'MWh Impact Summary'!M$18</f>
        <v>0</v>
      </c>
      <c r="V98" s="304">
        <f>$M98*'LED Impact Forecast'!$H$19+$D98*'LED Impact Forecast'!$J$19</f>
        <v>160.78614210506422</v>
      </c>
      <c r="W98" s="304">
        <f>$M98*'CFL Impact Forecast'!$H$19+$D98*'CFL Impact Forecast'!$J$19</f>
        <v>237378.56273076372</v>
      </c>
      <c r="X98" s="304">
        <f>$M98*'EISA Incand Impact Forecast'!$G$19+$D98*'EISA Incand Impact Forecast'!$I$19</f>
        <v>0</v>
      </c>
      <c r="Y98" s="85">
        <f t="shared" si="35"/>
        <v>302486.5509945259</v>
      </c>
      <c r="Z98" s="81">
        <f t="shared" si="36"/>
        <v>603026.09552217438</v>
      </c>
      <c r="AA98" s="81"/>
      <c r="AB98" s="81">
        <f>+'MWh by mo-WgtbyActulCDH&amp;Days'!AB98</f>
        <v>4580752</v>
      </c>
      <c r="AC98" s="308">
        <f t="shared" si="44"/>
        <v>131.64347153527945</v>
      </c>
      <c r="AD98" s="309">
        <f t="shared" si="37"/>
        <v>65.609215370674619</v>
      </c>
      <c r="AE98" s="107">
        <f t="shared" si="38"/>
        <v>5.26277128641775E-3</v>
      </c>
      <c r="AF98" s="309">
        <f t="shared" si="45"/>
        <v>66.034256164604827</v>
      </c>
      <c r="AG98" s="107">
        <f t="shared" si="39"/>
        <v>5.2968654677490509E-3</v>
      </c>
      <c r="AH98" s="119">
        <f t="shared" si="46"/>
        <v>1.0559636754166801E-2</v>
      </c>
      <c r="AI98" s="122">
        <f t="shared" si="40"/>
        <v>1.0559636754166799E-2</v>
      </c>
      <c r="AJ98" s="87" t="b">
        <f t="shared" si="47"/>
        <v>1</v>
      </c>
      <c r="AK98" s="88">
        <f t="shared" si="52"/>
        <v>2.7808252903107188E-3</v>
      </c>
      <c r="AL98" s="312">
        <f>+AC98/'MWh by month-WgtbyCDH&amp;DayLtHrs'!AC98-1</f>
        <v>6.3460882362879278E-2</v>
      </c>
      <c r="AM98" s="89">
        <f t="shared" si="41"/>
        <v>237378.56273076372</v>
      </c>
      <c r="AN98" s="93"/>
      <c r="AO98" s="96">
        <f t="shared" si="28"/>
        <v>51.820871929055258</v>
      </c>
      <c r="AP98" s="92">
        <f t="shared" si="27"/>
        <v>4.1567544328119186E-3</v>
      </c>
      <c r="AR98" s="94">
        <f t="shared" si="42"/>
        <v>1.0559636754166799E-2</v>
      </c>
      <c r="AS98" s="95">
        <v>550390.63085847348</v>
      </c>
      <c r="AU98" s="141">
        <v>131.64347153527945</v>
      </c>
    </row>
    <row r="99" spans="1:47">
      <c r="A99" s="78">
        <v>2012</v>
      </c>
      <c r="B99" s="78">
        <v>11</v>
      </c>
      <c r="C99" s="317">
        <v>39.051797399730034</v>
      </c>
      <c r="D99" s="318">
        <f t="shared" si="53"/>
        <v>2.2426117769569584E-2</v>
      </c>
      <c r="E99" s="321">
        <f>$D99*'MWh Impact Summary'!B$18</f>
        <v>26362.808857707023</v>
      </c>
      <c r="F99" s="319">
        <f>$D99*'MWh Impact Summary'!N$18</f>
        <v>1165.2794881880188</v>
      </c>
      <c r="G99" s="319">
        <f>$D99*'MWh Impact Summary'!C$18</f>
        <v>22192.53828622002</v>
      </c>
      <c r="H99" s="319">
        <f>$D99*'MWh Impact Summary'!D$18</f>
        <v>50.27615127336459</v>
      </c>
      <c r="I99" s="319">
        <f>$D99*'MWh Impact Summary'!E$18</f>
        <v>9290.6504472330889</v>
      </c>
      <c r="J99" s="104">
        <f t="shared" si="43"/>
        <v>59061.553230621517</v>
      </c>
      <c r="K99" s="298">
        <f t="shared" si="51"/>
        <v>13.15</v>
      </c>
      <c r="L99" s="299">
        <f>K99/(SUM(K$89:K$100))</f>
        <v>9.2573037662794788E-2</v>
      </c>
      <c r="M99" s="297">
        <f>(30/366)</f>
        <v>8.1967213114754092E-2</v>
      </c>
      <c r="N99" s="304">
        <f>$M99*'MWh Impact Summary'!F$18</f>
        <v>48112.909887769158</v>
      </c>
      <c r="O99" s="304">
        <f>$M99*'MWh Impact Summary'!G$18</f>
        <v>0</v>
      </c>
      <c r="P99" s="304">
        <f>$M99*'MWh Impact Summary'!H$18</f>
        <v>1918.2273319590993</v>
      </c>
      <c r="Q99" s="320">
        <f>$D99*'MWh Impact Summary'!I$18</f>
        <v>202.27542448418947</v>
      </c>
      <c r="R99" s="304">
        <f>$M99*'MWh Impact Summary'!J$18</f>
        <v>11824.901889117331</v>
      </c>
      <c r="S99" s="304">
        <f>$M99*'MWh Impact Summary'!K$18</f>
        <v>0</v>
      </c>
      <c r="T99" s="304">
        <f>$M99*'MWh Impact Summary'!L$18</f>
        <v>0</v>
      </c>
      <c r="U99" s="304">
        <f>$M99*'MWh Impact Summary'!M$18</f>
        <v>0</v>
      </c>
      <c r="V99" s="304">
        <f>$M99*'LED Impact Forecast'!$H$19+$D99*'LED Impact Forecast'!$J$19</f>
        <v>155.59949235973954</v>
      </c>
      <c r="W99" s="304">
        <f>$M99*'CFL Impact Forecast'!$H$19+$D99*'CFL Impact Forecast'!$J$19</f>
        <v>195858.78082320772</v>
      </c>
      <c r="X99" s="304">
        <f>$M99*'EISA Incand Impact Forecast'!$G$19+$D99*'EISA Incand Impact Forecast'!$I$19</f>
        <v>0</v>
      </c>
      <c r="Y99" s="85">
        <f t="shared" si="35"/>
        <v>258072.69484889723</v>
      </c>
      <c r="Z99" s="81">
        <f t="shared" si="36"/>
        <v>317134.24807951873</v>
      </c>
      <c r="AA99" s="81"/>
      <c r="AB99" s="81">
        <f>+'MWh by mo-WgtbyActulCDH&amp;Days'!AB99</f>
        <v>4584041</v>
      </c>
      <c r="AC99" s="308">
        <f t="shared" si="44"/>
        <v>69.182245115067417</v>
      </c>
      <c r="AD99" s="309">
        <f t="shared" si="37"/>
        <v>12.884167752998177</v>
      </c>
      <c r="AE99" s="107">
        <f t="shared" si="38"/>
        <v>9.7978461999986138E-4</v>
      </c>
      <c r="AF99" s="309">
        <f t="shared" si="45"/>
        <v>56.298077362069236</v>
      </c>
      <c r="AG99" s="107">
        <f t="shared" si="39"/>
        <v>4.2812226130851134E-3</v>
      </c>
      <c r="AH99" s="119">
        <f t="shared" si="46"/>
        <v>5.2610072330849748E-3</v>
      </c>
      <c r="AI99" s="122">
        <f t="shared" si="40"/>
        <v>5.2610072330849748E-3</v>
      </c>
      <c r="AJ99" s="87" t="b">
        <f t="shared" si="47"/>
        <v>1</v>
      </c>
      <c r="AK99" s="88">
        <f t="shared" si="52"/>
        <v>-2.1765240590392379E-4</v>
      </c>
      <c r="AL99" s="312">
        <f>+AC99/'MWh by month-WgtbyCDH&amp;DayLtHrs'!AC99-1</f>
        <v>-0.24661388061193057</v>
      </c>
      <c r="AM99" s="89">
        <f t="shared" si="41"/>
        <v>195858.78082320772</v>
      </c>
      <c r="AN99" s="93"/>
      <c r="AO99" s="96">
        <f t="shared" si="28"/>
        <v>42.726227977281994</v>
      </c>
      <c r="AP99" s="92">
        <f t="shared" si="27"/>
        <v>3.2491428119606077E-3</v>
      </c>
      <c r="AR99" s="94">
        <f t="shared" si="42"/>
        <v>5.2610072330849748E-3</v>
      </c>
      <c r="AS99" s="95">
        <v>417156.58320965245</v>
      </c>
      <c r="AU99" s="141">
        <v>69.182245115067417</v>
      </c>
    </row>
    <row r="100" spans="1:47">
      <c r="A100" s="78">
        <v>2012</v>
      </c>
      <c r="B100" s="78">
        <v>12</v>
      </c>
      <c r="C100" s="317">
        <v>0</v>
      </c>
      <c r="D100" s="318">
        <f>C100/(SUM(C$89:C$100))</f>
        <v>0</v>
      </c>
      <c r="E100" s="321">
        <f>$D100*'MWh Impact Summary'!B$18</f>
        <v>0</v>
      </c>
      <c r="F100" s="319">
        <f>$D100*'MWh Impact Summary'!N$18</f>
        <v>0</v>
      </c>
      <c r="G100" s="319">
        <f>$D100*'MWh Impact Summary'!C$18</f>
        <v>0</v>
      </c>
      <c r="H100" s="319">
        <f>$D100*'MWh Impact Summary'!D$18</f>
        <v>0</v>
      </c>
      <c r="I100" s="319">
        <f>$D100*'MWh Impact Summary'!E$18</f>
        <v>0</v>
      </c>
      <c r="J100" s="104">
        <f t="shared" si="43"/>
        <v>0</v>
      </c>
      <c r="K100" s="298">
        <f t="shared" si="51"/>
        <v>13.483333333333333</v>
      </c>
      <c r="L100" s="299">
        <f>K100/(SUM(K$89:K$100))</f>
        <v>9.491962923853102E-2</v>
      </c>
      <c r="M100" s="297">
        <f>(31/366)</f>
        <v>8.4699453551912565E-2</v>
      </c>
      <c r="N100" s="304">
        <f>$M100*'MWh Impact Summary'!F$18</f>
        <v>49716.673550694795</v>
      </c>
      <c r="O100" s="304">
        <f>$M100*'MWh Impact Summary'!G$18</f>
        <v>0</v>
      </c>
      <c r="P100" s="304">
        <f>$M100*'MWh Impact Summary'!H$18</f>
        <v>1982.1682430244027</v>
      </c>
      <c r="Q100" s="320">
        <f>$D100*'MWh Impact Summary'!I$18</f>
        <v>0</v>
      </c>
      <c r="R100" s="304">
        <f>$M100*'MWh Impact Summary'!J$18</f>
        <v>12219.065285421244</v>
      </c>
      <c r="S100" s="304">
        <f>$M100*'MWh Impact Summary'!K$18</f>
        <v>0</v>
      </c>
      <c r="T100" s="304">
        <f>$M100*'MWh Impact Summary'!L$18</f>
        <v>0</v>
      </c>
      <c r="U100" s="304">
        <f>$M100*'MWh Impact Summary'!M$18</f>
        <v>0</v>
      </c>
      <c r="V100" s="304">
        <f>$M100*'LED Impact Forecast'!$H$19+$D100*'LED Impact Forecast'!$J$19</f>
        <v>160.78614210506422</v>
      </c>
      <c r="W100" s="304">
        <f>$M100*'CFL Impact Forecast'!$H$19+$D100*'CFL Impact Forecast'!$J$19</f>
        <v>193471.17691097409</v>
      </c>
      <c r="X100" s="304">
        <f>$M100*'EISA Incand Impact Forecast'!$G$19+$D100*'EISA Incand Impact Forecast'!$I$19</f>
        <v>0</v>
      </c>
      <c r="Y100" s="85">
        <f t="shared" si="35"/>
        <v>257549.8701322196</v>
      </c>
      <c r="Z100" s="81">
        <f t="shared" si="36"/>
        <v>257549.8701322196</v>
      </c>
      <c r="AA100" s="81">
        <f>SUM(Z89:Z100)</f>
        <v>6068132.6596934069</v>
      </c>
      <c r="AB100" s="81">
        <f>+'MWh by mo-WgtbyActulCDH&amp;Days'!AB100</f>
        <v>4588119</v>
      </c>
      <c r="AC100" s="308">
        <f t="shared" si="44"/>
        <v>56.134086786375768</v>
      </c>
      <c r="AD100" s="309">
        <f t="shared" si="37"/>
        <v>0</v>
      </c>
      <c r="AE100" s="107">
        <f t="shared" si="38"/>
        <v>0</v>
      </c>
      <c r="AF100" s="309">
        <f t="shared" si="45"/>
        <v>56.134086786375768</v>
      </c>
      <c r="AG100" s="107">
        <f t="shared" si="39"/>
        <v>4.1632202808189701E-3</v>
      </c>
      <c r="AH100" s="119">
        <f t="shared" si="46"/>
        <v>4.1632202808189701E-3</v>
      </c>
      <c r="AI100" s="122">
        <f t="shared" si="40"/>
        <v>4.1632202808189701E-3</v>
      </c>
      <c r="AJ100" s="87" t="b">
        <f t="shared" si="47"/>
        <v>1</v>
      </c>
      <c r="AK100" s="88">
        <f t="shared" si="52"/>
        <v>4.5689269485743719E-4</v>
      </c>
      <c r="AL100" s="312">
        <f>+AC100/'MWh by month-WgtbyCDH&amp;DayLtHrs'!AC100-1</f>
        <v>-0.3241263323317628</v>
      </c>
      <c r="AM100" s="89">
        <f t="shared" si="41"/>
        <v>193471.17691097409</v>
      </c>
      <c r="AN100" s="90">
        <f>SUM(AM89:AM100)</f>
        <v>2668965.2592229554</v>
      </c>
      <c r="AO100" s="96">
        <f t="shared" si="28"/>
        <v>42.167863760938651</v>
      </c>
      <c r="AP100" s="92">
        <f t="shared" si="27"/>
        <v>3.127406459402125E-3</v>
      </c>
      <c r="AR100" s="94">
        <f t="shared" si="42"/>
        <v>4.1632202808189701E-3</v>
      </c>
      <c r="AS100" s="95">
        <v>339742.23967733263</v>
      </c>
      <c r="AU100" s="141">
        <v>56.134086786375768</v>
      </c>
    </row>
    <row r="101" spans="1:47">
      <c r="A101" s="78">
        <v>2013</v>
      </c>
      <c r="B101" s="78">
        <f t="shared" ref="B101:B112" si="55">B89</f>
        <v>1</v>
      </c>
      <c r="C101" s="317">
        <v>0</v>
      </c>
      <c r="D101" s="318">
        <f t="shared" ref="D101:D112" si="56">C101/(SUM(C$101:C$112))</f>
        <v>0</v>
      </c>
      <c r="E101" s="321">
        <f>$D101*'MWh Impact Summary'!B$19</f>
        <v>0</v>
      </c>
      <c r="F101" s="319">
        <f>$D101*'MWh Impact Summary'!N$19</f>
        <v>0</v>
      </c>
      <c r="G101" s="319">
        <f>$D101*'MWh Impact Summary'!C$19</f>
        <v>0</v>
      </c>
      <c r="H101" s="319">
        <f>$D101*'MWh Impact Summary'!D$19</f>
        <v>0</v>
      </c>
      <c r="I101" s="319">
        <f>$D101*'MWh Impact Summary'!E$19</f>
        <v>0</v>
      </c>
      <c r="J101" s="104">
        <f t="shared" si="43"/>
        <v>0</v>
      </c>
      <c r="K101" s="298">
        <f t="shared" si="51"/>
        <v>13.3</v>
      </c>
      <c r="L101" s="299">
        <f>K101/(SUM(K$101:K$112))</f>
        <v>9.3629003871876101E-2</v>
      </c>
      <c r="M101" s="297">
        <f>(31/365)</f>
        <v>8.4931506849315067E-2</v>
      </c>
      <c r="N101" s="304">
        <f>$M101*'MWh Impact Summary'!F$19</f>
        <v>58877.863886569408</v>
      </c>
      <c r="O101" s="304">
        <f>$M101*'MWh Impact Summary'!G$19</f>
        <v>77.595559913139994</v>
      </c>
      <c r="P101" s="304">
        <f>$M101*'MWh Impact Summary'!H$19</f>
        <v>2683.0390856905556</v>
      </c>
      <c r="Q101" s="320">
        <f>$D101*'MWh Impact Summary'!I$19</f>
        <v>0</v>
      </c>
      <c r="R101" s="304">
        <f>$M101*'MWh Impact Summary'!J$19</f>
        <v>15522.636385467882</v>
      </c>
      <c r="S101" s="304">
        <f>$M101*'MWh Impact Summary'!K$19</f>
        <v>0</v>
      </c>
      <c r="T101" s="304">
        <f>$M101*'MWh Impact Summary'!L$19</f>
        <v>0</v>
      </c>
      <c r="U101" s="304">
        <f>$M101*'MWh Impact Summary'!M$19</f>
        <v>0</v>
      </c>
      <c r="V101" s="304">
        <f>$M101*'LED Impact Forecast'!$H$20+$D101*'LED Impact Forecast'!$J$20</f>
        <v>721.55377678476077</v>
      </c>
      <c r="W101" s="304">
        <f>$M101*'CFL Impact Forecast'!$H$20+$D101*'CFL Impact Forecast'!$J$20</f>
        <v>211463.36147047652</v>
      </c>
      <c r="X101" s="304">
        <f>$M101*'EISA Incand Impact Forecast'!$G$20+$D101*'EISA Incand Impact Forecast'!$I$20</f>
        <v>22891.902622375379</v>
      </c>
      <c r="Y101" s="85">
        <f t="shared" si="35"/>
        <v>312237.95278727764</v>
      </c>
      <c r="Z101" s="81">
        <f t="shared" si="36"/>
        <v>312237.95278727764</v>
      </c>
      <c r="AA101" s="81"/>
      <c r="AB101" s="81">
        <f>+'MWh by mo-WgtbyActulCDH&amp;Days'!AB101</f>
        <v>4594969</v>
      </c>
      <c r="AC101" s="308">
        <f t="shared" si="44"/>
        <v>67.952134777683511</v>
      </c>
      <c r="AD101" s="309">
        <f t="shared" si="37"/>
        <v>0</v>
      </c>
      <c r="AE101" s="107">
        <f t="shared" si="38"/>
        <v>0</v>
      </c>
      <c r="AF101" s="309">
        <f t="shared" si="45"/>
        <v>67.952134777683511</v>
      </c>
      <c r="AG101" s="107">
        <f t="shared" si="39"/>
        <v>5.1091830659912418E-3</v>
      </c>
      <c r="AH101" s="119">
        <f t="shared" si="46"/>
        <v>5.1091830659912418E-3</v>
      </c>
      <c r="AI101" s="122">
        <f t="shared" si="40"/>
        <v>5.1091830659912418E-3</v>
      </c>
      <c r="AJ101" s="87" t="b">
        <f t="shared" si="47"/>
        <v>1</v>
      </c>
      <c r="AK101" s="88">
        <f t="shared" si="52"/>
        <v>8.625628488120058E-4</v>
      </c>
      <c r="AL101" s="312">
        <f>+AC101/'MWh by month-WgtbyCDH&amp;DayLtHrs'!AC101-1</f>
        <v>-0.26896494954813921</v>
      </c>
      <c r="AM101" s="89">
        <f t="shared" si="41"/>
        <v>211463.36147047652</v>
      </c>
      <c r="AN101" s="93"/>
      <c r="AO101" s="96">
        <f t="shared" si="28"/>
        <v>46.020628533179767</v>
      </c>
      <c r="AP101" s="92">
        <f t="shared" si="27"/>
        <v>3.4601976340736663E-3</v>
      </c>
      <c r="AR101" s="94">
        <f t="shared" si="42"/>
        <v>5.1091830659912418E-3</v>
      </c>
      <c r="AS101" s="95">
        <v>396478.06216397288</v>
      </c>
      <c r="AU101" s="141">
        <v>67.952134777683511</v>
      </c>
    </row>
    <row r="102" spans="1:47">
      <c r="A102" s="78">
        <f t="shared" ref="A102:A112" si="57">A101</f>
        <v>2013</v>
      </c>
      <c r="B102" s="78">
        <f t="shared" si="55"/>
        <v>2</v>
      </c>
      <c r="C102" s="317">
        <v>0</v>
      </c>
      <c r="D102" s="318">
        <f t="shared" si="56"/>
        <v>0</v>
      </c>
      <c r="E102" s="321">
        <f>$D102*'MWh Impact Summary'!B$19</f>
        <v>0</v>
      </c>
      <c r="F102" s="319">
        <f>$D102*'MWh Impact Summary'!N$19</f>
        <v>0</v>
      </c>
      <c r="G102" s="319">
        <f>$D102*'MWh Impact Summary'!C$19</f>
        <v>0</v>
      </c>
      <c r="H102" s="319">
        <f>$D102*'MWh Impact Summary'!D$19</f>
        <v>0</v>
      </c>
      <c r="I102" s="319">
        <f>$D102*'MWh Impact Summary'!E$19</f>
        <v>0</v>
      </c>
      <c r="J102" s="104">
        <f t="shared" si="43"/>
        <v>0</v>
      </c>
      <c r="K102" s="298">
        <f t="shared" si="51"/>
        <v>12.733333333333333</v>
      </c>
      <c r="L102" s="299">
        <f>K102/(SUM(K$101:K$112))</f>
        <v>8.9639798193124468E-2</v>
      </c>
      <c r="M102" s="297">
        <f>(28/365)</f>
        <v>7.6712328767123292E-2</v>
      </c>
      <c r="N102" s="304">
        <f>$M102*'MWh Impact Summary'!F$19</f>
        <v>53180.006091094954</v>
      </c>
      <c r="O102" s="304">
        <f>$M102*'MWh Impact Summary'!G$19</f>
        <v>70.086312179610331</v>
      </c>
      <c r="P102" s="304">
        <f>$M102*'MWh Impact Summary'!H$19</f>
        <v>2423.3901419140502</v>
      </c>
      <c r="Q102" s="320">
        <f>$D102*'MWh Impact Summary'!I$19</f>
        <v>0</v>
      </c>
      <c r="R102" s="304">
        <f>$M102*'MWh Impact Summary'!J$19</f>
        <v>14020.445767519379</v>
      </c>
      <c r="S102" s="304">
        <f>$M102*'MWh Impact Summary'!K$19</f>
        <v>0</v>
      </c>
      <c r="T102" s="304">
        <f>$M102*'MWh Impact Summary'!L$19</f>
        <v>0</v>
      </c>
      <c r="U102" s="304">
        <f>$M102*'MWh Impact Summary'!M$19</f>
        <v>0</v>
      </c>
      <c r="V102" s="304">
        <f>$M102*'LED Impact Forecast'!$H$20+$D102*'LED Impact Forecast'!$J$20</f>
        <v>651.7259919346227</v>
      </c>
      <c r="W102" s="304">
        <f>$M102*'CFL Impact Forecast'!$H$20+$D102*'CFL Impact Forecast'!$J$20</f>
        <v>190999.16519914012</v>
      </c>
      <c r="X102" s="304">
        <f>$M102*'EISA Incand Impact Forecast'!$G$20+$D102*'EISA Incand Impact Forecast'!$I$20</f>
        <v>20676.557207306796</v>
      </c>
      <c r="Y102" s="85">
        <f t="shared" si="35"/>
        <v>282021.37671108951</v>
      </c>
      <c r="Z102" s="81">
        <f t="shared" si="36"/>
        <v>282021.37671108951</v>
      </c>
      <c r="AA102" s="81"/>
      <c r="AB102" s="81">
        <f>+'MWh by mo-WgtbyActulCDH&amp;Days'!AB102</f>
        <v>4599265</v>
      </c>
      <c r="AC102" s="308">
        <f t="shared" si="44"/>
        <v>61.318792613839278</v>
      </c>
      <c r="AD102" s="309">
        <f t="shared" si="37"/>
        <v>0</v>
      </c>
      <c r="AE102" s="107">
        <f t="shared" si="38"/>
        <v>0</v>
      </c>
      <c r="AF102" s="309">
        <f t="shared" si="45"/>
        <v>61.318792613839278</v>
      </c>
      <c r="AG102" s="107">
        <f t="shared" si="39"/>
        <v>4.8156119853800484E-3</v>
      </c>
      <c r="AH102" s="119">
        <f t="shared" si="46"/>
        <v>4.8156119853800484E-3</v>
      </c>
      <c r="AI102" s="122">
        <f t="shared" si="40"/>
        <v>4.8156119853800484E-3</v>
      </c>
      <c r="AJ102" s="87" t="b">
        <f t="shared" si="47"/>
        <v>1</v>
      </c>
      <c r="AK102" s="88">
        <f t="shared" si="52"/>
        <v>6.7134721978160273E-4</v>
      </c>
      <c r="AL102" s="312">
        <f>+AC102/'MWh by month-WgtbyCDH&amp;DayLtHrs'!AC102-1</f>
        <v>-0.33677306529524387</v>
      </c>
      <c r="AM102" s="89">
        <f t="shared" si="41"/>
        <v>190999.16519914012</v>
      </c>
      <c r="AN102" s="90"/>
      <c r="AO102" s="96">
        <f t="shared" si="28"/>
        <v>41.528193135020508</v>
      </c>
      <c r="AP102" s="92">
        <f t="shared" si="27"/>
        <v>3.2613764242162705E-3</v>
      </c>
      <c r="AR102" s="94">
        <f t="shared" si="42"/>
        <v>4.8156119853800484E-3</v>
      </c>
      <c r="AS102" s="95">
        <v>368846.96305153822</v>
      </c>
      <c r="AU102" s="141">
        <v>61.318792613839278</v>
      </c>
    </row>
    <row r="103" spans="1:47">
      <c r="A103" s="78">
        <f t="shared" si="57"/>
        <v>2013</v>
      </c>
      <c r="B103" s="78">
        <f t="shared" si="55"/>
        <v>3</v>
      </c>
      <c r="C103" s="317">
        <v>0</v>
      </c>
      <c r="D103" s="318">
        <f t="shared" si="56"/>
        <v>0</v>
      </c>
      <c r="E103" s="321">
        <f>$D103*'MWh Impact Summary'!B$19</f>
        <v>0</v>
      </c>
      <c r="F103" s="319">
        <f>$D103*'MWh Impact Summary'!N$19</f>
        <v>0</v>
      </c>
      <c r="G103" s="319">
        <f>$D103*'MWh Impact Summary'!C$19</f>
        <v>0</v>
      </c>
      <c r="H103" s="319">
        <f>$D103*'MWh Impact Summary'!D$19</f>
        <v>0</v>
      </c>
      <c r="I103" s="319">
        <f>$D103*'MWh Impact Summary'!E$19</f>
        <v>0</v>
      </c>
      <c r="J103" s="104">
        <f t="shared" si="43"/>
        <v>0</v>
      </c>
      <c r="K103" s="298">
        <f t="shared" si="51"/>
        <v>12</v>
      </c>
      <c r="L103" s="299">
        <f t="shared" ref="L103:L111" si="58">K103/(SUM(K$101:K$112))</f>
        <v>8.4477296726504739E-2</v>
      </c>
      <c r="M103" s="297">
        <f t="shared" ref="M103:M112" si="59">(31/365)</f>
        <v>8.4931506849315067E-2</v>
      </c>
      <c r="N103" s="304">
        <f>$M103*'MWh Impact Summary'!F$19</f>
        <v>58877.863886569408</v>
      </c>
      <c r="O103" s="304">
        <f>$M103*'MWh Impact Summary'!G$19</f>
        <v>77.595559913139994</v>
      </c>
      <c r="P103" s="304">
        <f>$M103*'MWh Impact Summary'!H$19</f>
        <v>2683.0390856905556</v>
      </c>
      <c r="Q103" s="320">
        <f>$D103*'MWh Impact Summary'!I$19</f>
        <v>0</v>
      </c>
      <c r="R103" s="304">
        <f>$M103*'MWh Impact Summary'!J$19</f>
        <v>15522.636385467882</v>
      </c>
      <c r="S103" s="304">
        <f>$M103*'MWh Impact Summary'!K$19</f>
        <v>0</v>
      </c>
      <c r="T103" s="304">
        <f>$M103*'MWh Impact Summary'!L$19</f>
        <v>0</v>
      </c>
      <c r="U103" s="304">
        <f>$M103*'MWh Impact Summary'!M$19</f>
        <v>0</v>
      </c>
      <c r="V103" s="304">
        <f>$M103*'LED Impact Forecast'!$H$20+$D103*'LED Impact Forecast'!$J$20</f>
        <v>721.55377678476077</v>
      </c>
      <c r="W103" s="304">
        <f>$M103*'CFL Impact Forecast'!$H$20+$D103*'CFL Impact Forecast'!$J$20</f>
        <v>211463.36147047652</v>
      </c>
      <c r="X103" s="304">
        <f>$M103*'EISA Incand Impact Forecast'!$G$20+$D103*'EISA Incand Impact Forecast'!$I$20</f>
        <v>22891.902622375379</v>
      </c>
      <c r="Y103" s="85">
        <f t="shared" si="35"/>
        <v>312237.95278727764</v>
      </c>
      <c r="Z103" s="81">
        <f t="shared" si="36"/>
        <v>312237.95278727764</v>
      </c>
      <c r="AA103" s="80"/>
      <c r="AB103" s="81">
        <f>+'MWh by mo-WgtbyActulCDH&amp;Days'!AB103</f>
        <v>4605771</v>
      </c>
      <c r="AC103" s="308">
        <f t="shared" si="44"/>
        <v>67.792765377887363</v>
      </c>
      <c r="AD103" s="309">
        <f t="shared" si="37"/>
        <v>0</v>
      </c>
      <c r="AE103" s="107">
        <f t="shared" si="38"/>
        <v>0</v>
      </c>
      <c r="AF103" s="309">
        <f t="shared" si="45"/>
        <v>67.792765377887363</v>
      </c>
      <c r="AG103" s="107">
        <f t="shared" si="39"/>
        <v>5.6493971148239477E-3</v>
      </c>
      <c r="AH103" s="119">
        <f t="shared" si="46"/>
        <v>5.6493971148239477E-3</v>
      </c>
      <c r="AI103" s="122">
        <f t="shared" si="40"/>
        <v>5.6493971148239477E-3</v>
      </c>
      <c r="AJ103" s="87" t="b">
        <f t="shared" si="47"/>
        <v>1</v>
      </c>
      <c r="AK103" s="88">
        <f t="shared" si="52"/>
        <v>9.5704520351682938E-4</v>
      </c>
      <c r="AL103" s="312">
        <f>+AC103/'MWh by month-WgtbyCDH&amp;DayLtHrs'!AC103-1</f>
        <v>-0.30699195270343038</v>
      </c>
      <c r="AM103" s="89">
        <f t="shared" si="41"/>
        <v>211463.36147047652</v>
      </c>
      <c r="AN103" s="99"/>
      <c r="AO103" s="96">
        <f t="shared" si="28"/>
        <v>45.912695501030448</v>
      </c>
      <c r="AP103" s="92">
        <f t="shared" si="27"/>
        <v>3.8260579584192041E-3</v>
      </c>
      <c r="AR103" s="94">
        <f t="shared" si="42"/>
        <v>5.6493971148239477E-3</v>
      </c>
      <c r="AS103" s="95">
        <v>448587.31752894237</v>
      </c>
      <c r="AU103" s="141">
        <v>67.792765377887363</v>
      </c>
    </row>
    <row r="104" spans="1:47">
      <c r="A104" s="78">
        <f t="shared" si="57"/>
        <v>2013</v>
      </c>
      <c r="B104" s="78">
        <f t="shared" si="55"/>
        <v>4</v>
      </c>
      <c r="C104" s="317">
        <v>135.35989619627648</v>
      </c>
      <c r="D104" s="318">
        <f t="shared" si="56"/>
        <v>7.532647526505723E-2</v>
      </c>
      <c r="E104" s="321">
        <f>$D104*'MWh Impact Summary'!B$19</f>
        <v>101772.98953522058</v>
      </c>
      <c r="F104" s="319">
        <f>$D104*'MWh Impact Summary'!N$19</f>
        <v>5469.5109343148688</v>
      </c>
      <c r="G104" s="319">
        <f>$D104*'MWh Impact Summary'!C$19</f>
        <v>85995.069855763533</v>
      </c>
      <c r="H104" s="319">
        <f>$D104*'MWh Impact Summary'!D$19</f>
        <v>228.55820454851587</v>
      </c>
      <c r="I104" s="319">
        <f>$D104*'MWh Impact Summary'!E$19</f>
        <v>35280.974833264248</v>
      </c>
      <c r="J104" s="104">
        <f t="shared" si="43"/>
        <v>228747.10336311176</v>
      </c>
      <c r="K104" s="298">
        <f t="shared" si="51"/>
        <v>11.2</v>
      </c>
      <c r="L104" s="299">
        <f t="shared" si="58"/>
        <v>7.8845476944737758E-2</v>
      </c>
      <c r="M104" s="297">
        <f>(30/365)</f>
        <v>8.2191780821917804E-2</v>
      </c>
      <c r="N104" s="304">
        <f>$M104*'MWh Impact Summary'!F$19</f>
        <v>56978.577954744585</v>
      </c>
      <c r="O104" s="304">
        <f>$M104*'MWh Impact Summary'!G$19</f>
        <v>75.092477335296763</v>
      </c>
      <c r="P104" s="304">
        <f>$M104*'MWh Impact Summary'!H$19</f>
        <v>2596.4894377650535</v>
      </c>
      <c r="Q104" s="320">
        <f>$D104*'MWh Impact Summary'!I$19</f>
        <v>761.54328298737005</v>
      </c>
      <c r="R104" s="304">
        <f>$M104*'MWh Impact Summary'!J$19</f>
        <v>15021.906179485048</v>
      </c>
      <c r="S104" s="304">
        <f>$M104*'MWh Impact Summary'!K$19</f>
        <v>0</v>
      </c>
      <c r="T104" s="304">
        <f>$M104*'MWh Impact Summary'!L$19</f>
        <v>0</v>
      </c>
      <c r="U104" s="304">
        <f>$M104*'MWh Impact Summary'!M$19</f>
        <v>0</v>
      </c>
      <c r="V104" s="304">
        <f>$M104*'LED Impact Forecast'!$H$20+$D104*'LED Impact Forecast'!$J$20</f>
        <v>716.62625803134949</v>
      </c>
      <c r="W104" s="304">
        <f>$M104*'CFL Impact Forecast'!$H$20+$D104*'CFL Impact Forecast'!$J$20</f>
        <v>236301.68339054985</v>
      </c>
      <c r="X104" s="304">
        <f>$M104*'EISA Incand Impact Forecast'!$G$20+$D104*'EISA Incand Impact Forecast'!$I$20</f>
        <v>25824.921778673157</v>
      </c>
      <c r="Y104" s="85">
        <f t="shared" si="35"/>
        <v>338276.8407595717</v>
      </c>
      <c r="Z104" s="81">
        <f t="shared" si="36"/>
        <v>567023.94412268349</v>
      </c>
      <c r="AA104" s="80"/>
      <c r="AB104" s="81">
        <f>+'MWh by mo-WgtbyActulCDH&amp;Days'!AB104</f>
        <v>4609509</v>
      </c>
      <c r="AC104" s="308">
        <f t="shared" si="44"/>
        <v>123.01178805002519</v>
      </c>
      <c r="AD104" s="309">
        <f t="shared" si="37"/>
        <v>49.625047562139862</v>
      </c>
      <c r="AE104" s="107">
        <f t="shared" si="38"/>
        <v>4.4308078180482022E-3</v>
      </c>
      <c r="AF104" s="309">
        <f t="shared" si="45"/>
        <v>73.386740487885291</v>
      </c>
      <c r="AG104" s="107">
        <f t="shared" si="39"/>
        <v>6.5523875435611863E-3</v>
      </c>
      <c r="AH104" s="119">
        <f t="shared" si="46"/>
        <v>1.0983195361609389E-2</v>
      </c>
      <c r="AI104" s="122">
        <f t="shared" si="40"/>
        <v>1.0983195361609393E-2</v>
      </c>
      <c r="AJ104" s="87" t="b">
        <f t="shared" si="47"/>
        <v>1</v>
      </c>
      <c r="AK104" s="88">
        <f t="shared" si="52"/>
        <v>2.5109140202584975E-3</v>
      </c>
      <c r="AL104" s="312">
        <f>+AC104/'MWh by month-WgtbyCDH&amp;DayLtHrs'!AC104-1</f>
        <v>0.12328481037488248</v>
      </c>
      <c r="AM104" s="89">
        <f t="shared" si="41"/>
        <v>236301.68339054985</v>
      </c>
      <c r="AN104" s="93"/>
      <c r="AO104" s="96">
        <f t="shared" si="28"/>
        <v>51.263959651787175</v>
      </c>
      <c r="AP104" s="92">
        <f t="shared" si="27"/>
        <v>4.577139254623855E-3</v>
      </c>
      <c r="AR104" s="94">
        <f t="shared" si="42"/>
        <v>1.0983195361609393E-2</v>
      </c>
      <c r="AS104" s="95">
        <v>530640.44900559995</v>
      </c>
      <c r="AU104" s="141">
        <v>123.01178805002519</v>
      </c>
    </row>
    <row r="105" spans="1:47">
      <c r="A105" s="78">
        <f t="shared" si="57"/>
        <v>2013</v>
      </c>
      <c r="B105" s="78">
        <f t="shared" si="55"/>
        <v>5</v>
      </c>
      <c r="C105" s="317">
        <v>163.92411756805507</v>
      </c>
      <c r="D105" s="318">
        <f t="shared" si="56"/>
        <v>9.1222188656466335E-2</v>
      </c>
      <c r="E105" s="321">
        <f>$D105*'MWh Impact Summary'!B$19</f>
        <v>123249.55892129931</v>
      </c>
      <c r="F105" s="319">
        <f>$D105*'MWh Impact Summary'!N$19</f>
        <v>6623.7104092951931</v>
      </c>
      <c r="G105" s="319">
        <f>$D105*'MWh Impact Summary'!C$19</f>
        <v>104142.1154820379</v>
      </c>
      <c r="H105" s="319">
        <f>$D105*'MWh Impact Summary'!D$19</f>
        <v>276.7895295902652</v>
      </c>
      <c r="I105" s="319">
        <f>$D105*'MWh Impact Summary'!E$19</f>
        <v>42726.116294426443</v>
      </c>
      <c r="J105" s="104">
        <f t="shared" si="43"/>
        <v>277018.29063664912</v>
      </c>
      <c r="K105" s="298">
        <f t="shared" si="51"/>
        <v>10.533333333333333</v>
      </c>
      <c r="L105" s="299">
        <f t="shared" si="58"/>
        <v>7.4152293793265281E-2</v>
      </c>
      <c r="M105" s="297">
        <f t="shared" si="59"/>
        <v>8.4931506849315067E-2</v>
      </c>
      <c r="N105" s="304">
        <f>$M105*'MWh Impact Summary'!F$19</f>
        <v>58877.863886569408</v>
      </c>
      <c r="O105" s="304">
        <f>$M105*'MWh Impact Summary'!G$19</f>
        <v>77.595559913139994</v>
      </c>
      <c r="P105" s="304">
        <f>$M105*'MWh Impact Summary'!H$19</f>
        <v>2683.0390856905556</v>
      </c>
      <c r="Q105" s="320">
        <f>$D105*'MWh Impact Summary'!I$19</f>
        <v>922.24738760562286</v>
      </c>
      <c r="R105" s="304">
        <f>$M105*'MWh Impact Summary'!J$19</f>
        <v>15522.636385467882</v>
      </c>
      <c r="S105" s="304">
        <f>$M105*'MWh Impact Summary'!K$19</f>
        <v>0</v>
      </c>
      <c r="T105" s="304">
        <f>$M105*'MWh Impact Summary'!L$19</f>
        <v>0</v>
      </c>
      <c r="U105" s="304">
        <f>$M105*'MWh Impact Summary'!M$19</f>
        <v>0</v>
      </c>
      <c r="V105" s="304">
        <f>$M105*'LED Impact Forecast'!$H$20+$D105*'LED Impact Forecast'!$J$20</f>
        <v>743.77414578250273</v>
      </c>
      <c r="W105" s="304">
        <f>$M105*'CFL Impact Forecast'!$H$20+$D105*'CFL Impact Forecast'!$J$20</f>
        <v>249804.05114515949</v>
      </c>
      <c r="X105" s="304">
        <f>$M105*'EISA Incand Impact Forecast'!$G$20+$D105*'EISA Incand Impact Forecast'!$I$20</f>
        <v>27338.138974572401</v>
      </c>
      <c r="Y105" s="85">
        <f t="shared" si="35"/>
        <v>355969.34657076106</v>
      </c>
      <c r="Z105" s="81">
        <f t="shared" si="36"/>
        <v>632987.63720741018</v>
      </c>
      <c r="AA105" s="80"/>
      <c r="AB105" s="81">
        <f>+'MWh by mo-WgtbyActulCDH&amp;Days'!AB105</f>
        <v>4611553</v>
      </c>
      <c r="AC105" s="308">
        <f t="shared" si="44"/>
        <v>137.26127341644133</v>
      </c>
      <c r="AD105" s="309">
        <f t="shared" si="37"/>
        <v>60.070499165172585</v>
      </c>
      <c r="AE105" s="107">
        <f t="shared" si="38"/>
        <v>5.7028954903644855E-3</v>
      </c>
      <c r="AF105" s="309">
        <f t="shared" si="45"/>
        <v>77.190774251268735</v>
      </c>
      <c r="AG105" s="107">
        <f t="shared" si="39"/>
        <v>7.3282380618293107E-3</v>
      </c>
      <c r="AH105" s="119">
        <f t="shared" si="46"/>
        <v>1.3031133552193796E-2</v>
      </c>
      <c r="AI105" s="122">
        <f t="shared" si="40"/>
        <v>1.3031133552193796E-2</v>
      </c>
      <c r="AJ105" s="87" t="b">
        <f t="shared" si="47"/>
        <v>1</v>
      </c>
      <c r="AK105" s="88">
        <f t="shared" si="52"/>
        <v>4.0216532488473837E-4</v>
      </c>
      <c r="AL105" s="312">
        <f>+AC105/'MWh by month-WgtbyCDH&amp;DayLtHrs'!AC105-1</f>
        <v>1.23350429413005E-3</v>
      </c>
      <c r="AM105" s="89">
        <f t="shared" si="41"/>
        <v>249804.05114515949</v>
      </c>
      <c r="AN105" s="93"/>
      <c r="AO105" s="96">
        <f t="shared" si="28"/>
        <v>54.169181433057254</v>
      </c>
      <c r="AP105" s="92">
        <f t="shared" ref="AP105:AP168" si="60">+AO105/K105/1000</f>
        <v>5.1426438069358156E-3</v>
      </c>
      <c r="AR105" s="94">
        <f t="shared" si="42"/>
        <v>1.3031133552193796E-2</v>
      </c>
      <c r="AS105" s="95">
        <v>642952.08421521494</v>
      </c>
      <c r="AU105" s="141">
        <v>137.26127341644133</v>
      </c>
    </row>
    <row r="106" spans="1:47">
      <c r="A106" s="78">
        <f t="shared" si="57"/>
        <v>2013</v>
      </c>
      <c r="B106" s="78">
        <f t="shared" si="55"/>
        <v>6</v>
      </c>
      <c r="C106" s="317">
        <v>272.87629990709786</v>
      </c>
      <c r="D106" s="318">
        <f t="shared" si="56"/>
        <v>0.15185302613978935</v>
      </c>
      <c r="E106" s="321">
        <f>$D106*'MWh Impact Summary'!B$19</f>
        <v>205167.39148931712</v>
      </c>
      <c r="F106" s="319">
        <f>$D106*'MWh Impact Summary'!N$19</f>
        <v>11026.160243895867</v>
      </c>
      <c r="G106" s="319">
        <f>$D106*'MWh Impact Summary'!C$19</f>
        <v>173360.18371694547</v>
      </c>
      <c r="H106" s="319">
        <f>$D106*'MWh Impact Summary'!D$19</f>
        <v>460.75772014609652</v>
      </c>
      <c r="I106" s="319">
        <f>$D106*'MWh Impact Summary'!E$19</f>
        <v>71124.034076212731</v>
      </c>
      <c r="J106" s="104">
        <f t="shared" si="43"/>
        <v>461138.5272465173</v>
      </c>
      <c r="K106" s="298">
        <f t="shared" si="51"/>
        <v>10.199999999999999</v>
      </c>
      <c r="L106" s="299">
        <f t="shared" si="58"/>
        <v>7.1805702217529022E-2</v>
      </c>
      <c r="M106" s="297">
        <f>(30/365)</f>
        <v>8.2191780821917804E-2</v>
      </c>
      <c r="N106" s="304">
        <f>$M106*'MWh Impact Summary'!F$19</f>
        <v>56978.577954744585</v>
      </c>
      <c r="O106" s="304">
        <f>$M106*'MWh Impact Summary'!G$19</f>
        <v>75.092477335296763</v>
      </c>
      <c r="P106" s="304">
        <f>$M106*'MWh Impact Summary'!H$19</f>
        <v>2596.4894377650535</v>
      </c>
      <c r="Q106" s="320">
        <f>$D106*'MWh Impact Summary'!I$19</f>
        <v>1535.2192127819753</v>
      </c>
      <c r="R106" s="304">
        <f>$M106*'MWh Impact Summary'!J$19</f>
        <v>15021.906179485048</v>
      </c>
      <c r="S106" s="304">
        <f>$M106*'MWh Impact Summary'!K$19</f>
        <v>0</v>
      </c>
      <c r="T106" s="304">
        <f>$M106*'MWh Impact Summary'!L$19</f>
        <v>0</v>
      </c>
      <c r="U106" s="304">
        <f>$M106*'MWh Impact Summary'!M$19</f>
        <v>0</v>
      </c>
      <c r="V106" s="304">
        <f>$M106*'LED Impact Forecast'!$H$20+$D106*'LED Impact Forecast'!$J$20</f>
        <v>735.26698813885378</v>
      </c>
      <c r="W106" s="304">
        <f>$M106*'CFL Impact Forecast'!$H$20+$D106*'CFL Impact Forecast'!$J$20</f>
        <v>268465.79589624074</v>
      </c>
      <c r="X106" s="304">
        <f>$M106*'EISA Incand Impact Forecast'!$G$20+$D106*'EISA Incand Impact Forecast'!$I$20</f>
        <v>29554.881971679002</v>
      </c>
      <c r="Y106" s="85">
        <f t="shared" si="35"/>
        <v>374963.23011817056</v>
      </c>
      <c r="Z106" s="81">
        <f t="shared" si="36"/>
        <v>836101.75736468786</v>
      </c>
      <c r="AA106" s="80"/>
      <c r="AB106" s="81">
        <f>+'MWh by mo-WgtbyActulCDH&amp;Days'!AB106</f>
        <v>4613739</v>
      </c>
      <c r="AC106" s="308">
        <f t="shared" si="44"/>
        <v>181.21999475147766</v>
      </c>
      <c r="AD106" s="309">
        <f t="shared" si="37"/>
        <v>99.948984380459606</v>
      </c>
      <c r="AE106" s="107">
        <f t="shared" si="38"/>
        <v>9.7989200372999626E-3</v>
      </c>
      <c r="AF106" s="309">
        <f t="shared" si="45"/>
        <v>81.271010371018079</v>
      </c>
      <c r="AG106" s="107">
        <f t="shared" si="39"/>
        <v>7.967746114805694E-3</v>
      </c>
      <c r="AH106" s="119">
        <f t="shared" si="46"/>
        <v>1.7766666152105655E-2</v>
      </c>
      <c r="AI106" s="122">
        <f t="shared" si="40"/>
        <v>1.7766666152105655E-2</v>
      </c>
      <c r="AJ106" s="87" t="b">
        <f t="shared" si="47"/>
        <v>1</v>
      </c>
      <c r="AK106" s="88">
        <f t="shared" si="52"/>
        <v>2.1273014670823084E-3</v>
      </c>
      <c r="AL106" s="312">
        <f>+AC106/'MWh by month-WgtbyCDH&amp;DayLtHrs'!AC106-1</f>
        <v>0.16033513146910994</v>
      </c>
      <c r="AM106" s="89">
        <f t="shared" si="41"/>
        <v>268465.79589624074</v>
      </c>
      <c r="AN106" s="93"/>
      <c r="AO106" s="96">
        <f t="shared" si="28"/>
        <v>58.188336162110765</v>
      </c>
      <c r="AP106" s="92">
        <f t="shared" si="60"/>
        <v>5.7047388394226243E-3</v>
      </c>
      <c r="AR106" s="94">
        <f t="shared" si="42"/>
        <v>1.7766666152105655E-2</v>
      </c>
      <c r="AS106" s="95">
        <v>788672.26998075715</v>
      </c>
      <c r="AU106" s="141">
        <v>181.21999475147766</v>
      </c>
    </row>
    <row r="107" spans="1:47">
      <c r="A107" s="78">
        <f t="shared" si="57"/>
        <v>2013</v>
      </c>
      <c r="B107" s="78">
        <f t="shared" si="55"/>
        <v>7</v>
      </c>
      <c r="C107" s="317">
        <v>293.70814398852195</v>
      </c>
      <c r="D107" s="318">
        <f t="shared" si="56"/>
        <v>0.16344574622912469</v>
      </c>
      <c r="E107" s="321">
        <f>$D107*'MWh Impact Summary'!B$19</f>
        <v>220830.22153924473</v>
      </c>
      <c r="F107" s="319">
        <f>$D107*'MWh Impact Summary'!N$19</f>
        <v>11867.916201067072</v>
      </c>
      <c r="G107" s="319">
        <f>$D107*'MWh Impact Summary'!C$19</f>
        <v>186594.7970503422</v>
      </c>
      <c r="H107" s="319">
        <f>$D107*'MWh Impact Summary'!D$19</f>
        <v>495.93275362706851</v>
      </c>
      <c r="I107" s="319">
        <f>$D107*'MWh Impact Summary'!E$19</f>
        <v>76553.764649450473</v>
      </c>
      <c r="J107" s="104">
        <f t="shared" si="43"/>
        <v>496342.63219373155</v>
      </c>
      <c r="K107" s="298">
        <f t="shared" si="51"/>
        <v>10.366666666666667</v>
      </c>
      <c r="L107" s="299">
        <f t="shared" si="58"/>
        <v>7.2978998005397158E-2</v>
      </c>
      <c r="M107" s="297">
        <f t="shared" si="59"/>
        <v>8.4931506849315067E-2</v>
      </c>
      <c r="N107" s="304">
        <f>$M107*'MWh Impact Summary'!F$19</f>
        <v>58877.863886569408</v>
      </c>
      <c r="O107" s="304">
        <f>$M107*'MWh Impact Summary'!G$19</f>
        <v>77.595559913139994</v>
      </c>
      <c r="P107" s="304">
        <f>$M107*'MWh Impact Summary'!H$19</f>
        <v>2683.0390856905556</v>
      </c>
      <c r="Q107" s="320">
        <f>$D107*'MWh Impact Summary'!I$19</f>
        <v>1652.4204768066234</v>
      </c>
      <c r="R107" s="304">
        <f>$M107*'MWh Impact Summary'!J$19</f>
        <v>15522.636385467882</v>
      </c>
      <c r="S107" s="304">
        <f>$M107*'MWh Impact Summary'!K$19</f>
        <v>0</v>
      </c>
      <c r="T107" s="304">
        <f>$M107*'MWh Impact Summary'!L$19</f>
        <v>0</v>
      </c>
      <c r="U107" s="304">
        <f>$M107*'MWh Impact Summary'!M$19</f>
        <v>0</v>
      </c>
      <c r="V107" s="304">
        <f>$M107*'LED Impact Forecast'!$H$20+$D107*'LED Impact Forecast'!$J$20</f>
        <v>761.36673069227481</v>
      </c>
      <c r="W107" s="304">
        <f>$M107*'CFL Impact Forecast'!$H$20+$D107*'CFL Impact Forecast'!$J$20</f>
        <v>280159.61538757262</v>
      </c>
      <c r="X107" s="304">
        <f>$M107*'EISA Incand Impact Forecast'!$G$20+$D107*'EISA Incand Impact Forecast'!$I$20</f>
        <v>30858.368119411989</v>
      </c>
      <c r="Y107" s="85">
        <f t="shared" si="35"/>
        <v>390592.90563212452</v>
      </c>
      <c r="Z107" s="81">
        <f t="shared" si="36"/>
        <v>886935.53782585612</v>
      </c>
      <c r="AA107" s="81"/>
      <c r="AB107" s="81">
        <f>+'MWh by mo-WgtbyActulCDH&amp;Days'!AB107</f>
        <v>4620943</v>
      </c>
      <c r="AC107" s="308">
        <f t="shared" si="44"/>
        <v>191.93821214108377</v>
      </c>
      <c r="AD107" s="309">
        <f t="shared" si="37"/>
        <v>107.41154612678226</v>
      </c>
      <c r="AE107" s="107">
        <f t="shared" si="38"/>
        <v>1.0361242391651022E-2</v>
      </c>
      <c r="AF107" s="309">
        <f t="shared" si="45"/>
        <v>84.526666014301526</v>
      </c>
      <c r="AG107" s="107">
        <f t="shared" si="39"/>
        <v>8.153697686267029E-3</v>
      </c>
      <c r="AH107" s="119">
        <f t="shared" si="46"/>
        <v>1.8514940077918051E-2</v>
      </c>
      <c r="AI107" s="122">
        <f t="shared" si="40"/>
        <v>1.8514940077918048E-2</v>
      </c>
      <c r="AJ107" s="87" t="b">
        <f t="shared" si="47"/>
        <v>0</v>
      </c>
      <c r="AK107" s="88">
        <f t="shared" si="52"/>
        <v>1.29987220661789E-3</v>
      </c>
      <c r="AL107" s="312">
        <f>+AC107/'MWh by month-WgtbyCDH&amp;DayLtHrs'!AC107-1</f>
        <v>0.10395245341549386</v>
      </c>
      <c r="AM107" s="89">
        <f t="shared" si="41"/>
        <v>280159.61538757262</v>
      </c>
      <c r="AN107" s="93"/>
      <c r="AO107" s="96">
        <f t="shared" ref="AO107:AO170" si="61">+AM107*1000/AB107</f>
        <v>60.628234407473236</v>
      </c>
      <c r="AP107" s="92">
        <f t="shared" si="60"/>
        <v>5.8483827402707302E-3</v>
      </c>
      <c r="AR107" s="94">
        <f t="shared" si="42"/>
        <v>1.8514940077918048E-2</v>
      </c>
      <c r="AS107" s="95">
        <v>831339.10804242548</v>
      </c>
      <c r="AU107" s="141">
        <v>191.93821214108377</v>
      </c>
    </row>
    <row r="108" spans="1:47">
      <c r="A108" s="78">
        <f t="shared" si="57"/>
        <v>2013</v>
      </c>
      <c r="B108" s="78">
        <f t="shared" si="55"/>
        <v>8</v>
      </c>
      <c r="C108" s="317">
        <v>337.54482289408111</v>
      </c>
      <c r="D108" s="318">
        <f t="shared" si="56"/>
        <v>0.18784043477479079</v>
      </c>
      <c r="E108" s="321">
        <f>$D108*'MWh Impact Summary'!B$19</f>
        <v>253789.68729596434</v>
      </c>
      <c r="F108" s="319">
        <f>$D108*'MWh Impact Summary'!N$19</f>
        <v>13639.232531351028</v>
      </c>
      <c r="G108" s="319">
        <f>$D108*'MWh Impact Summary'!C$19</f>
        <v>214444.5396303896</v>
      </c>
      <c r="H108" s="319">
        <f>$D108*'MWh Impact Summary'!D$19</f>
        <v>569.95196393656943</v>
      </c>
      <c r="I108" s="319">
        <f>$D108*'MWh Impact Summary'!E$19</f>
        <v>87979.606488146135</v>
      </c>
      <c r="J108" s="104">
        <f t="shared" si="43"/>
        <v>570423.01790978771</v>
      </c>
      <c r="K108" s="298">
        <f t="shared" si="51"/>
        <v>10.933333333333334</v>
      </c>
      <c r="L108" s="299">
        <f t="shared" si="58"/>
        <v>7.6968203684148764E-2</v>
      </c>
      <c r="M108" s="297">
        <f t="shared" si="59"/>
        <v>8.4931506849315067E-2</v>
      </c>
      <c r="N108" s="304">
        <f>$M108*'MWh Impact Summary'!F$19</f>
        <v>58877.863886569408</v>
      </c>
      <c r="O108" s="304">
        <f>$M108*'MWh Impact Summary'!G$19</f>
        <v>77.595559913139994</v>
      </c>
      <c r="P108" s="304">
        <f>$M108*'MWh Impact Summary'!H$19</f>
        <v>2683.0390856905556</v>
      </c>
      <c r="Q108" s="320">
        <f>$D108*'MWh Impact Summary'!I$19</f>
        <v>1899.0483873407406</v>
      </c>
      <c r="R108" s="304">
        <f>$M108*'MWh Impact Summary'!J$19</f>
        <v>15522.636385467882</v>
      </c>
      <c r="S108" s="304">
        <f>$M108*'MWh Impact Summary'!K$19</f>
        <v>0</v>
      </c>
      <c r="T108" s="304">
        <f>$M108*'MWh Impact Summary'!L$19</f>
        <v>0</v>
      </c>
      <c r="U108" s="304">
        <f>$M108*'MWh Impact Summary'!M$19</f>
        <v>0</v>
      </c>
      <c r="V108" s="304">
        <f>$M108*'LED Impact Forecast'!$H$20+$D108*'LED Impact Forecast'!$J$20</f>
        <v>767.30891415721044</v>
      </c>
      <c r="W108" s="304">
        <f>$M108*'CFL Impact Forecast'!$H$20+$D108*'CFL Impact Forecast'!$J$20</f>
        <v>290412.70399479964</v>
      </c>
      <c r="X108" s="304">
        <f>$M108*'EISA Incand Impact Forecast'!$G$20+$D108*'EISA Incand Impact Forecast'!$I$20</f>
        <v>32047.383123433996</v>
      </c>
      <c r="Y108" s="85">
        <f t="shared" si="35"/>
        <v>402287.57933737256</v>
      </c>
      <c r="Z108" s="81">
        <f t="shared" si="36"/>
        <v>972710.59724716027</v>
      </c>
      <c r="AA108" s="81"/>
      <c r="AB108" s="81">
        <f>+'MWh by mo-WgtbyActulCDH&amp;Days'!AB108</f>
        <v>4630751</v>
      </c>
      <c r="AC108" s="308">
        <f t="shared" si="44"/>
        <v>210.05461041786964</v>
      </c>
      <c r="AD108" s="309">
        <f t="shared" si="37"/>
        <v>123.18153532975271</v>
      </c>
      <c r="AE108" s="107">
        <f t="shared" si="38"/>
        <v>1.1266603841135918E-2</v>
      </c>
      <c r="AF108" s="309">
        <f t="shared" si="45"/>
        <v>86.87307508811692</v>
      </c>
      <c r="AG108" s="107">
        <f t="shared" si="39"/>
        <v>7.9457080873277675E-3</v>
      </c>
      <c r="AH108" s="119">
        <f t="shared" si="46"/>
        <v>1.9212311928463684E-2</v>
      </c>
      <c r="AI108" s="122">
        <f t="shared" si="40"/>
        <v>1.9212311928463687E-2</v>
      </c>
      <c r="AJ108" s="87" t="b">
        <f t="shared" si="47"/>
        <v>1</v>
      </c>
      <c r="AK108" s="88">
        <f t="shared" si="52"/>
        <v>2.8739863787689904E-3</v>
      </c>
      <c r="AL108" s="312">
        <f>+AC108/'MWh by month-WgtbyCDH&amp;DayLtHrs'!AC108-1</f>
        <v>0.17834667688222194</v>
      </c>
      <c r="AM108" s="89">
        <f t="shared" si="41"/>
        <v>290412.70399479964</v>
      </c>
      <c r="AN108" s="93"/>
      <c r="AO108" s="96">
        <f t="shared" si="61"/>
        <v>62.713953739857665</v>
      </c>
      <c r="AP108" s="92">
        <f t="shared" si="60"/>
        <v>5.7360323542552738E-3</v>
      </c>
      <c r="AR108" s="94">
        <f t="shared" si="42"/>
        <v>1.9212311928463687E-2</v>
      </c>
      <c r="AS108" s="95">
        <v>864429.00803286582</v>
      </c>
      <c r="AU108" s="141">
        <v>210.05461041786964</v>
      </c>
    </row>
    <row r="109" spans="1:47">
      <c r="A109" s="78">
        <f t="shared" si="57"/>
        <v>2013</v>
      </c>
      <c r="B109" s="78">
        <f t="shared" si="55"/>
        <v>9</v>
      </c>
      <c r="C109" s="317">
        <v>270.04400483226198</v>
      </c>
      <c r="D109" s="318">
        <f t="shared" si="56"/>
        <v>0.15027688127788277</v>
      </c>
      <c r="E109" s="321">
        <f>$D109*'MWh Impact Summary'!B$19</f>
        <v>203037.87495515877</v>
      </c>
      <c r="F109" s="319">
        <f>$D109*'MWh Impact Summary'!N$19</f>
        <v>10911.715202813994</v>
      </c>
      <c r="G109" s="319">
        <f>$D109*'MWh Impact Summary'!C$19</f>
        <v>171560.80724239888</v>
      </c>
      <c r="H109" s="319">
        <f>$D109*'MWh Impact Summary'!D$19</f>
        <v>455.97532672495043</v>
      </c>
      <c r="I109" s="319">
        <f>$D109*'MWh Impact Summary'!E$19</f>
        <v>70385.808545138396</v>
      </c>
      <c r="J109" s="104">
        <f t="shared" si="43"/>
        <v>456352.18127223494</v>
      </c>
      <c r="K109" s="298">
        <f t="shared" si="51"/>
        <v>11.683333333333334</v>
      </c>
      <c r="L109" s="299">
        <f t="shared" si="58"/>
        <v>8.2248034729555317E-2</v>
      </c>
      <c r="M109" s="297">
        <f>(30/365)</f>
        <v>8.2191780821917804E-2</v>
      </c>
      <c r="N109" s="304">
        <f>$M109*'MWh Impact Summary'!F$19</f>
        <v>56978.577954744585</v>
      </c>
      <c r="O109" s="304">
        <f>$M109*'MWh Impact Summary'!G$19</f>
        <v>75.092477335296763</v>
      </c>
      <c r="P109" s="304">
        <f>$M109*'MWh Impact Summary'!H$19</f>
        <v>2596.4894377650535</v>
      </c>
      <c r="Q109" s="320">
        <f>$D109*'MWh Impact Summary'!I$19</f>
        <v>1519.2845426892038</v>
      </c>
      <c r="R109" s="304">
        <f>$M109*'MWh Impact Summary'!J$19</f>
        <v>15021.906179485048</v>
      </c>
      <c r="S109" s="304">
        <f>$M109*'MWh Impact Summary'!K$19</f>
        <v>0</v>
      </c>
      <c r="T109" s="304">
        <f>$M109*'MWh Impact Summary'!L$19</f>
        <v>0</v>
      </c>
      <c r="U109" s="304">
        <f>$M109*'MWh Impact Summary'!M$19</f>
        <v>0</v>
      </c>
      <c r="V109" s="304">
        <f>$M109*'LED Impact Forecast'!$H$20+$D109*'LED Impact Forecast'!$J$20</f>
        <v>734.88306268232532</v>
      </c>
      <c r="W109" s="304">
        <f>$M109*'CFL Impact Forecast'!$H$20+$D109*'CFL Impact Forecast'!$J$20</f>
        <v>267803.34214542928</v>
      </c>
      <c r="X109" s="304">
        <f>$M109*'EISA Incand Impact Forecast'!$G$20+$D109*'EISA Incand Impact Forecast'!$I$20</f>
        <v>29478.05951560169</v>
      </c>
      <c r="Y109" s="85">
        <f t="shared" si="35"/>
        <v>374207.63531573245</v>
      </c>
      <c r="Z109" s="81">
        <f t="shared" si="36"/>
        <v>830559.81658796733</v>
      </c>
      <c r="AA109" s="81"/>
      <c r="AB109" s="81">
        <f>+'MWh by mo-WgtbyActulCDH&amp;Days'!AB109</f>
        <v>4644296</v>
      </c>
      <c r="AC109" s="308">
        <f t="shared" si="44"/>
        <v>178.8343844983109</v>
      </c>
      <c r="AD109" s="309">
        <f t="shared" si="37"/>
        <v>98.260787269423588</v>
      </c>
      <c r="AE109" s="107">
        <f t="shared" si="38"/>
        <v>8.4103384253429603E-3</v>
      </c>
      <c r="AF109" s="309">
        <f t="shared" si="45"/>
        <v>80.573597228887309</v>
      </c>
      <c r="AG109" s="107">
        <f t="shared" si="39"/>
        <v>6.8964562535424236E-3</v>
      </c>
      <c r="AH109" s="119">
        <f t="shared" si="46"/>
        <v>1.5306794678885384E-2</v>
      </c>
      <c r="AI109" s="122">
        <f t="shared" si="40"/>
        <v>1.5306794678885384E-2</v>
      </c>
      <c r="AJ109" s="87" t="b">
        <f t="shared" si="47"/>
        <v>1</v>
      </c>
      <c r="AK109" s="88">
        <f t="shared" si="52"/>
        <v>1.7271820755382378E-3</v>
      </c>
      <c r="AL109" s="312">
        <f>+AC109/'MWh by month-WgtbyCDH&amp;DayLtHrs'!AC109-1</f>
        <v>7.6946804471458075E-2</v>
      </c>
      <c r="AM109" s="89">
        <f t="shared" si="41"/>
        <v>267803.34214542928</v>
      </c>
      <c r="AN109" s="93"/>
      <c r="AO109" s="96">
        <f t="shared" si="61"/>
        <v>57.662849686029766</v>
      </c>
      <c r="AP109" s="92">
        <f t="shared" si="60"/>
        <v>4.9354792883905645E-3</v>
      </c>
      <c r="AR109" s="94">
        <f t="shared" si="42"/>
        <v>1.5306794678885384E-2</v>
      </c>
      <c r="AS109" s="95">
        <v>815342.50819848932</v>
      </c>
      <c r="AU109" s="141">
        <v>178.8343844983109</v>
      </c>
    </row>
    <row r="110" spans="1:47">
      <c r="A110" s="78">
        <f t="shared" si="57"/>
        <v>2013</v>
      </c>
      <c r="B110" s="78">
        <f t="shared" si="55"/>
        <v>10</v>
      </c>
      <c r="C110" s="317">
        <v>213.28592721551468</v>
      </c>
      <c r="D110" s="318">
        <f t="shared" si="56"/>
        <v>0.11869155911207187</v>
      </c>
      <c r="E110" s="321">
        <f>$D110*'MWh Impact Summary'!B$19</f>
        <v>160363.20245871693</v>
      </c>
      <c r="F110" s="319">
        <f>$D110*'MWh Impact Summary'!N$19</f>
        <v>8618.2816611293547</v>
      </c>
      <c r="G110" s="319">
        <f>$D110*'MWh Impact Summary'!C$19</f>
        <v>135502.01149351962</v>
      </c>
      <c r="H110" s="319">
        <f>$D110*'MWh Impact Summary'!D$19</f>
        <v>360.13804642075701</v>
      </c>
      <c r="I110" s="319">
        <f>$D110*'MWh Impact Summary'!E$19</f>
        <v>55592.059700375277</v>
      </c>
      <c r="J110" s="104">
        <f t="shared" si="43"/>
        <v>360435.69336016197</v>
      </c>
      <c r="K110" s="298">
        <f t="shared" si="51"/>
        <v>12.466666666666667</v>
      </c>
      <c r="L110" s="299">
        <f t="shared" si="58"/>
        <v>8.7762524932535488E-2</v>
      </c>
      <c r="M110" s="297">
        <f t="shared" si="59"/>
        <v>8.4931506849315067E-2</v>
      </c>
      <c r="N110" s="304">
        <f>$M110*'MWh Impact Summary'!F$19</f>
        <v>58877.863886569408</v>
      </c>
      <c r="O110" s="304">
        <f>$M110*'MWh Impact Summary'!G$19</f>
        <v>77.595559913139994</v>
      </c>
      <c r="P110" s="304">
        <f>$M110*'MWh Impact Summary'!H$19</f>
        <v>2683.0390856905556</v>
      </c>
      <c r="Q110" s="320">
        <f>$D110*'MWh Impact Summary'!I$19</f>
        <v>1199.9600309325324</v>
      </c>
      <c r="R110" s="304">
        <f>$M110*'MWh Impact Summary'!J$19</f>
        <v>15522.636385467882</v>
      </c>
      <c r="S110" s="304">
        <f>$M110*'MWh Impact Summary'!K$19</f>
        <v>0</v>
      </c>
      <c r="T110" s="304">
        <f>$M110*'MWh Impact Summary'!L$19</f>
        <v>0</v>
      </c>
      <c r="U110" s="304">
        <f>$M110*'MWh Impact Summary'!M$19</f>
        <v>0</v>
      </c>
      <c r="V110" s="304">
        <f>$M110*'LED Impact Forecast'!$H$20+$D110*'LED Impact Forecast'!$J$20</f>
        <v>750.46527605079586</v>
      </c>
      <c r="W110" s="304">
        <f>$M110*'CFL Impact Forecast'!$H$20+$D110*'CFL Impact Forecast'!$J$20</f>
        <v>261349.42868662041</v>
      </c>
      <c r="X110" s="304">
        <f>$M110*'EISA Incand Impact Forecast'!$G$20+$D110*'EISA Incand Impact Forecast'!$I$20</f>
        <v>28677.016229004759</v>
      </c>
      <c r="Y110" s="85">
        <f t="shared" si="35"/>
        <v>369138.0051402495</v>
      </c>
      <c r="Z110" s="81">
        <f t="shared" si="36"/>
        <v>729573.69850041147</v>
      </c>
      <c r="AA110" s="81"/>
      <c r="AB110" s="81">
        <f>+'MWh by mo-WgtbyActulCDH&amp;Days'!AB110</f>
        <v>4655414</v>
      </c>
      <c r="AC110" s="308">
        <f t="shared" si="44"/>
        <v>156.71510600355018</v>
      </c>
      <c r="AD110" s="309">
        <f t="shared" si="37"/>
        <v>77.422908759599466</v>
      </c>
      <c r="AE110" s="107">
        <f t="shared" si="38"/>
        <v>6.2103937507700102E-3</v>
      </c>
      <c r="AF110" s="309">
        <f t="shared" si="45"/>
        <v>79.292197243950696</v>
      </c>
      <c r="AG110" s="107">
        <f t="shared" si="39"/>
        <v>6.3603366773222481E-3</v>
      </c>
      <c r="AH110" s="119">
        <f t="shared" si="46"/>
        <v>1.2570730428092258E-2</v>
      </c>
      <c r="AI110" s="122">
        <f t="shared" si="40"/>
        <v>1.257073042809226E-2</v>
      </c>
      <c r="AJ110" s="87" t="b">
        <f t="shared" si="47"/>
        <v>1</v>
      </c>
      <c r="AK110" s="88">
        <f t="shared" si="52"/>
        <v>2.0110936739254608E-3</v>
      </c>
      <c r="AL110" s="312">
        <f>+AC110/'MWh by month-WgtbyCDH&amp;DayLtHrs'!AC110-1</f>
        <v>8.7447962461991491E-2</v>
      </c>
      <c r="AM110" s="89">
        <f t="shared" si="41"/>
        <v>261349.42868662041</v>
      </c>
      <c r="AN110" s="93"/>
      <c r="AO110" s="96">
        <f t="shared" si="61"/>
        <v>56.138815728659239</v>
      </c>
      <c r="AP110" s="92">
        <f t="shared" si="60"/>
        <v>4.503113561122399E-3</v>
      </c>
      <c r="AR110" s="94">
        <f t="shared" si="42"/>
        <v>1.257073042809226E-2</v>
      </c>
      <c r="AS110" s="95">
        <v>653211.96732746228</v>
      </c>
      <c r="AU110" s="141">
        <v>156.71510600355018</v>
      </c>
    </row>
    <row r="111" spans="1:47">
      <c r="A111" s="78">
        <f t="shared" si="57"/>
        <v>2013</v>
      </c>
      <c r="B111" s="78">
        <f t="shared" si="55"/>
        <v>11</v>
      </c>
      <c r="C111" s="317">
        <v>110.23315885291359</v>
      </c>
      <c r="D111" s="318">
        <f t="shared" si="56"/>
        <v>6.1343688544816824E-2</v>
      </c>
      <c r="E111" s="321">
        <f>$D111*'MWh Impact Summary'!B$19</f>
        <v>82880.959853162858</v>
      </c>
      <c r="F111" s="319">
        <f>$D111*'MWh Impact Summary'!N$19</f>
        <v>4454.2104760173725</v>
      </c>
      <c r="G111" s="319">
        <f>$D111*'MWh Impact Summary'!C$19</f>
        <v>70031.881394413678</v>
      </c>
      <c r="H111" s="319">
        <f>$D111*'MWh Impact Summary'!D$19</f>
        <v>186.13114797753761</v>
      </c>
      <c r="I111" s="319">
        <f>$D111*'MWh Impact Summary'!E$19</f>
        <v>28731.798801333949</v>
      </c>
      <c r="J111" s="104">
        <f t="shared" si="43"/>
        <v>186284.98167290539</v>
      </c>
      <c r="K111" s="298">
        <f t="shared" si="51"/>
        <v>13.15</v>
      </c>
      <c r="L111" s="299">
        <f t="shared" si="58"/>
        <v>9.2573037662794788E-2</v>
      </c>
      <c r="M111" s="297">
        <f>(30/365)</f>
        <v>8.2191780821917804E-2</v>
      </c>
      <c r="N111" s="304">
        <f>$M111*'MWh Impact Summary'!F$19</f>
        <v>56978.577954744585</v>
      </c>
      <c r="O111" s="304">
        <f>$M111*'MWh Impact Summary'!G$19</f>
        <v>75.092477335296763</v>
      </c>
      <c r="P111" s="304">
        <f>$M111*'MWh Impact Summary'!H$19</f>
        <v>2596.4894377650535</v>
      </c>
      <c r="Q111" s="320">
        <f>$D111*'MWh Impact Summary'!I$19</f>
        <v>620.17867954914504</v>
      </c>
      <c r="R111" s="304">
        <f>$M111*'MWh Impact Summary'!J$19</f>
        <v>15021.906179485048</v>
      </c>
      <c r="S111" s="304">
        <f>$M111*'MWh Impact Summary'!K$19</f>
        <v>0</v>
      </c>
      <c r="T111" s="304">
        <f>$M111*'MWh Impact Summary'!L$19</f>
        <v>0</v>
      </c>
      <c r="U111" s="304">
        <f>$M111*'MWh Impact Summary'!M$19</f>
        <v>0</v>
      </c>
      <c r="V111" s="304">
        <f>$M111*'LED Impact Forecast'!$H$20+$D111*'LED Impact Forecast'!$J$20</f>
        <v>713.22025906205772</v>
      </c>
      <c r="W111" s="304">
        <f>$M111*'CFL Impact Forecast'!$H$20+$D111*'CFL Impact Forecast'!$J$20</f>
        <v>230424.71755226076</v>
      </c>
      <c r="X111" s="304">
        <f>$M111*'EISA Incand Impact Forecast'!$G$20+$D111*'EISA Incand Impact Forecast'!$I$20</f>
        <v>25143.390502826667</v>
      </c>
      <c r="Y111" s="85">
        <f t="shared" si="35"/>
        <v>331573.57304302859</v>
      </c>
      <c r="Z111" s="81">
        <f t="shared" si="36"/>
        <v>517858.55471593398</v>
      </c>
      <c r="AA111" s="81"/>
      <c r="AB111" s="81">
        <f>+'MWh by mo-WgtbyActulCDH&amp;Days'!AB111</f>
        <v>4665143</v>
      </c>
      <c r="AC111" s="308">
        <f t="shared" si="44"/>
        <v>111.0059337336356</v>
      </c>
      <c r="AD111" s="309">
        <f t="shared" si="37"/>
        <v>39.931247910922643</v>
      </c>
      <c r="AE111" s="107">
        <f t="shared" si="38"/>
        <v>3.0365967993097069E-3</v>
      </c>
      <c r="AF111" s="309">
        <f t="shared" si="45"/>
        <v>71.074685822712951</v>
      </c>
      <c r="AG111" s="107">
        <f t="shared" si="39"/>
        <v>5.404919073970566E-3</v>
      </c>
      <c r="AH111" s="119">
        <f t="shared" si="46"/>
        <v>8.4415158732802729E-3</v>
      </c>
      <c r="AI111" s="122">
        <f t="shared" si="40"/>
        <v>8.4415158732802746E-3</v>
      </c>
      <c r="AJ111" s="87" t="b">
        <f t="shared" si="47"/>
        <v>1</v>
      </c>
      <c r="AK111" s="88">
        <f t="shared" si="52"/>
        <v>3.1805086401952998E-3</v>
      </c>
      <c r="AL111" s="312">
        <f>+AC111/'MWh by month-WgtbyCDH&amp;DayLtHrs'!AC111-1</f>
        <v>2.8955659288007141E-2</v>
      </c>
      <c r="AM111" s="89">
        <f t="shared" si="41"/>
        <v>230424.71755226076</v>
      </c>
      <c r="AN111" s="93"/>
      <c r="AO111" s="96">
        <f t="shared" si="61"/>
        <v>49.392851955933772</v>
      </c>
      <c r="AP111" s="92">
        <f t="shared" si="60"/>
        <v>3.7561104148999065E-3</v>
      </c>
      <c r="AR111" s="94">
        <f t="shared" si="42"/>
        <v>8.4415158732802746E-3</v>
      </c>
      <c r="AS111" s="95">
        <v>498384.25806814851</v>
      </c>
      <c r="AU111" s="141">
        <v>111.0059337336356</v>
      </c>
    </row>
    <row r="112" spans="1:47">
      <c r="A112" s="78">
        <f t="shared" si="57"/>
        <v>2013</v>
      </c>
      <c r="B112" s="78">
        <f t="shared" si="55"/>
        <v>12</v>
      </c>
      <c r="C112" s="317">
        <v>0</v>
      </c>
      <c r="D112" s="318">
        <f t="shared" si="56"/>
        <v>0</v>
      </c>
      <c r="E112" s="321">
        <f>$D112*'MWh Impact Summary'!B$19</f>
        <v>0</v>
      </c>
      <c r="F112" s="319">
        <f>$D112*'MWh Impact Summary'!N$19</f>
        <v>0</v>
      </c>
      <c r="G112" s="319">
        <f>$D112*'MWh Impact Summary'!C$19</f>
        <v>0</v>
      </c>
      <c r="H112" s="319">
        <f>$D112*'MWh Impact Summary'!D$19</f>
        <v>0</v>
      </c>
      <c r="I112" s="319">
        <f>$D112*'MWh Impact Summary'!E$19</f>
        <v>0</v>
      </c>
      <c r="J112" s="104">
        <f t="shared" si="43"/>
        <v>0</v>
      </c>
      <c r="K112" s="298">
        <f t="shared" si="51"/>
        <v>13.483333333333333</v>
      </c>
      <c r="L112" s="299">
        <f>K112/(SUM(K$101:K$112))</f>
        <v>9.491962923853102E-2</v>
      </c>
      <c r="M112" s="297">
        <f t="shared" si="59"/>
        <v>8.4931506849315067E-2</v>
      </c>
      <c r="N112" s="304">
        <f>$M112*'MWh Impact Summary'!F$19</f>
        <v>58877.863886569408</v>
      </c>
      <c r="O112" s="304">
        <f>$M112*'MWh Impact Summary'!G$19</f>
        <v>77.595559913139994</v>
      </c>
      <c r="P112" s="304">
        <f>$M112*'MWh Impact Summary'!H$19</f>
        <v>2683.0390856905556</v>
      </c>
      <c r="Q112" s="320">
        <f>$D112*'MWh Impact Summary'!I$19</f>
        <v>0</v>
      </c>
      <c r="R112" s="304">
        <f>$M112*'MWh Impact Summary'!J$19</f>
        <v>15522.636385467882</v>
      </c>
      <c r="S112" s="304">
        <f>$M112*'MWh Impact Summary'!K$19</f>
        <v>0</v>
      </c>
      <c r="T112" s="304">
        <f>$M112*'MWh Impact Summary'!L$19</f>
        <v>0</v>
      </c>
      <c r="U112" s="304">
        <f>$M112*'MWh Impact Summary'!M$19</f>
        <v>0</v>
      </c>
      <c r="V112" s="304">
        <f>$M112*'LED Impact Forecast'!$H$20+$D112*'LED Impact Forecast'!$J$20</f>
        <v>721.55377678476077</v>
      </c>
      <c r="W112" s="304">
        <f>$M112*'CFL Impact Forecast'!$H$20+$D112*'CFL Impact Forecast'!$J$20</f>
        <v>211463.36147047652</v>
      </c>
      <c r="X112" s="304">
        <f>$M112*'EISA Incand Impact Forecast'!$G$20+$D112*'EISA Incand Impact Forecast'!$I$20</f>
        <v>22891.902622375379</v>
      </c>
      <c r="Y112" s="85">
        <f t="shared" si="35"/>
        <v>312237.95278727764</v>
      </c>
      <c r="Z112" s="81">
        <f t="shared" si="36"/>
        <v>312237.95278727764</v>
      </c>
      <c r="AA112" s="81">
        <f>SUM(Z101:Z112)</f>
        <v>7192486.778645033</v>
      </c>
      <c r="AB112" s="81">
        <f>+'MWh by mo-WgtbyActulCDH&amp;Days'!AB112</f>
        <v>4671859</v>
      </c>
      <c r="AC112" s="308">
        <f t="shared" si="44"/>
        <v>66.833770622631732</v>
      </c>
      <c r="AD112" s="309">
        <f t="shared" si="37"/>
        <v>0</v>
      </c>
      <c r="AE112" s="107">
        <f t="shared" si="38"/>
        <v>0</v>
      </c>
      <c r="AF112" s="309">
        <f t="shared" si="45"/>
        <v>66.833770622631732</v>
      </c>
      <c r="AG112" s="107">
        <f t="shared" si="39"/>
        <v>4.9567691438293007E-3</v>
      </c>
      <c r="AH112" s="119">
        <f t="shared" si="46"/>
        <v>4.9567691438293007E-3</v>
      </c>
      <c r="AI112" s="122">
        <f t="shared" si="40"/>
        <v>4.9567691438293007E-3</v>
      </c>
      <c r="AJ112" s="87" t="b">
        <f t="shared" si="47"/>
        <v>1</v>
      </c>
      <c r="AK112" s="88">
        <f t="shared" si="52"/>
        <v>7.9354886301033056E-4</v>
      </c>
      <c r="AL112" s="312">
        <f>+AC112/'MWh by month-WgtbyCDH&amp;DayLtHrs'!AC112-1</f>
        <v>-0.31782217186582573</v>
      </c>
      <c r="AM112" s="89">
        <f t="shared" si="41"/>
        <v>211463.36147047652</v>
      </c>
      <c r="AN112" s="90">
        <f>SUM(AM101:AM112)</f>
        <v>2910110.5878092027</v>
      </c>
      <c r="AO112" s="96">
        <f t="shared" si="61"/>
        <v>45.263215664358988</v>
      </c>
      <c r="AP112" s="92">
        <f t="shared" si="60"/>
        <v>3.3569752037843504E-3</v>
      </c>
      <c r="AR112" s="94">
        <f t="shared" si="42"/>
        <v>4.9567691438293007E-3</v>
      </c>
      <c r="AS112" s="95">
        <v>407792.31518567307</v>
      </c>
      <c r="AU112" s="141">
        <v>66.833770622631732</v>
      </c>
    </row>
    <row r="113" spans="1:47">
      <c r="A113" s="78">
        <v>2014</v>
      </c>
      <c r="B113" s="78">
        <v>1</v>
      </c>
      <c r="C113" s="317">
        <v>0</v>
      </c>
      <c r="D113" s="318">
        <f t="shared" ref="D113:D124" si="62">C113/(SUM(C$113:C$124))</f>
        <v>0</v>
      </c>
      <c r="E113" s="321">
        <f>$D113*'MWh Impact Summary'!B$20</f>
        <v>0</v>
      </c>
      <c r="F113" s="319">
        <f>$D113*'MWh Impact Summary'!N$20</f>
        <v>0</v>
      </c>
      <c r="G113" s="319">
        <f>$D113*'MWh Impact Summary'!C$20</f>
        <v>0</v>
      </c>
      <c r="H113" s="319">
        <f>$D113*'MWh Impact Summary'!D$20</f>
        <v>0</v>
      </c>
      <c r="I113" s="319">
        <f>$D113*'MWh Impact Summary'!E$20</f>
        <v>0</v>
      </c>
      <c r="J113" s="104">
        <f t="shared" si="43"/>
        <v>0</v>
      </c>
      <c r="K113" s="298">
        <f t="shared" si="51"/>
        <v>13.3</v>
      </c>
      <c r="L113" s="300">
        <f>L101</f>
        <v>9.3629003871876101E-2</v>
      </c>
      <c r="M113" s="297">
        <f>(31/365)</f>
        <v>8.4931506849315067E-2</v>
      </c>
      <c r="N113" s="304">
        <f>$M113*'MWh Impact Summary'!F$20</f>
        <v>69436.910975051389</v>
      </c>
      <c r="O113" s="304">
        <f>$M113*'MWh Impact Summary'!G$20</f>
        <v>304.55870729542738</v>
      </c>
      <c r="P113" s="304">
        <f>$M113*'MWh Impact Summary'!H$20</f>
        <v>3430.6954612875843</v>
      </c>
      <c r="Q113" s="320">
        <f>$D113*'MWh Impact Summary'!I$20</f>
        <v>0</v>
      </c>
      <c r="R113" s="304">
        <f>$M113*'MWh Impact Summary'!J$20</f>
        <v>19082.497207732114</v>
      </c>
      <c r="S113" s="304">
        <f>$M113*'MWh Impact Summary'!K$20</f>
        <v>0</v>
      </c>
      <c r="T113" s="304">
        <f>$M113*'MWh Impact Summary'!L$20</f>
        <v>0</v>
      </c>
      <c r="U113" s="304">
        <f>$M113*'MWh Impact Summary'!M$20</f>
        <v>0</v>
      </c>
      <c r="V113" s="304">
        <f>$M113*'LED Impact Forecast'!$H$21+$D113*'LED Impact Forecast'!$J$21</f>
        <v>2228.7080770771649</v>
      </c>
      <c r="W113" s="304">
        <f>$M113*'CFL Impact Forecast'!$H$21+$D113*'CFL Impact Forecast'!$J$21</f>
        <v>228755.28969038461</v>
      </c>
      <c r="X113" s="304">
        <f>$M113*'EISA Incand Impact Forecast'!$G$21+$D113*'EISA Incand Impact Forecast'!$I$21</f>
        <v>45742.168645623125</v>
      </c>
      <c r="Y113" s="85">
        <f t="shared" si="35"/>
        <v>368980.82876445143</v>
      </c>
      <c r="Z113" s="81">
        <f t="shared" si="36"/>
        <v>368980.82876445143</v>
      </c>
      <c r="AA113" s="81"/>
      <c r="AB113" s="81">
        <f>+'MWh by mo-WgtbyActulCDH&amp;Days'!AB113</f>
        <v>4679556</v>
      </c>
      <c r="AC113" s="308">
        <f t="shared" si="44"/>
        <v>78.849538025498887</v>
      </c>
      <c r="AD113" s="309">
        <f t="shared" si="37"/>
        <v>0</v>
      </c>
      <c r="AE113" s="107">
        <f t="shared" si="38"/>
        <v>0</v>
      </c>
      <c r="AF113" s="309">
        <f t="shared" si="45"/>
        <v>78.849538025498887</v>
      </c>
      <c r="AG113" s="107">
        <f t="shared" si="39"/>
        <v>5.9285366936465324E-3</v>
      </c>
      <c r="AH113" s="119">
        <f t="shared" si="46"/>
        <v>5.9285366936465324E-3</v>
      </c>
      <c r="AI113" s="122">
        <f t="shared" si="40"/>
        <v>5.9285366936465324E-3</v>
      </c>
      <c r="AJ113" s="87" t="b">
        <f t="shared" si="47"/>
        <v>1</v>
      </c>
      <c r="AK113" s="88">
        <f t="shared" si="52"/>
        <v>8.1935362765529068E-4</v>
      </c>
      <c r="AL113" s="312">
        <f>+AC113/'MWh by month-WgtbyCDH&amp;DayLtHrs'!AC113-1</f>
        <v>-0.26657625593119294</v>
      </c>
      <c r="AM113" s="89">
        <f t="shared" si="41"/>
        <v>228755.28969038461</v>
      </c>
      <c r="AN113" s="93"/>
      <c r="AO113" s="96">
        <f t="shared" si="61"/>
        <v>48.883973114198149</v>
      </c>
      <c r="AP113" s="92">
        <f t="shared" si="60"/>
        <v>3.67548670031565E-3</v>
      </c>
      <c r="AR113" s="94">
        <f t="shared" si="42"/>
        <v>5.9285366936465324E-3</v>
      </c>
      <c r="AS113" s="95">
        <v>462445.94354477955</v>
      </c>
      <c r="AU113" s="141">
        <v>78.849538025498887</v>
      </c>
    </row>
    <row r="114" spans="1:47">
      <c r="A114" s="78">
        <v>2014</v>
      </c>
      <c r="B114" s="78">
        <v>2</v>
      </c>
      <c r="C114" s="317">
        <v>0</v>
      </c>
      <c r="D114" s="318">
        <f t="shared" si="62"/>
        <v>0</v>
      </c>
      <c r="E114" s="321">
        <f>$D114*'MWh Impact Summary'!B$20</f>
        <v>0</v>
      </c>
      <c r="F114" s="319">
        <f>$D114*'MWh Impact Summary'!N$20</f>
        <v>0</v>
      </c>
      <c r="G114" s="319">
        <f>$D114*'MWh Impact Summary'!C$20</f>
        <v>0</v>
      </c>
      <c r="H114" s="319">
        <f>$D114*'MWh Impact Summary'!D$20</f>
        <v>0</v>
      </c>
      <c r="I114" s="319">
        <f>$D114*'MWh Impact Summary'!E$20</f>
        <v>0</v>
      </c>
      <c r="J114" s="104">
        <f t="shared" si="43"/>
        <v>0</v>
      </c>
      <c r="K114" s="298">
        <f t="shared" si="51"/>
        <v>12.733333333333333</v>
      </c>
      <c r="L114" s="300">
        <f t="shared" ref="L114:L177" si="63">L102</f>
        <v>8.9639798193124468E-2</v>
      </c>
      <c r="M114" s="297">
        <f>(28/365)</f>
        <v>7.6712328767123292E-2</v>
      </c>
      <c r="N114" s="304">
        <f>$M114*'MWh Impact Summary'!F$20</f>
        <v>62717.209912949649</v>
      </c>
      <c r="O114" s="304">
        <f>$M114*'MWh Impact Summary'!G$20</f>
        <v>275.08528400877316</v>
      </c>
      <c r="P114" s="304">
        <f>$M114*'MWh Impact Summary'!H$20</f>
        <v>3098.6926747113666</v>
      </c>
      <c r="Q114" s="320">
        <f>$D114*'MWh Impact Summary'!I$20</f>
        <v>0</v>
      </c>
      <c r="R114" s="304">
        <f>$M114*'MWh Impact Summary'!J$20</f>
        <v>17235.803929564492</v>
      </c>
      <c r="S114" s="304">
        <f>$M114*'MWh Impact Summary'!K$20</f>
        <v>0</v>
      </c>
      <c r="T114" s="304">
        <f>$M114*'MWh Impact Summary'!L$20</f>
        <v>0</v>
      </c>
      <c r="U114" s="304">
        <f>$M114*'MWh Impact Summary'!M$20</f>
        <v>0</v>
      </c>
      <c r="V114" s="304">
        <f>$M114*'LED Impact Forecast'!$H$21+$D114*'LED Impact Forecast'!$J$21</f>
        <v>2013.026650263246</v>
      </c>
      <c r="W114" s="304">
        <f>$M114*'CFL Impact Forecast'!$H$21+$D114*'CFL Impact Forecast'!$J$21</f>
        <v>206617.68101067</v>
      </c>
      <c r="X114" s="304">
        <f>$M114*'EISA Incand Impact Forecast'!$G$21+$D114*'EISA Incand Impact Forecast'!$I$21</f>
        <v>41315.507163788636</v>
      </c>
      <c r="Y114" s="85">
        <f t="shared" si="35"/>
        <v>333273.00662595616</v>
      </c>
      <c r="Z114" s="81">
        <f t="shared" si="36"/>
        <v>333273.00662595616</v>
      </c>
      <c r="AA114" s="81"/>
      <c r="AB114" s="81">
        <f>+'MWh by mo-WgtbyActulCDH&amp;Days'!AB114</f>
        <v>4687089</v>
      </c>
      <c r="AC114" s="308">
        <f t="shared" si="44"/>
        <v>71.10447585398019</v>
      </c>
      <c r="AD114" s="309">
        <f t="shared" si="37"/>
        <v>0</v>
      </c>
      <c r="AE114" s="107">
        <f t="shared" si="38"/>
        <v>0</v>
      </c>
      <c r="AF114" s="309">
        <f t="shared" si="45"/>
        <v>71.10447585398019</v>
      </c>
      <c r="AG114" s="107">
        <f t="shared" si="39"/>
        <v>5.5841211403649367E-3</v>
      </c>
      <c r="AH114" s="119">
        <f t="shared" si="46"/>
        <v>5.5841211403649367E-3</v>
      </c>
      <c r="AI114" s="122">
        <f t="shared" si="40"/>
        <v>5.5841211403649367E-3</v>
      </c>
      <c r="AJ114" s="87" t="b">
        <f t="shared" si="47"/>
        <v>1</v>
      </c>
      <c r="AK114" s="88">
        <f t="shared" si="52"/>
        <v>7.6850915498488832E-4</v>
      </c>
      <c r="AL114" s="312">
        <f>+AC114/'MWh by month-WgtbyCDH&amp;DayLtHrs'!AC114-1</f>
        <v>-0.33396360954374593</v>
      </c>
      <c r="AM114" s="89">
        <f t="shared" si="41"/>
        <v>206617.68101067</v>
      </c>
      <c r="AN114" s="93"/>
      <c r="AO114" s="96">
        <f t="shared" si="61"/>
        <v>44.082303752002574</v>
      </c>
      <c r="AP114" s="92">
        <f t="shared" si="60"/>
        <v>3.4619610276441812E-3</v>
      </c>
      <c r="AR114" s="94">
        <f t="shared" si="42"/>
        <v>5.5841211403649367E-3</v>
      </c>
      <c r="AS114" s="95">
        <v>429989.36628902756</v>
      </c>
      <c r="AU114" s="141">
        <v>71.10447585398019</v>
      </c>
    </row>
    <row r="115" spans="1:47">
      <c r="A115" s="78">
        <v>2014</v>
      </c>
      <c r="B115" s="78">
        <v>3</v>
      </c>
      <c r="C115" s="317">
        <v>0</v>
      </c>
      <c r="D115" s="318">
        <f t="shared" si="62"/>
        <v>0</v>
      </c>
      <c r="E115" s="321">
        <f>$D115*'MWh Impact Summary'!B$20</f>
        <v>0</v>
      </c>
      <c r="F115" s="319">
        <f>$D115*'MWh Impact Summary'!N$20</f>
        <v>0</v>
      </c>
      <c r="G115" s="319">
        <f>$D115*'MWh Impact Summary'!C$20</f>
        <v>0</v>
      </c>
      <c r="H115" s="319">
        <f>$D115*'MWh Impact Summary'!D$20</f>
        <v>0</v>
      </c>
      <c r="I115" s="319">
        <f>$D115*'MWh Impact Summary'!E$20</f>
        <v>0</v>
      </c>
      <c r="J115" s="104">
        <f t="shared" si="43"/>
        <v>0</v>
      </c>
      <c r="K115" s="298">
        <f t="shared" si="51"/>
        <v>12</v>
      </c>
      <c r="L115" s="300">
        <f t="shared" si="63"/>
        <v>8.4477296726504739E-2</v>
      </c>
      <c r="M115" s="297">
        <f t="shared" ref="M115:M124" si="64">(31/365)</f>
        <v>8.4931506849315067E-2</v>
      </c>
      <c r="N115" s="304">
        <f>$M115*'MWh Impact Summary'!F$20</f>
        <v>69436.910975051389</v>
      </c>
      <c r="O115" s="304">
        <f>$M115*'MWh Impact Summary'!G$20</f>
        <v>304.55870729542738</v>
      </c>
      <c r="P115" s="304">
        <f>$M115*'MWh Impact Summary'!H$20</f>
        <v>3430.6954612875843</v>
      </c>
      <c r="Q115" s="320">
        <f>$D115*'MWh Impact Summary'!I$20</f>
        <v>0</v>
      </c>
      <c r="R115" s="304">
        <f>$M115*'MWh Impact Summary'!J$20</f>
        <v>19082.497207732114</v>
      </c>
      <c r="S115" s="304">
        <f>$M115*'MWh Impact Summary'!K$20</f>
        <v>0</v>
      </c>
      <c r="T115" s="304">
        <f>$M115*'MWh Impact Summary'!L$20</f>
        <v>0</v>
      </c>
      <c r="U115" s="304">
        <f>$M115*'MWh Impact Summary'!M$20</f>
        <v>0</v>
      </c>
      <c r="V115" s="304">
        <f>$M115*'LED Impact Forecast'!$H$21+$D115*'LED Impact Forecast'!$J$21</f>
        <v>2228.7080770771649</v>
      </c>
      <c r="W115" s="304">
        <f>$M115*'CFL Impact Forecast'!$H$21+$D115*'CFL Impact Forecast'!$J$21</f>
        <v>228755.28969038461</v>
      </c>
      <c r="X115" s="304">
        <f>$M115*'EISA Incand Impact Forecast'!$G$21+$D115*'EISA Incand Impact Forecast'!$I$21</f>
        <v>45742.168645623125</v>
      </c>
      <c r="Y115" s="85">
        <f t="shared" si="35"/>
        <v>368980.82876445143</v>
      </c>
      <c r="Z115" s="81">
        <f t="shared" si="36"/>
        <v>368980.82876445143</v>
      </c>
      <c r="AA115" s="85"/>
      <c r="AB115" s="81">
        <f>+'MWh by mo-WgtbyActulCDH&amp;Days'!AB115</f>
        <v>4694845</v>
      </c>
      <c r="AC115" s="308">
        <f t="shared" si="44"/>
        <v>78.592760520198524</v>
      </c>
      <c r="AD115" s="309">
        <f t="shared" si="37"/>
        <v>0</v>
      </c>
      <c r="AE115" s="107">
        <f t="shared" si="38"/>
        <v>0</v>
      </c>
      <c r="AF115" s="309">
        <f t="shared" si="45"/>
        <v>78.592760520198524</v>
      </c>
      <c r="AG115" s="107">
        <f t="shared" si="39"/>
        <v>6.5493967100165437E-3</v>
      </c>
      <c r="AH115" s="119">
        <f t="shared" si="46"/>
        <v>6.5493967100165437E-3</v>
      </c>
      <c r="AI115" s="122">
        <f t="shared" si="40"/>
        <v>6.5493967100165437E-3</v>
      </c>
      <c r="AJ115" s="87" t="b">
        <f t="shared" si="47"/>
        <v>1</v>
      </c>
      <c r="AK115" s="88">
        <f t="shared" si="52"/>
        <v>8.9999959519259601E-4</v>
      </c>
      <c r="AL115" s="312">
        <f>+AC115/'MWh by month-WgtbyCDH&amp;DayLtHrs'!AC115-1</f>
        <v>-0.30203300578503678</v>
      </c>
      <c r="AM115" s="89">
        <f t="shared" si="41"/>
        <v>228755.28969038461</v>
      </c>
      <c r="AN115" s="89"/>
      <c r="AO115" s="96">
        <f t="shared" si="61"/>
        <v>48.724779985363654</v>
      </c>
      <c r="AP115" s="92">
        <f t="shared" si="60"/>
        <v>4.0603983321136385E-3</v>
      </c>
      <c r="AR115" s="94">
        <f t="shared" si="42"/>
        <v>6.5493967100165437E-3</v>
      </c>
      <c r="AS115" s="95">
        <v>522118.50113084482</v>
      </c>
      <c r="AU115" s="141">
        <v>78.592760520198524</v>
      </c>
    </row>
    <row r="116" spans="1:47">
      <c r="A116" s="78">
        <v>2014</v>
      </c>
      <c r="B116" s="78">
        <v>4</v>
      </c>
      <c r="C116" s="317">
        <v>137.13602413996043</v>
      </c>
      <c r="D116" s="318">
        <f t="shared" si="62"/>
        <v>7.7276400538908399E-2</v>
      </c>
      <c r="E116" s="321">
        <f>$D116*'MWh Impact Summary'!B$20</f>
        <v>118703.60453099737</v>
      </c>
      <c r="F116" s="319">
        <f>$D116*'MWh Impact Summary'!N$20</f>
        <v>7334.8737085226676</v>
      </c>
      <c r="G116" s="319">
        <f>$D116*'MWh Impact Summary'!C$20</f>
        <v>101282.57900872958</v>
      </c>
      <c r="H116" s="319">
        <f>$D116*'MWh Impact Summary'!D$20</f>
        <v>302.30192721523207</v>
      </c>
      <c r="I116" s="319">
        <f>$D116*'MWh Impact Summary'!E$20</f>
        <v>40841.324950825212</v>
      </c>
      <c r="J116" s="104">
        <f t="shared" si="43"/>
        <v>268464.68412629009</v>
      </c>
      <c r="K116" s="298">
        <f t="shared" si="51"/>
        <v>11.2</v>
      </c>
      <c r="L116" s="300">
        <f t="shared" si="63"/>
        <v>7.8845476944737758E-2</v>
      </c>
      <c r="M116" s="297">
        <f>(30/365)</f>
        <v>8.2191780821917804E-2</v>
      </c>
      <c r="N116" s="304">
        <f>$M116*'MWh Impact Summary'!F$20</f>
        <v>67197.010621017471</v>
      </c>
      <c r="O116" s="304">
        <f>$M116*'MWh Impact Summary'!G$20</f>
        <v>294.73423286654264</v>
      </c>
      <c r="P116" s="304">
        <f>$M116*'MWh Impact Summary'!H$20</f>
        <v>3320.0278657621784</v>
      </c>
      <c r="Q116" s="320">
        <f>$D116*'MWh Impact Summary'!I$20</f>
        <v>865.50865028247563</v>
      </c>
      <c r="R116" s="304">
        <f>$M116*'MWh Impact Summary'!J$20</f>
        <v>18466.932781676242</v>
      </c>
      <c r="S116" s="304">
        <f>$M116*'MWh Impact Summary'!K$20</f>
        <v>0</v>
      </c>
      <c r="T116" s="304">
        <f>$M116*'MWh Impact Summary'!L$20</f>
        <v>0</v>
      </c>
      <c r="U116" s="304">
        <f>$M116*'MWh Impact Summary'!M$20</f>
        <v>0</v>
      </c>
      <c r="V116" s="304">
        <f>$M116*'LED Impact Forecast'!$H$21+$D116*'LED Impact Forecast'!$J$21</f>
        <v>2283.6006379582427</v>
      </c>
      <c r="W116" s="304">
        <f>$M116*'CFL Impact Forecast'!$H$21+$D116*'CFL Impact Forecast'!$J$21</f>
        <v>256586.57510251724</v>
      </c>
      <c r="X116" s="304">
        <f>$M116*'EISA Incand Impact Forecast'!$G$21+$D116*'EISA Incand Impact Forecast'!$I$21</f>
        <v>51834.192400206222</v>
      </c>
      <c r="Y116" s="85">
        <f t="shared" si="35"/>
        <v>400848.58229228662</v>
      </c>
      <c r="Z116" s="81">
        <f t="shared" si="36"/>
        <v>669313.26641857671</v>
      </c>
      <c r="AA116" s="81"/>
      <c r="AB116" s="81">
        <f>+'MWh by mo-WgtbyActulCDH&amp;Days'!AB116</f>
        <v>4699582</v>
      </c>
      <c r="AC116" s="308">
        <f t="shared" si="44"/>
        <v>142.41974422801363</v>
      </c>
      <c r="AD116" s="309">
        <f t="shared" si="37"/>
        <v>57.125226057613226</v>
      </c>
      <c r="AE116" s="107">
        <f t="shared" si="38"/>
        <v>5.1004666122868962E-3</v>
      </c>
      <c r="AF116" s="309">
        <f t="shared" si="45"/>
        <v>85.294518170400394</v>
      </c>
      <c r="AG116" s="107">
        <f t="shared" si="39"/>
        <v>7.6155819795000355E-3</v>
      </c>
      <c r="AH116" s="119">
        <f t="shared" si="46"/>
        <v>1.2716048591786933E-2</v>
      </c>
      <c r="AI116" s="122">
        <f t="shared" si="40"/>
        <v>1.2716048591786931E-2</v>
      </c>
      <c r="AJ116" s="87" t="b">
        <f t="shared" si="47"/>
        <v>1</v>
      </c>
      <c r="AK116" s="88">
        <f t="shared" si="52"/>
        <v>1.732853230177538E-3</v>
      </c>
      <c r="AL116" s="312">
        <f>+AC116/'MWh by month-WgtbyCDH&amp;DayLtHrs'!AC116-1</f>
        <v>0.13457214779853843</v>
      </c>
      <c r="AM116" s="89">
        <f t="shared" si="41"/>
        <v>256586.57510251724</v>
      </c>
      <c r="AN116" s="93"/>
      <c r="AO116" s="96">
        <f t="shared" si="61"/>
        <v>54.597744033941154</v>
      </c>
      <c r="AP116" s="92">
        <f t="shared" si="60"/>
        <v>4.8747985744590321E-3</v>
      </c>
      <c r="AR116" s="94">
        <f t="shared" si="42"/>
        <v>1.2716048591786931E-2</v>
      </c>
      <c r="AS116" s="95">
        <v>616081.08376351488</v>
      </c>
      <c r="AU116" s="141">
        <v>142.41974422801363</v>
      </c>
    </row>
    <row r="117" spans="1:47">
      <c r="A117" s="78">
        <v>2014</v>
      </c>
      <c r="B117" s="78">
        <v>5</v>
      </c>
      <c r="C117" s="317">
        <v>220.65709530534707</v>
      </c>
      <c r="D117" s="318">
        <f t="shared" si="62"/>
        <v>0.12434067697022709</v>
      </c>
      <c r="E117" s="321">
        <f>$D117*'MWh Impact Summary'!B$20</f>
        <v>190998.62886029325</v>
      </c>
      <c r="F117" s="319">
        <f>$D117*'MWh Impact Summary'!N$20</f>
        <v>11802.091661213286</v>
      </c>
      <c r="G117" s="319">
        <f>$D117*'MWh Impact Summary'!C$20</f>
        <v>162967.53409076217</v>
      </c>
      <c r="H117" s="319">
        <f>$D117*'MWh Impact Summary'!D$20</f>
        <v>486.4153353056426</v>
      </c>
      <c r="I117" s="319">
        <f>$D117*'MWh Impact Summary'!E$20</f>
        <v>65715.25015829067</v>
      </c>
      <c r="J117" s="104">
        <f t="shared" si="43"/>
        <v>431969.92010586499</v>
      </c>
      <c r="K117" s="298">
        <f t="shared" si="51"/>
        <v>10.533333333333333</v>
      </c>
      <c r="L117" s="300">
        <f t="shared" si="63"/>
        <v>7.4152293793265281E-2</v>
      </c>
      <c r="M117" s="297">
        <f t="shared" si="64"/>
        <v>8.4931506849315067E-2</v>
      </c>
      <c r="N117" s="304">
        <f>$M117*'MWh Impact Summary'!F$20</f>
        <v>69436.910975051389</v>
      </c>
      <c r="O117" s="304">
        <f>$M117*'MWh Impact Summary'!G$20</f>
        <v>304.55870729542738</v>
      </c>
      <c r="P117" s="304">
        <f>$M117*'MWh Impact Summary'!H$20</f>
        <v>3430.6954612875843</v>
      </c>
      <c r="Q117" s="320">
        <f>$D117*'MWh Impact Summary'!I$20</f>
        <v>1392.6364420341406</v>
      </c>
      <c r="R117" s="304">
        <f>$M117*'MWh Impact Summary'!J$20</f>
        <v>19082.497207732114</v>
      </c>
      <c r="S117" s="304">
        <f>$M117*'MWh Impact Summary'!K$20</f>
        <v>0</v>
      </c>
      <c r="T117" s="304">
        <f>$M117*'MWh Impact Summary'!L$20</f>
        <v>0</v>
      </c>
      <c r="U117" s="304">
        <f>$M117*'MWh Impact Summary'!M$20</f>
        <v>0</v>
      </c>
      <c r="V117" s="304">
        <f>$M117*'LED Impact Forecast'!$H$21+$D117*'LED Impact Forecast'!$J$21</f>
        <v>2432.7121836861534</v>
      </c>
      <c r="W117" s="304">
        <f>$M117*'CFL Impact Forecast'!$H$21+$D117*'CFL Impact Forecast'!$J$21</f>
        <v>285410.3088399595</v>
      </c>
      <c r="X117" s="304">
        <f>$M117*'EISA Incand Impact Forecast'!$G$21+$D117*'EISA Incand Impact Forecast'!$I$21</f>
        <v>57918.689717920934</v>
      </c>
      <c r="Y117" s="85">
        <f t="shared" si="35"/>
        <v>439409.00953496725</v>
      </c>
      <c r="Z117" s="81">
        <f t="shared" si="36"/>
        <v>871378.92964083224</v>
      </c>
      <c r="AA117" s="81"/>
      <c r="AB117" s="81">
        <f>+'MWh by mo-WgtbyActulCDH&amp;Days'!AB117</f>
        <v>4702414</v>
      </c>
      <c r="AC117" s="308">
        <f t="shared" si="44"/>
        <v>185.30459666903684</v>
      </c>
      <c r="AD117" s="309">
        <f t="shared" si="37"/>
        <v>91.861312106051273</v>
      </c>
      <c r="AE117" s="107">
        <f t="shared" si="38"/>
        <v>8.7210106429795528E-3</v>
      </c>
      <c r="AF117" s="309">
        <f t="shared" si="45"/>
        <v>93.443284562985568</v>
      </c>
      <c r="AG117" s="107">
        <f t="shared" si="39"/>
        <v>8.8711979015492631E-3</v>
      </c>
      <c r="AH117" s="119">
        <f t="shared" si="46"/>
        <v>1.7592208544528816E-2</v>
      </c>
      <c r="AI117" s="122">
        <f t="shared" si="40"/>
        <v>1.7592208544528812E-2</v>
      </c>
      <c r="AJ117" s="87" t="b">
        <f t="shared" si="47"/>
        <v>1</v>
      </c>
      <c r="AK117" s="88">
        <f t="shared" si="52"/>
        <v>4.5610749923350163E-3</v>
      </c>
      <c r="AL117" s="312">
        <f>+AC117/'MWh by month-WgtbyCDH&amp;DayLtHrs'!AC117-1</f>
        <v>0.1854703401651614</v>
      </c>
      <c r="AM117" s="89">
        <f t="shared" si="41"/>
        <v>285410.3088399595</v>
      </c>
      <c r="AN117" s="93"/>
      <c r="AO117" s="96">
        <f t="shared" si="61"/>
        <v>60.694423936293042</v>
      </c>
      <c r="AP117" s="92">
        <f t="shared" si="60"/>
        <v>5.7621288547113642E-3</v>
      </c>
      <c r="AR117" s="94">
        <f t="shared" si="42"/>
        <v>1.7592208544528812E-2</v>
      </c>
      <c r="AS117" s="95">
        <v>744422.3141190504</v>
      </c>
      <c r="AU117" s="141">
        <v>185.30459666903684</v>
      </c>
    </row>
    <row r="118" spans="1:47">
      <c r="A118" s="78">
        <v>2014</v>
      </c>
      <c r="B118" s="78">
        <v>6</v>
      </c>
      <c r="C118" s="317">
        <v>247.5875604864128</v>
      </c>
      <c r="D118" s="318">
        <f t="shared" si="62"/>
        <v>0.1395160433780151</v>
      </c>
      <c r="E118" s="321">
        <f>$D118*'MWh Impact Summary'!B$20</f>
        <v>214309.3767745425</v>
      </c>
      <c r="F118" s="319">
        <f>$D118*'MWh Impact Summary'!N$20</f>
        <v>13242.497727042379</v>
      </c>
      <c r="G118" s="319">
        <f>$D118*'MWh Impact Summary'!C$20</f>
        <v>182857.18004301295</v>
      </c>
      <c r="H118" s="319">
        <f>$D118*'MWh Impact Summary'!D$20</f>
        <v>545.78071049495145</v>
      </c>
      <c r="I118" s="319">
        <f>$D118*'MWh Impact Summary'!E$20</f>
        <v>73735.578051231918</v>
      </c>
      <c r="J118" s="104">
        <f t="shared" si="43"/>
        <v>484690.41330632474</v>
      </c>
      <c r="K118" s="298">
        <f t="shared" si="51"/>
        <v>10.199999999999999</v>
      </c>
      <c r="L118" s="300">
        <f t="shared" si="63"/>
        <v>7.1805702217529022E-2</v>
      </c>
      <c r="M118" s="297">
        <f>(30/365)</f>
        <v>8.2191780821917804E-2</v>
      </c>
      <c r="N118" s="304">
        <f>$M118*'MWh Impact Summary'!F$20</f>
        <v>67197.010621017471</v>
      </c>
      <c r="O118" s="304">
        <f>$M118*'MWh Impact Summary'!G$20</f>
        <v>294.73423286654264</v>
      </c>
      <c r="P118" s="304">
        <f>$M118*'MWh Impact Summary'!H$20</f>
        <v>3320.0278657621784</v>
      </c>
      <c r="Q118" s="320">
        <f>$D118*'MWh Impact Summary'!I$20</f>
        <v>1562.6030916910886</v>
      </c>
      <c r="R118" s="304">
        <f>$M118*'MWh Impact Summary'!J$20</f>
        <v>18466.932781676242</v>
      </c>
      <c r="S118" s="304">
        <f>$M118*'MWh Impact Summary'!K$20</f>
        <v>0</v>
      </c>
      <c r="T118" s="304">
        <f>$M118*'MWh Impact Summary'!L$20</f>
        <v>0</v>
      </c>
      <c r="U118" s="304">
        <f>$M118*'MWh Impact Summary'!M$20</f>
        <v>0</v>
      </c>
      <c r="V118" s="304">
        <f>$M118*'LED Impact Forecast'!$H$21+$D118*'LED Impact Forecast'!$J$21</f>
        <v>2385.716398001071</v>
      </c>
      <c r="W118" s="304">
        <f>$M118*'CFL Impact Forecast'!$H$21+$D118*'CFL Impact Forecast'!$J$21</f>
        <v>284945.66275455424</v>
      </c>
      <c r="X118" s="304">
        <f>$M118*'EISA Incand Impact Forecast'!$G$21+$D118*'EISA Incand Impact Forecast'!$I$21</f>
        <v>57929.239821768351</v>
      </c>
      <c r="Y118" s="85">
        <f t="shared" si="35"/>
        <v>436101.92756733717</v>
      </c>
      <c r="Z118" s="81">
        <f t="shared" si="36"/>
        <v>920792.34087366192</v>
      </c>
      <c r="AA118" s="81"/>
      <c r="AB118" s="81">
        <f>+'MWh by mo-WgtbyActulCDH&amp;Days'!AB118</f>
        <v>4705494</v>
      </c>
      <c r="AC118" s="308">
        <f t="shared" si="44"/>
        <v>195.6845213007735</v>
      </c>
      <c r="AD118" s="309">
        <f t="shared" si="37"/>
        <v>103.0052133328243</v>
      </c>
      <c r="AE118" s="107">
        <f t="shared" si="38"/>
        <v>1.0098550326747479E-2</v>
      </c>
      <c r="AF118" s="309">
        <f t="shared" si="45"/>
        <v>92.6793079679492</v>
      </c>
      <c r="AG118" s="107">
        <f t="shared" si="39"/>
        <v>9.0862066635244328E-3</v>
      </c>
      <c r="AH118" s="119">
        <f t="shared" si="46"/>
        <v>1.918475699027191E-2</v>
      </c>
      <c r="AI118" s="122">
        <f t="shared" si="40"/>
        <v>1.9184756990271914E-2</v>
      </c>
      <c r="AJ118" s="87" t="b">
        <f t="shared" si="47"/>
        <v>1</v>
      </c>
      <c r="AK118" s="88">
        <f t="shared" si="52"/>
        <v>1.4180908381662589E-3</v>
      </c>
      <c r="AL118" s="312">
        <f>+AC118/'MWh by month-WgtbyCDH&amp;DayLtHrs'!AC118-1</f>
        <v>0.10167109020717713</v>
      </c>
      <c r="AM118" s="89">
        <f t="shared" si="41"/>
        <v>284945.66275455424</v>
      </c>
      <c r="AN118" s="93"/>
      <c r="AO118" s="96">
        <f t="shared" si="61"/>
        <v>60.555950715175555</v>
      </c>
      <c r="AP118" s="92">
        <f t="shared" si="60"/>
        <v>5.9368579132525051E-3</v>
      </c>
      <c r="AR118" s="94">
        <f t="shared" si="42"/>
        <v>1.9184756990271914E-2</v>
      </c>
      <c r="AS118" s="95">
        <v>911564.45976524334</v>
      </c>
      <c r="AU118" s="141">
        <v>195.6845213007735</v>
      </c>
    </row>
    <row r="119" spans="1:47">
      <c r="A119" s="78">
        <v>2014</v>
      </c>
      <c r="B119" s="78">
        <v>7</v>
      </c>
      <c r="C119" s="317">
        <v>311.6666769190017</v>
      </c>
      <c r="D119" s="318">
        <f t="shared" si="62"/>
        <v>0.17562474274186932</v>
      </c>
      <c r="E119" s="321">
        <f>$D119*'MWh Impact Summary'!B$20</f>
        <v>269775.63477212517</v>
      </c>
      <c r="F119" s="319">
        <f>$D119*'MWh Impact Summary'!N$20</f>
        <v>16669.840974992068</v>
      </c>
      <c r="G119" s="319">
        <f>$D119*'MWh Impact Summary'!C$20</f>
        <v>230183.17052287038</v>
      </c>
      <c r="H119" s="319">
        <f>$D119*'MWh Impact Summary'!D$20</f>
        <v>687.03637627136823</v>
      </c>
      <c r="I119" s="319">
        <f>$D119*'MWh Impact Summary'!E$20</f>
        <v>92819.374837655807</v>
      </c>
      <c r="J119" s="104">
        <f t="shared" si="43"/>
        <v>610135.05748391477</v>
      </c>
      <c r="K119" s="298">
        <f t="shared" si="51"/>
        <v>10.366666666666667</v>
      </c>
      <c r="L119" s="300">
        <f t="shared" si="63"/>
        <v>7.2978998005397158E-2</v>
      </c>
      <c r="M119" s="297">
        <f t="shared" si="64"/>
        <v>8.4931506849315067E-2</v>
      </c>
      <c r="N119" s="304">
        <f>$M119*'MWh Impact Summary'!F$20</f>
        <v>69436.910975051389</v>
      </c>
      <c r="O119" s="304">
        <f>$M119*'MWh Impact Summary'!G$20</f>
        <v>304.55870729542738</v>
      </c>
      <c r="P119" s="304">
        <f>$M119*'MWh Impact Summary'!H$20</f>
        <v>3430.6954612875843</v>
      </c>
      <c r="Q119" s="320">
        <f>$D119*'MWh Impact Summary'!I$20</f>
        <v>1967.0265823288244</v>
      </c>
      <c r="R119" s="304">
        <f>$M119*'MWh Impact Summary'!J$20</f>
        <v>19082.497207732114</v>
      </c>
      <c r="S119" s="304">
        <f>$M119*'MWh Impact Summary'!K$20</f>
        <v>0</v>
      </c>
      <c r="T119" s="304">
        <f>$M119*'MWh Impact Summary'!L$20</f>
        <v>0</v>
      </c>
      <c r="U119" s="304">
        <f>$M119*'MWh Impact Summary'!M$20</f>
        <v>0</v>
      </c>
      <c r="V119" s="304">
        <f>$M119*'LED Impact Forecast'!$H$21+$D119*'LED Impact Forecast'!$J$21</f>
        <v>2516.8532731184205</v>
      </c>
      <c r="W119" s="304">
        <f>$M119*'CFL Impact Forecast'!$H$21+$D119*'CFL Impact Forecast'!$J$21</f>
        <v>308777.5591972674</v>
      </c>
      <c r="X119" s="304">
        <f>$M119*'EISA Incand Impact Forecast'!$G$21+$D119*'EISA Incand Impact Forecast'!$I$21</f>
        <v>62940.8717001779</v>
      </c>
      <c r="Y119" s="85">
        <f t="shared" si="35"/>
        <v>468456.97310425906</v>
      </c>
      <c r="Z119" s="81">
        <f t="shared" si="36"/>
        <v>1078592.0305881738</v>
      </c>
      <c r="AA119" s="81"/>
      <c r="AB119" s="81">
        <f>+'MWh by mo-WgtbyActulCDH&amp;Days'!AB119</f>
        <v>4709239</v>
      </c>
      <c r="AC119" s="308">
        <f t="shared" si="44"/>
        <v>229.03743695917194</v>
      </c>
      <c r="AD119" s="309">
        <f t="shared" si="37"/>
        <v>129.56128527006481</v>
      </c>
      <c r="AE119" s="107">
        <f t="shared" si="38"/>
        <v>1.2497873177176671E-2</v>
      </c>
      <c r="AF119" s="309">
        <f t="shared" si="45"/>
        <v>99.476151689107112</v>
      </c>
      <c r="AG119" s="107">
        <f t="shared" si="39"/>
        <v>9.5957702593993995E-3</v>
      </c>
      <c r="AH119" s="119">
        <f t="shared" si="46"/>
        <v>2.209364343657607E-2</v>
      </c>
      <c r="AI119" s="122">
        <f t="shared" si="40"/>
        <v>2.209364343657607E-2</v>
      </c>
      <c r="AJ119" s="87" t="b">
        <f t="shared" si="47"/>
        <v>1</v>
      </c>
      <c r="AK119" s="88">
        <f t="shared" si="52"/>
        <v>3.5787033586580225E-3</v>
      </c>
      <c r="AL119" s="312">
        <f>+AC119/'MWh by month-WgtbyCDH&amp;DayLtHrs'!AC119-1</f>
        <v>0.15883462262388459</v>
      </c>
      <c r="AM119" s="89">
        <f t="shared" si="41"/>
        <v>308777.5591972674</v>
      </c>
      <c r="AN119" s="93"/>
      <c r="AO119" s="96">
        <f t="shared" si="61"/>
        <v>65.568462164962838</v>
      </c>
      <c r="AP119" s="92">
        <f t="shared" si="60"/>
        <v>6.3249320416362857E-3</v>
      </c>
      <c r="AR119" s="94">
        <f t="shared" si="42"/>
        <v>2.209364343657607E-2</v>
      </c>
      <c r="AS119" s="95">
        <v>960152.42672691226</v>
      </c>
      <c r="AU119" s="141">
        <v>229.03743695917194</v>
      </c>
    </row>
    <row r="120" spans="1:47">
      <c r="A120" s="78">
        <v>2014</v>
      </c>
      <c r="B120" s="78">
        <v>8</v>
      </c>
      <c r="C120" s="317">
        <v>350.95807565684066</v>
      </c>
      <c r="D120" s="318">
        <f t="shared" si="62"/>
        <v>0.19776551782734483</v>
      </c>
      <c r="E120" s="321">
        <f>$D120*'MWh Impact Summary'!B$20</f>
        <v>303785.88617394556</v>
      </c>
      <c r="F120" s="319">
        <f>$D120*'MWh Impact Summary'!N$20</f>
        <v>18771.385404186858</v>
      </c>
      <c r="G120" s="319">
        <f>$D120*'MWh Impact Summary'!C$20</f>
        <v>259202.05321241939</v>
      </c>
      <c r="H120" s="319">
        <f>$D120*'MWh Impact Summary'!D$20</f>
        <v>773.65012809859309</v>
      </c>
      <c r="I120" s="319">
        <f>$D120*'MWh Impact Summary'!E$20</f>
        <v>104520.98857254695</v>
      </c>
      <c r="J120" s="104">
        <f t="shared" si="43"/>
        <v>687053.96349119733</v>
      </c>
      <c r="K120" s="298">
        <f t="shared" si="51"/>
        <v>10.933333333333334</v>
      </c>
      <c r="L120" s="300">
        <f t="shared" si="63"/>
        <v>7.6968203684148764E-2</v>
      </c>
      <c r="M120" s="297">
        <f t="shared" si="64"/>
        <v>8.4931506849315067E-2</v>
      </c>
      <c r="N120" s="304">
        <f>$M120*'MWh Impact Summary'!F$20</f>
        <v>69436.910975051389</v>
      </c>
      <c r="O120" s="304">
        <f>$M120*'MWh Impact Summary'!G$20</f>
        <v>304.55870729542738</v>
      </c>
      <c r="P120" s="304">
        <f>$M120*'MWh Impact Summary'!H$20</f>
        <v>3430.6954612875843</v>
      </c>
      <c r="Q120" s="320">
        <f>$D120*'MWh Impact Summary'!I$20</f>
        <v>2215.0069777250783</v>
      </c>
      <c r="R120" s="304">
        <f>$M120*'MWh Impact Summary'!J$20</f>
        <v>19082.497207732114</v>
      </c>
      <c r="S120" s="304">
        <f>$M120*'MWh Impact Summary'!K$20</f>
        <v>0</v>
      </c>
      <c r="T120" s="304">
        <f>$M120*'MWh Impact Summary'!L$20</f>
        <v>0</v>
      </c>
      <c r="U120" s="304">
        <f>$M120*'MWh Impact Summary'!M$20</f>
        <v>0</v>
      </c>
      <c r="V120" s="304">
        <f>$M120*'LED Impact Forecast'!$H$21+$D120*'LED Impact Forecast'!$J$21</f>
        <v>2553.1793504006318</v>
      </c>
      <c r="W120" s="304">
        <f>$M120*'CFL Impact Forecast'!$H$21+$D120*'CFL Impact Forecast'!$J$21</f>
        <v>318865.85907643248</v>
      </c>
      <c r="X120" s="304">
        <f>$M120*'EISA Incand Impact Forecast'!$G$21+$D120*'EISA Incand Impact Forecast'!$I$21</f>
        <v>65109.089060373328</v>
      </c>
      <c r="Y120" s="85">
        <f t="shared" si="35"/>
        <v>480997.79681629798</v>
      </c>
      <c r="Z120" s="81">
        <f t="shared" si="36"/>
        <v>1168051.7603074952</v>
      </c>
      <c r="AA120" s="81"/>
      <c r="AB120" s="81">
        <f>+'MWh by mo-WgtbyActulCDH&amp;Days'!AB120</f>
        <v>4712926</v>
      </c>
      <c r="AC120" s="308">
        <f t="shared" si="44"/>
        <v>247.84003829202823</v>
      </c>
      <c r="AD120" s="309">
        <f t="shared" si="37"/>
        <v>145.78076623549731</v>
      </c>
      <c r="AE120" s="107">
        <f t="shared" si="38"/>
        <v>1.3333606667880851E-2</v>
      </c>
      <c r="AF120" s="309">
        <f t="shared" si="45"/>
        <v>102.05927205653092</v>
      </c>
      <c r="AG120" s="107">
        <f t="shared" si="39"/>
        <v>9.3346895173656314E-3</v>
      </c>
      <c r="AH120" s="119">
        <f t="shared" si="46"/>
        <v>2.2668296185246482E-2</v>
      </c>
      <c r="AI120" s="122">
        <f t="shared" si="40"/>
        <v>2.2668296185246482E-2</v>
      </c>
      <c r="AJ120" s="87" t="b">
        <f t="shared" si="47"/>
        <v>1</v>
      </c>
      <c r="AK120" s="88">
        <f t="shared" si="52"/>
        <v>3.4559842567827952E-3</v>
      </c>
      <c r="AL120" s="312">
        <f>+AC120/'MWh by month-WgtbyCDH&amp;DayLtHrs'!AC120-1</f>
        <v>0.22110815337139877</v>
      </c>
      <c r="AM120" s="89">
        <f t="shared" si="41"/>
        <v>318865.85907643248</v>
      </c>
      <c r="AN120" s="93"/>
      <c r="AO120" s="96">
        <f t="shared" si="61"/>
        <v>67.657726659920499</v>
      </c>
      <c r="AP120" s="92">
        <f t="shared" si="60"/>
        <v>6.1882067067000456E-3</v>
      </c>
      <c r="AR120" s="94">
        <f t="shared" si="42"/>
        <v>2.2668296185246482E-2</v>
      </c>
      <c r="AS120" s="95">
        <v>998316.77050706814</v>
      </c>
      <c r="AU120" s="141">
        <v>247.84003829202823</v>
      </c>
    </row>
    <row r="121" spans="1:47">
      <c r="A121" s="78">
        <v>2014</v>
      </c>
      <c r="B121" s="78">
        <v>9</v>
      </c>
      <c r="C121" s="317">
        <v>254.35467918779301</v>
      </c>
      <c r="D121" s="318">
        <f t="shared" si="62"/>
        <v>0.14332932714894087</v>
      </c>
      <c r="E121" s="321">
        <f>$D121*'MWh Impact Summary'!B$20</f>
        <v>220166.92869921497</v>
      </c>
      <c r="F121" s="319">
        <f>$D121*'MWh Impact Summary'!N$20</f>
        <v>13604.444643299392</v>
      </c>
      <c r="G121" s="319">
        <f>$D121*'MWh Impact Summary'!C$20</f>
        <v>187855.07347642974</v>
      </c>
      <c r="H121" s="319">
        <f>$D121*'MWh Impact Summary'!D$20</f>
        <v>560.69811121406258</v>
      </c>
      <c r="I121" s="319">
        <f>$D121*'MWh Impact Summary'!E$20</f>
        <v>75750.935398779082</v>
      </c>
      <c r="J121" s="104">
        <f t="shared" si="43"/>
        <v>497938.08032893715</v>
      </c>
      <c r="K121" s="298">
        <f t="shared" si="51"/>
        <v>11.683333333333334</v>
      </c>
      <c r="L121" s="300">
        <f t="shared" si="63"/>
        <v>8.2248034729555317E-2</v>
      </c>
      <c r="M121" s="297">
        <f>(30/365)</f>
        <v>8.2191780821917804E-2</v>
      </c>
      <c r="N121" s="304">
        <f>$M121*'MWh Impact Summary'!F$20</f>
        <v>67197.010621017471</v>
      </c>
      <c r="O121" s="304">
        <f>$M121*'MWh Impact Summary'!G$20</f>
        <v>294.73423286654264</v>
      </c>
      <c r="P121" s="304">
        <f>$M121*'MWh Impact Summary'!H$20</f>
        <v>3320.0278657621784</v>
      </c>
      <c r="Q121" s="320">
        <f>$D121*'MWh Impact Summary'!I$20</f>
        <v>1605.3125096595959</v>
      </c>
      <c r="R121" s="304">
        <f>$M121*'MWh Impact Summary'!J$20</f>
        <v>18466.932781676242</v>
      </c>
      <c r="S121" s="304">
        <f>$M121*'MWh Impact Summary'!K$20</f>
        <v>0</v>
      </c>
      <c r="T121" s="304">
        <f>$M121*'MWh Impact Summary'!L$20</f>
        <v>0</v>
      </c>
      <c r="U121" s="304">
        <f>$M121*'MWh Impact Summary'!M$20</f>
        <v>0</v>
      </c>
      <c r="V121" s="304">
        <f>$M121*'LED Impact Forecast'!$H$21+$D121*'LED Impact Forecast'!$J$21</f>
        <v>2391.9728023241751</v>
      </c>
      <c r="W121" s="304">
        <f>$M121*'CFL Impact Forecast'!$H$21+$D121*'CFL Impact Forecast'!$J$21</f>
        <v>286683.1606541056</v>
      </c>
      <c r="X121" s="304">
        <f>$M121*'EISA Incand Impact Forecast'!$G$21+$D121*'EISA Incand Impact Forecast'!$I$21</f>
        <v>58302.669750917339</v>
      </c>
      <c r="Y121" s="85">
        <f t="shared" si="35"/>
        <v>438261.82121832913</v>
      </c>
      <c r="Z121" s="81">
        <f t="shared" si="36"/>
        <v>936199.90154726629</v>
      </c>
      <c r="AA121" s="81"/>
      <c r="AB121" s="81">
        <f>+'MWh by mo-WgtbyActulCDH&amp;Days'!AB121</f>
        <v>4718734</v>
      </c>
      <c r="AC121" s="308">
        <f t="shared" si="44"/>
        <v>198.40065185858458</v>
      </c>
      <c r="AD121" s="309">
        <f t="shared" si="37"/>
        <v>105.5236595936404</v>
      </c>
      <c r="AE121" s="107">
        <f t="shared" si="38"/>
        <v>9.0319822762031741E-3</v>
      </c>
      <c r="AF121" s="309">
        <f t="shared" si="45"/>
        <v>92.876992264944178</v>
      </c>
      <c r="AG121" s="107">
        <f t="shared" si="39"/>
        <v>7.9495285818782461E-3</v>
      </c>
      <c r="AH121" s="119">
        <f t="shared" si="46"/>
        <v>1.698151085808142E-2</v>
      </c>
      <c r="AI121" s="122">
        <f t="shared" si="40"/>
        <v>1.6981510858081417E-2</v>
      </c>
      <c r="AJ121" s="87" t="b">
        <f t="shared" si="47"/>
        <v>1</v>
      </c>
      <c r="AK121" s="88">
        <f t="shared" si="52"/>
        <v>1.6747161791960327E-3</v>
      </c>
      <c r="AL121" s="312">
        <f>+AC121/'MWh by month-WgtbyCDH&amp;DayLtHrs'!AC121-1</f>
        <v>4.5813307549508187E-2</v>
      </c>
      <c r="AM121" s="89">
        <f t="shared" si="41"/>
        <v>286683.1606541056</v>
      </c>
      <c r="AN121" s="93"/>
      <c r="AO121" s="96">
        <f t="shared" si="61"/>
        <v>60.754253292113013</v>
      </c>
      <c r="AP121" s="92">
        <f t="shared" si="60"/>
        <v>5.2000787411223695E-3</v>
      </c>
      <c r="AR121" s="94">
        <f t="shared" si="42"/>
        <v>1.6981510858081417E-2</v>
      </c>
      <c r="AS121" s="95">
        <v>942105.70075468137</v>
      </c>
      <c r="AU121" s="141">
        <v>198.40065185858458</v>
      </c>
    </row>
    <row r="122" spans="1:47">
      <c r="A122" s="78">
        <v>2014</v>
      </c>
      <c r="B122" s="78">
        <v>10</v>
      </c>
      <c r="C122" s="317">
        <v>189.00769564614495</v>
      </c>
      <c r="D122" s="318">
        <f t="shared" si="62"/>
        <v>0.10650618234914656</v>
      </c>
      <c r="E122" s="321">
        <f>$D122*'MWh Impact Summary'!B$20</f>
        <v>163603.21730194779</v>
      </c>
      <c r="F122" s="319">
        <f>$D122*'MWh Impact Summary'!N$20</f>
        <v>10109.288104258168</v>
      </c>
      <c r="G122" s="319">
        <f>$D122*'MWh Impact Summary'!C$20</f>
        <v>139592.69263925235</v>
      </c>
      <c r="H122" s="319">
        <f>$D122*'MWh Impact Summary'!D$20</f>
        <v>416.64756587973903</v>
      </c>
      <c r="I122" s="319">
        <f>$D122*'MWh Impact Summary'!E$20</f>
        <v>56289.547290743736</v>
      </c>
      <c r="J122" s="104">
        <f t="shared" si="43"/>
        <v>370011.39290208177</v>
      </c>
      <c r="K122" s="298">
        <f t="shared" si="51"/>
        <v>12.466666666666667</v>
      </c>
      <c r="L122" s="300">
        <f t="shared" si="63"/>
        <v>8.7762524932535488E-2</v>
      </c>
      <c r="M122" s="297">
        <f t="shared" si="64"/>
        <v>8.4931506849315067E-2</v>
      </c>
      <c r="N122" s="304">
        <f>$M122*'MWh Impact Summary'!F$20</f>
        <v>69436.910975051389</v>
      </c>
      <c r="O122" s="304">
        <f>$M122*'MWh Impact Summary'!G$20</f>
        <v>304.55870729542738</v>
      </c>
      <c r="P122" s="304">
        <f>$M122*'MWh Impact Summary'!H$20</f>
        <v>3430.6954612875843</v>
      </c>
      <c r="Q122" s="320">
        <f>$D122*'MWh Impact Summary'!I$20</f>
        <v>1192.8871102806572</v>
      </c>
      <c r="R122" s="304">
        <f>$M122*'MWh Impact Summary'!J$20</f>
        <v>19082.497207732114</v>
      </c>
      <c r="S122" s="304">
        <f>$M122*'MWh Impact Summary'!K$20</f>
        <v>0</v>
      </c>
      <c r="T122" s="304">
        <f>$M122*'MWh Impact Summary'!L$20</f>
        <v>0</v>
      </c>
      <c r="U122" s="304">
        <f>$M122*'MWh Impact Summary'!M$20</f>
        <v>0</v>
      </c>
      <c r="V122" s="304">
        <f>$M122*'LED Impact Forecast'!$H$21+$D122*'LED Impact Forecast'!$J$21</f>
        <v>2403.4513638912963</v>
      </c>
      <c r="W122" s="304">
        <f>$M122*'CFL Impact Forecast'!$H$21+$D122*'CFL Impact Forecast'!$J$21</f>
        <v>277284.1375909301</v>
      </c>
      <c r="X122" s="304">
        <f>$M122*'EISA Incand Impact Forecast'!$G$21+$D122*'EISA Incand Impact Forecast'!$I$21</f>
        <v>56172.180813040453</v>
      </c>
      <c r="Y122" s="85">
        <f t="shared" si="35"/>
        <v>429307.31922950904</v>
      </c>
      <c r="Z122" s="81">
        <f t="shared" si="36"/>
        <v>799318.71213159082</v>
      </c>
      <c r="AA122" s="81"/>
      <c r="AB122" s="81">
        <f>+'MWh by mo-WgtbyActulCDH&amp;Days'!AB122</f>
        <v>4724910</v>
      </c>
      <c r="AC122" s="308">
        <f t="shared" si="44"/>
        <v>169.17120371215341</v>
      </c>
      <c r="AD122" s="309">
        <f t="shared" si="37"/>
        <v>78.310781137012512</v>
      </c>
      <c r="AE122" s="107">
        <f t="shared" si="38"/>
        <v>6.2816134601881698E-3</v>
      </c>
      <c r="AF122" s="309">
        <f t="shared" si="45"/>
        <v>90.860422575140916</v>
      </c>
      <c r="AG122" s="107">
        <f t="shared" si="39"/>
        <v>7.2882691905193243E-3</v>
      </c>
      <c r="AH122" s="119">
        <f t="shared" si="46"/>
        <v>1.3569882650707493E-2</v>
      </c>
      <c r="AI122" s="122">
        <f t="shared" si="40"/>
        <v>1.3569882650707493E-2</v>
      </c>
      <c r="AJ122" s="87" t="b">
        <f t="shared" si="47"/>
        <v>1</v>
      </c>
      <c r="AK122" s="88">
        <f t="shared" si="52"/>
        <v>9.9915222261523322E-4</v>
      </c>
      <c r="AL122" s="312">
        <f>+AC122/'MWh by month-WgtbyCDH&amp;DayLtHrs'!AC122-1</f>
        <v>2.3212692349646513E-2</v>
      </c>
      <c r="AM122" s="89">
        <f t="shared" si="41"/>
        <v>277284.1375909301</v>
      </c>
      <c r="AN122" s="93"/>
      <c r="AO122" s="96">
        <f t="shared" si="61"/>
        <v>58.685591385006298</v>
      </c>
      <c r="AP122" s="92">
        <f t="shared" si="60"/>
        <v>4.7074003784764408E-3</v>
      </c>
      <c r="AR122" s="94">
        <f t="shared" si="42"/>
        <v>1.3569882650707493E-2</v>
      </c>
      <c r="AS122" s="95">
        <v>756171.3491331538</v>
      </c>
      <c r="AU122" s="141">
        <v>169.17120371215341</v>
      </c>
    </row>
    <row r="123" spans="1:47">
      <c r="A123" s="78">
        <v>2014</v>
      </c>
      <c r="B123" s="78">
        <v>11</v>
      </c>
      <c r="C123" s="317">
        <v>63.249322643906929</v>
      </c>
      <c r="D123" s="318">
        <f t="shared" si="62"/>
        <v>3.5641109045547764E-2</v>
      </c>
      <c r="E123" s="321">
        <f>$D123*'MWh Impact Summary'!B$20</f>
        <v>54747.996589964074</v>
      </c>
      <c r="F123" s="319">
        <f>$D123*'MWh Impact Summary'!N$20</f>
        <v>3382.9607986095593</v>
      </c>
      <c r="G123" s="319">
        <f>$D123*'MWh Impact Summary'!C$20</f>
        <v>46713.141627849291</v>
      </c>
      <c r="H123" s="319">
        <f>$D123*'MWh Impact Summary'!D$20</f>
        <v>139.42647273189786</v>
      </c>
      <c r="I123" s="319">
        <f>$D123*'MWh Impact Summary'!E$20</f>
        <v>18836.670781581077</v>
      </c>
      <c r="J123" s="104">
        <f t="shared" si="43"/>
        <v>123820.19627073591</v>
      </c>
      <c r="K123" s="298">
        <f t="shared" si="51"/>
        <v>13.15</v>
      </c>
      <c r="L123" s="300">
        <f>L111</f>
        <v>9.2573037662794788E-2</v>
      </c>
      <c r="M123" s="297">
        <f>(30/365)</f>
        <v>8.2191780821917804E-2</v>
      </c>
      <c r="N123" s="304">
        <f>$M123*'MWh Impact Summary'!F$20</f>
        <v>67197.010621017471</v>
      </c>
      <c r="O123" s="304">
        <f>$M123*'MWh Impact Summary'!G$20</f>
        <v>294.73423286654264</v>
      </c>
      <c r="P123" s="304">
        <f>$M123*'MWh Impact Summary'!H$20</f>
        <v>3320.0278657621784</v>
      </c>
      <c r="Q123" s="320">
        <f>$D123*'MWh Impact Summary'!I$20</f>
        <v>399.18640062758709</v>
      </c>
      <c r="R123" s="304">
        <f>$M123*'MWh Impact Summary'!J$20</f>
        <v>18466.932781676242</v>
      </c>
      <c r="S123" s="304">
        <f>$M123*'MWh Impact Summary'!K$20</f>
        <v>0</v>
      </c>
      <c r="T123" s="304">
        <f>$M123*'MWh Impact Summary'!L$20</f>
        <v>0</v>
      </c>
      <c r="U123" s="304">
        <f>$M123*'MWh Impact Summary'!M$20</f>
        <v>0</v>
      </c>
      <c r="V123" s="304">
        <f>$M123*'LED Impact Forecast'!$H$21+$D123*'LED Impact Forecast'!$J$21</f>
        <v>2215.2901650585204</v>
      </c>
      <c r="W123" s="304">
        <f>$M123*'CFL Impact Forecast'!$H$21+$D123*'CFL Impact Forecast'!$J$21</f>
        <v>237615.72586530988</v>
      </c>
      <c r="X123" s="304">
        <f>$M123*'EISA Incand Impact Forecast'!$G$21+$D123*'EISA Incand Impact Forecast'!$I$21</f>
        <v>47756.902356646628</v>
      </c>
      <c r="Y123" s="85">
        <f t="shared" si="35"/>
        <v>377265.810288965</v>
      </c>
      <c r="Z123" s="81">
        <f t="shared" si="36"/>
        <v>501086.00655970094</v>
      </c>
      <c r="AA123" s="81"/>
      <c r="AB123" s="81">
        <f>+'MWh by mo-WgtbyActulCDH&amp;Days'!AB123</f>
        <v>4731887</v>
      </c>
      <c r="AC123" s="308">
        <f t="shared" si="44"/>
        <v>105.89559863954929</v>
      </c>
      <c r="AD123" s="309">
        <f t="shared" si="37"/>
        <v>26.167192130905896</v>
      </c>
      <c r="AE123" s="107">
        <f t="shared" si="38"/>
        <v>1.9899005422742127E-3</v>
      </c>
      <c r="AF123" s="309">
        <f t="shared" si="45"/>
        <v>79.728406508643374</v>
      </c>
      <c r="AG123" s="107">
        <f t="shared" si="39"/>
        <v>6.0629966926725003E-3</v>
      </c>
      <c r="AH123" s="119">
        <f t="shared" si="46"/>
        <v>8.052897234946713E-3</v>
      </c>
      <c r="AI123" s="122">
        <f t="shared" si="40"/>
        <v>8.0528972349467147E-3</v>
      </c>
      <c r="AJ123" s="87" t="b">
        <f t="shared" si="47"/>
        <v>1</v>
      </c>
      <c r="AK123" s="88">
        <f t="shared" si="52"/>
        <v>-3.8861863833355992E-4</v>
      </c>
      <c r="AL123" s="312">
        <f>+AC123/'MWh by month-WgtbyCDH&amp;DayLtHrs'!AC123-1</f>
        <v>-0.15082581905812464</v>
      </c>
      <c r="AM123" s="89">
        <f t="shared" si="41"/>
        <v>237615.72586530988</v>
      </c>
      <c r="AN123" s="93"/>
      <c r="AO123" s="96">
        <f t="shared" si="61"/>
        <v>50.215849589246297</v>
      </c>
      <c r="AP123" s="92">
        <f t="shared" si="60"/>
        <v>3.8186957862544712E-3</v>
      </c>
      <c r="AR123" s="94">
        <f t="shared" si="42"/>
        <v>8.0528972349467147E-3</v>
      </c>
      <c r="AS123" s="95">
        <v>579143.12720011803</v>
      </c>
      <c r="AU123" s="141">
        <v>105.89559863954929</v>
      </c>
    </row>
    <row r="124" spans="1:47" ht="13.8" thickBot="1">
      <c r="A124" s="313">
        <v>2014</v>
      </c>
      <c r="B124" s="313">
        <v>12</v>
      </c>
      <c r="C124" s="322">
        <v>0</v>
      </c>
      <c r="D124" s="323">
        <f t="shared" si="62"/>
        <v>0</v>
      </c>
      <c r="E124" s="321">
        <f>$D124*'MWh Impact Summary'!B$20</f>
        <v>0</v>
      </c>
      <c r="F124" s="319">
        <f>$D124*'MWh Impact Summary'!N$20</f>
        <v>0</v>
      </c>
      <c r="G124" s="319">
        <f>$D124*'MWh Impact Summary'!C$20</f>
        <v>0</v>
      </c>
      <c r="H124" s="319">
        <f>$D124*'MWh Impact Summary'!D$20</f>
        <v>0</v>
      </c>
      <c r="I124" s="319">
        <f>$D124*'MWh Impact Summary'!E$20</f>
        <v>0</v>
      </c>
      <c r="J124" s="104">
        <f t="shared" si="43"/>
        <v>0</v>
      </c>
      <c r="K124" s="298">
        <f t="shared" si="51"/>
        <v>13.483333333333333</v>
      </c>
      <c r="L124" s="300">
        <f t="shared" si="63"/>
        <v>9.491962923853102E-2</v>
      </c>
      <c r="M124" s="297">
        <f t="shared" si="64"/>
        <v>8.4931506849315067E-2</v>
      </c>
      <c r="N124" s="304">
        <f>$M124*'MWh Impact Summary'!F$20</f>
        <v>69436.910975051389</v>
      </c>
      <c r="O124" s="304">
        <f>$M124*'MWh Impact Summary'!G$20</f>
        <v>304.55870729542738</v>
      </c>
      <c r="P124" s="304">
        <f>$M124*'MWh Impact Summary'!H$20</f>
        <v>3430.6954612875843</v>
      </c>
      <c r="Q124" s="320">
        <f>$D124*'MWh Impact Summary'!I$20</f>
        <v>0</v>
      </c>
      <c r="R124" s="304">
        <f>$M124*'MWh Impact Summary'!J$20</f>
        <v>19082.497207732114</v>
      </c>
      <c r="S124" s="304">
        <f>$M124*'MWh Impact Summary'!K$20</f>
        <v>0</v>
      </c>
      <c r="T124" s="304">
        <f>$M124*'MWh Impact Summary'!L$20</f>
        <v>0</v>
      </c>
      <c r="U124" s="304">
        <f>$M124*'MWh Impact Summary'!M$20</f>
        <v>0</v>
      </c>
      <c r="V124" s="304">
        <f>$M124*'LED Impact Forecast'!$H$21+$D124*'LED Impact Forecast'!$J$21</f>
        <v>2228.7080770771649</v>
      </c>
      <c r="W124" s="304">
        <f>$M124*'CFL Impact Forecast'!$H$21+$D124*'CFL Impact Forecast'!$J$21</f>
        <v>228755.28969038461</v>
      </c>
      <c r="X124" s="304">
        <f>$M124*'EISA Incand Impact Forecast'!$G$21+$D124*'EISA Incand Impact Forecast'!$I$21</f>
        <v>45742.168645623125</v>
      </c>
      <c r="Y124" s="85">
        <f t="shared" si="35"/>
        <v>368980.82876445143</v>
      </c>
      <c r="Z124" s="81">
        <f t="shared" si="36"/>
        <v>368980.82876445143</v>
      </c>
      <c r="AA124" s="81">
        <f>SUM(Z113:Z124)</f>
        <v>8384948.4409866082</v>
      </c>
      <c r="AB124" s="81">
        <f>+'MWh by mo-WgtbyActulCDH&amp;Days'!AB124</f>
        <v>4739276</v>
      </c>
      <c r="AC124" s="308">
        <f t="shared" si="44"/>
        <v>77.85594862262748</v>
      </c>
      <c r="AD124" s="309">
        <f t="shared" si="37"/>
        <v>0</v>
      </c>
      <c r="AE124" s="107">
        <f t="shared" si="38"/>
        <v>0</v>
      </c>
      <c r="AF124" s="309">
        <f t="shared" si="45"/>
        <v>77.85594862262748</v>
      </c>
      <c r="AG124" s="107">
        <f t="shared" si="39"/>
        <v>5.7742359917894301E-3</v>
      </c>
      <c r="AH124" s="119">
        <f t="shared" si="46"/>
        <v>5.7742359917894301E-3</v>
      </c>
      <c r="AI124" s="122">
        <f t="shared" si="40"/>
        <v>5.7742359917894301E-3</v>
      </c>
      <c r="AJ124" s="87" t="b">
        <f t="shared" si="47"/>
        <v>1</v>
      </c>
      <c r="AK124" s="88">
        <f t="shared" si="52"/>
        <v>8.174668479601294E-4</v>
      </c>
      <c r="AL124" s="312">
        <f>+AC124/'MWh by month-WgtbyCDH&amp;DayLtHrs'!AC124-1</f>
        <v>-0.31450102296611748</v>
      </c>
      <c r="AM124" s="89">
        <f t="shared" si="41"/>
        <v>228755.28969038461</v>
      </c>
      <c r="AN124" s="90">
        <f>SUM(AM113:AM124)</f>
        <v>3149052.5391629003</v>
      </c>
      <c r="AO124" s="96">
        <f t="shared" si="61"/>
        <v>48.267982217196177</v>
      </c>
      <c r="AP124" s="92">
        <f t="shared" si="60"/>
        <v>3.5798256279749945E-3</v>
      </c>
      <c r="AR124" s="94">
        <f t="shared" si="42"/>
        <v>5.7742359917894301E-3</v>
      </c>
      <c r="AS124" s="95">
        <v>475130.71205991617</v>
      </c>
      <c r="AU124" s="141">
        <v>77.85594862262748</v>
      </c>
    </row>
    <row r="125" spans="1:47">
      <c r="A125" s="78">
        <v>2015</v>
      </c>
      <c r="B125" s="78">
        <v>1</v>
      </c>
      <c r="C125" s="317">
        <v>0</v>
      </c>
      <c r="D125" s="318">
        <f>C125/(SUM(C$125:C$136))</f>
        <v>0</v>
      </c>
      <c r="E125" s="321">
        <f>$D125*'MWh Impact Summary'!B$21</f>
        <v>0</v>
      </c>
      <c r="F125" s="319">
        <f>$D125*'MWh Impact Summary'!N$21</f>
        <v>0</v>
      </c>
      <c r="G125" s="319">
        <f>$D125*'MWh Impact Summary'!C$21</f>
        <v>0</v>
      </c>
      <c r="H125" s="319">
        <f>$D125*'MWh Impact Summary'!D$21</f>
        <v>0</v>
      </c>
      <c r="I125" s="319">
        <f>$D125*'MWh Impact Summary'!E$21</f>
        <v>0</v>
      </c>
      <c r="J125" s="104">
        <f t="shared" si="43"/>
        <v>0</v>
      </c>
      <c r="K125" s="298">
        <f t="shared" si="51"/>
        <v>13.3</v>
      </c>
      <c r="L125" s="300">
        <f t="shared" si="63"/>
        <v>9.3629003871876101E-2</v>
      </c>
      <c r="M125" s="297">
        <f>(31/365)</f>
        <v>8.4931506849315067E-2</v>
      </c>
      <c r="N125" s="304">
        <f>$M125*'MWh Impact Summary'!F$21</f>
        <v>81543.66993304163</v>
      </c>
      <c r="O125" s="304">
        <f>$M125*'MWh Impact Summary'!G$21</f>
        <v>720.92781252686359</v>
      </c>
      <c r="P125" s="304">
        <f>$M125*'MWh Impact Summary'!H$21</f>
        <v>4231.0324141611218</v>
      </c>
      <c r="Q125" s="320">
        <f>$D125*'MWh Impact Summary'!I$21</f>
        <v>0</v>
      </c>
      <c r="R125" s="304">
        <f>$M125*'MWh Impact Summary'!J$21</f>
        <v>22934.702028285679</v>
      </c>
      <c r="S125" s="304">
        <f>$M125*'MWh Impact Summary'!K$21</f>
        <v>3389.0551970478264</v>
      </c>
      <c r="T125" s="304">
        <f>$M125*'MWh Impact Summary'!L$21</f>
        <v>1274.0601707877818</v>
      </c>
      <c r="U125" s="304">
        <f>$M125*'MWh Impact Summary'!M$21</f>
        <v>3736.4736000662137</v>
      </c>
      <c r="V125" s="304">
        <f>$M125*'LED Impact Forecast'!$H$22+$D125*'LED Impact Forecast'!$J$22</f>
        <v>5099.2433821546892</v>
      </c>
      <c r="W125" s="304">
        <f>$M125*'CFL Impact Forecast'!$H$22+$D125*'CFL Impact Forecast'!$J$22</f>
        <v>245869.52846877064</v>
      </c>
      <c r="X125" s="304">
        <f>$M125*'EISA Incand Impact Forecast'!$G$22+$D125*'EISA Incand Impact Forecast'!$I$22</f>
        <v>68251.899526593494</v>
      </c>
      <c r="Y125" s="85">
        <f t="shared" si="35"/>
        <v>437050.59253343596</v>
      </c>
      <c r="Z125" s="81">
        <f t="shared" si="36"/>
        <v>437050.59253343596</v>
      </c>
      <c r="AA125" s="81"/>
      <c r="AB125" s="81">
        <f>+'MWh by mo-WgtbyActulCDH&amp;Days'!AB125</f>
        <v>4746212</v>
      </c>
      <c r="AC125" s="308">
        <f t="shared" si="44"/>
        <v>92.084085694746875</v>
      </c>
      <c r="AD125" s="309">
        <f t="shared" si="37"/>
        <v>0</v>
      </c>
      <c r="AE125" s="107">
        <f t="shared" si="38"/>
        <v>0</v>
      </c>
      <c r="AF125" s="309">
        <f t="shared" si="45"/>
        <v>92.084085694746875</v>
      </c>
      <c r="AG125" s="107">
        <f t="shared" si="39"/>
        <v>6.9236154657704415E-3</v>
      </c>
      <c r="AH125" s="119">
        <f t="shared" si="46"/>
        <v>6.9236154657704415E-3</v>
      </c>
      <c r="AI125" s="122">
        <f t="shared" si="40"/>
        <v>6.9236154657704415E-3</v>
      </c>
      <c r="AJ125" s="87" t="b">
        <f t="shared" si="47"/>
        <v>1</v>
      </c>
      <c r="AK125" s="88">
        <f t="shared" si="52"/>
        <v>9.9507877212390902E-4</v>
      </c>
      <c r="AL125" s="312">
        <f>+AC125/'MWh by month-WgtbyCDH&amp;DayLtHrs'!AC125-1</f>
        <v>-0.26210260723619805</v>
      </c>
      <c r="AM125" s="89">
        <f t="shared" si="41"/>
        <v>245869.52846877064</v>
      </c>
      <c r="AN125" s="93"/>
      <c r="AO125" s="96">
        <f t="shared" si="61"/>
        <v>51.803317776106638</v>
      </c>
      <c r="AP125" s="92">
        <f t="shared" si="60"/>
        <v>3.8949862989553861E-3</v>
      </c>
      <c r="AR125" s="94">
        <f t="shared" si="42"/>
        <v>6.9236154657704415E-3</v>
      </c>
      <c r="AS125" s="95">
        <v>536870.30337730492</v>
      </c>
      <c r="AU125" s="141">
        <v>92.084085694746875</v>
      </c>
    </row>
    <row r="126" spans="1:47">
      <c r="A126" s="78">
        <v>2015</v>
      </c>
      <c r="B126" s="78">
        <v>2</v>
      </c>
      <c r="C126" s="317">
        <v>0</v>
      </c>
      <c r="D126" s="318">
        <f>C126/(SUM(C$125:C$136))</f>
        <v>0</v>
      </c>
      <c r="E126" s="321">
        <f>$D126*'MWh Impact Summary'!B$21</f>
        <v>0</v>
      </c>
      <c r="F126" s="319">
        <f>$D126*'MWh Impact Summary'!N$21</f>
        <v>0</v>
      </c>
      <c r="G126" s="319">
        <f>$D126*'MWh Impact Summary'!C$21</f>
        <v>0</v>
      </c>
      <c r="H126" s="319">
        <f>$D126*'MWh Impact Summary'!D$21</f>
        <v>0</v>
      </c>
      <c r="I126" s="319">
        <f>$D126*'MWh Impact Summary'!E$21</f>
        <v>0</v>
      </c>
      <c r="J126" s="104">
        <f t="shared" si="43"/>
        <v>0</v>
      </c>
      <c r="K126" s="298">
        <f t="shared" si="51"/>
        <v>12.733333333333333</v>
      </c>
      <c r="L126" s="300">
        <f t="shared" si="63"/>
        <v>8.9639798193124468E-2</v>
      </c>
      <c r="M126" s="297">
        <f>(28/365)</f>
        <v>7.6712328767123292E-2</v>
      </c>
      <c r="N126" s="304">
        <f>$M126*'MWh Impact Summary'!F$21</f>
        <v>73652.347036295672</v>
      </c>
      <c r="O126" s="304">
        <f>$M126*'MWh Impact Summary'!G$21</f>
        <v>651.16060486297363</v>
      </c>
      <c r="P126" s="304">
        <f>$M126*'MWh Impact Summary'!H$21</f>
        <v>3821.5776644035941</v>
      </c>
      <c r="Q126" s="320">
        <f>$D126*'MWh Impact Summary'!I$21</f>
        <v>0</v>
      </c>
      <c r="R126" s="304">
        <f>$M126*'MWh Impact Summary'!J$21</f>
        <v>20715.214735225774</v>
      </c>
      <c r="S126" s="304">
        <f>$M126*'MWh Impact Summary'!K$21</f>
        <v>3061.082113462553</v>
      </c>
      <c r="T126" s="304">
        <f>$M126*'MWh Impact Summary'!L$21</f>
        <v>1150.764025227674</v>
      </c>
      <c r="U126" s="304">
        <f>$M126*'MWh Impact Summary'!M$21</f>
        <v>3374.8793807049674</v>
      </c>
      <c r="V126" s="304">
        <f>$M126*'LED Impact Forecast'!$H$22+$D126*'LED Impact Forecast'!$J$22</f>
        <v>4605.7682161397197</v>
      </c>
      <c r="W126" s="304">
        <f>$M126*'CFL Impact Forecast'!$H$22+$D126*'CFL Impact Forecast'!$J$22</f>
        <v>222075.70313308318</v>
      </c>
      <c r="X126" s="304">
        <f>$M126*'EISA Incand Impact Forecast'!$G$22+$D126*'EISA Incand Impact Forecast'!$I$22</f>
        <v>61646.876991761863</v>
      </c>
      <c r="Y126" s="85">
        <f t="shared" si="35"/>
        <v>394755.373901168</v>
      </c>
      <c r="Z126" s="81">
        <f t="shared" si="36"/>
        <v>394755.373901168</v>
      </c>
      <c r="AA126" s="81"/>
      <c r="AB126" s="81">
        <f>+'MWh by mo-WgtbyActulCDH&amp;Days'!AB126</f>
        <v>4753351</v>
      </c>
      <c r="AC126" s="308">
        <f t="shared" si="44"/>
        <v>83.047806463517631</v>
      </c>
      <c r="AD126" s="309">
        <f t="shared" si="37"/>
        <v>0</v>
      </c>
      <c r="AE126" s="107">
        <f t="shared" si="38"/>
        <v>0</v>
      </c>
      <c r="AF126" s="309">
        <f t="shared" si="45"/>
        <v>83.047806463517631</v>
      </c>
      <c r="AG126" s="107">
        <f t="shared" si="39"/>
        <v>6.5220790416375112E-3</v>
      </c>
      <c r="AH126" s="119">
        <f t="shared" si="46"/>
        <v>6.5220790416375112E-3</v>
      </c>
      <c r="AI126" s="122">
        <f t="shared" si="40"/>
        <v>6.5220790416375112E-3</v>
      </c>
      <c r="AJ126" s="87" t="b">
        <f t="shared" si="47"/>
        <v>1</v>
      </c>
      <c r="AK126" s="88">
        <f t="shared" si="52"/>
        <v>9.3795790127257448E-4</v>
      </c>
      <c r="AL126" s="312">
        <f>+AC126/'MWh by month-WgtbyCDH&amp;DayLtHrs'!AC126-1</f>
        <v>-0.3300375134787531</v>
      </c>
      <c r="AM126" s="89">
        <f t="shared" si="41"/>
        <v>222075.70313308318</v>
      </c>
      <c r="AN126" s="93"/>
      <c r="AO126" s="96">
        <f t="shared" si="61"/>
        <v>46.719820003421418</v>
      </c>
      <c r="AP126" s="92">
        <f t="shared" si="60"/>
        <v>3.6690958117870224E-3</v>
      </c>
      <c r="AR126" s="94">
        <f t="shared" si="42"/>
        <v>6.5220790416375112E-3</v>
      </c>
      <c r="AS126" s="95">
        <v>498744.60648130899</v>
      </c>
      <c r="AU126" s="141">
        <v>83.047806463517631</v>
      </c>
    </row>
    <row r="127" spans="1:47">
      <c r="A127" s="78">
        <v>2015</v>
      </c>
      <c r="B127" s="78">
        <v>3</v>
      </c>
      <c r="C127" s="317">
        <v>0</v>
      </c>
      <c r="D127" s="318">
        <f>C127/(SUM(C$125:C$136))</f>
        <v>0</v>
      </c>
      <c r="E127" s="321">
        <f>$D127*'MWh Impact Summary'!B$21</f>
        <v>0</v>
      </c>
      <c r="F127" s="319">
        <f>$D127*'MWh Impact Summary'!N$21</f>
        <v>0</v>
      </c>
      <c r="G127" s="319">
        <f>$D127*'MWh Impact Summary'!C$21</f>
        <v>0</v>
      </c>
      <c r="H127" s="319">
        <f>$D127*'MWh Impact Summary'!D$21</f>
        <v>0</v>
      </c>
      <c r="I127" s="319">
        <f>$D127*'MWh Impact Summary'!E$21</f>
        <v>0</v>
      </c>
      <c r="J127" s="104">
        <f t="shared" si="43"/>
        <v>0</v>
      </c>
      <c r="K127" s="298">
        <f t="shared" si="51"/>
        <v>12</v>
      </c>
      <c r="L127" s="300">
        <f t="shared" si="63"/>
        <v>8.4477296726504739E-2</v>
      </c>
      <c r="M127" s="297">
        <f t="shared" ref="M127:M136" si="65">(31/365)</f>
        <v>8.4931506849315067E-2</v>
      </c>
      <c r="N127" s="304">
        <f>$M127*'MWh Impact Summary'!F$21</f>
        <v>81543.66993304163</v>
      </c>
      <c r="O127" s="304">
        <f>$M127*'MWh Impact Summary'!G$21</f>
        <v>720.92781252686359</v>
      </c>
      <c r="P127" s="304">
        <f>$M127*'MWh Impact Summary'!H$21</f>
        <v>4231.0324141611218</v>
      </c>
      <c r="Q127" s="320">
        <f>$D127*'MWh Impact Summary'!I$21</f>
        <v>0</v>
      </c>
      <c r="R127" s="304">
        <f>$M127*'MWh Impact Summary'!J$21</f>
        <v>22934.702028285679</v>
      </c>
      <c r="S127" s="304">
        <f>$M127*'MWh Impact Summary'!K$21</f>
        <v>3389.0551970478264</v>
      </c>
      <c r="T127" s="304">
        <f>$M127*'MWh Impact Summary'!L$21</f>
        <v>1274.0601707877818</v>
      </c>
      <c r="U127" s="304">
        <f>$M127*'MWh Impact Summary'!M$21</f>
        <v>3736.4736000662137</v>
      </c>
      <c r="V127" s="304">
        <f>$M127*'LED Impact Forecast'!$H$22+$D127*'LED Impact Forecast'!$J$22</f>
        <v>5099.2433821546892</v>
      </c>
      <c r="W127" s="304">
        <f>$M127*'CFL Impact Forecast'!$H$22+$D127*'CFL Impact Forecast'!$J$22</f>
        <v>245869.52846877064</v>
      </c>
      <c r="X127" s="304">
        <f>$M127*'EISA Incand Impact Forecast'!$G$22+$D127*'EISA Incand Impact Forecast'!$I$22</f>
        <v>68251.899526593494</v>
      </c>
      <c r="Y127" s="85">
        <f t="shared" si="35"/>
        <v>437050.59253343596</v>
      </c>
      <c r="Z127" s="81">
        <f t="shared" si="36"/>
        <v>437050.59253343596</v>
      </c>
      <c r="AA127" s="81"/>
      <c r="AB127" s="81">
        <f>+'MWh by mo-WgtbyActulCDH&amp;Days'!AB127</f>
        <v>4761186</v>
      </c>
      <c r="AC127" s="308">
        <f t="shared" si="44"/>
        <v>91.794479890816262</v>
      </c>
      <c r="AD127" s="309">
        <f t="shared" si="37"/>
        <v>0</v>
      </c>
      <c r="AE127" s="107">
        <f t="shared" si="38"/>
        <v>0</v>
      </c>
      <c r="AF127" s="309">
        <f t="shared" si="45"/>
        <v>91.794479890816262</v>
      </c>
      <c r="AG127" s="107">
        <f t="shared" si="39"/>
        <v>7.6495399909013552E-3</v>
      </c>
      <c r="AH127" s="119">
        <f t="shared" si="46"/>
        <v>7.6495399909013552E-3</v>
      </c>
      <c r="AI127" s="122">
        <f t="shared" si="40"/>
        <v>7.6495399909013552E-3</v>
      </c>
      <c r="AJ127" s="87" t="b">
        <f t="shared" si="47"/>
        <v>1</v>
      </c>
      <c r="AK127" s="88">
        <f t="shared" si="52"/>
        <v>1.1001432808848115E-3</v>
      </c>
      <c r="AL127" s="312">
        <f>+AC127/'MWh by month-WgtbyCDH&amp;DayLtHrs'!AC127-1</f>
        <v>-0.29756986515745865</v>
      </c>
      <c r="AM127" s="89">
        <f t="shared" si="41"/>
        <v>245869.52846877064</v>
      </c>
      <c r="AN127" s="93"/>
      <c r="AO127" s="96">
        <f t="shared" si="61"/>
        <v>51.640395579750646</v>
      </c>
      <c r="AP127" s="92">
        <f t="shared" si="60"/>
        <v>4.3033662983125538E-3</v>
      </c>
      <c r="AR127" s="94">
        <f t="shared" si="42"/>
        <v>7.6495399909013552E-3</v>
      </c>
      <c r="AS127" s="95">
        <v>603983.5175966213</v>
      </c>
      <c r="AU127" s="141">
        <v>91.794479890816262</v>
      </c>
    </row>
    <row r="128" spans="1:47">
      <c r="A128" s="78">
        <v>2015</v>
      </c>
      <c r="B128" s="78">
        <v>4</v>
      </c>
      <c r="C128" s="317">
        <v>114.03392869270741</v>
      </c>
      <c r="D128" s="318">
        <f t="shared" ref="D128:D135" si="66">C128/(SUM(C$125:C$136))</f>
        <v>6.3428519090031305E-2</v>
      </c>
      <c r="E128" s="321">
        <f>$D128*'MWh Impact Summary'!B$21</f>
        <v>114553.28659565203</v>
      </c>
      <c r="F128" s="319">
        <f>$D128*'MWh Impact Summary'!N$21</f>
        <v>8725.2553777522007</v>
      </c>
      <c r="G128" s="319">
        <f>$D128*'MWh Impact Summary'!C$21</f>
        <v>94939.904626307209</v>
      </c>
      <c r="H128" s="319">
        <f>$D128*'MWh Impact Summary'!D$21</f>
        <v>309.26512266784715</v>
      </c>
      <c r="I128" s="319">
        <f>$D128*'MWh Impact Summary'!E$21</f>
        <v>37723.374902837306</v>
      </c>
      <c r="J128" s="104">
        <f t="shared" si="43"/>
        <v>256251.08662521659</v>
      </c>
      <c r="K128" s="298">
        <f t="shared" si="51"/>
        <v>11.2</v>
      </c>
      <c r="L128" s="300">
        <f t="shared" si="63"/>
        <v>7.8845476944737758E-2</v>
      </c>
      <c r="M128" s="297">
        <f>(30/365)</f>
        <v>8.2191780821917804E-2</v>
      </c>
      <c r="N128" s="304">
        <f>$M128*'MWh Impact Summary'!F$21</f>
        <v>78913.22896745964</v>
      </c>
      <c r="O128" s="304">
        <f>$M128*'MWh Impact Summary'!G$21</f>
        <v>697.67207663890019</v>
      </c>
      <c r="P128" s="304">
        <f>$M128*'MWh Impact Summary'!H$21</f>
        <v>4094.5474975752791</v>
      </c>
      <c r="Q128" s="320">
        <f>$D128*'MWh Impact Summary'!I$21</f>
        <v>779.56399769138909</v>
      </c>
      <c r="R128" s="304">
        <f>$M128*'MWh Impact Summary'!J$21</f>
        <v>22194.872930599042</v>
      </c>
      <c r="S128" s="304">
        <f>$M128*'MWh Impact Summary'!K$21</f>
        <v>3279.7308358527348</v>
      </c>
      <c r="T128" s="304">
        <f>$M128*'MWh Impact Summary'!L$21</f>
        <v>1232.9614556010793</v>
      </c>
      <c r="U128" s="304">
        <f>$M128*'MWh Impact Summary'!M$21</f>
        <v>3615.942193612465</v>
      </c>
      <c r="V128" s="304">
        <f>$M128*'LED Impact Forecast'!$H$22+$D128*'LED Impact Forecast'!$J$22</f>
        <v>5219.5908602743812</v>
      </c>
      <c r="W128" s="304">
        <f>$M128*'CFL Impact Forecast'!$H$22+$D128*'CFL Impact Forecast'!$J$22</f>
        <v>269063.94817934511</v>
      </c>
      <c r="X128" s="304">
        <f>$M128*'EISA Incand Impact Forecast'!$G$22+$D128*'EISA Incand Impact Forecast'!$I$22</f>
        <v>75365.826916369915</v>
      </c>
      <c r="Y128" s="85">
        <f t="shared" si="35"/>
        <v>464457.88591101993</v>
      </c>
      <c r="Z128" s="81">
        <f t="shared" si="36"/>
        <v>720708.97253623651</v>
      </c>
      <c r="AA128" s="81"/>
      <c r="AB128" s="81">
        <f>+'MWh by mo-WgtbyActulCDH&amp;Days'!AB128</f>
        <v>4765589</v>
      </c>
      <c r="AC128" s="308">
        <f t="shared" si="44"/>
        <v>151.23187764119746</v>
      </c>
      <c r="AD128" s="309">
        <f t="shared" si="37"/>
        <v>53.771126008813724</v>
      </c>
      <c r="AE128" s="107">
        <f t="shared" si="38"/>
        <v>4.8009933936440825E-3</v>
      </c>
      <c r="AF128" s="309">
        <f t="shared" si="45"/>
        <v>97.460751632383719</v>
      </c>
      <c r="AG128" s="107">
        <f t="shared" si="39"/>
        <v>8.7018528243199746E-3</v>
      </c>
      <c r="AH128" s="119">
        <f t="shared" si="46"/>
        <v>1.3502846217964057E-2</v>
      </c>
      <c r="AI128" s="122">
        <f t="shared" si="40"/>
        <v>1.3502846217964059E-2</v>
      </c>
      <c r="AJ128" s="87" t="b">
        <f t="shared" si="47"/>
        <v>1</v>
      </c>
      <c r="AK128" s="88">
        <f t="shared" si="52"/>
        <v>7.8679762617712805E-4</v>
      </c>
      <c r="AL128" s="312">
        <f>+AC128/'MWh by month-WgtbyCDH&amp;DayLtHrs'!AC128-1</f>
        <v>3.9131507567200963E-2</v>
      </c>
      <c r="AM128" s="89">
        <f t="shared" si="41"/>
        <v>269063.94817934511</v>
      </c>
      <c r="AN128" s="93"/>
      <c r="AO128" s="96">
        <f t="shared" si="61"/>
        <v>56.459746776179216</v>
      </c>
      <c r="AP128" s="92">
        <f t="shared" si="60"/>
        <v>5.0410488193017161E-3</v>
      </c>
      <c r="AR128" s="94">
        <f t="shared" si="42"/>
        <v>1.3502846217964059E-2</v>
      </c>
      <c r="AS128" s="95">
        <v>709662.42917555431</v>
      </c>
      <c r="AU128" s="141">
        <v>151.23187764119746</v>
      </c>
    </row>
    <row r="129" spans="1:47">
      <c r="A129" s="78">
        <v>2015</v>
      </c>
      <c r="B129" s="78">
        <v>5</v>
      </c>
      <c r="C129" s="317">
        <v>208.47875842628665</v>
      </c>
      <c r="D129" s="318">
        <f t="shared" si="66"/>
        <v>0.11596109210918912</v>
      </c>
      <c r="E129" s="321">
        <f>$D129*'MWh Impact Summary'!B$21</f>
        <v>209428.25733442782</v>
      </c>
      <c r="F129" s="319">
        <f>$D129*'MWh Impact Summary'!N$21</f>
        <v>15951.659553955089</v>
      </c>
      <c r="G129" s="319">
        <f>$D129*'MWh Impact Summary'!C$21</f>
        <v>173570.74046742349</v>
      </c>
      <c r="H129" s="319">
        <f>$D129*'MWh Impact Summary'!D$21</f>
        <v>565.40373148144693</v>
      </c>
      <c r="I129" s="319">
        <f>$D129*'MWh Impact Summary'!E$21</f>
        <v>68966.512454251773</v>
      </c>
      <c r="J129" s="104">
        <f t="shared" si="43"/>
        <v>468482.5735415396</v>
      </c>
      <c r="K129" s="298">
        <f t="shared" si="51"/>
        <v>10.533333333333333</v>
      </c>
      <c r="L129" s="300">
        <f t="shared" si="63"/>
        <v>7.4152293793265281E-2</v>
      </c>
      <c r="M129" s="297">
        <f t="shared" si="65"/>
        <v>8.4931506849315067E-2</v>
      </c>
      <c r="N129" s="304">
        <f>$M129*'MWh Impact Summary'!F$21</f>
        <v>81543.66993304163</v>
      </c>
      <c r="O129" s="304">
        <f>$M129*'MWh Impact Summary'!G$21</f>
        <v>720.92781252686359</v>
      </c>
      <c r="P129" s="304">
        <f>$M129*'MWh Impact Summary'!H$21</f>
        <v>4231.0324141611218</v>
      </c>
      <c r="Q129" s="320">
        <f>$D129*'MWh Impact Summary'!I$21</f>
        <v>1425.2120944678713</v>
      </c>
      <c r="R129" s="304">
        <f>$M129*'MWh Impact Summary'!J$21</f>
        <v>22934.702028285679</v>
      </c>
      <c r="S129" s="304">
        <f>$M129*'MWh Impact Summary'!K$21</f>
        <v>3389.0551970478264</v>
      </c>
      <c r="T129" s="304">
        <f>$M129*'MWh Impact Summary'!L$21</f>
        <v>1274.0601707877818</v>
      </c>
      <c r="U129" s="304">
        <f>$M129*'MWh Impact Summary'!M$21</f>
        <v>3736.4736000662137</v>
      </c>
      <c r="V129" s="304">
        <f>$M129*'LED Impact Forecast'!$H$22+$D129*'LED Impact Forecast'!$J$22</f>
        <v>5619.9912286412582</v>
      </c>
      <c r="W129" s="304">
        <f>$M129*'CFL Impact Forecast'!$H$22+$D129*'CFL Impact Forecast'!$J$22</f>
        <v>302774.0505363252</v>
      </c>
      <c r="X129" s="304">
        <f>$M129*'EISA Incand Impact Forecast'!$G$22+$D129*'EISA Incand Impact Forecast'!$I$22</f>
        <v>85282.83997709112</v>
      </c>
      <c r="Y129" s="85">
        <f t="shared" si="35"/>
        <v>512932.01499244256</v>
      </c>
      <c r="Z129" s="81">
        <f t="shared" si="36"/>
        <v>981414.58853398217</v>
      </c>
      <c r="AA129" s="81"/>
      <c r="AB129" s="81">
        <f>+'MWh by mo-WgtbyActulCDH&amp;Days'!AB129</f>
        <v>4767866</v>
      </c>
      <c r="AC129" s="308">
        <f t="shared" si="44"/>
        <v>205.83938150400664</v>
      </c>
      <c r="AD129" s="309">
        <f t="shared" si="37"/>
        <v>98.258334764764697</v>
      </c>
      <c r="AE129" s="107">
        <f t="shared" si="38"/>
        <v>9.3283229207055101E-3</v>
      </c>
      <c r="AF129" s="309">
        <f t="shared" si="45"/>
        <v>107.58104673924194</v>
      </c>
      <c r="AG129" s="107">
        <f t="shared" si="39"/>
        <v>1.0213390513219173E-2</v>
      </c>
      <c r="AH129" s="119">
        <f t="shared" si="46"/>
        <v>1.9541713433924683E-2</v>
      </c>
      <c r="AI129" s="122">
        <f t="shared" si="40"/>
        <v>1.954171343392468E-2</v>
      </c>
      <c r="AJ129" s="87" t="b">
        <f t="shared" si="47"/>
        <v>1</v>
      </c>
      <c r="AK129" s="88">
        <f t="shared" si="52"/>
        <v>1.9495048893958672E-3</v>
      </c>
      <c r="AL129" s="312">
        <f>+AC129/'MWh by month-WgtbyCDH&amp;DayLtHrs'!AC129-1</f>
        <v>0.13796789547866029</v>
      </c>
      <c r="AM129" s="89">
        <f t="shared" si="41"/>
        <v>302774.0505363252</v>
      </c>
      <c r="AN129" s="93"/>
      <c r="AO129" s="96">
        <f t="shared" si="61"/>
        <v>63.503053679848641</v>
      </c>
      <c r="AP129" s="92">
        <f t="shared" si="60"/>
        <v>6.0287709189729725E-3</v>
      </c>
      <c r="AR129" s="94">
        <f t="shared" si="42"/>
        <v>1.954171343392468E-2</v>
      </c>
      <c r="AS129" s="95">
        <v>853466.02375972236</v>
      </c>
      <c r="AU129" s="141">
        <v>205.83938150400664</v>
      </c>
    </row>
    <row r="130" spans="1:47">
      <c r="A130" s="78">
        <v>2015</v>
      </c>
      <c r="B130" s="78">
        <v>6</v>
      </c>
      <c r="C130" s="317">
        <v>271.66325293295364</v>
      </c>
      <c r="D130" s="318">
        <f t="shared" si="66"/>
        <v>0.15110588596093688</v>
      </c>
      <c r="E130" s="321">
        <f>$D130*'MWh Impact Summary'!B$21</f>
        <v>272900.5202880982</v>
      </c>
      <c r="F130" s="319">
        <f>$D130*'MWh Impact Summary'!N$21</f>
        <v>20786.193072224614</v>
      </c>
      <c r="G130" s="319">
        <f>$D130*'MWh Impact Summary'!C$21</f>
        <v>226175.52179079136</v>
      </c>
      <c r="H130" s="319">
        <f>$D130*'MWh Impact Summary'!D$21</f>
        <v>736.76291087942855</v>
      </c>
      <c r="I130" s="319">
        <f>$D130*'MWh Impact Summary'!E$21</f>
        <v>89868.470333334248</v>
      </c>
      <c r="J130" s="104">
        <f t="shared" si="43"/>
        <v>610467.46839532792</v>
      </c>
      <c r="K130" s="298">
        <f t="shared" si="51"/>
        <v>10.199999999999999</v>
      </c>
      <c r="L130" s="300">
        <f t="shared" si="63"/>
        <v>7.1805702217529022E-2</v>
      </c>
      <c r="M130" s="297">
        <f>(30/365)</f>
        <v>8.2191780821917804E-2</v>
      </c>
      <c r="N130" s="304">
        <f>$M130*'MWh Impact Summary'!F$21</f>
        <v>78913.22896745964</v>
      </c>
      <c r="O130" s="304">
        <f>$M130*'MWh Impact Summary'!G$21</f>
        <v>697.67207663890019</v>
      </c>
      <c r="P130" s="304">
        <f>$M130*'MWh Impact Summary'!H$21</f>
        <v>4094.5474975752791</v>
      </c>
      <c r="Q130" s="320">
        <f>$D130*'MWh Impact Summary'!I$21</f>
        <v>1857.156847177921</v>
      </c>
      <c r="R130" s="304">
        <f>$M130*'MWh Impact Summary'!J$21</f>
        <v>22194.872930599042</v>
      </c>
      <c r="S130" s="304">
        <f>$M130*'MWh Impact Summary'!K$21</f>
        <v>3279.7308358527348</v>
      </c>
      <c r="T130" s="304">
        <f>$M130*'MWh Impact Summary'!L$21</f>
        <v>1232.9614556010793</v>
      </c>
      <c r="U130" s="304">
        <f>$M130*'MWh Impact Summary'!M$21</f>
        <v>3615.942193612465</v>
      </c>
      <c r="V130" s="304">
        <f>$M130*'LED Impact Forecast'!$H$22+$D130*'LED Impact Forecast'!$J$22</f>
        <v>5613.3246476437289</v>
      </c>
      <c r="W130" s="304">
        <f>$M130*'CFL Impact Forecast'!$H$22+$D130*'CFL Impact Forecast'!$J$22</f>
        <v>312089.05743954983</v>
      </c>
      <c r="X130" s="304">
        <f>$M130*'EISA Incand Impact Forecast'!$G$22+$D130*'EISA Incand Impact Forecast'!$I$22</f>
        <v>88242.801312478579</v>
      </c>
      <c r="Y130" s="85">
        <f t="shared" si="35"/>
        <v>521831.29620418919</v>
      </c>
      <c r="Z130" s="81">
        <f t="shared" si="36"/>
        <v>1132298.764599517</v>
      </c>
      <c r="AA130" s="81"/>
      <c r="AB130" s="81">
        <f>+'MWh by mo-WgtbyActulCDH&amp;Days'!AB130</f>
        <v>4772498</v>
      </c>
      <c r="AC130" s="308">
        <f t="shared" si="44"/>
        <v>237.25494795377952</v>
      </c>
      <c r="AD130" s="309">
        <f t="shared" si="37"/>
        <v>127.91361429493065</v>
      </c>
      <c r="AE130" s="107">
        <f t="shared" si="38"/>
        <v>1.2540550421071633E-2</v>
      </c>
      <c r="AF130" s="309">
        <f t="shared" si="45"/>
        <v>109.34133365884892</v>
      </c>
      <c r="AG130" s="107">
        <f t="shared" si="39"/>
        <v>1.0719738594004796E-2</v>
      </c>
      <c r="AH130" s="119">
        <f t="shared" si="46"/>
        <v>2.326028901507643E-2</v>
      </c>
      <c r="AI130" s="122">
        <f t="shared" si="40"/>
        <v>2.3260289015076423E-2</v>
      </c>
      <c r="AJ130" s="87">
        <f>AH130-AI130</f>
        <v>0</v>
      </c>
      <c r="AK130" s="88">
        <f t="shared" si="52"/>
        <v>4.0755320248045089E-3</v>
      </c>
      <c r="AL130" s="312">
        <f>+AC130/'MWh by month-WgtbyCDH&amp;DayLtHrs'!AC130-1</f>
        <v>0.15581467766611756</v>
      </c>
      <c r="AM130" s="89">
        <f t="shared" si="41"/>
        <v>312089.05743954983</v>
      </c>
      <c r="AN130" s="93"/>
      <c r="AO130" s="96">
        <f t="shared" si="61"/>
        <v>65.393229591620525</v>
      </c>
      <c r="AP130" s="92">
        <f t="shared" si="60"/>
        <v>6.4111009403549539E-3</v>
      </c>
      <c r="AR130" s="94">
        <f t="shared" si="42"/>
        <v>2.3260289015076423E-2</v>
      </c>
      <c r="AS130" s="95">
        <v>1041990.050347965</v>
      </c>
      <c r="AU130" s="141">
        <v>237.25494795377952</v>
      </c>
    </row>
    <row r="131" spans="1:47">
      <c r="A131" s="78">
        <v>2015</v>
      </c>
      <c r="B131" s="78">
        <v>7</v>
      </c>
      <c r="C131" s="317">
        <v>322.31916585708109</v>
      </c>
      <c r="D131" s="318">
        <f t="shared" si="66"/>
        <v>0.17928196984022934</v>
      </c>
      <c r="E131" s="321">
        <f>$D131*'MWh Impact Summary'!B$21</f>
        <v>323787.14129191404</v>
      </c>
      <c r="F131" s="319">
        <f>$D131*'MWh Impact Summary'!N$21</f>
        <v>24662.107738352006</v>
      </c>
      <c r="G131" s="319">
        <f>$D131*'MWh Impact Summary'!C$21</f>
        <v>268349.52734255075</v>
      </c>
      <c r="H131" s="319">
        <f>$D131*'MWh Impact Summary'!D$21</f>
        <v>874.14401581836512</v>
      </c>
      <c r="I131" s="319">
        <f>$D131*'MWh Impact Summary'!E$21</f>
        <v>106625.86890925953</v>
      </c>
      <c r="J131" s="104">
        <f t="shared" si="43"/>
        <v>724298.78929789481</v>
      </c>
      <c r="K131" s="298">
        <f t="shared" si="51"/>
        <v>10.366666666666667</v>
      </c>
      <c r="L131" s="300">
        <f t="shared" si="63"/>
        <v>7.2978998005397158E-2</v>
      </c>
      <c r="M131" s="297">
        <f t="shared" si="65"/>
        <v>8.4931506849315067E-2</v>
      </c>
      <c r="N131" s="304">
        <f>$M131*'MWh Impact Summary'!F$21</f>
        <v>81543.66993304163</v>
      </c>
      <c r="O131" s="304">
        <f>$M131*'MWh Impact Summary'!G$21</f>
        <v>720.92781252686359</v>
      </c>
      <c r="P131" s="304">
        <f>$M131*'MWh Impact Summary'!H$21</f>
        <v>4231.0324141611218</v>
      </c>
      <c r="Q131" s="320">
        <f>$D131*'MWh Impact Summary'!I$21</f>
        <v>2203.453133191656</v>
      </c>
      <c r="R131" s="304">
        <f>$M131*'MWh Impact Summary'!J$21</f>
        <v>22934.702028285679</v>
      </c>
      <c r="S131" s="304">
        <f>$M131*'MWh Impact Summary'!K$21</f>
        <v>3389.0551970478264</v>
      </c>
      <c r="T131" s="304">
        <f>$M131*'MWh Impact Summary'!L$21</f>
        <v>1274.0601707877818</v>
      </c>
      <c r="U131" s="304">
        <f>$M131*'MWh Impact Summary'!M$21</f>
        <v>3736.4736000662137</v>
      </c>
      <c r="V131" s="304">
        <f>$M131*'LED Impact Forecast'!$H$22+$D131*'LED Impact Forecast'!$J$22</f>
        <v>5904.3470424432689</v>
      </c>
      <c r="W131" s="304">
        <f>$M131*'CFL Impact Forecast'!$H$22+$D131*'CFL Impact Forecast'!$J$22</f>
        <v>333846.92350297573</v>
      </c>
      <c r="X131" s="304">
        <f>$M131*'EISA Incand Impact Forecast'!$G$22+$D131*'EISA Incand Impact Forecast'!$I$22</f>
        <v>94582.632504874055</v>
      </c>
      <c r="Y131" s="85">
        <f t="shared" si="35"/>
        <v>554367.27733940177</v>
      </c>
      <c r="Z131" s="81">
        <f t="shared" si="36"/>
        <v>1278666.0666372967</v>
      </c>
      <c r="AA131" s="81"/>
      <c r="AB131" s="262">
        <f>+'MWh by mo-WgtbyActulCDH&amp;Days'!AB131</f>
        <v>4784923.7420767779</v>
      </c>
      <c r="AC131" s="308">
        <f t="shared" si="44"/>
        <v>267.22809715716039</v>
      </c>
      <c r="AD131" s="309">
        <f t="shared" si="37"/>
        <v>151.37102038402202</v>
      </c>
      <c r="AE131" s="107">
        <f t="shared" si="38"/>
        <v>1.4601706146368682E-2</v>
      </c>
      <c r="AF131" s="309">
        <f t="shared" si="45"/>
        <v>115.85707677313836</v>
      </c>
      <c r="AG131" s="107">
        <f t="shared" si="39"/>
        <v>1.1175923804482799E-2</v>
      </c>
      <c r="AH131" s="119">
        <f t="shared" si="46"/>
        <v>2.5777629950851481E-2</v>
      </c>
      <c r="AI131" s="122">
        <f t="shared" si="40"/>
        <v>2.5777629950851484E-2</v>
      </c>
      <c r="AJ131" s="87" t="b">
        <f t="shared" si="47"/>
        <v>1</v>
      </c>
      <c r="AK131" s="88">
        <f t="shared" si="52"/>
        <v>3.6839865142754141E-3</v>
      </c>
      <c r="AL131" s="312">
        <f>+AC131/'MWh by month-WgtbyCDH&amp;DayLtHrs'!AC131-1</f>
        <v>0.17304764634078951</v>
      </c>
      <c r="AM131" s="89">
        <f t="shared" si="41"/>
        <v>333846.92350297573</v>
      </c>
      <c r="AN131" s="93"/>
      <c r="AO131" s="96">
        <f t="shared" si="61"/>
        <v>69.770583921171891</v>
      </c>
      <c r="AP131" s="92">
        <f t="shared" si="60"/>
        <v>6.7302814071869988E-3</v>
      </c>
      <c r="AR131" s="94">
        <f t="shared" si="42"/>
        <v>2.5777629950851484E-2</v>
      </c>
      <c r="AS131" s="95">
        <v>1096095.832950097</v>
      </c>
      <c r="AU131" s="141">
        <v>267.22809715716039</v>
      </c>
    </row>
    <row r="132" spans="1:47">
      <c r="A132" s="78">
        <v>2015</v>
      </c>
      <c r="B132" s="78">
        <v>8</v>
      </c>
      <c r="C132" s="317">
        <v>326.45437890907908</v>
      </c>
      <c r="D132" s="318">
        <f t="shared" si="66"/>
        <v>0.18158207861502046</v>
      </c>
      <c r="E132" s="321">
        <f>$D132*'MWh Impact Summary'!B$21</f>
        <v>327941.18782271555</v>
      </c>
      <c r="F132" s="319">
        <f>$D132*'MWh Impact Summary'!N$21</f>
        <v>24978.511727355359</v>
      </c>
      <c r="G132" s="319">
        <f>$D132*'MWh Impact Summary'!C$21</f>
        <v>271792.33368332061</v>
      </c>
      <c r="H132" s="319">
        <f>$D132*'MWh Impact Summary'!D$21</f>
        <v>885.35889884874894</v>
      </c>
      <c r="I132" s="319">
        <f>$D132*'MWh Impact Summary'!E$21</f>
        <v>107993.8318835423</v>
      </c>
      <c r="J132" s="104">
        <f t="shared" si="43"/>
        <v>733591.22401578259</v>
      </c>
      <c r="K132" s="298">
        <f t="shared" si="51"/>
        <v>10.933333333333334</v>
      </c>
      <c r="L132" s="300">
        <f t="shared" si="63"/>
        <v>7.6968203684148764E-2</v>
      </c>
      <c r="M132" s="297">
        <f t="shared" si="65"/>
        <v>8.4931506849315067E-2</v>
      </c>
      <c r="N132" s="304">
        <f>$M132*'MWh Impact Summary'!F$21</f>
        <v>81543.66993304163</v>
      </c>
      <c r="O132" s="304">
        <f>$M132*'MWh Impact Summary'!G$21</f>
        <v>720.92781252686359</v>
      </c>
      <c r="P132" s="304">
        <f>$M132*'MWh Impact Summary'!H$21</f>
        <v>4231.0324141611218</v>
      </c>
      <c r="Q132" s="320">
        <f>$D132*'MWh Impact Summary'!I$21</f>
        <v>2231.7224671966969</v>
      </c>
      <c r="R132" s="304">
        <f>$M132*'MWh Impact Summary'!J$21</f>
        <v>22934.702028285679</v>
      </c>
      <c r="S132" s="304">
        <f>$M132*'MWh Impact Summary'!K$21</f>
        <v>3389.0551970478264</v>
      </c>
      <c r="T132" s="304">
        <f>$M132*'MWh Impact Summary'!L$21</f>
        <v>1274.0601707877818</v>
      </c>
      <c r="U132" s="304">
        <f>$M132*'MWh Impact Summary'!M$21</f>
        <v>3736.4736000662137</v>
      </c>
      <c r="V132" s="304">
        <f>$M132*'LED Impact Forecast'!$H$22+$D132*'LED Impact Forecast'!$J$22</f>
        <v>5914.6761680954278</v>
      </c>
      <c r="W132" s="304">
        <f>$M132*'CFL Impact Forecast'!$H$22+$D132*'CFL Impact Forecast'!$J$22</f>
        <v>334975.63476424635</v>
      </c>
      <c r="X132" s="304">
        <f>$M132*'EISA Incand Impact Forecast'!$G$22+$D132*'EISA Incand Impact Forecast'!$I$22</f>
        <v>94920.444221378508</v>
      </c>
      <c r="Y132" s="85">
        <f t="shared" si="35"/>
        <v>555872.39877683413</v>
      </c>
      <c r="Z132" s="81">
        <f t="shared" si="36"/>
        <v>1289463.6227926167</v>
      </c>
      <c r="AA132" s="81"/>
      <c r="AB132" s="262">
        <f>+'MWh by mo-WgtbyActulCDH&amp;Days'!AB132</f>
        <v>4793100.8139620237</v>
      </c>
      <c r="AC132" s="308">
        <f t="shared" si="44"/>
        <v>269.02493246886945</v>
      </c>
      <c r="AD132" s="309">
        <f t="shared" si="37"/>
        <v>153.05149056720737</v>
      </c>
      <c r="AE132" s="107">
        <f t="shared" si="38"/>
        <v>1.3998611942122624E-2</v>
      </c>
      <c r="AF132" s="309">
        <f t="shared" si="45"/>
        <v>115.97344190166211</v>
      </c>
      <c r="AG132" s="107">
        <f t="shared" si="39"/>
        <v>1.0607327003200802E-2</v>
      </c>
      <c r="AH132" s="119">
        <f t="shared" si="46"/>
        <v>2.4605938945323425E-2</v>
      </c>
      <c r="AI132" s="122">
        <f t="shared" si="40"/>
        <v>2.4605938945323425E-2</v>
      </c>
      <c r="AJ132" s="87" t="b">
        <f t="shared" si="47"/>
        <v>1</v>
      </c>
      <c r="AK132" s="88">
        <f t="shared" si="52"/>
        <v>1.9376427600769422E-3</v>
      </c>
      <c r="AL132" s="312">
        <f>+AC132/'MWh by month-WgtbyCDH&amp;DayLtHrs'!AC132-1</f>
        <v>0.1513547697830675</v>
      </c>
      <c r="AM132" s="89">
        <f t="shared" si="41"/>
        <v>334975.63476424635</v>
      </c>
      <c r="AN132" s="93"/>
      <c r="AO132" s="96">
        <f t="shared" si="61"/>
        <v>69.887041346696023</v>
      </c>
      <c r="AP132" s="92">
        <f t="shared" si="60"/>
        <v>6.3921074402465868E-3</v>
      </c>
      <c r="AR132" s="94">
        <f t="shared" si="42"/>
        <v>2.4605938945323425E-2</v>
      </c>
      <c r="AS132" s="95">
        <v>1139559.6309116844</v>
      </c>
      <c r="AU132" s="141">
        <v>269.02493246886945</v>
      </c>
    </row>
    <row r="133" spans="1:47">
      <c r="A133" s="78">
        <v>2015</v>
      </c>
      <c r="B133" s="78">
        <v>9</v>
      </c>
      <c r="C133" s="317">
        <v>277.87653293728147</v>
      </c>
      <c r="D133" s="318">
        <f t="shared" si="66"/>
        <v>0.15456186747349368</v>
      </c>
      <c r="E133" s="321">
        <f>$D133*'MWh Impact Summary'!B$21</f>
        <v>279142.09815176012</v>
      </c>
      <c r="F133" s="319">
        <f>$D133*'MWh Impact Summary'!N$21</f>
        <v>21261.599430601778</v>
      </c>
      <c r="G133" s="319">
        <f>$D133*'MWh Impact Summary'!C$21</f>
        <v>231348.44021770117</v>
      </c>
      <c r="H133" s="319">
        <f>$D133*'MWh Impact Summary'!D$21</f>
        <v>753.61360456977945</v>
      </c>
      <c r="I133" s="319">
        <f>$D133*'MWh Impact Summary'!E$21</f>
        <v>91923.875191051382</v>
      </c>
      <c r="J133" s="104">
        <f t="shared" si="43"/>
        <v>624429.62659568421</v>
      </c>
      <c r="K133" s="298">
        <f t="shared" si="51"/>
        <v>11.683333333333334</v>
      </c>
      <c r="L133" s="300">
        <f>L121</f>
        <v>8.2248034729555317E-2</v>
      </c>
      <c r="M133" s="297">
        <f>(30/365)</f>
        <v>8.2191780821917804E-2</v>
      </c>
      <c r="N133" s="304">
        <f>$M133*'MWh Impact Summary'!F$21</f>
        <v>78913.22896745964</v>
      </c>
      <c r="O133" s="304">
        <f>$M133*'MWh Impact Summary'!G$21</f>
        <v>697.67207663890019</v>
      </c>
      <c r="P133" s="304">
        <f>$M133*'MWh Impact Summary'!H$21</f>
        <v>4094.5474975752791</v>
      </c>
      <c r="Q133" s="320">
        <f>$D133*'MWh Impact Summary'!I$21</f>
        <v>1899.6323582339521</v>
      </c>
      <c r="R133" s="304">
        <f>$M133*'MWh Impact Summary'!J$21</f>
        <v>22194.872930599042</v>
      </c>
      <c r="S133" s="304">
        <f>$M133*'MWh Impact Summary'!K$21</f>
        <v>3279.7308358527348</v>
      </c>
      <c r="T133" s="304">
        <f>$M133*'MWh Impact Summary'!L$21</f>
        <v>1232.9614556010793</v>
      </c>
      <c r="U133" s="304">
        <f>$M133*'MWh Impact Summary'!M$21</f>
        <v>3615.942193612465</v>
      </c>
      <c r="V133" s="304">
        <f>$M133*'LED Impact Forecast'!$H$22+$D133*'LED Impact Forecast'!$J$22</f>
        <v>5628.8444646567214</v>
      </c>
      <c r="W133" s="304">
        <f>$M133*'CFL Impact Forecast'!$H$22+$D133*'CFL Impact Forecast'!$J$22</f>
        <v>313784.9795171133</v>
      </c>
      <c r="X133" s="304">
        <f>$M133*'EISA Incand Impact Forecast'!$G$22+$D133*'EISA Incand Impact Forecast'!$I$22</f>
        <v>88750.373415050301</v>
      </c>
      <c r="Y133" s="85">
        <f t="shared" ref="Y133:Y196" si="67">SUM(N133:X133)</f>
        <v>524092.78571239347</v>
      </c>
      <c r="Z133" s="81">
        <f t="shared" ref="Z133:Z196" si="68">Y133+J133</f>
        <v>1148522.4123080778</v>
      </c>
      <c r="AA133" s="81"/>
      <c r="AB133" s="262">
        <f>+'MWh by mo-WgtbyActulCDH&amp;Days'!AB133</f>
        <v>4797009.9970391067</v>
      </c>
      <c r="AC133" s="308">
        <f t="shared" si="44"/>
        <v>239.42464431322608</v>
      </c>
      <c r="AD133" s="309">
        <f t="shared" ref="AD133:AD196" si="69">+J133*1000/AB133</f>
        <v>130.17059105173959</v>
      </c>
      <c r="AE133" s="107">
        <f t="shared" ref="AE133:AE196" si="70">+AD133/K133/1000</f>
        <v>1.114156271484219E-2</v>
      </c>
      <c r="AF133" s="309">
        <f t="shared" si="45"/>
        <v>109.25405326148643</v>
      </c>
      <c r="AG133" s="107">
        <f t="shared" ref="AG133:AG196" si="71">+AF133/K133/1000</f>
        <v>9.3512741735937033E-3</v>
      </c>
      <c r="AH133" s="119">
        <f t="shared" si="46"/>
        <v>2.0492836888435895E-2</v>
      </c>
      <c r="AI133" s="122">
        <f t="shared" ref="AI133:AI196" si="72">+AC133/K133/1000</f>
        <v>2.0492836888435898E-2</v>
      </c>
      <c r="AJ133" s="87" t="b">
        <f t="shared" si="47"/>
        <v>1</v>
      </c>
      <c r="AK133" s="88">
        <f t="shared" si="52"/>
        <v>3.5113260303544815E-3</v>
      </c>
      <c r="AL133" s="312">
        <f>+AC133/'MWh by month-WgtbyCDH&amp;DayLtHrs'!AC133-1</f>
        <v>9.5408013618286214E-2</v>
      </c>
      <c r="AM133" s="89">
        <f t="shared" ref="AM133:AM196" si="73">+W133</f>
        <v>313784.9795171133</v>
      </c>
      <c r="AN133" s="93"/>
      <c r="AO133" s="96">
        <f t="shared" si="61"/>
        <v>65.412617382659846</v>
      </c>
      <c r="AP133" s="92">
        <f t="shared" si="60"/>
        <v>5.5987974935229542E-3</v>
      </c>
      <c r="AR133" s="94">
        <f t="shared" ref="AR133:AR196" si="74">AI133</f>
        <v>2.0492836888435898E-2</v>
      </c>
      <c r="AS133" s="95">
        <v>1076339.5223995293</v>
      </c>
      <c r="AU133" s="141">
        <v>239.42464431322608</v>
      </c>
    </row>
    <row r="134" spans="1:47">
      <c r="A134" s="78">
        <v>2015</v>
      </c>
      <c r="B134" s="78">
        <v>10</v>
      </c>
      <c r="C134" s="317">
        <v>198.89039579254836</v>
      </c>
      <c r="D134" s="318">
        <f t="shared" si="66"/>
        <v>0.11062780534683357</v>
      </c>
      <c r="E134" s="321">
        <f>$D134*'MWh Impact Summary'!B$21</f>
        <v>199796.22531240113</v>
      </c>
      <c r="F134" s="319">
        <f>$D134*'MWh Impact Summary'!N$21</f>
        <v>15218.010248060276</v>
      </c>
      <c r="G134" s="319">
        <f>$D134*'MWh Impact Summary'!C$21</f>
        <v>165587.86866421974</v>
      </c>
      <c r="H134" s="319">
        <f>$D134*'MWh Impact Summary'!D$21</f>
        <v>539.39966251616795</v>
      </c>
      <c r="I134" s="319">
        <f>$D134*'MWh Impact Summary'!E$21</f>
        <v>65794.602107186816</v>
      </c>
      <c r="J134" s="104">
        <f t="shared" ref="J134:J197" si="75">SUM(E134:I134)</f>
        <v>446936.10599438415</v>
      </c>
      <c r="K134" s="298">
        <f t="shared" si="51"/>
        <v>12.466666666666667</v>
      </c>
      <c r="L134" s="300">
        <f t="shared" si="63"/>
        <v>8.7762524932535488E-2</v>
      </c>
      <c r="M134" s="297">
        <f t="shared" si="65"/>
        <v>8.4931506849315067E-2</v>
      </c>
      <c r="N134" s="304">
        <f>$M134*'MWh Impact Summary'!F$21</f>
        <v>81543.66993304163</v>
      </c>
      <c r="O134" s="304">
        <f>$M134*'MWh Impact Summary'!G$21</f>
        <v>720.92781252686359</v>
      </c>
      <c r="P134" s="304">
        <f>$M134*'MWh Impact Summary'!H$21</f>
        <v>4231.0324141611218</v>
      </c>
      <c r="Q134" s="320">
        <f>$D134*'MWh Impact Summary'!I$21</f>
        <v>1359.6636880263611</v>
      </c>
      <c r="R134" s="304">
        <f>$M134*'MWh Impact Summary'!J$21</f>
        <v>22934.702028285679</v>
      </c>
      <c r="S134" s="304">
        <f>$M134*'MWh Impact Summary'!K$21</f>
        <v>3389.0551970478264</v>
      </c>
      <c r="T134" s="304">
        <f>$M134*'MWh Impact Summary'!L$21</f>
        <v>1274.0601707877818</v>
      </c>
      <c r="U134" s="304">
        <f>$M134*'MWh Impact Summary'!M$21</f>
        <v>3736.4736000662137</v>
      </c>
      <c r="V134" s="304">
        <f>$M134*'LED Impact Forecast'!$H$22+$D134*'LED Impact Forecast'!$J$22</f>
        <v>5596.0409747614749</v>
      </c>
      <c r="W134" s="304">
        <f>$M134*'CFL Impact Forecast'!$H$22+$D134*'CFL Impact Forecast'!$J$22</f>
        <v>300156.89568946249</v>
      </c>
      <c r="X134" s="304">
        <f>$M134*'EISA Incand Impact Forecast'!$G$22+$D134*'EISA Incand Impact Forecast'!$I$22</f>
        <v>84499.552344981043</v>
      </c>
      <c r="Y134" s="85">
        <f t="shared" si="67"/>
        <v>509442.0738531485</v>
      </c>
      <c r="Z134" s="81">
        <f t="shared" si="68"/>
        <v>956378.17984753265</v>
      </c>
      <c r="AA134" s="81"/>
      <c r="AB134" s="262">
        <f>+'MWh by mo-WgtbyActulCDH&amp;Days'!AB134</f>
        <v>4802322.38639032</v>
      </c>
      <c r="AC134" s="308">
        <f t="shared" ref="AC134:AC197" si="76">+Z134*1000/AB134</f>
        <v>199.14909972680888</v>
      </c>
      <c r="AD134" s="309">
        <f t="shared" si="69"/>
        <v>93.066660260250671</v>
      </c>
      <c r="AE134" s="107">
        <f t="shared" si="70"/>
        <v>7.4652401278275937E-3</v>
      </c>
      <c r="AF134" s="309">
        <f t="shared" ref="AF134:AF197" si="77">+Y134*1000/AB134</f>
        <v>106.08243946655821</v>
      </c>
      <c r="AG134" s="107">
        <f t="shared" si="71"/>
        <v>8.5092865882265938E-3</v>
      </c>
      <c r="AH134" s="119">
        <f t="shared" ref="AH134:AH197" si="78">AE134+AG134</f>
        <v>1.5974526716054187E-2</v>
      </c>
      <c r="AI134" s="122">
        <f t="shared" si="72"/>
        <v>1.5974526716054191E-2</v>
      </c>
      <c r="AJ134" s="87" t="b">
        <f t="shared" ref="AJ134:AJ197" si="79">AH134=AI134</f>
        <v>1</v>
      </c>
      <c r="AK134" s="88">
        <f t="shared" si="52"/>
        <v>2.4046440653466977E-3</v>
      </c>
      <c r="AL134" s="312">
        <f>+AC134/'MWh by month-WgtbyCDH&amp;DayLtHrs'!AC134-1</f>
        <v>4.4306058054910613E-2</v>
      </c>
      <c r="AM134" s="89">
        <f t="shared" si="73"/>
        <v>300156.89568946249</v>
      </c>
      <c r="AN134" s="93"/>
      <c r="AO134" s="96">
        <f t="shared" si="61"/>
        <v>62.502446012391999</v>
      </c>
      <c r="AP134" s="92">
        <f t="shared" si="60"/>
        <v>5.0135651881597866E-3</v>
      </c>
      <c r="AR134" s="94">
        <f t="shared" si="74"/>
        <v>1.5974526716054191E-2</v>
      </c>
      <c r="AS134" s="95">
        <v>866680.06276977342</v>
      </c>
      <c r="AU134" s="141">
        <v>199.14909972680888</v>
      </c>
    </row>
    <row r="135" spans="1:47">
      <c r="A135" s="78">
        <v>2015</v>
      </c>
      <c r="B135" s="78">
        <v>11</v>
      </c>
      <c r="C135" s="317">
        <v>78.117279066674627</v>
      </c>
      <c r="D135" s="318">
        <f t="shared" si="66"/>
        <v>4.3450781564265642E-2</v>
      </c>
      <c r="E135" s="321">
        <f>$D135*'MWh Impact Summary'!B$21</f>
        <v>78473.057620521824</v>
      </c>
      <c r="F135" s="319">
        <f>$D135*'MWh Impact Summary'!N$21</f>
        <v>5977.1088928155186</v>
      </c>
      <c r="G135" s="319">
        <f>$D135*'MWh Impact Summary'!C$21</f>
        <v>65037.196466695117</v>
      </c>
      <c r="H135" s="319">
        <f>$D135*'MWh Impact Summary'!D$21</f>
        <v>211.85756002615531</v>
      </c>
      <c r="I135" s="319">
        <f>$D135*'MWh Impact Summary'!E$21</f>
        <v>25841.847583474388</v>
      </c>
      <c r="J135" s="104">
        <f t="shared" si="75"/>
        <v>175541.06812353301</v>
      </c>
      <c r="K135" s="298">
        <f t="shared" si="51"/>
        <v>13.15</v>
      </c>
      <c r="L135" s="300">
        <f t="shared" si="63"/>
        <v>9.2573037662794788E-2</v>
      </c>
      <c r="M135" s="297">
        <f>(30/365)</f>
        <v>8.2191780821917804E-2</v>
      </c>
      <c r="N135" s="304">
        <f>$M135*'MWh Impact Summary'!F$21</f>
        <v>78913.22896745964</v>
      </c>
      <c r="O135" s="304">
        <f>$M135*'MWh Impact Summary'!G$21</f>
        <v>697.67207663890019</v>
      </c>
      <c r="P135" s="304">
        <f>$M135*'MWh Impact Summary'!H$21</f>
        <v>4094.5474975752791</v>
      </c>
      <c r="Q135" s="320">
        <f>$D135*'MWh Impact Summary'!I$21</f>
        <v>534.02894257983405</v>
      </c>
      <c r="R135" s="304">
        <f>$M135*'MWh Impact Summary'!J$21</f>
        <v>22194.872930599042</v>
      </c>
      <c r="S135" s="304">
        <f>$M135*'MWh Impact Summary'!K$21</f>
        <v>3279.7308358527348</v>
      </c>
      <c r="T135" s="304">
        <f>$M135*'MWh Impact Summary'!L$21</f>
        <v>1232.9614556010793</v>
      </c>
      <c r="U135" s="304">
        <f>$M135*'MWh Impact Summary'!M$21</f>
        <v>3615.942193612465</v>
      </c>
      <c r="V135" s="304">
        <f>$M135*'LED Impact Forecast'!$H$22+$D135*'LED Impact Forecast'!$J$22</f>
        <v>5129.8765983181329</v>
      </c>
      <c r="W135" s="304">
        <f>$M135*'CFL Impact Forecast'!$H$22+$D135*'CFL Impact Forecast'!$J$22</f>
        <v>259260.45646313817</v>
      </c>
      <c r="X135" s="304">
        <f>$M135*'EISA Incand Impact Forecast'!$G$22+$D135*'EISA Incand Impact Forecast'!$I$22</f>
        <v>72431.742285495478</v>
      </c>
      <c r="Y135" s="85">
        <f t="shared" si="67"/>
        <v>451385.06024687074</v>
      </c>
      <c r="Z135" s="81">
        <f t="shared" si="68"/>
        <v>626926.12837040378</v>
      </c>
      <c r="AA135" s="81"/>
      <c r="AB135" s="262">
        <f>+'MWh by mo-WgtbyActulCDH&amp;Days'!AB135</f>
        <v>4807951.5017482825</v>
      </c>
      <c r="AC135" s="308">
        <f t="shared" si="76"/>
        <v>130.39360487360136</v>
      </c>
      <c r="AD135" s="309">
        <f t="shared" si="69"/>
        <v>36.510573798363446</v>
      </c>
      <c r="AE135" s="107">
        <f t="shared" si="70"/>
        <v>2.7764694903698434E-3</v>
      </c>
      <c r="AF135" s="309">
        <f t="shared" si="77"/>
        <v>93.883031075237909</v>
      </c>
      <c r="AG135" s="107">
        <f t="shared" si="71"/>
        <v>7.139393998116951E-3</v>
      </c>
      <c r="AH135" s="119">
        <f t="shared" si="78"/>
        <v>9.9158634884867949E-3</v>
      </c>
      <c r="AI135" s="122">
        <f t="shared" si="72"/>
        <v>9.9158634884867966E-3</v>
      </c>
      <c r="AJ135" s="87" t="b">
        <f t="shared" si="79"/>
        <v>0</v>
      </c>
      <c r="AK135" s="88">
        <f t="shared" si="52"/>
        <v>1.8629662535400819E-3</v>
      </c>
      <c r="AL135" s="312">
        <f>+AC135/'MWh by month-WgtbyCDH&amp;DayLtHrs'!AC135-1</f>
        <v>-9.5966430710354489E-2</v>
      </c>
      <c r="AM135" s="89">
        <f t="shared" si="73"/>
        <v>259260.45646313817</v>
      </c>
      <c r="AN135" s="93"/>
      <c r="AO135" s="96">
        <f t="shared" si="61"/>
        <v>53.923267813509568</v>
      </c>
      <c r="AP135" s="92">
        <f t="shared" si="60"/>
        <v>4.1006287310653656E-3</v>
      </c>
      <c r="AR135" s="94">
        <f t="shared" si="74"/>
        <v>9.9158634884867966E-3</v>
      </c>
      <c r="AS135" s="95">
        <v>668118.62592751079</v>
      </c>
      <c r="AU135" s="141">
        <v>130.39360487360136</v>
      </c>
    </row>
    <row r="136" spans="1:47">
      <c r="A136" s="78">
        <v>2015</v>
      </c>
      <c r="B136" s="78">
        <v>12</v>
      </c>
      <c r="C136" s="317">
        <v>0</v>
      </c>
      <c r="D136" s="318">
        <f>C136/(SUM(C$125:C$136))</f>
        <v>0</v>
      </c>
      <c r="E136" s="321">
        <f>$D136*'MWh Impact Summary'!B$21</f>
        <v>0</v>
      </c>
      <c r="F136" s="319">
        <f>$D136*'MWh Impact Summary'!N$21</f>
        <v>0</v>
      </c>
      <c r="G136" s="319">
        <f>$D136*'MWh Impact Summary'!C$21</f>
        <v>0</v>
      </c>
      <c r="H136" s="319">
        <f>$D136*'MWh Impact Summary'!D$21</f>
        <v>0</v>
      </c>
      <c r="I136" s="319">
        <f>$D136*'MWh Impact Summary'!E$21</f>
        <v>0</v>
      </c>
      <c r="J136" s="104">
        <f t="shared" si="75"/>
        <v>0</v>
      </c>
      <c r="K136" s="298">
        <f t="shared" si="51"/>
        <v>13.483333333333333</v>
      </c>
      <c r="L136" s="300">
        <f t="shared" si="63"/>
        <v>9.491962923853102E-2</v>
      </c>
      <c r="M136" s="297">
        <f t="shared" si="65"/>
        <v>8.4931506849315067E-2</v>
      </c>
      <c r="N136" s="304">
        <f>$M136*'MWh Impact Summary'!F$21</f>
        <v>81543.66993304163</v>
      </c>
      <c r="O136" s="304">
        <f>$M136*'MWh Impact Summary'!G$21</f>
        <v>720.92781252686359</v>
      </c>
      <c r="P136" s="304">
        <f>$M136*'MWh Impact Summary'!H$21</f>
        <v>4231.0324141611218</v>
      </c>
      <c r="Q136" s="320">
        <f>$D136*'MWh Impact Summary'!I$21</f>
        <v>0</v>
      </c>
      <c r="R136" s="304">
        <f>$M136*'MWh Impact Summary'!J$21</f>
        <v>22934.702028285679</v>
      </c>
      <c r="S136" s="304">
        <f>$M136*'MWh Impact Summary'!K$21</f>
        <v>3389.0551970478264</v>
      </c>
      <c r="T136" s="304">
        <f>$M136*'MWh Impact Summary'!L$21</f>
        <v>1274.0601707877818</v>
      </c>
      <c r="U136" s="304">
        <f>$M136*'MWh Impact Summary'!M$21</f>
        <v>3736.4736000662137</v>
      </c>
      <c r="V136" s="304">
        <f>$M136*'LED Impact Forecast'!$H$22+$D136*'LED Impact Forecast'!$J$22</f>
        <v>5099.2433821546892</v>
      </c>
      <c r="W136" s="304">
        <f>$M136*'CFL Impact Forecast'!$H$22+$D136*'CFL Impact Forecast'!$J$22</f>
        <v>245869.52846877064</v>
      </c>
      <c r="X136" s="304">
        <f>$M136*'EISA Incand Impact Forecast'!$G$22+$D136*'EISA Incand Impact Forecast'!$I$22</f>
        <v>68251.899526593494</v>
      </c>
      <c r="Y136" s="85">
        <f t="shared" si="67"/>
        <v>437050.59253343596</v>
      </c>
      <c r="Z136" s="81">
        <f t="shared" si="68"/>
        <v>437050.59253343596</v>
      </c>
      <c r="AA136" s="81">
        <f>SUM(Z125:Z136)</f>
        <v>9840285.8871271405</v>
      </c>
      <c r="AB136" s="262">
        <f>+'MWh by mo-WgtbyActulCDH&amp;Days'!AB136</f>
        <v>4813839.2600633735</v>
      </c>
      <c r="AC136" s="308">
        <f t="shared" si="76"/>
        <v>90.790441666654701</v>
      </c>
      <c r="AD136" s="309">
        <f t="shared" si="69"/>
        <v>0</v>
      </c>
      <c r="AE136" s="107">
        <f t="shared" si="70"/>
        <v>0</v>
      </c>
      <c r="AF136" s="309">
        <f t="shared" si="77"/>
        <v>90.790441666654701</v>
      </c>
      <c r="AG136" s="107">
        <f t="shared" si="71"/>
        <v>6.733530902347692E-3</v>
      </c>
      <c r="AH136" s="119">
        <f t="shared" si="78"/>
        <v>6.733530902347692E-3</v>
      </c>
      <c r="AI136" s="122">
        <f t="shared" si="72"/>
        <v>6.733530902347692E-3</v>
      </c>
      <c r="AJ136" s="87" t="b">
        <f t="shared" si="79"/>
        <v>1</v>
      </c>
      <c r="AK136" s="88">
        <f t="shared" si="52"/>
        <v>9.592949105582619E-4</v>
      </c>
      <c r="AL136" s="312">
        <f>+AC136/'MWh by month-WgtbyCDH&amp;DayLtHrs'!AC136-1</f>
        <v>-0.30973934236997946</v>
      </c>
      <c r="AM136" s="89">
        <f t="shared" si="73"/>
        <v>245869.52846877064</v>
      </c>
      <c r="AN136" s="90">
        <f>SUM(AM125:AM136)</f>
        <v>3385636.234631551</v>
      </c>
      <c r="AO136" s="96">
        <f t="shared" si="61"/>
        <v>51.075558444287111</v>
      </c>
      <c r="AP136" s="92">
        <f t="shared" si="60"/>
        <v>3.7880513061275983E-3</v>
      </c>
      <c r="AR136" s="94">
        <f t="shared" si="74"/>
        <v>6.733530902347692E-3</v>
      </c>
      <c r="AS136" s="95">
        <v>550596.06631922</v>
      </c>
      <c r="AU136" s="141">
        <v>90.790441666654701</v>
      </c>
    </row>
    <row r="137" spans="1:47">
      <c r="A137" s="78">
        <v>2016</v>
      </c>
      <c r="B137" s="78">
        <v>1</v>
      </c>
      <c r="C137" s="317">
        <f>+C125</f>
        <v>0</v>
      </c>
      <c r="D137" s="324">
        <f t="shared" ref="D137:D200" si="80">D125</f>
        <v>0</v>
      </c>
      <c r="E137" s="321">
        <f>$D137*'MWh Impact Summary'!B$22</f>
        <v>0</v>
      </c>
      <c r="F137" s="319">
        <f>$D137*'MWh Impact Summary'!N$22</f>
        <v>0</v>
      </c>
      <c r="G137" s="319">
        <f>$D137*'MWh Impact Summary'!C$22</f>
        <v>0</v>
      </c>
      <c r="H137" s="319">
        <f>$D137*'MWh Impact Summary'!D$22</f>
        <v>0</v>
      </c>
      <c r="I137" s="319">
        <f>$D137*'MWh Impact Summary'!E$22</f>
        <v>0</v>
      </c>
      <c r="J137" s="104">
        <f t="shared" si="75"/>
        <v>0</v>
      </c>
      <c r="K137" s="298">
        <f t="shared" si="51"/>
        <v>13.3</v>
      </c>
      <c r="L137" s="300">
        <f t="shared" si="63"/>
        <v>9.3629003871876101E-2</v>
      </c>
      <c r="M137" s="297">
        <f>(31/366)</f>
        <v>8.4699453551912565E-2</v>
      </c>
      <c r="N137" s="304">
        <f>$M137*'MWh Impact Summary'!F$22</f>
        <v>91690.489145616724</v>
      </c>
      <c r="O137" s="304">
        <f>$M137*'MWh Impact Summary'!G$22</f>
        <v>1806.6680615811299</v>
      </c>
      <c r="P137" s="304">
        <f>$M137*'MWh Impact Summary'!H$22</f>
        <v>4959.6200007486323</v>
      </c>
      <c r="Q137" s="320">
        <f>$D137*'MWh Impact Summary'!I$22</f>
        <v>0</v>
      </c>
      <c r="R137" s="304">
        <f>$M137*'MWh Impact Summary'!J$22</f>
        <v>26391.841511107759</v>
      </c>
      <c r="S137" s="304">
        <f>$M137*'MWh Impact Summary'!K$22</f>
        <v>6675.463536611971</v>
      </c>
      <c r="T137" s="304">
        <f>$M137*'MWh Impact Summary'!L$22</f>
        <v>2424.6605303305378</v>
      </c>
      <c r="U137" s="304">
        <f>$M137*'MWh Impact Summary'!M$22</f>
        <v>7359.7778208164382</v>
      </c>
      <c r="V137" s="304">
        <f>$M137*'LED Impact Forecast'!$H$23+$D137*'LED Impact Forecast'!$J$23</f>
        <v>9791.7624885629521</v>
      </c>
      <c r="W137" s="304">
        <f>$M137*'CFL Impact Forecast'!$H$23+$D137*'CFL Impact Forecast'!$J$23</f>
        <v>260013.28351305748</v>
      </c>
      <c r="X137" s="304">
        <f>$M137*'EISA Incand Impact Forecast'!$G$23+$D137*'EISA Incand Impact Forecast'!$I$23</f>
        <v>87377.940021933216</v>
      </c>
      <c r="Y137" s="85">
        <f t="shared" si="67"/>
        <v>498491.50663036684</v>
      </c>
      <c r="Z137" s="81">
        <f t="shared" si="68"/>
        <v>498491.50663036684</v>
      </c>
      <c r="AA137" s="81"/>
      <c r="AB137" s="262">
        <f>+'MWh by mo-WgtbyActulCDH&amp;Days'!AB137</f>
        <v>4820575.9363739984</v>
      </c>
      <c r="AC137" s="308">
        <f t="shared" si="76"/>
        <v>103.40911816552121</v>
      </c>
      <c r="AD137" s="309">
        <f t="shared" si="69"/>
        <v>0</v>
      </c>
      <c r="AE137" s="107">
        <f t="shared" si="70"/>
        <v>0</v>
      </c>
      <c r="AF137" s="309">
        <f t="shared" si="77"/>
        <v>103.40911816552121</v>
      </c>
      <c r="AG137" s="107">
        <f t="shared" si="71"/>
        <v>7.7751216665805411E-3</v>
      </c>
      <c r="AH137" s="119">
        <f t="shared" si="78"/>
        <v>7.7751216665805411E-3</v>
      </c>
      <c r="AI137" s="122">
        <f t="shared" si="72"/>
        <v>7.7751216665805411E-3</v>
      </c>
      <c r="AJ137" s="87" t="b">
        <f t="shared" si="79"/>
        <v>1</v>
      </c>
      <c r="AK137" s="88">
        <f t="shared" si="52"/>
        <v>8.5150620081009959E-4</v>
      </c>
      <c r="AL137" s="312">
        <f>+AC137/'MWh by month-WgtbyCDH&amp;DayLtHrs'!AC137-1</f>
        <v>-0.26109002895227607</v>
      </c>
      <c r="AM137" s="89">
        <f t="shared" si="73"/>
        <v>260013.28351305748</v>
      </c>
      <c r="AN137" s="93"/>
      <c r="AO137" s="96">
        <f t="shared" si="61"/>
        <v>53.938219612123262</v>
      </c>
      <c r="AP137" s="92">
        <f t="shared" si="60"/>
        <v>4.0555052339942303E-3</v>
      </c>
      <c r="AR137" s="94">
        <f t="shared" si="74"/>
        <v>7.7751216665805411E-3</v>
      </c>
      <c r="AS137" s="95">
        <v>607892.27708418097</v>
      </c>
      <c r="AU137" s="141">
        <v>103.40911816552121</v>
      </c>
    </row>
    <row r="138" spans="1:47">
      <c r="A138" s="78">
        <v>2016</v>
      </c>
      <c r="B138" s="78">
        <v>2</v>
      </c>
      <c r="C138" s="317">
        <f t="shared" ref="C138:C201" si="81">+C126</f>
        <v>0</v>
      </c>
      <c r="D138" s="324">
        <f t="shared" si="80"/>
        <v>0</v>
      </c>
      <c r="E138" s="321">
        <f>$D138*'MWh Impact Summary'!B$22</f>
        <v>0</v>
      </c>
      <c r="F138" s="319">
        <f>$D138*'MWh Impact Summary'!N$22</f>
        <v>0</v>
      </c>
      <c r="G138" s="319">
        <f>$D138*'MWh Impact Summary'!C$22</f>
        <v>0</v>
      </c>
      <c r="H138" s="319">
        <f>$D138*'MWh Impact Summary'!D$22</f>
        <v>0</v>
      </c>
      <c r="I138" s="319">
        <f>$D138*'MWh Impact Summary'!E$22</f>
        <v>0</v>
      </c>
      <c r="J138" s="104">
        <f t="shared" si="75"/>
        <v>0</v>
      </c>
      <c r="K138" s="298">
        <f t="shared" si="51"/>
        <v>12.733333333333333</v>
      </c>
      <c r="L138" s="300">
        <f t="shared" si="63"/>
        <v>8.9639798193124468E-2</v>
      </c>
      <c r="M138" s="297">
        <f>(29/366)</f>
        <v>7.9234972677595633E-2</v>
      </c>
      <c r="N138" s="304">
        <f>$M138*'MWh Impact Summary'!F$22</f>
        <v>85774.973716867273</v>
      </c>
      <c r="O138" s="304">
        <f>$M138*'MWh Impact Summary'!G$22</f>
        <v>1690.1088318017023</v>
      </c>
      <c r="P138" s="304">
        <f>$M138*'MWh Impact Summary'!H$22</f>
        <v>4639.6445168293658</v>
      </c>
      <c r="Q138" s="320">
        <f>$D138*'MWh Impact Summary'!I$22</f>
        <v>0</v>
      </c>
      <c r="R138" s="304">
        <f>$M138*'MWh Impact Summary'!J$22</f>
        <v>24689.14205877823</v>
      </c>
      <c r="S138" s="304">
        <f>$M138*'MWh Impact Summary'!K$22</f>
        <v>6244.7884697337795</v>
      </c>
      <c r="T138" s="304">
        <f>$M138*'MWh Impact Summary'!L$22</f>
        <v>2268.2308186963096</v>
      </c>
      <c r="U138" s="304">
        <f>$M138*'MWh Impact Summary'!M$22</f>
        <v>6884.9534452798944</v>
      </c>
      <c r="V138" s="304">
        <f>$M138*'LED Impact Forecast'!$H$23+$D138*'LED Impact Forecast'!$J$23</f>
        <v>9160.0358763976019</v>
      </c>
      <c r="W138" s="304">
        <f>$M138*'CFL Impact Forecast'!$H$23+$D138*'CFL Impact Forecast'!$J$23</f>
        <v>243238.23296382799</v>
      </c>
      <c r="X138" s="304">
        <f>$M138*'EISA Incand Impact Forecast'!$G$23+$D138*'EISA Incand Impact Forecast'!$I$23</f>
        <v>81740.653568905283</v>
      </c>
      <c r="Y138" s="85">
        <f t="shared" si="67"/>
        <v>466330.76426711748</v>
      </c>
      <c r="Z138" s="81">
        <f t="shared" si="68"/>
        <v>466330.76426711748</v>
      </c>
      <c r="AA138" s="81"/>
      <c r="AB138" s="262">
        <f>+'MWh by mo-WgtbyActulCDH&amp;Days'!AB138</f>
        <v>4826494.7966620158</v>
      </c>
      <c r="AC138" s="308">
        <f t="shared" si="76"/>
        <v>96.618930282413231</v>
      </c>
      <c r="AD138" s="309">
        <f t="shared" si="69"/>
        <v>0</v>
      </c>
      <c r="AE138" s="107">
        <f t="shared" si="70"/>
        <v>0</v>
      </c>
      <c r="AF138" s="309">
        <f t="shared" si="77"/>
        <v>96.618930282413231</v>
      </c>
      <c r="AG138" s="107">
        <f t="shared" si="71"/>
        <v>7.5878741059486835E-3</v>
      </c>
      <c r="AH138" s="119">
        <f t="shared" si="78"/>
        <v>7.5878741059486835E-3</v>
      </c>
      <c r="AI138" s="122">
        <f t="shared" si="72"/>
        <v>7.5878741059486835E-3</v>
      </c>
      <c r="AJ138" s="87" t="b">
        <f t="shared" si="79"/>
        <v>1</v>
      </c>
      <c r="AK138" s="88">
        <f t="shared" si="52"/>
        <v>1.0657950643111723E-3</v>
      </c>
      <c r="AL138" s="312">
        <f>+AC138/'MWh by month-WgtbyCDH&amp;DayLtHrs'!AC138-1</f>
        <v>-0.30534163407717907</v>
      </c>
      <c r="AM138" s="89">
        <f t="shared" si="73"/>
        <v>243238.23296382799</v>
      </c>
      <c r="AN138" s="93"/>
      <c r="AO138" s="96">
        <f t="shared" si="61"/>
        <v>50.396456064150442</v>
      </c>
      <c r="AP138" s="92">
        <f t="shared" si="60"/>
        <v>3.9578368636767371E-3</v>
      </c>
      <c r="AR138" s="94">
        <f t="shared" si="74"/>
        <v>7.5878741059486835E-3</v>
      </c>
      <c r="AS138" s="95">
        <v>582164.70607935276</v>
      </c>
      <c r="AU138" s="141">
        <v>96.618930282413231</v>
      </c>
    </row>
    <row r="139" spans="1:47">
      <c r="A139" s="78">
        <v>2016</v>
      </c>
      <c r="B139" s="78">
        <v>3</v>
      </c>
      <c r="C139" s="317">
        <f t="shared" si="81"/>
        <v>0</v>
      </c>
      <c r="D139" s="324">
        <f t="shared" si="80"/>
        <v>0</v>
      </c>
      <c r="E139" s="321">
        <f>$D139*'MWh Impact Summary'!B$22</f>
        <v>0</v>
      </c>
      <c r="F139" s="319">
        <f>$D139*'MWh Impact Summary'!N$22</f>
        <v>0</v>
      </c>
      <c r="G139" s="319">
        <f>$D139*'MWh Impact Summary'!C$22</f>
        <v>0</v>
      </c>
      <c r="H139" s="319">
        <f>$D139*'MWh Impact Summary'!D$22</f>
        <v>0</v>
      </c>
      <c r="I139" s="319">
        <f>$D139*'MWh Impact Summary'!E$22</f>
        <v>0</v>
      </c>
      <c r="J139" s="104">
        <f t="shared" si="75"/>
        <v>0</v>
      </c>
      <c r="K139" s="298">
        <f t="shared" si="51"/>
        <v>12</v>
      </c>
      <c r="L139" s="300">
        <f t="shared" si="63"/>
        <v>8.4477296726504739E-2</v>
      </c>
      <c r="M139" s="297">
        <f>(31/366)</f>
        <v>8.4699453551912565E-2</v>
      </c>
      <c r="N139" s="304">
        <f>$M139*'MWh Impact Summary'!F$22</f>
        <v>91690.489145616724</v>
      </c>
      <c r="O139" s="304">
        <f>$M139*'MWh Impact Summary'!G$22</f>
        <v>1806.6680615811299</v>
      </c>
      <c r="P139" s="304">
        <f>$M139*'MWh Impact Summary'!H$22</f>
        <v>4959.6200007486323</v>
      </c>
      <c r="Q139" s="320">
        <f>$D139*'MWh Impact Summary'!I$22</f>
        <v>0</v>
      </c>
      <c r="R139" s="304">
        <f>$M139*'MWh Impact Summary'!J$22</f>
        <v>26391.841511107759</v>
      </c>
      <c r="S139" s="304">
        <f>$M139*'MWh Impact Summary'!K$22</f>
        <v>6675.463536611971</v>
      </c>
      <c r="T139" s="304">
        <f>$M139*'MWh Impact Summary'!L$22</f>
        <v>2424.6605303305378</v>
      </c>
      <c r="U139" s="304">
        <f>$M139*'MWh Impact Summary'!M$22</f>
        <v>7359.7778208164382</v>
      </c>
      <c r="V139" s="304">
        <f>$M139*'LED Impact Forecast'!$H$23+$D139*'LED Impact Forecast'!$J$23</f>
        <v>9791.7624885629521</v>
      </c>
      <c r="W139" s="304">
        <f>$M139*'CFL Impact Forecast'!$H$23+$D139*'CFL Impact Forecast'!$J$23</f>
        <v>260013.28351305748</v>
      </c>
      <c r="X139" s="304">
        <f>$M139*'EISA Incand Impact Forecast'!$G$23+$D139*'EISA Incand Impact Forecast'!$I$23</f>
        <v>87377.940021933216</v>
      </c>
      <c r="Y139" s="85">
        <f t="shared" si="67"/>
        <v>498491.50663036684</v>
      </c>
      <c r="Z139" s="81">
        <f t="shared" si="68"/>
        <v>498491.50663036684</v>
      </c>
      <c r="AA139" s="81"/>
      <c r="AB139" s="262">
        <f>+'MWh by mo-WgtbyActulCDH&amp;Days'!AB139</f>
        <v>4833093.7745679663</v>
      </c>
      <c r="AC139" s="308">
        <f t="shared" si="76"/>
        <v>103.14128586816575</v>
      </c>
      <c r="AD139" s="309">
        <f t="shared" si="69"/>
        <v>0</v>
      </c>
      <c r="AE139" s="107">
        <f t="shared" si="70"/>
        <v>0</v>
      </c>
      <c r="AF139" s="309">
        <f t="shared" si="77"/>
        <v>103.14128586816575</v>
      </c>
      <c r="AG139" s="107">
        <f t="shared" si="71"/>
        <v>8.5951071556804783E-3</v>
      </c>
      <c r="AH139" s="119">
        <f t="shared" si="78"/>
        <v>8.5951071556804783E-3</v>
      </c>
      <c r="AI139" s="122">
        <f t="shared" si="72"/>
        <v>8.5951071556804783E-3</v>
      </c>
      <c r="AJ139" s="87" t="b">
        <f t="shared" si="79"/>
        <v>1</v>
      </c>
      <c r="AK139" s="88">
        <f t="shared" si="52"/>
        <v>9.4556716477912309E-4</v>
      </c>
      <c r="AL139" s="312">
        <f>+AC139/'MWh by month-WgtbyCDH&amp;DayLtHrs'!AC139-1</f>
        <v>-0.29677645179584156</v>
      </c>
      <c r="AM139" s="89">
        <f t="shared" si="73"/>
        <v>260013.28351305748</v>
      </c>
      <c r="AN139" s="93"/>
      <c r="AO139" s="96">
        <f t="shared" si="61"/>
        <v>53.79851822475765</v>
      </c>
      <c r="AP139" s="92">
        <f t="shared" si="60"/>
        <v>4.4832098520631381E-3</v>
      </c>
      <c r="AR139" s="94">
        <f t="shared" si="74"/>
        <v>8.5951071556804783E-3</v>
      </c>
      <c r="AS139" s="95">
        <v>682340.71158247255</v>
      </c>
      <c r="AU139" s="141">
        <v>103.14128586816575</v>
      </c>
    </row>
    <row r="140" spans="1:47">
      <c r="A140" s="78">
        <v>2016</v>
      </c>
      <c r="B140" s="78">
        <v>4</v>
      </c>
      <c r="C140" s="317">
        <f t="shared" si="81"/>
        <v>114.03392869270741</v>
      </c>
      <c r="D140" s="324">
        <f t="shared" si="80"/>
        <v>6.3428519090031305E-2</v>
      </c>
      <c r="E140" s="321">
        <f>$D140*'MWh Impact Summary'!B$22</f>
        <v>131196.97960136685</v>
      </c>
      <c r="F140" s="319">
        <f>$D140*'MWh Impact Summary'!N$22</f>
        <v>11638.517513003004</v>
      </c>
      <c r="G140" s="319">
        <f>$D140*'MWh Impact Summary'!C$22</f>
        <v>105547.70616227825</v>
      </c>
      <c r="H140" s="319">
        <f>$D140*'MWh Impact Summary'!D$22</f>
        <v>364.371324256729</v>
      </c>
      <c r="I140" s="319">
        <f>$D140*'MWh Impact Summary'!E$22</f>
        <v>41497.472056214974</v>
      </c>
      <c r="J140" s="104">
        <f t="shared" si="75"/>
        <v>290245.04665711982</v>
      </c>
      <c r="K140" s="298">
        <f t="shared" si="51"/>
        <v>11.2</v>
      </c>
      <c r="L140" s="300">
        <f t="shared" si="63"/>
        <v>7.8845476944737758E-2</v>
      </c>
      <c r="M140" s="297">
        <f>(30/366)</f>
        <v>8.1967213114754092E-2</v>
      </c>
      <c r="N140" s="304">
        <f>$M140*'MWh Impact Summary'!F$22</f>
        <v>88732.731431241991</v>
      </c>
      <c r="O140" s="304">
        <f>$M140*'MWh Impact Summary'!G$22</f>
        <v>1748.388446691416</v>
      </c>
      <c r="P140" s="304">
        <f>$M140*'MWh Impact Summary'!H$22</f>
        <v>4799.6322587889981</v>
      </c>
      <c r="Q140" s="320">
        <f>$D140*'MWh Impact Summary'!I$22</f>
        <v>848.71794051242591</v>
      </c>
      <c r="R140" s="304">
        <f>$M140*'MWh Impact Summary'!J$22</f>
        <v>25540.491784942991</v>
      </c>
      <c r="S140" s="304">
        <f>$M140*'MWh Impact Summary'!K$22</f>
        <v>6460.1260031728743</v>
      </c>
      <c r="T140" s="304">
        <f>$M140*'MWh Impact Summary'!L$22</f>
        <v>2346.4456745134235</v>
      </c>
      <c r="U140" s="304">
        <f>$M140*'MWh Impact Summary'!M$22</f>
        <v>7122.3656330481654</v>
      </c>
      <c r="V140" s="304">
        <f>$M140*'LED Impact Forecast'!$H$23+$D140*'LED Impact Forecast'!$J$23</f>
        <v>10112.887208747394</v>
      </c>
      <c r="W140" s="304">
        <f>$M140*'CFL Impact Forecast'!$H$23+$D140*'CFL Impact Forecast'!$J$23</f>
        <v>284705.45584521897</v>
      </c>
      <c r="X140" s="304">
        <f>$M140*'EISA Incand Impact Forecast'!$G$23+$D140*'EISA Incand Impact Forecast'!$I$23</f>
        <v>96576.72529193075</v>
      </c>
      <c r="Y140" s="85">
        <f t="shared" si="67"/>
        <v>528993.96751880937</v>
      </c>
      <c r="Z140" s="81">
        <f t="shared" si="68"/>
        <v>819239.01417592913</v>
      </c>
      <c r="AA140" s="81"/>
      <c r="AB140" s="262">
        <f>+'MWh by mo-WgtbyActulCDH&amp;Days'!AB140</f>
        <v>4838808.8957821839</v>
      </c>
      <c r="AC140" s="308">
        <f t="shared" si="76"/>
        <v>169.30592462331595</v>
      </c>
      <c r="AD140" s="309">
        <f t="shared" si="69"/>
        <v>59.982746355227214</v>
      </c>
      <c r="AE140" s="107">
        <f t="shared" si="70"/>
        <v>5.3556023531452874E-3</v>
      </c>
      <c r="AF140" s="309">
        <f t="shared" si="77"/>
        <v>109.32317826808875</v>
      </c>
      <c r="AG140" s="107">
        <f t="shared" si="71"/>
        <v>9.7609980596507825E-3</v>
      </c>
      <c r="AH140" s="119">
        <f t="shared" si="78"/>
        <v>1.5116600412796069E-2</v>
      </c>
      <c r="AI140" s="122">
        <f t="shared" si="72"/>
        <v>1.5116600412796067E-2</v>
      </c>
      <c r="AJ140" s="87" t="b">
        <f t="shared" si="79"/>
        <v>1</v>
      </c>
      <c r="AK140" s="88">
        <f t="shared" si="52"/>
        <v>1.6137541948320084E-3</v>
      </c>
      <c r="AL140" s="312">
        <f>+AC140/'MWh by month-WgtbyCDH&amp;DayLtHrs'!AC140-1</f>
        <v>3.7106341774921114E-2</v>
      </c>
      <c r="AM140" s="89">
        <f t="shared" si="73"/>
        <v>284705.45584521897</v>
      </c>
      <c r="AN140" s="93"/>
      <c r="AO140" s="96">
        <f t="shared" si="61"/>
        <v>58.837921062223906</v>
      </c>
      <c r="AP140" s="92">
        <f t="shared" si="60"/>
        <v>5.2533858091271344E-3</v>
      </c>
      <c r="AR140" s="94">
        <f t="shared" si="74"/>
        <v>1.5116600412796067E-2</v>
      </c>
      <c r="AS140" s="95">
        <v>799569.9281839102</v>
      </c>
      <c r="AU140" s="141">
        <v>169.30592462331595</v>
      </c>
    </row>
    <row r="141" spans="1:47">
      <c r="A141" s="78">
        <v>2016</v>
      </c>
      <c r="B141" s="78">
        <v>5</v>
      </c>
      <c r="C141" s="317">
        <f t="shared" si="81"/>
        <v>208.47875842628665</v>
      </c>
      <c r="D141" s="324">
        <f t="shared" si="80"/>
        <v>0.11596109210918912</v>
      </c>
      <c r="E141" s="321">
        <f>$D141*'MWh Impact Summary'!B$22</f>
        <v>239856.53857702261</v>
      </c>
      <c r="F141" s="319">
        <f>$D141*'MWh Impact Summary'!N$22</f>
        <v>21277.734695714553</v>
      </c>
      <c r="G141" s="319">
        <f>$D141*'MWh Impact Summary'!C$22</f>
        <v>192964.10276936731</v>
      </c>
      <c r="H141" s="319">
        <f>$D141*'MWh Impact Summary'!D$22</f>
        <v>666.14982188228976</v>
      </c>
      <c r="I141" s="319">
        <f>$D141*'MWh Impact Summary'!E$22</f>
        <v>75866.380745527058</v>
      </c>
      <c r="J141" s="104">
        <f t="shared" si="75"/>
        <v>530630.9066095138</v>
      </c>
      <c r="K141" s="298">
        <f t="shared" si="51"/>
        <v>10.533333333333333</v>
      </c>
      <c r="L141" s="300">
        <f t="shared" si="63"/>
        <v>7.4152293793265281E-2</v>
      </c>
      <c r="M141" s="297">
        <f>(31/366)</f>
        <v>8.4699453551912565E-2</v>
      </c>
      <c r="N141" s="304">
        <f>$M141*'MWh Impact Summary'!F$22</f>
        <v>91690.489145616724</v>
      </c>
      <c r="O141" s="304">
        <f>$M141*'MWh Impact Summary'!G$22</f>
        <v>1806.6680615811299</v>
      </c>
      <c r="P141" s="304">
        <f>$M141*'MWh Impact Summary'!H$22</f>
        <v>4959.6200007486323</v>
      </c>
      <c r="Q141" s="320">
        <f>$D141*'MWh Impact Summary'!I$22</f>
        <v>1551.6405031431759</v>
      </c>
      <c r="R141" s="304">
        <f>$M141*'MWh Impact Summary'!J$22</f>
        <v>26391.841511107759</v>
      </c>
      <c r="S141" s="304">
        <f>$M141*'MWh Impact Summary'!K$22</f>
        <v>6675.463536611971</v>
      </c>
      <c r="T141" s="304">
        <f>$M141*'MWh Impact Summary'!L$22</f>
        <v>2424.6605303305378</v>
      </c>
      <c r="U141" s="304">
        <f>$M141*'MWh Impact Summary'!M$22</f>
        <v>7359.7778208164382</v>
      </c>
      <c r="V141" s="304">
        <f>$M141*'LED Impact Forecast'!$H$23+$D141*'LED Impact Forecast'!$J$23</f>
        <v>10956.314779017121</v>
      </c>
      <c r="W141" s="304">
        <f>$M141*'CFL Impact Forecast'!$H$23+$D141*'CFL Impact Forecast'!$J$23</f>
        <v>320490.14654179523</v>
      </c>
      <c r="X141" s="304">
        <f>$M141*'EISA Incand Impact Forecast'!$G$23+$D141*'EISA Incand Impact Forecast'!$I$23</f>
        <v>109348.40619065355</v>
      </c>
      <c r="Y141" s="85">
        <f t="shared" si="67"/>
        <v>583655.02862142224</v>
      </c>
      <c r="Z141" s="81">
        <f t="shared" si="68"/>
        <v>1114285.9352309359</v>
      </c>
      <c r="AA141" s="81"/>
      <c r="AB141" s="262">
        <f>+'MWh by mo-WgtbyActulCDH&amp;Days'!AB141</f>
        <v>4843834.8322112709</v>
      </c>
      <c r="AC141" s="308">
        <f t="shared" si="76"/>
        <v>230.04209966470933</v>
      </c>
      <c r="AD141" s="309">
        <f t="shared" si="69"/>
        <v>109.54768793536137</v>
      </c>
      <c r="AE141" s="107">
        <f t="shared" si="70"/>
        <v>1.0400096955888737E-2</v>
      </c>
      <c r="AF141" s="309">
        <f t="shared" si="77"/>
        <v>120.49441172934803</v>
      </c>
      <c r="AG141" s="107">
        <f t="shared" si="71"/>
        <v>1.1439342885697599E-2</v>
      </c>
      <c r="AH141" s="119">
        <f t="shared" si="78"/>
        <v>2.1839439841586337E-2</v>
      </c>
      <c r="AI141" s="122">
        <f t="shared" si="72"/>
        <v>2.1839439841586331E-2</v>
      </c>
      <c r="AJ141" s="87" t="b">
        <f t="shared" si="79"/>
        <v>1</v>
      </c>
      <c r="AK141" s="88">
        <f t="shared" si="52"/>
        <v>2.2977264076616509E-3</v>
      </c>
      <c r="AL141" s="312">
        <f>+AC141/'MWh by month-WgtbyCDH&amp;DayLtHrs'!AC141-1</f>
        <v>0.13543611349185292</v>
      </c>
      <c r="AM141" s="89">
        <f t="shared" si="73"/>
        <v>320490.14654179523</v>
      </c>
      <c r="AN141" s="93"/>
      <c r="AO141" s="96">
        <f t="shared" si="61"/>
        <v>66.164548883985688</v>
      </c>
      <c r="AP141" s="92">
        <f t="shared" si="60"/>
        <v>6.2814445143024381E-3</v>
      </c>
      <c r="AR141" s="94">
        <f t="shared" si="74"/>
        <v>2.1839439841586331E-2</v>
      </c>
      <c r="AS141" s="95">
        <v>958692.5151507766</v>
      </c>
      <c r="AU141" s="141">
        <v>230.04209966470933</v>
      </c>
    </row>
    <row r="142" spans="1:47">
      <c r="A142" s="78">
        <v>2016</v>
      </c>
      <c r="B142" s="78">
        <v>6</v>
      </c>
      <c r="C142" s="317">
        <f t="shared" si="81"/>
        <v>271.66325293295364</v>
      </c>
      <c r="D142" s="324">
        <f t="shared" si="80"/>
        <v>0.15110588596093688</v>
      </c>
      <c r="E142" s="321">
        <f>$D142*'MWh Impact Summary'!B$22</f>
        <v>312550.82291806536</v>
      </c>
      <c r="F142" s="319">
        <f>$D142*'MWh Impact Summary'!N$22</f>
        <v>27726.463195174852</v>
      </c>
      <c r="G142" s="319">
        <f>$D142*'MWh Impact Summary'!C$22</f>
        <v>251446.5082837207</v>
      </c>
      <c r="H142" s="319">
        <f>$D142*'MWh Impact Summary'!D$22</f>
        <v>868.0425234652231</v>
      </c>
      <c r="I142" s="319">
        <f>$D142*'MWh Impact Summary'!E$22</f>
        <v>98859.509415522291</v>
      </c>
      <c r="J142" s="104">
        <f t="shared" si="75"/>
        <v>691451.34633594844</v>
      </c>
      <c r="K142" s="298">
        <f t="shared" si="51"/>
        <v>10.199999999999999</v>
      </c>
      <c r="L142" s="300">
        <f t="shared" si="63"/>
        <v>7.1805702217529022E-2</v>
      </c>
      <c r="M142" s="297">
        <f>(30/366)</f>
        <v>8.1967213114754092E-2</v>
      </c>
      <c r="N142" s="304">
        <f>$M142*'MWh Impact Summary'!F$22</f>
        <v>88732.731431241991</v>
      </c>
      <c r="O142" s="304">
        <f>$M142*'MWh Impact Summary'!G$22</f>
        <v>1748.388446691416</v>
      </c>
      <c r="P142" s="304">
        <f>$M142*'MWh Impact Summary'!H$22</f>
        <v>4799.6322587889981</v>
      </c>
      <c r="Q142" s="320">
        <f>$D142*'MWh Impact Summary'!I$22</f>
        <v>2021.9024213703829</v>
      </c>
      <c r="R142" s="304">
        <f>$M142*'MWh Impact Summary'!J$22</f>
        <v>25540.491784942991</v>
      </c>
      <c r="S142" s="304">
        <f>$M142*'MWh Impact Summary'!K$22</f>
        <v>6460.1260031728743</v>
      </c>
      <c r="T142" s="304">
        <f>$M142*'MWh Impact Summary'!L$22</f>
        <v>2346.4456745134235</v>
      </c>
      <c r="U142" s="304">
        <f>$M142*'MWh Impact Summary'!M$22</f>
        <v>7122.3656330481654</v>
      </c>
      <c r="V142" s="304">
        <f>$M142*'LED Impact Forecast'!$H$23+$D142*'LED Impact Forecast'!$J$23</f>
        <v>10993.397012107658</v>
      </c>
      <c r="W142" s="304">
        <f>$M142*'CFL Impact Forecast'!$H$23+$D142*'CFL Impact Forecast'!$J$23</f>
        <v>330431.58700289507</v>
      </c>
      <c r="X142" s="304">
        <f>$M142*'EISA Incand Impact Forecast'!$G$23+$D142*'EISA Incand Impact Forecast'!$I$23</f>
        <v>113188.44037293302</v>
      </c>
      <c r="Y142" s="85">
        <f t="shared" si="67"/>
        <v>593385.50804170605</v>
      </c>
      <c r="Z142" s="81">
        <f t="shared" si="68"/>
        <v>1284836.8543776544</v>
      </c>
      <c r="AA142" s="81"/>
      <c r="AB142" s="262">
        <f>+'MWh by mo-WgtbyActulCDH&amp;Days'!AB142</f>
        <v>4848895.9460375952</v>
      </c>
      <c r="AC142" s="308">
        <f t="shared" si="76"/>
        <v>264.97513427311077</v>
      </c>
      <c r="AD142" s="309">
        <f t="shared" si="69"/>
        <v>142.59974931014685</v>
      </c>
      <c r="AE142" s="107">
        <f t="shared" si="70"/>
        <v>1.3980367579426164E-2</v>
      </c>
      <c r="AF142" s="309">
        <f t="shared" si="77"/>
        <v>122.37538496296398</v>
      </c>
      <c r="AG142" s="107">
        <f t="shared" si="71"/>
        <v>1.19975867610749E-2</v>
      </c>
      <c r="AH142" s="119">
        <f t="shared" si="78"/>
        <v>2.5977954340501062E-2</v>
      </c>
      <c r="AI142" s="122">
        <f t="shared" si="72"/>
        <v>2.5977954340501055E-2</v>
      </c>
      <c r="AJ142" s="87" t="b">
        <f t="shared" si="79"/>
        <v>1</v>
      </c>
      <c r="AK142" s="88">
        <f t="shared" si="52"/>
        <v>2.7176653254246327E-3</v>
      </c>
      <c r="AL142" s="312">
        <f>+AC142/'MWh by month-WgtbyCDH&amp;DayLtHrs'!AC142-1</f>
        <v>0.15310230900604282</v>
      </c>
      <c r="AM142" s="89">
        <f t="shared" si="73"/>
        <v>330431.58700289507</v>
      </c>
      <c r="AN142" s="93"/>
      <c r="AO142" s="96">
        <f t="shared" si="61"/>
        <v>68.145736819309576</v>
      </c>
      <c r="AP142" s="92">
        <f t="shared" si="60"/>
        <v>6.6809545901283908E-3</v>
      </c>
      <c r="AR142" s="94">
        <f t="shared" si="74"/>
        <v>2.5977954340501055E-2</v>
      </c>
      <c r="AS142" s="95">
        <v>1168219.7004325814</v>
      </c>
      <c r="AU142" s="141">
        <v>264.97513427311077</v>
      </c>
    </row>
    <row r="143" spans="1:47">
      <c r="A143" s="78">
        <v>2016</v>
      </c>
      <c r="B143" s="78">
        <v>7</v>
      </c>
      <c r="C143" s="317">
        <f t="shared" si="81"/>
        <v>322.31916585708109</v>
      </c>
      <c r="D143" s="324">
        <f t="shared" si="80"/>
        <v>0.17928196984022934</v>
      </c>
      <c r="E143" s="321">
        <f>$D143*'MWh Impact Summary'!B$22</f>
        <v>370830.87036345672</v>
      </c>
      <c r="F143" s="319">
        <f>$D143*'MWh Impact Summary'!N$22</f>
        <v>32896.501064284203</v>
      </c>
      <c r="G143" s="319">
        <f>$D143*'MWh Impact Summary'!C$22</f>
        <v>298332.68921242945</v>
      </c>
      <c r="H143" s="319">
        <f>$D143*'MWh Impact Summary'!D$22</f>
        <v>1029.9027898367897</v>
      </c>
      <c r="I143" s="319">
        <f>$D143*'MWh Impact Summary'!E$22</f>
        <v>117293.42952289352</v>
      </c>
      <c r="J143" s="104">
        <f t="shared" si="75"/>
        <v>820383.39295290061</v>
      </c>
      <c r="K143" s="298">
        <f t="shared" si="51"/>
        <v>10.366666666666667</v>
      </c>
      <c r="L143" s="300">
        <f t="shared" si="63"/>
        <v>7.2978998005397158E-2</v>
      </c>
      <c r="M143" s="297">
        <f>(31/366)</f>
        <v>8.4699453551912565E-2</v>
      </c>
      <c r="N143" s="304">
        <f>$M143*'MWh Impact Summary'!F$22</f>
        <v>91690.489145616724</v>
      </c>
      <c r="O143" s="304">
        <f>$M143*'MWh Impact Summary'!G$22</f>
        <v>1806.6680615811299</v>
      </c>
      <c r="P143" s="304">
        <f>$M143*'MWh Impact Summary'!H$22</f>
        <v>4959.6200007486323</v>
      </c>
      <c r="Q143" s="320">
        <f>$D143*'MWh Impact Summary'!I$22</f>
        <v>2398.9181269995061</v>
      </c>
      <c r="R143" s="304">
        <f>$M143*'MWh Impact Summary'!J$22</f>
        <v>26391.841511107759</v>
      </c>
      <c r="S143" s="304">
        <f>$M143*'MWh Impact Summary'!K$22</f>
        <v>6675.463536611971</v>
      </c>
      <c r="T143" s="304">
        <f>$M143*'MWh Impact Summary'!L$22</f>
        <v>2424.6605303305378</v>
      </c>
      <c r="U143" s="304">
        <f>$M143*'MWh Impact Summary'!M$22</f>
        <v>7359.7778208164382</v>
      </c>
      <c r="V143" s="304">
        <f>$M143*'LED Impact Forecast'!$H$23+$D143*'LED Impact Forecast'!$J$23</f>
        <v>11592.221804847966</v>
      </c>
      <c r="W143" s="304">
        <f>$M143*'CFL Impact Forecast'!$H$23+$D143*'CFL Impact Forecast'!$J$23</f>
        <v>353513.70625261409</v>
      </c>
      <c r="X143" s="304">
        <f>$M143*'EISA Incand Impact Forecast'!$G$23+$D143*'EISA Incand Impact Forecast'!$I$23</f>
        <v>121345.44051190287</v>
      </c>
      <c r="Y143" s="85">
        <f t="shared" si="67"/>
        <v>630158.80730317766</v>
      </c>
      <c r="Z143" s="81">
        <f t="shared" si="68"/>
        <v>1450542.2002560783</v>
      </c>
      <c r="AA143" s="81"/>
      <c r="AB143" s="262">
        <f>+'MWh by mo-WgtbyActulCDH&amp;Days'!AB143</f>
        <v>4855525.4877184592</v>
      </c>
      <c r="AC143" s="308">
        <f t="shared" si="76"/>
        <v>298.74051818388597</v>
      </c>
      <c r="AD143" s="309">
        <f t="shared" si="69"/>
        <v>168.95872445278562</v>
      </c>
      <c r="AE143" s="107">
        <f t="shared" si="70"/>
        <v>1.6298269239818548E-2</v>
      </c>
      <c r="AF143" s="309">
        <f t="shared" si="77"/>
        <v>129.78179373110041</v>
      </c>
      <c r="AG143" s="107">
        <f t="shared" si="71"/>
        <v>1.2519144089816759E-2</v>
      </c>
      <c r="AH143" s="119">
        <f t="shared" si="78"/>
        <v>2.8817413329635305E-2</v>
      </c>
      <c r="AI143" s="122">
        <f t="shared" si="72"/>
        <v>2.8817413329635302E-2</v>
      </c>
      <c r="AJ143" s="87" t="b">
        <f t="shared" si="79"/>
        <v>1</v>
      </c>
      <c r="AK143" s="88">
        <f t="shared" si="52"/>
        <v>3.0397833787838176E-3</v>
      </c>
      <c r="AL143" s="312">
        <f>+AC143/'MWh by month-WgtbyCDH&amp;DayLtHrs'!AC143-1</f>
        <v>0.17052473961554027</v>
      </c>
      <c r="AM143" s="89">
        <f t="shared" si="73"/>
        <v>353513.70625261409</v>
      </c>
      <c r="AN143" s="93"/>
      <c r="AO143" s="96">
        <f t="shared" si="61"/>
        <v>72.806477310600016</v>
      </c>
      <c r="AP143" s="92">
        <f t="shared" si="60"/>
        <v>7.0231328595434092E-3</v>
      </c>
      <c r="AR143" s="94">
        <f t="shared" si="74"/>
        <v>2.8817413329635302E-2</v>
      </c>
      <c r="AS143" s="95">
        <v>1227840.8440896038</v>
      </c>
      <c r="AU143" s="141">
        <v>298.74051818388597</v>
      </c>
    </row>
    <row r="144" spans="1:47">
      <c r="A144" s="78">
        <v>2016</v>
      </c>
      <c r="B144" s="78">
        <v>8</v>
      </c>
      <c r="C144" s="317">
        <f t="shared" si="81"/>
        <v>326.45437890907908</v>
      </c>
      <c r="D144" s="324">
        <f t="shared" si="80"/>
        <v>0.18158207861502046</v>
      </c>
      <c r="E144" s="321">
        <f>$D144*'MWh Impact Summary'!B$22</f>
        <v>375588.46723528125</v>
      </c>
      <c r="F144" s="319">
        <f>$D144*'MWh Impact Summary'!N$22</f>
        <v>33318.54869587435</v>
      </c>
      <c r="G144" s="319">
        <f>$D144*'MWh Impact Summary'!C$22</f>
        <v>302160.16632502509</v>
      </c>
      <c r="H144" s="319">
        <f>$D144*'MWh Impact Summary'!D$22</f>
        <v>1043.1159893916392</v>
      </c>
      <c r="I144" s="319">
        <f>$D144*'MWh Impact Summary'!E$22</f>
        <v>118798.25260527809</v>
      </c>
      <c r="J144" s="104">
        <f t="shared" si="75"/>
        <v>830908.55085085041</v>
      </c>
      <c r="K144" s="298">
        <f t="shared" si="51"/>
        <v>10.933333333333334</v>
      </c>
      <c r="L144" s="300">
        <f t="shared" si="63"/>
        <v>7.6968203684148764E-2</v>
      </c>
      <c r="M144" s="297">
        <f>(31/366)</f>
        <v>8.4699453551912565E-2</v>
      </c>
      <c r="N144" s="304">
        <f>$M144*'MWh Impact Summary'!F$22</f>
        <v>91690.489145616724</v>
      </c>
      <c r="O144" s="304">
        <f>$M144*'MWh Impact Summary'!G$22</f>
        <v>1806.6680615811299</v>
      </c>
      <c r="P144" s="304">
        <f>$M144*'MWh Impact Summary'!H$22</f>
        <v>4959.6200007486323</v>
      </c>
      <c r="Q144" s="320">
        <f>$D144*'MWh Impact Summary'!I$22</f>
        <v>2429.6951908550309</v>
      </c>
      <c r="R144" s="304">
        <f>$M144*'MWh Impact Summary'!J$22</f>
        <v>26391.841511107759</v>
      </c>
      <c r="S144" s="304">
        <f>$M144*'MWh Impact Summary'!K$22</f>
        <v>6675.463536611971</v>
      </c>
      <c r="T144" s="304">
        <f>$M144*'MWh Impact Summary'!L$22</f>
        <v>2424.6605303305378</v>
      </c>
      <c r="U144" s="304">
        <f>$M144*'MWh Impact Summary'!M$22</f>
        <v>7359.7778208164382</v>
      </c>
      <c r="V144" s="304">
        <f>$M144*'LED Impact Forecast'!$H$23+$D144*'LED Impact Forecast'!$J$23</f>
        <v>11615.320905531276</v>
      </c>
      <c r="W144" s="304">
        <f>$M144*'CFL Impact Forecast'!$H$23+$D144*'CFL Impact Forecast'!$J$23</f>
        <v>354713.27552877495</v>
      </c>
      <c r="X144" s="304">
        <f>$M144*'EISA Incand Impact Forecast'!$G$23+$D144*'EISA Incand Impact Forecast'!$I$23</f>
        <v>121781.22859480002</v>
      </c>
      <c r="Y144" s="85">
        <f t="shared" si="67"/>
        <v>631848.04082677444</v>
      </c>
      <c r="Z144" s="81">
        <f t="shared" si="68"/>
        <v>1462756.5916776247</v>
      </c>
      <c r="AA144" s="81"/>
      <c r="AB144" s="262">
        <f>+'MWh by mo-WgtbyActulCDH&amp;Days'!AB144</f>
        <v>4862964.3023347482</v>
      </c>
      <c r="AC144" s="308">
        <f t="shared" si="76"/>
        <v>300.79525588442908</v>
      </c>
      <c r="AD144" s="309">
        <f t="shared" si="69"/>
        <v>170.86462067013829</v>
      </c>
      <c r="AE144" s="107">
        <f t="shared" si="70"/>
        <v>1.562786164665899E-2</v>
      </c>
      <c r="AF144" s="309">
        <f t="shared" si="77"/>
        <v>129.93063521429082</v>
      </c>
      <c r="AG144" s="107">
        <f t="shared" si="71"/>
        <v>1.1883899562282696E-2</v>
      </c>
      <c r="AH144" s="119">
        <f t="shared" si="78"/>
        <v>2.7511761208941686E-2</v>
      </c>
      <c r="AI144" s="122">
        <f t="shared" si="72"/>
        <v>2.7511761208941686E-2</v>
      </c>
      <c r="AJ144" s="87" t="b">
        <f t="shared" si="79"/>
        <v>1</v>
      </c>
      <c r="AK144" s="88">
        <f t="shared" si="52"/>
        <v>2.9058222636182615E-3</v>
      </c>
      <c r="AL144" s="312">
        <f>+AC144/'MWh by month-WgtbyCDH&amp;DayLtHrs'!AC144-1</f>
        <v>0.14910731002089861</v>
      </c>
      <c r="AM144" s="89">
        <f t="shared" si="73"/>
        <v>354713.27552877495</v>
      </c>
      <c r="AN144" s="93"/>
      <c r="AO144" s="96">
        <f t="shared" si="61"/>
        <v>72.941780666264449</v>
      </c>
      <c r="AP144" s="92">
        <f t="shared" si="60"/>
        <v>6.671504329231504E-3</v>
      </c>
      <c r="AR144" s="94">
        <f t="shared" si="74"/>
        <v>2.7511761208941686E-2</v>
      </c>
      <c r="AS144" s="95">
        <v>1276453.2668340718</v>
      </c>
      <c r="AU144" s="141">
        <v>300.79525588442908</v>
      </c>
    </row>
    <row r="145" spans="1:47">
      <c r="A145" s="78">
        <v>2016</v>
      </c>
      <c r="B145" s="78">
        <v>9</v>
      </c>
      <c r="C145" s="317">
        <f t="shared" si="81"/>
        <v>277.87653293728147</v>
      </c>
      <c r="D145" s="324">
        <f t="shared" si="80"/>
        <v>0.15456186747349368</v>
      </c>
      <c r="E145" s="321">
        <f>$D145*'MWh Impact Summary'!B$22</f>
        <v>319699.25303294841</v>
      </c>
      <c r="F145" s="319">
        <f>$D145*'MWh Impact Summary'!N$22</f>
        <v>28360.602253370656</v>
      </c>
      <c r="G145" s="319">
        <f>$D145*'MWh Impact Summary'!C$22</f>
        <v>257197.4059307531</v>
      </c>
      <c r="H145" s="319">
        <f>$D145*'MWh Impact Summary'!D$22</f>
        <v>887.89574687959418</v>
      </c>
      <c r="I145" s="319">
        <f>$D145*'MWh Impact Summary'!E$22</f>
        <v>101120.55063643676</v>
      </c>
      <c r="J145" s="104">
        <f t="shared" si="75"/>
        <v>707265.70760038856</v>
      </c>
      <c r="K145" s="298">
        <f t="shared" si="51"/>
        <v>11.683333333333334</v>
      </c>
      <c r="L145" s="300">
        <f t="shared" si="63"/>
        <v>8.2248034729555317E-2</v>
      </c>
      <c r="M145" s="297">
        <f>(30/366)</f>
        <v>8.1967213114754092E-2</v>
      </c>
      <c r="N145" s="304">
        <f>$M145*'MWh Impact Summary'!F$22</f>
        <v>88732.731431241991</v>
      </c>
      <c r="O145" s="304">
        <f>$M145*'MWh Impact Summary'!G$22</f>
        <v>1748.388446691416</v>
      </c>
      <c r="P145" s="304">
        <f>$M145*'MWh Impact Summary'!H$22</f>
        <v>4799.6322587889981</v>
      </c>
      <c r="Q145" s="320">
        <f>$D145*'MWh Impact Summary'!I$22</f>
        <v>2068.1458707503512</v>
      </c>
      <c r="R145" s="304">
        <f>$M145*'MWh Impact Summary'!J$22</f>
        <v>25540.491784942991</v>
      </c>
      <c r="S145" s="304">
        <f>$M145*'MWh Impact Summary'!K$22</f>
        <v>6460.1260031728743</v>
      </c>
      <c r="T145" s="304">
        <f>$M145*'MWh Impact Summary'!L$22</f>
        <v>2346.4456745134235</v>
      </c>
      <c r="U145" s="304">
        <f>$M145*'MWh Impact Summary'!M$22</f>
        <v>7122.3656330481654</v>
      </c>
      <c r="V145" s="304">
        <f>$M145*'LED Impact Forecast'!$H$23+$D145*'LED Impact Forecast'!$J$23</f>
        <v>11028.10409456964</v>
      </c>
      <c r="W145" s="304">
        <f>$M145*'CFL Impact Forecast'!$H$23+$D145*'CFL Impact Forecast'!$J$23</f>
        <v>332233.97534508101</v>
      </c>
      <c r="X145" s="304">
        <f>$M145*'EISA Incand Impact Forecast'!$G$23+$D145*'EISA Incand Impact Forecast'!$I$23</f>
        <v>113843.22486590638</v>
      </c>
      <c r="Y145" s="85">
        <f t="shared" si="67"/>
        <v>595923.63140870724</v>
      </c>
      <c r="Z145" s="81">
        <f t="shared" si="68"/>
        <v>1303189.3390090959</v>
      </c>
      <c r="AA145" s="81"/>
      <c r="AB145" s="262">
        <f>+'MWh by mo-WgtbyActulCDH&amp;Days'!AB145</f>
        <v>4867498.8173319157</v>
      </c>
      <c r="AC145" s="308">
        <f t="shared" si="76"/>
        <v>267.73285169968045</v>
      </c>
      <c r="AD145" s="309">
        <f t="shared" si="69"/>
        <v>145.30372459095349</v>
      </c>
      <c r="AE145" s="107">
        <f t="shared" si="70"/>
        <v>1.2436838053433964E-2</v>
      </c>
      <c r="AF145" s="309">
        <f t="shared" si="77"/>
        <v>122.42912710872696</v>
      </c>
      <c r="AG145" s="107">
        <f t="shared" si="71"/>
        <v>1.0478955244684189E-2</v>
      </c>
      <c r="AH145" s="119">
        <f t="shared" si="78"/>
        <v>2.2915793298118152E-2</v>
      </c>
      <c r="AI145" s="122">
        <f t="shared" si="72"/>
        <v>2.2915793298118155E-2</v>
      </c>
      <c r="AJ145" s="87" t="b">
        <f t="shared" si="79"/>
        <v>1</v>
      </c>
      <c r="AK145" s="88">
        <f t="shared" si="52"/>
        <v>2.4229564096822573E-3</v>
      </c>
      <c r="AL145" s="312">
        <f>+AC145/'MWh by month-WgtbyCDH&amp;DayLtHrs'!AC145-1</f>
        <v>9.3466823610990568E-2</v>
      </c>
      <c r="AM145" s="89">
        <f t="shared" si="73"/>
        <v>332233.97534508101</v>
      </c>
      <c r="AN145" s="93"/>
      <c r="AO145" s="96">
        <f t="shared" si="61"/>
        <v>68.255584194921838</v>
      </c>
      <c r="AP145" s="92">
        <f t="shared" si="60"/>
        <v>5.8421327413627818E-3</v>
      </c>
      <c r="AR145" s="94">
        <f t="shared" si="74"/>
        <v>2.2915793298118155E-2</v>
      </c>
      <c r="AS145" s="95">
        <v>1206323.4397606517</v>
      </c>
      <c r="AU145" s="141">
        <v>267.73285169968045</v>
      </c>
    </row>
    <row r="146" spans="1:47">
      <c r="A146" s="78">
        <v>2016</v>
      </c>
      <c r="B146" s="78">
        <v>10</v>
      </c>
      <c r="C146" s="317">
        <f t="shared" si="81"/>
        <v>198.89039579254836</v>
      </c>
      <c r="D146" s="324">
        <f t="shared" si="80"/>
        <v>0.11062780534683357</v>
      </c>
      <c r="E146" s="321">
        <f>$D146*'MWh Impact Summary'!B$22</f>
        <v>228825.04793831133</v>
      </c>
      <c r="F146" s="319">
        <f>$D146*'MWh Impact Summary'!N$22</f>
        <v>20299.128348348364</v>
      </c>
      <c r="G146" s="319">
        <f>$D146*'MWh Impact Summary'!C$22</f>
        <v>184089.29074241046</v>
      </c>
      <c r="H146" s="319">
        <f>$D146*'MWh Impact Summary'!D$22</f>
        <v>635.51223506614429</v>
      </c>
      <c r="I146" s="319">
        <f>$D146*'MWh Impact Summary'!E$22</f>
        <v>72377.131405265958</v>
      </c>
      <c r="J146" s="104">
        <f t="shared" si="75"/>
        <v>506226.11066940223</v>
      </c>
      <c r="K146" s="298">
        <f t="shared" ref="K146:K209" si="82">+K134</f>
        <v>12.466666666666667</v>
      </c>
      <c r="L146" s="300">
        <f t="shared" si="63"/>
        <v>8.7762524932535488E-2</v>
      </c>
      <c r="M146" s="297">
        <f>(31/366)</f>
        <v>8.4699453551912565E-2</v>
      </c>
      <c r="N146" s="304">
        <f>$M146*'MWh Impact Summary'!F$22</f>
        <v>91690.489145616724</v>
      </c>
      <c r="O146" s="304">
        <f>$M146*'MWh Impact Summary'!G$22</f>
        <v>1806.6680615811299</v>
      </c>
      <c r="P146" s="304">
        <f>$M146*'MWh Impact Summary'!H$22</f>
        <v>4959.6200007486323</v>
      </c>
      <c r="Q146" s="320">
        <f>$D146*'MWh Impact Summary'!I$22</f>
        <v>1480.2773967354153</v>
      </c>
      <c r="R146" s="304">
        <f>$M146*'MWh Impact Summary'!J$22</f>
        <v>26391.841511107759</v>
      </c>
      <c r="S146" s="304">
        <f>$M146*'MWh Impact Summary'!K$22</f>
        <v>6675.463536611971</v>
      </c>
      <c r="T146" s="304">
        <f>$M146*'MWh Impact Summary'!L$22</f>
        <v>2424.6605303305378</v>
      </c>
      <c r="U146" s="304">
        <f>$M146*'MWh Impact Summary'!M$22</f>
        <v>7359.7778208164382</v>
      </c>
      <c r="V146" s="304">
        <f>$M146*'LED Impact Forecast'!$H$23+$D146*'LED Impact Forecast'!$J$23</f>
        <v>10902.754647754284</v>
      </c>
      <c r="W146" s="304">
        <f>$M146*'CFL Impact Forecast'!$H$23+$D146*'CFL Impact Forecast'!$J$23</f>
        <v>317708.6924596256</v>
      </c>
      <c r="X146" s="304">
        <f>$M146*'EISA Incand Impact Forecast'!$G$23+$D146*'EISA Incand Impact Forecast'!$I$23</f>
        <v>108337.93971220675</v>
      </c>
      <c r="Y146" s="85">
        <f t="shared" si="67"/>
        <v>579738.18482313526</v>
      </c>
      <c r="Z146" s="81">
        <f t="shared" si="68"/>
        <v>1085964.2954925376</v>
      </c>
      <c r="AA146" s="81"/>
      <c r="AB146" s="262">
        <f>+'MWh by mo-WgtbyActulCDH&amp;Days'!AB146</f>
        <v>4872985.9866431234</v>
      </c>
      <c r="AC146" s="308">
        <f t="shared" si="76"/>
        <v>222.85397464084045</v>
      </c>
      <c r="AD146" s="309">
        <f t="shared" si="69"/>
        <v>103.88417123648011</v>
      </c>
      <c r="AE146" s="107">
        <f t="shared" si="70"/>
        <v>8.3329549120171216E-3</v>
      </c>
      <c r="AF146" s="309">
        <f t="shared" si="77"/>
        <v>118.96980340436033</v>
      </c>
      <c r="AG146" s="107">
        <f t="shared" si="71"/>
        <v>9.5430323586385285E-3</v>
      </c>
      <c r="AH146" s="119">
        <f t="shared" si="78"/>
        <v>1.787598727065565E-2</v>
      </c>
      <c r="AI146" s="122">
        <f t="shared" si="72"/>
        <v>1.787598727065565E-2</v>
      </c>
      <c r="AJ146" s="87" t="b">
        <f t="shared" si="79"/>
        <v>1</v>
      </c>
      <c r="AK146" s="88">
        <f t="shared" si="52"/>
        <v>1.9014605546014592E-3</v>
      </c>
      <c r="AL146" s="312">
        <f>+AC146/'MWh by month-WgtbyCDH&amp;DayLtHrs'!AC146-1</f>
        <v>4.2902578810802838E-2</v>
      </c>
      <c r="AM146" s="89">
        <f t="shared" si="73"/>
        <v>317708.6924596256</v>
      </c>
      <c r="AN146" s="93"/>
      <c r="AO146" s="96">
        <f t="shared" si="61"/>
        <v>65.197949128207341</v>
      </c>
      <c r="AP146" s="92">
        <f t="shared" si="60"/>
        <v>5.2297820156316042E-3</v>
      </c>
      <c r="AR146" s="94">
        <f t="shared" si="74"/>
        <v>1.787598727065565E-2</v>
      </c>
      <c r="AS146" s="95">
        <v>973350.79860718851</v>
      </c>
      <c r="AU146" s="141">
        <v>222.85397464084045</v>
      </c>
    </row>
    <row r="147" spans="1:47">
      <c r="A147" s="78">
        <v>2016</v>
      </c>
      <c r="B147" s="78">
        <v>11</v>
      </c>
      <c r="C147" s="317">
        <f t="shared" si="81"/>
        <v>78.117279066674627</v>
      </c>
      <c r="D147" s="324">
        <f t="shared" si="80"/>
        <v>4.3450781564265642E-2</v>
      </c>
      <c r="E147" s="321">
        <f>$D147*'MWh Impact Summary'!B$22</f>
        <v>89874.576678337413</v>
      </c>
      <c r="F147" s="319">
        <f>$D147*'MWh Impact Summary'!N$22</f>
        <v>7972.7966133273967</v>
      </c>
      <c r="G147" s="319">
        <f>$D147*'MWh Impact Summary'!C$22</f>
        <v>72303.916138367204</v>
      </c>
      <c r="H147" s="319">
        <f>$D147*'MWh Impact Summary'!D$22</f>
        <v>249.6072594110052</v>
      </c>
      <c r="I147" s="319">
        <f>$D147*'MWh Impact Summary'!E$22</f>
        <v>28427.237773350393</v>
      </c>
      <c r="J147" s="104">
        <f t="shared" si="75"/>
        <v>198828.13446279342</v>
      </c>
      <c r="K147" s="298">
        <f t="shared" si="82"/>
        <v>13.15</v>
      </c>
      <c r="L147" s="300">
        <f t="shared" si="63"/>
        <v>9.2573037662794788E-2</v>
      </c>
      <c r="M147" s="297">
        <f>(30/366)</f>
        <v>8.1967213114754092E-2</v>
      </c>
      <c r="N147" s="304">
        <f>$M147*'MWh Impact Summary'!F$22</f>
        <v>88732.731431241991</v>
      </c>
      <c r="O147" s="304">
        <f>$M147*'MWh Impact Summary'!G$22</f>
        <v>1748.388446691416</v>
      </c>
      <c r="P147" s="304">
        <f>$M147*'MWh Impact Summary'!H$22</f>
        <v>4799.6322587889981</v>
      </c>
      <c r="Q147" s="320">
        <f>$D147*'MWh Impact Summary'!I$22</f>
        <v>581.40184213562441</v>
      </c>
      <c r="R147" s="304">
        <f>$M147*'MWh Impact Summary'!J$22</f>
        <v>25540.491784942991</v>
      </c>
      <c r="S147" s="304">
        <f>$M147*'MWh Impact Summary'!K$22</f>
        <v>6460.1260031728743</v>
      </c>
      <c r="T147" s="304">
        <f>$M147*'MWh Impact Summary'!L$22</f>
        <v>2346.4456745134235</v>
      </c>
      <c r="U147" s="304">
        <f>$M147*'MWh Impact Summary'!M$22</f>
        <v>7122.3656330481654</v>
      </c>
      <c r="V147" s="304">
        <f>$M147*'LED Impact Forecast'!$H$23+$D147*'LED Impact Forecast'!$J$23</f>
        <v>9912.2585360559005</v>
      </c>
      <c r="W147" s="304">
        <f>$M147*'CFL Impact Forecast'!$H$23+$D147*'CFL Impact Forecast'!$J$23</f>
        <v>274286.52244269312</v>
      </c>
      <c r="X147" s="304">
        <f>$M147*'EISA Incand Impact Forecast'!$G$23+$D147*'EISA Incand Impact Forecast'!$I$23</f>
        <v>92791.660849590713</v>
      </c>
      <c r="Y147" s="85">
        <f t="shared" si="67"/>
        <v>514322.02490287524</v>
      </c>
      <c r="Z147" s="81">
        <f t="shared" si="68"/>
        <v>713150.15936566866</v>
      </c>
      <c r="AA147" s="81"/>
      <c r="AB147" s="262">
        <f>+'MWh by mo-WgtbyActulCDH&amp;Days'!AB147</f>
        <v>4878687.6758089541</v>
      </c>
      <c r="AC147" s="308">
        <f t="shared" si="76"/>
        <v>146.17663739817459</v>
      </c>
      <c r="AD147" s="309">
        <f t="shared" si="69"/>
        <v>40.754429812895317</v>
      </c>
      <c r="AE147" s="107">
        <f t="shared" si="70"/>
        <v>3.0991961834901383E-3</v>
      </c>
      <c r="AF147" s="309">
        <f t="shared" si="77"/>
        <v>105.42220758527928</v>
      </c>
      <c r="AG147" s="107">
        <f t="shared" si="71"/>
        <v>8.0168979152303622E-3</v>
      </c>
      <c r="AH147" s="119">
        <f t="shared" si="78"/>
        <v>1.11160940987205E-2</v>
      </c>
      <c r="AI147" s="122">
        <f t="shared" si="72"/>
        <v>1.11160940987205E-2</v>
      </c>
      <c r="AJ147" s="87" t="b">
        <f t="shared" si="79"/>
        <v>1</v>
      </c>
      <c r="AK147" s="88">
        <f t="shared" si="52"/>
        <v>1.2002306102337039E-3</v>
      </c>
      <c r="AL147" s="312">
        <f>+AC147/'MWh by month-WgtbyCDH&amp;DayLtHrs'!AC147-1</f>
        <v>-9.6455377454688573E-2</v>
      </c>
      <c r="AM147" s="89">
        <f t="shared" si="73"/>
        <v>274286.52244269312</v>
      </c>
      <c r="AN147" s="93"/>
      <c r="AO147" s="96">
        <f t="shared" si="61"/>
        <v>56.221373588382576</v>
      </c>
      <c r="AP147" s="92">
        <f t="shared" si="60"/>
        <v>4.2753896264929722E-3</v>
      </c>
      <c r="AR147" s="94">
        <f t="shared" si="74"/>
        <v>1.11160940987205E-2</v>
      </c>
      <c r="AS147" s="95">
        <v>753485.54449138115</v>
      </c>
      <c r="AU147" s="141">
        <v>146.17663739817459</v>
      </c>
    </row>
    <row r="148" spans="1:47">
      <c r="A148" s="78">
        <v>2016</v>
      </c>
      <c r="B148" s="78">
        <v>12</v>
      </c>
      <c r="C148" s="317">
        <f t="shared" si="81"/>
        <v>0</v>
      </c>
      <c r="D148" s="324">
        <f t="shared" si="80"/>
        <v>0</v>
      </c>
      <c r="E148" s="321">
        <f>$D148*'MWh Impact Summary'!B$22</f>
        <v>0</v>
      </c>
      <c r="F148" s="319">
        <f>$D148*'MWh Impact Summary'!N$22</f>
        <v>0</v>
      </c>
      <c r="G148" s="319">
        <f>$D148*'MWh Impact Summary'!C$22</f>
        <v>0</v>
      </c>
      <c r="H148" s="319">
        <f>$D148*'MWh Impact Summary'!D$22</f>
        <v>0</v>
      </c>
      <c r="I148" s="319">
        <f>$D148*'MWh Impact Summary'!E$22</f>
        <v>0</v>
      </c>
      <c r="J148" s="104">
        <f t="shared" si="75"/>
        <v>0</v>
      </c>
      <c r="K148" s="298">
        <f t="shared" si="82"/>
        <v>13.483333333333333</v>
      </c>
      <c r="L148" s="300">
        <f t="shared" si="63"/>
        <v>9.491962923853102E-2</v>
      </c>
      <c r="M148" s="297">
        <f>(31/366)</f>
        <v>8.4699453551912565E-2</v>
      </c>
      <c r="N148" s="304">
        <f>$M148*'MWh Impact Summary'!F$22</f>
        <v>91690.489145616724</v>
      </c>
      <c r="O148" s="304">
        <f>$M148*'MWh Impact Summary'!G$22</f>
        <v>1806.6680615811299</v>
      </c>
      <c r="P148" s="304">
        <f>$M148*'MWh Impact Summary'!H$22</f>
        <v>4959.6200007486323</v>
      </c>
      <c r="Q148" s="320">
        <f>$D148*'MWh Impact Summary'!I$22</f>
        <v>0</v>
      </c>
      <c r="R148" s="304">
        <f>$M148*'MWh Impact Summary'!J$22</f>
        <v>26391.841511107759</v>
      </c>
      <c r="S148" s="304">
        <f>$M148*'MWh Impact Summary'!K$22</f>
        <v>6675.463536611971</v>
      </c>
      <c r="T148" s="304">
        <f>$M148*'MWh Impact Summary'!L$22</f>
        <v>2424.6605303305378</v>
      </c>
      <c r="U148" s="304">
        <f>$M148*'MWh Impact Summary'!M$22</f>
        <v>7359.7778208164382</v>
      </c>
      <c r="V148" s="304">
        <f>$M148*'LED Impact Forecast'!$H$23+$D148*'LED Impact Forecast'!$J$23</f>
        <v>9791.7624885629521</v>
      </c>
      <c r="W148" s="304">
        <f>$M148*'CFL Impact Forecast'!$H$23+$D148*'CFL Impact Forecast'!$J$23</f>
        <v>260013.28351305748</v>
      </c>
      <c r="X148" s="304">
        <f>$M148*'EISA Incand Impact Forecast'!$G$23+$D148*'EISA Incand Impact Forecast'!$I$23</f>
        <v>87377.940021933216</v>
      </c>
      <c r="Y148" s="85">
        <f t="shared" si="67"/>
        <v>498491.50663036684</v>
      </c>
      <c r="Z148" s="81">
        <f t="shared" si="68"/>
        <v>498491.50663036684</v>
      </c>
      <c r="AA148" s="81">
        <f>SUM(Z137:Z148)</f>
        <v>11195769.673743742</v>
      </c>
      <c r="AB148" s="262">
        <f>+'MWh by mo-WgtbyActulCDH&amp;Days'!AB148</f>
        <v>4884563.5171767101</v>
      </c>
      <c r="AC148" s="308">
        <f t="shared" si="76"/>
        <v>102.05446297860739</v>
      </c>
      <c r="AD148" s="309">
        <f t="shared" si="69"/>
        <v>0</v>
      </c>
      <c r="AE148" s="107">
        <f t="shared" si="70"/>
        <v>0</v>
      </c>
      <c r="AF148" s="309">
        <f t="shared" si="77"/>
        <v>102.05446297860739</v>
      </c>
      <c r="AG148" s="107">
        <f t="shared" si="71"/>
        <v>7.5689342134937507E-3</v>
      </c>
      <c r="AH148" s="119">
        <f t="shared" si="78"/>
        <v>7.5689342134937507E-3</v>
      </c>
      <c r="AI148" s="122">
        <f t="shared" si="72"/>
        <v>7.5689342134937507E-3</v>
      </c>
      <c r="AJ148" s="87" t="b">
        <f t="shared" si="79"/>
        <v>1</v>
      </c>
      <c r="AK148" s="88">
        <f t="shared" si="52"/>
        <v>8.3540331114605876E-4</v>
      </c>
      <c r="AL148" s="312">
        <f>+AC148/'MWh by month-WgtbyCDH&amp;DayLtHrs'!AC148-1</f>
        <v>-0.30849395529341472</v>
      </c>
      <c r="AM148" s="89">
        <f t="shared" si="73"/>
        <v>260013.28351305748</v>
      </c>
      <c r="AN148" s="90">
        <f>SUM(AM137:AM148)</f>
        <v>3591361.4449216989</v>
      </c>
      <c r="AO148" s="96">
        <f t="shared" si="61"/>
        <v>53.231631157771453</v>
      </c>
      <c r="AP148" s="92">
        <f t="shared" si="60"/>
        <v>3.9479578114540014E-3</v>
      </c>
      <c r="AR148" s="94">
        <f t="shared" si="74"/>
        <v>7.5689342134937507E-3</v>
      </c>
      <c r="AS148" s="95">
        <v>622720.01777752733</v>
      </c>
      <c r="AU148" s="141">
        <v>102.05446297860739</v>
      </c>
    </row>
    <row r="149" spans="1:47">
      <c r="A149" s="78">
        <v>2017</v>
      </c>
      <c r="B149" s="78">
        <v>1</v>
      </c>
      <c r="C149" s="317">
        <f t="shared" si="81"/>
        <v>0</v>
      </c>
      <c r="D149" s="324">
        <f t="shared" si="80"/>
        <v>0</v>
      </c>
      <c r="E149" s="321">
        <f>$D149*'MWh Impact Summary'!B$23</f>
        <v>0</v>
      </c>
      <c r="F149" s="319">
        <f>$D149*'MWh Impact Summary'!N$23</f>
        <v>0</v>
      </c>
      <c r="G149" s="319">
        <f>$D149*'MWh Impact Summary'!C$23</f>
        <v>0</v>
      </c>
      <c r="H149" s="319">
        <f>$D149*'MWh Impact Summary'!D$23</f>
        <v>0</v>
      </c>
      <c r="I149" s="319">
        <f>$D149*'MWh Impact Summary'!E$23</f>
        <v>0</v>
      </c>
      <c r="J149" s="104">
        <f t="shared" si="75"/>
        <v>0</v>
      </c>
      <c r="K149" s="298">
        <f t="shared" si="82"/>
        <v>13.3</v>
      </c>
      <c r="L149" s="300">
        <f t="shared" si="63"/>
        <v>9.3629003871876101E-2</v>
      </c>
      <c r="M149" s="297">
        <f>(31/365)</f>
        <v>8.4931506849315067E-2</v>
      </c>
      <c r="N149" s="304">
        <f>$M149*'MWh Impact Summary'!F$23</f>
        <v>103076.02811420627</v>
      </c>
      <c r="O149" s="304">
        <f>$M149*'MWh Impact Summary'!G$23</f>
        <v>3417.8947403267753</v>
      </c>
      <c r="P149" s="304">
        <f>$M149*'MWh Impact Summary'!H$23</f>
        <v>6150.5175305832354</v>
      </c>
      <c r="Q149" s="320">
        <f>$D149*'MWh Impact Summary'!I$23</f>
        <v>0</v>
      </c>
      <c r="R149" s="304">
        <f>$M149*'MWh Impact Summary'!J$23</f>
        <v>30397.083715572728</v>
      </c>
      <c r="S149" s="304">
        <f>$M149*'MWh Impact Summary'!K$23</f>
        <v>10000.576722944348</v>
      </c>
      <c r="T149" s="304">
        <f>$M149*'MWh Impact Summary'!L$23</f>
        <v>3576.4208897997401</v>
      </c>
      <c r="U149" s="304">
        <f>$M149*'MWh Impact Summary'!M$23</f>
        <v>11025.754594752025</v>
      </c>
      <c r="V149" s="304">
        <f>$M149*'LED Impact Forecast'!$H$24+$D149*'LED Impact Forecast'!$J$24</f>
        <v>21899.510761101068</v>
      </c>
      <c r="W149" s="304">
        <f>$M149*'CFL Impact Forecast'!$H$24+$D149*'CFL Impact Forecast'!$J$24</f>
        <v>273306.291494017</v>
      </c>
      <c r="X149" s="304">
        <f>$M149*'EISA Incand Impact Forecast'!$G$24+$D149*'EISA Incand Impact Forecast'!$I$24</f>
        <v>102717.57378268885</v>
      </c>
      <c r="Y149" s="85">
        <f t="shared" si="67"/>
        <v>565567.65234599204</v>
      </c>
      <c r="Z149" s="81">
        <f t="shared" si="68"/>
        <v>565567.65234599204</v>
      </c>
      <c r="AA149" s="81"/>
      <c r="AB149" s="262">
        <f>+'MWh by mo-WgtbyActulCDH&amp;Days'!AB149</f>
        <v>4891015.7222528467</v>
      </c>
      <c r="AC149" s="308">
        <f t="shared" si="76"/>
        <v>115.6339877978324</v>
      </c>
      <c r="AD149" s="309">
        <f t="shared" si="69"/>
        <v>0</v>
      </c>
      <c r="AE149" s="107">
        <f t="shared" si="70"/>
        <v>0</v>
      </c>
      <c r="AF149" s="309">
        <f t="shared" si="77"/>
        <v>115.6339877978324</v>
      </c>
      <c r="AG149" s="107">
        <f t="shared" si="71"/>
        <v>8.6942847968295035E-3</v>
      </c>
      <c r="AH149" s="119">
        <f t="shared" si="78"/>
        <v>8.6942847968295035E-3</v>
      </c>
      <c r="AI149" s="122">
        <f t="shared" si="72"/>
        <v>8.6942847968295035E-3</v>
      </c>
      <c r="AJ149" s="87" t="b">
        <f t="shared" si="79"/>
        <v>1</v>
      </c>
      <c r="AK149" s="88">
        <f t="shared" si="52"/>
        <v>9.1916313024896241E-4</v>
      </c>
      <c r="AL149" s="312">
        <f>+AC149/'MWh by month-WgtbyCDH&amp;DayLtHrs'!AC149-1</f>
        <v>-0.25607259117182624</v>
      </c>
      <c r="AM149" s="89">
        <f t="shared" si="73"/>
        <v>273306.291494017</v>
      </c>
      <c r="AN149" s="93"/>
      <c r="AO149" s="96">
        <f t="shared" si="61"/>
        <v>55.879250244595333</v>
      </c>
      <c r="AP149" s="92">
        <f t="shared" si="60"/>
        <v>4.2014473868116787E-3</v>
      </c>
      <c r="AR149" s="94">
        <f t="shared" si="74"/>
        <v>8.6942847968295035E-3</v>
      </c>
      <c r="AS149" s="95">
        <v>677896.61789944256</v>
      </c>
      <c r="AU149" s="141">
        <v>115.6339877978324</v>
      </c>
    </row>
    <row r="150" spans="1:47">
      <c r="A150" s="78">
        <v>2017</v>
      </c>
      <c r="B150" s="78">
        <v>2</v>
      </c>
      <c r="C150" s="317">
        <f t="shared" si="81"/>
        <v>0</v>
      </c>
      <c r="D150" s="324">
        <f t="shared" si="80"/>
        <v>0</v>
      </c>
      <c r="E150" s="321">
        <f>$D150*'MWh Impact Summary'!B$23</f>
        <v>0</v>
      </c>
      <c r="F150" s="319">
        <f>$D150*'MWh Impact Summary'!N$23</f>
        <v>0</v>
      </c>
      <c r="G150" s="319">
        <f>$D150*'MWh Impact Summary'!C$23</f>
        <v>0</v>
      </c>
      <c r="H150" s="319">
        <f>$D150*'MWh Impact Summary'!D$23</f>
        <v>0</v>
      </c>
      <c r="I150" s="319">
        <f>$D150*'MWh Impact Summary'!E$23</f>
        <v>0</v>
      </c>
      <c r="J150" s="104">
        <f t="shared" si="75"/>
        <v>0</v>
      </c>
      <c r="K150" s="298">
        <f t="shared" si="82"/>
        <v>12.733333333333333</v>
      </c>
      <c r="L150" s="300">
        <f t="shared" si="63"/>
        <v>8.9639798193124468E-2</v>
      </c>
      <c r="M150" s="297">
        <f>(28/365)</f>
        <v>7.6712328767123292E-2</v>
      </c>
      <c r="N150" s="304">
        <f>$M150*'MWh Impact Summary'!F$23</f>
        <v>93100.928619283091</v>
      </c>
      <c r="O150" s="304">
        <f>$M150*'MWh Impact Summary'!G$23</f>
        <v>3087.130733198378</v>
      </c>
      <c r="P150" s="304">
        <f>$M150*'MWh Impact Summary'!H$23</f>
        <v>5555.3061566558263</v>
      </c>
      <c r="Q150" s="320">
        <f>$D150*'MWh Impact Summary'!I$23</f>
        <v>0</v>
      </c>
      <c r="R150" s="304">
        <f>$M150*'MWh Impact Summary'!J$23</f>
        <v>27455.43045277537</v>
      </c>
      <c r="S150" s="304">
        <f>$M150*'MWh Impact Summary'!K$23</f>
        <v>9032.7789755626382</v>
      </c>
      <c r="T150" s="304">
        <f>$M150*'MWh Impact Summary'!L$23</f>
        <v>3230.3156423997652</v>
      </c>
      <c r="U150" s="304">
        <f>$M150*'MWh Impact Summary'!M$23</f>
        <v>9958.7460855824738</v>
      </c>
      <c r="V150" s="304">
        <f>$M150*'LED Impact Forecast'!$H$24+$D150*'LED Impact Forecast'!$J$24</f>
        <v>19780.203268091289</v>
      </c>
      <c r="W150" s="304">
        <f>$M150*'CFL Impact Forecast'!$H$24+$D150*'CFL Impact Forecast'!$J$24</f>
        <v>246857.29554298313</v>
      </c>
      <c r="X150" s="304">
        <f>$M150*'EISA Incand Impact Forecast'!$G$24+$D150*'EISA Incand Impact Forecast'!$I$24</f>
        <v>92777.163416622207</v>
      </c>
      <c r="Y150" s="85">
        <f t="shared" si="67"/>
        <v>510835.29889315419</v>
      </c>
      <c r="Z150" s="81">
        <f t="shared" si="68"/>
        <v>510835.29889315419</v>
      </c>
      <c r="AA150" s="81"/>
      <c r="AB150" s="262">
        <f>+'MWh by mo-WgtbyActulCDH&amp;Days'!AB150</f>
        <v>4896910.5000386564</v>
      </c>
      <c r="AC150" s="308">
        <f t="shared" si="76"/>
        <v>104.31787529895057</v>
      </c>
      <c r="AD150" s="309">
        <f t="shared" si="69"/>
        <v>0</v>
      </c>
      <c r="AE150" s="107">
        <f t="shared" si="70"/>
        <v>0</v>
      </c>
      <c r="AF150" s="309">
        <f t="shared" si="77"/>
        <v>104.31787529895057</v>
      </c>
      <c r="AG150" s="107">
        <f t="shared" si="71"/>
        <v>8.1925032957291012E-3</v>
      </c>
      <c r="AH150" s="119">
        <f t="shared" si="78"/>
        <v>8.1925032957291012E-3</v>
      </c>
      <c r="AI150" s="122">
        <f t="shared" si="72"/>
        <v>8.1925032957291012E-3</v>
      </c>
      <c r="AJ150" s="87" t="b">
        <f t="shared" si="79"/>
        <v>1</v>
      </c>
      <c r="AK150" s="88">
        <f t="shared" ref="AK150:AK213" si="83">AI150-AI138</f>
        <v>6.046291897804177E-4</v>
      </c>
      <c r="AL150" s="312">
        <f>+AC150/'MWh by month-WgtbyCDH&amp;DayLtHrs'!AC150-1</f>
        <v>-0.32477989345979186</v>
      </c>
      <c r="AM150" s="89">
        <f t="shared" si="73"/>
        <v>246857.29554298313</v>
      </c>
      <c r="AN150" s="93"/>
      <c r="AO150" s="96">
        <f t="shared" si="61"/>
        <v>50.410824445542644</v>
      </c>
      <c r="AP150" s="92">
        <f t="shared" si="60"/>
        <v>3.9589652705923541E-3</v>
      </c>
      <c r="AR150" s="94">
        <f t="shared" si="74"/>
        <v>8.1925032957291012E-3</v>
      </c>
      <c r="AS150" s="95">
        <v>629113.27704088669</v>
      </c>
      <c r="AU150" s="141">
        <v>104.31787529895057</v>
      </c>
    </row>
    <row r="151" spans="1:47">
      <c r="A151" s="78">
        <v>2017</v>
      </c>
      <c r="B151" s="78">
        <v>3</v>
      </c>
      <c r="C151" s="317">
        <f t="shared" si="81"/>
        <v>0</v>
      </c>
      <c r="D151" s="324">
        <f t="shared" si="80"/>
        <v>0</v>
      </c>
      <c r="E151" s="321">
        <f>$D151*'MWh Impact Summary'!B$23</f>
        <v>0</v>
      </c>
      <c r="F151" s="319">
        <f>$D151*'MWh Impact Summary'!N$23</f>
        <v>0</v>
      </c>
      <c r="G151" s="319">
        <f>$D151*'MWh Impact Summary'!C$23</f>
        <v>0</v>
      </c>
      <c r="H151" s="319">
        <f>$D151*'MWh Impact Summary'!D$23</f>
        <v>0</v>
      </c>
      <c r="I151" s="319">
        <f>$D151*'MWh Impact Summary'!E$23</f>
        <v>0</v>
      </c>
      <c r="J151" s="104">
        <f t="shared" si="75"/>
        <v>0</v>
      </c>
      <c r="K151" s="298">
        <f t="shared" si="82"/>
        <v>12</v>
      </c>
      <c r="L151" s="300">
        <f t="shared" si="63"/>
        <v>8.4477296726504739E-2</v>
      </c>
      <c r="M151" s="297">
        <f t="shared" ref="M151:M160" si="84">(31/365)</f>
        <v>8.4931506849315067E-2</v>
      </c>
      <c r="N151" s="304">
        <f>$M151*'MWh Impact Summary'!F$23</f>
        <v>103076.02811420627</v>
      </c>
      <c r="O151" s="304">
        <f>$M151*'MWh Impact Summary'!G$23</f>
        <v>3417.8947403267753</v>
      </c>
      <c r="P151" s="304">
        <f>$M151*'MWh Impact Summary'!H$23</f>
        <v>6150.5175305832354</v>
      </c>
      <c r="Q151" s="320">
        <f>$D151*'MWh Impact Summary'!I$23</f>
        <v>0</v>
      </c>
      <c r="R151" s="304">
        <f>$M151*'MWh Impact Summary'!J$23</f>
        <v>30397.083715572728</v>
      </c>
      <c r="S151" s="304">
        <f>$M151*'MWh Impact Summary'!K$23</f>
        <v>10000.576722944348</v>
      </c>
      <c r="T151" s="304">
        <f>$M151*'MWh Impact Summary'!L$23</f>
        <v>3576.4208897997401</v>
      </c>
      <c r="U151" s="304">
        <f>$M151*'MWh Impact Summary'!M$23</f>
        <v>11025.754594752025</v>
      </c>
      <c r="V151" s="304">
        <f>$M151*'LED Impact Forecast'!$H$24+$D151*'LED Impact Forecast'!$J$24</f>
        <v>21899.510761101068</v>
      </c>
      <c r="W151" s="304">
        <f>$M151*'CFL Impact Forecast'!$H$24+$D151*'CFL Impact Forecast'!$J$24</f>
        <v>273306.291494017</v>
      </c>
      <c r="X151" s="304">
        <f>$M151*'EISA Incand Impact Forecast'!$G$24+$D151*'EISA Incand Impact Forecast'!$I$24</f>
        <v>102717.57378268885</v>
      </c>
      <c r="Y151" s="85">
        <f t="shared" si="67"/>
        <v>565567.65234599204</v>
      </c>
      <c r="Z151" s="81">
        <f t="shared" si="68"/>
        <v>565567.65234599204</v>
      </c>
      <c r="AA151" s="81"/>
      <c r="AB151" s="262">
        <f>+'MWh by mo-WgtbyActulCDH&amp;Days'!AB151</f>
        <v>4903267.7157294145</v>
      </c>
      <c r="AC151" s="308">
        <f t="shared" si="76"/>
        <v>115.34504847281376</v>
      </c>
      <c r="AD151" s="309">
        <f t="shared" si="69"/>
        <v>0</v>
      </c>
      <c r="AE151" s="107">
        <f t="shared" si="70"/>
        <v>0</v>
      </c>
      <c r="AF151" s="309">
        <f t="shared" si="77"/>
        <v>115.34504847281376</v>
      </c>
      <c r="AG151" s="107">
        <f t="shared" si="71"/>
        <v>9.6120873727344805E-3</v>
      </c>
      <c r="AH151" s="119">
        <f t="shared" si="78"/>
        <v>9.6120873727344805E-3</v>
      </c>
      <c r="AI151" s="122">
        <f t="shared" si="72"/>
        <v>9.6120873727344805E-3</v>
      </c>
      <c r="AJ151" s="87" t="b">
        <f t="shared" si="79"/>
        <v>1</v>
      </c>
      <c r="AK151" s="88">
        <f t="shared" si="83"/>
        <v>1.0169802170540022E-3</v>
      </c>
      <c r="AL151" s="312">
        <f>+AC151/'MWh by month-WgtbyCDH&amp;DayLtHrs'!AC151-1</f>
        <v>-0.29168939679318084</v>
      </c>
      <c r="AM151" s="89">
        <f t="shared" si="73"/>
        <v>273306.291494017</v>
      </c>
      <c r="AN151" s="93"/>
      <c r="AO151" s="96">
        <f t="shared" si="61"/>
        <v>55.739622500575564</v>
      </c>
      <c r="AP151" s="92">
        <f t="shared" si="60"/>
        <v>4.6449685417146299E-3</v>
      </c>
      <c r="AR151" s="94">
        <f t="shared" si="74"/>
        <v>9.6120873727344805E-3</v>
      </c>
      <c r="AS151" s="95">
        <v>759520.3270257822</v>
      </c>
      <c r="AU151" s="141">
        <v>115.34504847281376</v>
      </c>
    </row>
    <row r="152" spans="1:47">
      <c r="A152" s="78">
        <v>2017</v>
      </c>
      <c r="B152" s="78">
        <v>4</v>
      </c>
      <c r="C152" s="317">
        <f t="shared" si="81"/>
        <v>114.03392869270741</v>
      </c>
      <c r="D152" s="324">
        <f t="shared" si="80"/>
        <v>6.3428519090031305E-2</v>
      </c>
      <c r="E152" s="321">
        <f>$D152*'MWh Impact Summary'!B$23</f>
        <v>147852.71458151785</v>
      </c>
      <c r="F152" s="319">
        <f>$D152*'MWh Impact Summary'!N$23</f>
        <v>14417.511996331765</v>
      </c>
      <c r="G152" s="319">
        <f>$D152*'MWh Impact Summary'!C$23</f>
        <v>116031.01841422702</v>
      </c>
      <c r="H152" s="319">
        <f>$D152*'MWh Impact Summary'!D$23</f>
        <v>418.85130285817581</v>
      </c>
      <c r="I152" s="319">
        <f>$D152*'MWh Impact Summary'!E$23</f>
        <v>45227.277783997924</v>
      </c>
      <c r="J152" s="104">
        <f t="shared" si="75"/>
        <v>323947.37407893274</v>
      </c>
      <c r="K152" s="298">
        <f t="shared" si="82"/>
        <v>11.2</v>
      </c>
      <c r="L152" s="300">
        <f t="shared" si="63"/>
        <v>7.8845476944737758E-2</v>
      </c>
      <c r="M152" s="297">
        <f>(30/365)</f>
        <v>8.2191780821917804E-2</v>
      </c>
      <c r="N152" s="304">
        <f>$M152*'MWh Impact Summary'!F$23</f>
        <v>99750.99494923187</v>
      </c>
      <c r="O152" s="304">
        <f>$M152*'MWh Impact Summary'!G$23</f>
        <v>3307.6400712839759</v>
      </c>
      <c r="P152" s="304">
        <f>$M152*'MWh Impact Summary'!H$23</f>
        <v>5952.1137392740984</v>
      </c>
      <c r="Q152" s="320">
        <f>$D152*'MWh Impact Summary'!I$23</f>
        <v>917.87188333346285</v>
      </c>
      <c r="R152" s="304">
        <f>$M152*'MWh Impact Summary'!J$23</f>
        <v>29416.532627973607</v>
      </c>
      <c r="S152" s="304">
        <f>$M152*'MWh Impact Summary'!K$23</f>
        <v>9677.9774738171109</v>
      </c>
      <c r="T152" s="304">
        <f>$M152*'MWh Impact Summary'!L$23</f>
        <v>3461.0524739997481</v>
      </c>
      <c r="U152" s="304">
        <f>$M152*'MWh Impact Summary'!M$23</f>
        <v>10670.085091695506</v>
      </c>
      <c r="V152" s="304">
        <f>$M152*'LED Impact Forecast'!$H$24+$D152*'LED Impact Forecast'!$J$24</f>
        <v>23172.792151751873</v>
      </c>
      <c r="W152" s="304">
        <f>$M152*'CFL Impact Forecast'!$H$24+$D152*'CFL Impact Forecast'!$J$24</f>
        <v>299249.15242624172</v>
      </c>
      <c r="X152" s="304">
        <f>$M152*'EISA Incand Impact Forecast'!$G$24+$D152*'EISA Incand Impact Forecast'!$I$24</f>
        <v>113567.44456858173</v>
      </c>
      <c r="Y152" s="85">
        <f t="shared" si="67"/>
        <v>599143.65745718474</v>
      </c>
      <c r="Z152" s="81">
        <f t="shared" si="68"/>
        <v>923091.03153611743</v>
      </c>
      <c r="AA152" s="81"/>
      <c r="AB152" s="262">
        <f>+'MWh by mo-WgtbyActulCDH&amp;Days'!AB152</f>
        <v>4909023.0862381933</v>
      </c>
      <c r="AC152" s="308">
        <f t="shared" si="76"/>
        <v>188.03965989157453</v>
      </c>
      <c r="AD152" s="309">
        <f t="shared" si="69"/>
        <v>65.990191610032767</v>
      </c>
      <c r="AE152" s="107">
        <f t="shared" si="70"/>
        <v>5.8919813937529254E-3</v>
      </c>
      <c r="AF152" s="309">
        <f t="shared" si="77"/>
        <v>122.04946828154179</v>
      </c>
      <c r="AG152" s="107">
        <f t="shared" si="71"/>
        <v>1.0897273953709088E-2</v>
      </c>
      <c r="AH152" s="119">
        <f t="shared" si="78"/>
        <v>1.6789255347462013E-2</v>
      </c>
      <c r="AI152" s="122">
        <f t="shared" si="72"/>
        <v>1.6789255347462013E-2</v>
      </c>
      <c r="AJ152" s="87" t="b">
        <f t="shared" si="79"/>
        <v>1</v>
      </c>
      <c r="AK152" s="88">
        <f t="shared" si="83"/>
        <v>1.6726549346659462E-3</v>
      </c>
      <c r="AL152" s="312">
        <f>+AC152/'MWh by month-WgtbyCDH&amp;DayLtHrs'!AC152-1</f>
        <v>3.8395722296701518E-2</v>
      </c>
      <c r="AM152" s="89">
        <f t="shared" si="73"/>
        <v>299249.15242624172</v>
      </c>
      <c r="AN152" s="93"/>
      <c r="AO152" s="96">
        <f t="shared" si="61"/>
        <v>60.959002874756834</v>
      </c>
      <c r="AP152" s="92">
        <f t="shared" si="60"/>
        <v>5.4427681138175749E-3</v>
      </c>
      <c r="AR152" s="94">
        <f t="shared" si="74"/>
        <v>1.6789255347462013E-2</v>
      </c>
      <c r="AS152" s="95">
        <v>888047.99240206345</v>
      </c>
      <c r="AU152" s="141">
        <v>188.03965989157453</v>
      </c>
    </row>
    <row r="153" spans="1:47">
      <c r="A153" s="78">
        <v>2017</v>
      </c>
      <c r="B153" s="78">
        <v>5</v>
      </c>
      <c r="C153" s="317">
        <f t="shared" si="81"/>
        <v>208.47875842628665</v>
      </c>
      <c r="D153" s="324">
        <f t="shared" si="80"/>
        <v>0.11596109210918912</v>
      </c>
      <c r="E153" s="321">
        <f>$D153*'MWh Impact Summary'!B$23</f>
        <v>270306.83516108838</v>
      </c>
      <c r="F153" s="319">
        <f>$D153*'MWh Impact Summary'!N$23</f>
        <v>26358.339443790122</v>
      </c>
      <c r="G153" s="319">
        <f>$D153*'MWh Impact Summary'!C$23</f>
        <v>212129.87165531752</v>
      </c>
      <c r="H153" s="319">
        <f>$D153*'MWh Impact Summary'!D$23</f>
        <v>765.75104081886616</v>
      </c>
      <c r="I153" s="319">
        <f>$D153*'MWh Impact Summary'!E$23</f>
        <v>82685.274702910901</v>
      </c>
      <c r="J153" s="104">
        <f t="shared" si="75"/>
        <v>592246.0720039258</v>
      </c>
      <c r="K153" s="298">
        <f t="shared" si="82"/>
        <v>10.533333333333333</v>
      </c>
      <c r="L153" s="300">
        <f t="shared" si="63"/>
        <v>7.4152293793265281E-2</v>
      </c>
      <c r="M153" s="297">
        <f t="shared" si="84"/>
        <v>8.4931506849315067E-2</v>
      </c>
      <c r="N153" s="304">
        <f>$M153*'MWh Impact Summary'!F$23</f>
        <v>103076.02811420627</v>
      </c>
      <c r="O153" s="304">
        <f>$M153*'MWh Impact Summary'!G$23</f>
        <v>3417.8947403267753</v>
      </c>
      <c r="P153" s="304">
        <f>$M153*'MWh Impact Summary'!H$23</f>
        <v>6150.5175305832354</v>
      </c>
      <c r="Q153" s="320">
        <f>$D153*'MWh Impact Summary'!I$23</f>
        <v>1678.068911818481</v>
      </c>
      <c r="R153" s="304">
        <f>$M153*'MWh Impact Summary'!J$23</f>
        <v>30397.083715572728</v>
      </c>
      <c r="S153" s="304">
        <f>$M153*'MWh Impact Summary'!K$23</f>
        <v>10000.576722944348</v>
      </c>
      <c r="T153" s="304">
        <f>$M153*'MWh Impact Summary'!L$23</f>
        <v>3576.4208897997401</v>
      </c>
      <c r="U153" s="304">
        <f>$M153*'MWh Impact Summary'!M$23</f>
        <v>11025.754594752025</v>
      </c>
      <c r="V153" s="304">
        <f>$M153*'LED Impact Forecast'!$H$24+$D153*'LED Impact Forecast'!$J$24</f>
        <v>25518.863291853369</v>
      </c>
      <c r="W153" s="304">
        <f>$M153*'CFL Impact Forecast'!$H$24+$D153*'CFL Impact Forecast'!$J$24</f>
        <v>336853.6362718576</v>
      </c>
      <c r="X153" s="304">
        <f>$M153*'EISA Incand Impact Forecast'!$G$24+$D153*'EISA Incand Impact Forecast'!$I$24</f>
        <v>128611.23334086567</v>
      </c>
      <c r="Y153" s="85">
        <f t="shared" si="67"/>
        <v>660306.07812458032</v>
      </c>
      <c r="Z153" s="81">
        <f t="shared" si="68"/>
        <v>1252552.1501285061</v>
      </c>
      <c r="AA153" s="81"/>
      <c r="AB153" s="262">
        <f>+'MWh by mo-WgtbyActulCDH&amp;Days'!AB153</f>
        <v>4914208.6423511496</v>
      </c>
      <c r="AC153" s="308">
        <f t="shared" si="76"/>
        <v>254.88379539563795</v>
      </c>
      <c r="AD153" s="309">
        <f t="shared" si="69"/>
        <v>120.51707916914414</v>
      </c>
      <c r="AE153" s="107">
        <f t="shared" si="70"/>
        <v>1.144149485783014E-2</v>
      </c>
      <c r="AF153" s="309">
        <f t="shared" si="77"/>
        <v>134.36671622649379</v>
      </c>
      <c r="AG153" s="107">
        <f t="shared" si="71"/>
        <v>1.2756333818970929E-2</v>
      </c>
      <c r="AH153" s="119">
        <f t="shared" si="78"/>
        <v>2.4197828676801071E-2</v>
      </c>
      <c r="AI153" s="122">
        <f t="shared" si="72"/>
        <v>2.4197828676801071E-2</v>
      </c>
      <c r="AJ153" s="87" t="b">
        <f t="shared" si="79"/>
        <v>1</v>
      </c>
      <c r="AK153" s="88">
        <f t="shared" si="83"/>
        <v>2.3583888352147406E-3</v>
      </c>
      <c r="AL153" s="312">
        <f>+AC153/'MWh by month-WgtbyCDH&amp;DayLtHrs'!AC153-1</f>
        <v>0.13595463428794652</v>
      </c>
      <c r="AM153" s="89">
        <f t="shared" si="73"/>
        <v>336853.6362718576</v>
      </c>
      <c r="AN153" s="93"/>
      <c r="AO153" s="96">
        <f t="shared" si="61"/>
        <v>68.546873115809277</v>
      </c>
      <c r="AP153" s="92">
        <f t="shared" si="60"/>
        <v>6.507614536311007E-3</v>
      </c>
      <c r="AR153" s="94">
        <f t="shared" si="74"/>
        <v>2.4197828676801071E-2</v>
      </c>
      <c r="AS153" s="95">
        <v>1062138.4092348372</v>
      </c>
      <c r="AU153" s="141">
        <v>254.88379539563795</v>
      </c>
    </row>
    <row r="154" spans="1:47">
      <c r="A154" s="78">
        <v>2017</v>
      </c>
      <c r="B154" s="78">
        <v>6</v>
      </c>
      <c r="C154" s="317">
        <f t="shared" si="81"/>
        <v>271.66325293295364</v>
      </c>
      <c r="D154" s="324">
        <f t="shared" si="80"/>
        <v>0.15110588596093688</v>
      </c>
      <c r="E154" s="321">
        <f>$D154*'MWh Impact Summary'!B$23</f>
        <v>352229.81316745037</v>
      </c>
      <c r="F154" s="319">
        <f>$D154*'MWh Impact Summary'!N$23</f>
        <v>34346.867226489303</v>
      </c>
      <c r="G154" s="319">
        <f>$D154*'MWh Impact Summary'!C$23</f>
        <v>276420.92371012189</v>
      </c>
      <c r="H154" s="319">
        <f>$D154*'MWh Impact Summary'!D$23</f>
        <v>997.83028379460336</v>
      </c>
      <c r="I154" s="319">
        <f>$D154*'MWh Impact Summary'!E$23</f>
        <v>107745.03294727691</v>
      </c>
      <c r="J154" s="104">
        <f t="shared" si="75"/>
        <v>771740.46733513311</v>
      </c>
      <c r="K154" s="298">
        <f t="shared" si="82"/>
        <v>10.199999999999999</v>
      </c>
      <c r="L154" s="300">
        <f t="shared" si="63"/>
        <v>7.1805702217529022E-2</v>
      </c>
      <c r="M154" s="297">
        <f>(30/365)</f>
        <v>8.2191780821917804E-2</v>
      </c>
      <c r="N154" s="304">
        <f>$M154*'MWh Impact Summary'!F$23</f>
        <v>99750.99494923187</v>
      </c>
      <c r="O154" s="304">
        <f>$M154*'MWh Impact Summary'!G$23</f>
        <v>3307.6400712839759</v>
      </c>
      <c r="P154" s="304">
        <f>$M154*'MWh Impact Summary'!H$23</f>
        <v>5952.1137392740984</v>
      </c>
      <c r="Q154" s="320">
        <f>$D154*'MWh Impact Summary'!I$23</f>
        <v>2186.6479955628452</v>
      </c>
      <c r="R154" s="304">
        <f>$M154*'MWh Impact Summary'!J$23</f>
        <v>29416.532627973607</v>
      </c>
      <c r="S154" s="304">
        <f>$M154*'MWh Impact Summary'!K$23</f>
        <v>9677.9774738171109</v>
      </c>
      <c r="T154" s="304">
        <f>$M154*'MWh Impact Summary'!L$23</f>
        <v>3461.0524739997481</v>
      </c>
      <c r="U154" s="304">
        <f>$M154*'MWh Impact Summary'!M$23</f>
        <v>10670.085091695506</v>
      </c>
      <c r="V154" s="304">
        <f>$M154*'LED Impact Forecast'!$H$24+$D154*'LED Impact Forecast'!$J$24</f>
        <v>25909.359166618437</v>
      </c>
      <c r="W154" s="304">
        <f>$M154*'CFL Impact Forecast'!$H$24+$D154*'CFL Impact Forecast'!$J$24</f>
        <v>347296.85325776174</v>
      </c>
      <c r="X154" s="304">
        <f>$M154*'EISA Incand Impact Forecast'!$G$24+$D154*'EISA Incand Impact Forecast'!$I$24</f>
        <v>133145.45860258976</v>
      </c>
      <c r="Y154" s="85">
        <f t="shared" si="67"/>
        <v>670774.71544980875</v>
      </c>
      <c r="Z154" s="81">
        <f t="shared" si="68"/>
        <v>1442515.182784942</v>
      </c>
      <c r="AA154" s="81"/>
      <c r="AB154" s="262">
        <f>+'MWh by mo-WgtbyActulCDH&amp;Days'!AB154</f>
        <v>4919416.2556081917</v>
      </c>
      <c r="AC154" s="308">
        <f t="shared" si="76"/>
        <v>293.228933644405</v>
      </c>
      <c r="AD154" s="309">
        <f t="shared" si="69"/>
        <v>156.87643151874778</v>
      </c>
      <c r="AE154" s="107">
        <f t="shared" si="70"/>
        <v>1.5380042305759588E-2</v>
      </c>
      <c r="AF154" s="309">
        <f t="shared" si="77"/>
        <v>136.35250212565722</v>
      </c>
      <c r="AG154" s="107">
        <f t="shared" si="71"/>
        <v>1.3367892365260512E-2</v>
      </c>
      <c r="AH154" s="119">
        <f t="shared" si="78"/>
        <v>2.87479346710201E-2</v>
      </c>
      <c r="AI154" s="122">
        <f t="shared" si="72"/>
        <v>2.87479346710201E-2</v>
      </c>
      <c r="AJ154" s="87" t="b">
        <f t="shared" si="79"/>
        <v>1</v>
      </c>
      <c r="AK154" s="88">
        <f t="shared" si="83"/>
        <v>2.7699803305190444E-3</v>
      </c>
      <c r="AL154" s="312">
        <f>+AC154/'MWh by month-WgtbyCDH&amp;DayLtHrs'!AC154-1</f>
        <v>0.15313874657057758</v>
      </c>
      <c r="AM154" s="89">
        <f t="shared" si="73"/>
        <v>347296.85325776174</v>
      </c>
      <c r="AN154" s="93"/>
      <c r="AO154" s="96">
        <f t="shared" si="61"/>
        <v>70.597167471209474</v>
      </c>
      <c r="AP154" s="92">
        <f t="shared" si="60"/>
        <v>6.9212909285499488E-3</v>
      </c>
      <c r="AR154" s="94">
        <f t="shared" si="74"/>
        <v>2.87479346710201E-2</v>
      </c>
      <c r="AS154" s="95">
        <v>1292227.9054156456</v>
      </c>
      <c r="AU154" s="141">
        <v>293.228933644405</v>
      </c>
    </row>
    <row r="155" spans="1:47">
      <c r="A155" s="78">
        <v>2017</v>
      </c>
      <c r="B155" s="78">
        <v>7</v>
      </c>
      <c r="C155" s="317">
        <f t="shared" si="81"/>
        <v>322.31916585708109</v>
      </c>
      <c r="D155" s="324">
        <f t="shared" si="80"/>
        <v>0.17928196984022934</v>
      </c>
      <c r="E155" s="321">
        <f>$D155*'MWh Impact Summary'!B$23</f>
        <v>417908.63631507556</v>
      </c>
      <c r="F155" s="319">
        <f>$D155*'MWh Impact Summary'!N$23</f>
        <v>40751.384203509406</v>
      </c>
      <c r="G155" s="319">
        <f>$D155*'MWh Impact Summary'!C$23</f>
        <v>327963.97964681342</v>
      </c>
      <c r="H155" s="319">
        <f>$D155*'MWh Impact Summary'!D$23</f>
        <v>1183.8915321351417</v>
      </c>
      <c r="I155" s="319">
        <f>$D155*'MWh Impact Summary'!E$23</f>
        <v>127835.79954179865</v>
      </c>
      <c r="J155" s="104">
        <f t="shared" si="75"/>
        <v>915643.69123933231</v>
      </c>
      <c r="K155" s="298">
        <f t="shared" si="82"/>
        <v>10.366666666666667</v>
      </c>
      <c r="L155" s="300">
        <f t="shared" si="63"/>
        <v>7.2978998005397158E-2</v>
      </c>
      <c r="M155" s="297">
        <f t="shared" si="84"/>
        <v>8.4931506849315067E-2</v>
      </c>
      <c r="N155" s="304">
        <f>$M155*'MWh Impact Summary'!F$23</f>
        <v>103076.02811420627</v>
      </c>
      <c r="O155" s="304">
        <f>$M155*'MWh Impact Summary'!G$23</f>
        <v>3417.8947403267753</v>
      </c>
      <c r="P155" s="304">
        <f>$M155*'MWh Impact Summary'!H$23</f>
        <v>6150.5175305832354</v>
      </c>
      <c r="Q155" s="320">
        <f>$D155*'MWh Impact Summary'!I$23</f>
        <v>2594.3831208073566</v>
      </c>
      <c r="R155" s="304">
        <f>$M155*'MWh Impact Summary'!J$23</f>
        <v>30397.083715572728</v>
      </c>
      <c r="S155" s="304">
        <f>$M155*'MWh Impact Summary'!K$23</f>
        <v>10000.576722944348</v>
      </c>
      <c r="T155" s="304">
        <f>$M155*'MWh Impact Summary'!L$23</f>
        <v>3576.4208897997401</v>
      </c>
      <c r="U155" s="304">
        <f>$M155*'MWh Impact Summary'!M$23</f>
        <v>11025.754594752025</v>
      </c>
      <c r="V155" s="304">
        <f>$M155*'LED Impact Forecast'!$H$24+$D155*'LED Impact Forecast'!$J$24</f>
        <v>27495.220834687658</v>
      </c>
      <c r="W155" s="304">
        <f>$M155*'CFL Impact Forecast'!$H$24+$D155*'CFL Impact Forecast'!$J$24</f>
        <v>371553.84110453556</v>
      </c>
      <c r="X155" s="304">
        <f>$M155*'EISA Incand Impact Forecast'!$G$24+$D155*'EISA Incand Impact Forecast'!$I$24</f>
        <v>142750.5383531765</v>
      </c>
      <c r="Y155" s="85">
        <f t="shared" si="67"/>
        <v>712038.2597213923</v>
      </c>
      <c r="Z155" s="81">
        <f t="shared" si="68"/>
        <v>1627681.9509607246</v>
      </c>
      <c r="AA155" s="81"/>
      <c r="AB155" s="262">
        <f>+'MWh by mo-WgtbyActulCDH&amp;Days'!AB155</f>
        <v>4925689.6397420345</v>
      </c>
      <c r="AC155" s="308">
        <f t="shared" si="76"/>
        <v>330.44752511974519</v>
      </c>
      <c r="AD155" s="309">
        <f t="shared" si="69"/>
        <v>185.89147067887248</v>
      </c>
      <c r="AE155" s="107">
        <f t="shared" si="70"/>
        <v>1.793165312014847E-2</v>
      </c>
      <c r="AF155" s="309">
        <f t="shared" si="77"/>
        <v>144.55605444087271</v>
      </c>
      <c r="AG155" s="107">
        <f t="shared" si="71"/>
        <v>1.3944313933203155E-2</v>
      </c>
      <c r="AH155" s="119">
        <f t="shared" si="78"/>
        <v>3.1875967053351627E-2</v>
      </c>
      <c r="AI155" s="122">
        <f t="shared" si="72"/>
        <v>3.1875967053351627E-2</v>
      </c>
      <c r="AJ155" s="87" t="b">
        <f t="shared" si="79"/>
        <v>1</v>
      </c>
      <c r="AK155" s="88">
        <f t="shared" si="83"/>
        <v>3.058553723716325E-3</v>
      </c>
      <c r="AL155" s="312">
        <f>+AC155/'MWh by month-WgtbyCDH&amp;DayLtHrs'!AC155-1</f>
        <v>0.17062608945360336</v>
      </c>
      <c r="AM155" s="89">
        <f t="shared" si="73"/>
        <v>371553.84110453556</v>
      </c>
      <c r="AN155" s="93"/>
      <c r="AO155" s="96">
        <f t="shared" si="61"/>
        <v>75.43184168704434</v>
      </c>
      <c r="AP155" s="92">
        <f t="shared" si="60"/>
        <v>7.276383442480161E-3</v>
      </c>
      <c r="AR155" s="94">
        <f t="shared" si="74"/>
        <v>3.1875967053351627E-2</v>
      </c>
      <c r="AS155" s="95">
        <v>1357227.0173592614</v>
      </c>
      <c r="AU155" s="141">
        <v>330.44752511974519</v>
      </c>
    </row>
    <row r="156" spans="1:47">
      <c r="A156" s="78">
        <v>2017</v>
      </c>
      <c r="B156" s="78">
        <v>8</v>
      </c>
      <c r="C156" s="317">
        <f t="shared" si="81"/>
        <v>326.45437890907908</v>
      </c>
      <c r="D156" s="324">
        <f t="shared" si="80"/>
        <v>0.18158207861502046</v>
      </c>
      <c r="E156" s="321">
        <f>$D156*'MWh Impact Summary'!B$23</f>
        <v>423270.22020611557</v>
      </c>
      <c r="F156" s="319">
        <f>$D156*'MWh Impact Summary'!N$23</f>
        <v>41274.206529005423</v>
      </c>
      <c r="G156" s="319">
        <f>$D156*'MWh Impact Summary'!C$23</f>
        <v>332171.61317556875</v>
      </c>
      <c r="H156" s="319">
        <f>$D156*'MWh Impact Summary'!D$23</f>
        <v>1199.0803394864424</v>
      </c>
      <c r="I156" s="319">
        <f>$D156*'MWh Impact Summary'!E$23</f>
        <v>129475.87659204841</v>
      </c>
      <c r="J156" s="104">
        <f t="shared" si="75"/>
        <v>927390.99684222462</v>
      </c>
      <c r="K156" s="298">
        <f t="shared" si="82"/>
        <v>10.933333333333334</v>
      </c>
      <c r="L156" s="300">
        <f>L144</f>
        <v>7.6968203684148764E-2</v>
      </c>
      <c r="M156" s="297">
        <f t="shared" si="84"/>
        <v>8.4931506849315067E-2</v>
      </c>
      <c r="N156" s="304">
        <f>$M156*'MWh Impact Summary'!F$23</f>
        <v>103076.02811420627</v>
      </c>
      <c r="O156" s="304">
        <f>$M156*'MWh Impact Summary'!G$23</f>
        <v>3417.8947403267753</v>
      </c>
      <c r="P156" s="304">
        <f>$M156*'MWh Impact Summary'!H$23</f>
        <v>6150.5175305832354</v>
      </c>
      <c r="Q156" s="320">
        <f>$D156*'MWh Impact Summary'!I$23</f>
        <v>2627.6679145133653</v>
      </c>
      <c r="R156" s="304">
        <f>$M156*'MWh Impact Summary'!J$23</f>
        <v>30397.083715572728</v>
      </c>
      <c r="S156" s="304">
        <f>$M156*'MWh Impact Summary'!K$23</f>
        <v>10000.576722944348</v>
      </c>
      <c r="T156" s="304">
        <f>$M156*'MWh Impact Summary'!L$23</f>
        <v>3576.4208897997401</v>
      </c>
      <c r="U156" s="304">
        <f>$M156*'MWh Impact Summary'!M$23</f>
        <v>11025.754594752025</v>
      </c>
      <c r="V156" s="304">
        <f>$M156*'LED Impact Forecast'!$H$24+$D156*'LED Impact Forecast'!$J$24</f>
        <v>27567.011332376373</v>
      </c>
      <c r="W156" s="304">
        <f>$M156*'CFL Impact Forecast'!$H$24+$D156*'CFL Impact Forecast'!$J$24</f>
        <v>372814.31392933923</v>
      </c>
      <c r="X156" s="304">
        <f>$M156*'EISA Incand Impact Forecast'!$G$24+$D156*'EISA Incand Impact Forecast'!$I$24</f>
        <v>143264.14367094237</v>
      </c>
      <c r="Y156" s="85">
        <f t="shared" si="67"/>
        <v>713917.41315535654</v>
      </c>
      <c r="Z156" s="81">
        <f t="shared" si="68"/>
        <v>1641308.409997581</v>
      </c>
      <c r="AA156" s="81"/>
      <c r="AB156" s="262">
        <f>+'MWh by mo-WgtbyActulCDH&amp;Days'!AB156</f>
        <v>4932512.8426490845</v>
      </c>
      <c r="AC156" s="308">
        <f t="shared" si="76"/>
        <v>332.75299271518776</v>
      </c>
      <c r="AD156" s="309">
        <f t="shared" si="69"/>
        <v>188.01593151943109</v>
      </c>
      <c r="AE156" s="107">
        <f t="shared" si="70"/>
        <v>1.7196579102386991E-2</v>
      </c>
      <c r="AF156" s="309">
        <f t="shared" si="77"/>
        <v>144.73706119575672</v>
      </c>
      <c r="AG156" s="107">
        <f t="shared" si="71"/>
        <v>1.323814584107531E-2</v>
      </c>
      <c r="AH156" s="119">
        <f t="shared" si="78"/>
        <v>3.0434724943462301E-2</v>
      </c>
      <c r="AI156" s="122">
        <f t="shared" si="72"/>
        <v>3.0434724943462298E-2</v>
      </c>
      <c r="AJ156" s="87" t="b">
        <f t="shared" si="79"/>
        <v>1</v>
      </c>
      <c r="AK156" s="88">
        <f t="shared" si="83"/>
        <v>2.9229637345206116E-3</v>
      </c>
      <c r="AL156" s="312">
        <f>+AC156/'MWh by month-WgtbyCDH&amp;DayLtHrs'!AC156-1</f>
        <v>0.14931755155671533</v>
      </c>
      <c r="AM156" s="89">
        <f t="shared" si="73"/>
        <v>372814.31392933923</v>
      </c>
      <c r="AN156" s="93"/>
      <c r="AO156" s="96">
        <f t="shared" si="61"/>
        <v>75.583039684315011</v>
      </c>
      <c r="AP156" s="92">
        <f t="shared" si="60"/>
        <v>6.9130828979556405E-3</v>
      </c>
      <c r="AR156" s="94">
        <f t="shared" si="74"/>
        <v>3.0434724943462298E-2</v>
      </c>
      <c r="AS156" s="95">
        <v>1410892.9277387722</v>
      </c>
      <c r="AU156" s="141">
        <v>332.75299271518776</v>
      </c>
    </row>
    <row r="157" spans="1:47">
      <c r="A157" s="78">
        <v>2017</v>
      </c>
      <c r="B157" s="78">
        <v>9</v>
      </c>
      <c r="C157" s="317">
        <f t="shared" si="81"/>
        <v>277.87653293728147</v>
      </c>
      <c r="D157" s="324">
        <f t="shared" si="80"/>
        <v>0.15456186747349368</v>
      </c>
      <c r="E157" s="321">
        <f>$D157*'MWh Impact Summary'!B$23</f>
        <v>360285.75165546359</v>
      </c>
      <c r="F157" s="319">
        <f>$D157*'MWh Impact Summary'!N$23</f>
        <v>35132.423244999896</v>
      </c>
      <c r="G157" s="319">
        <f>$D157*'MWh Impact Summary'!C$23</f>
        <v>282743.01762427302</v>
      </c>
      <c r="H157" s="319">
        <f>$D157*'MWh Impact Summary'!D$23</f>
        <v>1020.6519163970219</v>
      </c>
      <c r="I157" s="319">
        <f>$D157*'MWh Impact Summary'!E$23</f>
        <v>110209.29725814481</v>
      </c>
      <c r="J157" s="104">
        <f t="shared" si="75"/>
        <v>789391.14169927838</v>
      </c>
      <c r="K157" s="298">
        <f t="shared" si="82"/>
        <v>11.683333333333334</v>
      </c>
      <c r="L157" s="300">
        <f t="shared" si="63"/>
        <v>8.2248034729555317E-2</v>
      </c>
      <c r="M157" s="297">
        <f>(30/365)</f>
        <v>8.2191780821917804E-2</v>
      </c>
      <c r="N157" s="304">
        <f>$M157*'MWh Impact Summary'!F$23</f>
        <v>99750.99494923187</v>
      </c>
      <c r="O157" s="304">
        <f>$M157*'MWh Impact Summary'!G$23</f>
        <v>3307.6400712839759</v>
      </c>
      <c r="P157" s="304">
        <f>$M157*'MWh Impact Summary'!H$23</f>
        <v>5952.1137392740984</v>
      </c>
      <c r="Q157" s="320">
        <f>$D157*'MWh Impact Summary'!I$23</f>
        <v>2236.6593832667509</v>
      </c>
      <c r="R157" s="304">
        <f>$M157*'MWh Impact Summary'!J$23</f>
        <v>29416.532627973607</v>
      </c>
      <c r="S157" s="304">
        <f>$M157*'MWh Impact Summary'!K$23</f>
        <v>9677.9774738171109</v>
      </c>
      <c r="T157" s="304">
        <f>$M157*'MWh Impact Summary'!L$23</f>
        <v>3461.0524739997481</v>
      </c>
      <c r="U157" s="304">
        <f>$M157*'MWh Impact Summary'!M$23</f>
        <v>10670.085091695506</v>
      </c>
      <c r="V157" s="304">
        <f>$M157*'LED Impact Forecast'!$H$24+$D157*'LED Impact Forecast'!$J$24</f>
        <v>26017.226514245067</v>
      </c>
      <c r="W157" s="304">
        <f>$M157*'CFL Impact Forecast'!$H$24+$D157*'CFL Impact Forecast'!$J$24</f>
        <v>349190.75098440179</v>
      </c>
      <c r="X157" s="304">
        <f>$M157*'EISA Incand Impact Forecast'!$G$24+$D157*'EISA Incand Impact Forecast'!$I$24</f>
        <v>133917.16579418152</v>
      </c>
      <c r="Y157" s="85">
        <f t="shared" si="67"/>
        <v>673598.19910337112</v>
      </c>
      <c r="Z157" s="81">
        <f t="shared" si="68"/>
        <v>1462989.3408026495</v>
      </c>
      <c r="AA157" s="81"/>
      <c r="AB157" s="262">
        <f>+'MWh by mo-WgtbyActulCDH&amp;Days'!AB157</f>
        <v>4937360.4766257806</v>
      </c>
      <c r="AC157" s="308">
        <f t="shared" si="76"/>
        <v>296.31001174183348</v>
      </c>
      <c r="AD157" s="309">
        <f t="shared" si="69"/>
        <v>159.88120483330653</v>
      </c>
      <c r="AE157" s="107">
        <f t="shared" si="70"/>
        <v>1.3684553908699559E-2</v>
      </c>
      <c r="AF157" s="309">
        <f t="shared" si="77"/>
        <v>136.42880690852692</v>
      </c>
      <c r="AG157" s="107">
        <f t="shared" si="71"/>
        <v>1.167721599787677E-2</v>
      </c>
      <c r="AH157" s="119">
        <f t="shared" si="78"/>
        <v>2.5361769906576327E-2</v>
      </c>
      <c r="AI157" s="122">
        <f t="shared" si="72"/>
        <v>2.5361769906576331E-2</v>
      </c>
      <c r="AJ157" s="87" t="b">
        <f t="shared" si="79"/>
        <v>1</v>
      </c>
      <c r="AK157" s="88">
        <f t="shared" si="83"/>
        <v>2.4459766084581752E-3</v>
      </c>
      <c r="AL157" s="312">
        <f>+AC157/'MWh by month-WgtbyCDH&amp;DayLtHrs'!AC157-1</f>
        <v>9.3836720297433507E-2</v>
      </c>
      <c r="AM157" s="89">
        <f t="shared" si="73"/>
        <v>349190.75098440179</v>
      </c>
      <c r="AN157" s="93"/>
      <c r="AO157" s="96">
        <f t="shared" si="61"/>
        <v>70.724175931152729</v>
      </c>
      <c r="AP157" s="92">
        <f t="shared" si="60"/>
        <v>6.0534244734224878E-3</v>
      </c>
      <c r="AR157" s="94">
        <f t="shared" si="74"/>
        <v>2.5361769906576331E-2</v>
      </c>
      <c r="AS157" s="95">
        <v>1334004.0496220316</v>
      </c>
      <c r="AU157" s="141">
        <v>296.31001174183348</v>
      </c>
    </row>
    <row r="158" spans="1:47">
      <c r="A158" s="78">
        <v>2017</v>
      </c>
      <c r="B158" s="78">
        <v>10</v>
      </c>
      <c r="C158" s="317">
        <f t="shared" si="81"/>
        <v>198.89039579254836</v>
      </c>
      <c r="D158" s="324">
        <f t="shared" si="80"/>
        <v>0.11062780534683357</v>
      </c>
      <c r="E158" s="321">
        <f>$D158*'MWh Impact Summary'!B$23</f>
        <v>257874.87337530754</v>
      </c>
      <c r="F158" s="319">
        <f>$D158*'MWh Impact Summary'!N$23</f>
        <v>25146.065738219353</v>
      </c>
      <c r="G158" s="319">
        <f>$D158*'MWh Impact Summary'!C$23</f>
        <v>202373.58688926679</v>
      </c>
      <c r="H158" s="319">
        <f>$D158*'MWh Impact Summary'!D$23</f>
        <v>730.53259112184389</v>
      </c>
      <c r="I158" s="319">
        <f>$D158*'MWh Impact Summary'!E$23</f>
        <v>78882.410543960621</v>
      </c>
      <c r="J158" s="104">
        <f t="shared" si="75"/>
        <v>565007.46913787618</v>
      </c>
      <c r="K158" s="298">
        <f t="shared" si="82"/>
        <v>12.466666666666667</v>
      </c>
      <c r="L158" s="300">
        <f t="shared" si="63"/>
        <v>8.7762524932535488E-2</v>
      </c>
      <c r="M158" s="297">
        <f t="shared" si="84"/>
        <v>8.4931506849315067E-2</v>
      </c>
      <c r="N158" s="304">
        <f>$M158*'MWh Impact Summary'!F$23</f>
        <v>103076.02811420627</v>
      </c>
      <c r="O158" s="304">
        <f>$M158*'MWh Impact Summary'!G$23</f>
        <v>3417.8947403267753</v>
      </c>
      <c r="P158" s="304">
        <f>$M158*'MWh Impact Summary'!H$23</f>
        <v>6150.5175305832354</v>
      </c>
      <c r="Q158" s="320">
        <f>$D158*'MWh Impact Summary'!I$23</f>
        <v>1600.8911054444698</v>
      </c>
      <c r="R158" s="304">
        <f>$M158*'MWh Impact Summary'!J$23</f>
        <v>30397.083715572728</v>
      </c>
      <c r="S158" s="304">
        <f>$M158*'MWh Impact Summary'!K$23</f>
        <v>10000.576722944348</v>
      </c>
      <c r="T158" s="304">
        <f>$M158*'MWh Impact Summary'!L$23</f>
        <v>3576.4208897997401</v>
      </c>
      <c r="U158" s="304">
        <f>$M158*'MWh Impact Summary'!M$23</f>
        <v>11025.754594752025</v>
      </c>
      <c r="V158" s="304">
        <f>$M158*'LED Impact Forecast'!$H$24+$D158*'LED Impact Forecast'!$J$24</f>
        <v>25352.401898730375</v>
      </c>
      <c r="W158" s="304">
        <f>$M158*'CFL Impact Forecast'!$H$24+$D158*'CFL Impact Forecast'!$J$24</f>
        <v>333930.96448150073</v>
      </c>
      <c r="X158" s="304">
        <f>$M158*'EISA Incand Impact Forecast'!$G$24+$D158*'EISA Incand Impact Forecast'!$I$24</f>
        <v>127420.33120948068</v>
      </c>
      <c r="Y158" s="85">
        <f t="shared" si="67"/>
        <v>655948.86500334134</v>
      </c>
      <c r="Z158" s="81">
        <f t="shared" si="68"/>
        <v>1220956.3341412176</v>
      </c>
      <c r="AA158" s="81"/>
      <c r="AB158" s="262">
        <f>+'MWh by mo-WgtbyActulCDH&amp;Days'!AB158</f>
        <v>4942855.5525092389</v>
      </c>
      <c r="AC158" s="308">
        <f t="shared" si="76"/>
        <v>247.01436673005742</v>
      </c>
      <c r="AD158" s="309">
        <f t="shared" si="69"/>
        <v>114.30790625695107</v>
      </c>
      <c r="AE158" s="107">
        <f t="shared" si="70"/>
        <v>9.1690833895950053E-3</v>
      </c>
      <c r="AF158" s="309">
        <f t="shared" si="77"/>
        <v>132.70646047310629</v>
      </c>
      <c r="AG158" s="107">
        <f t="shared" si="71"/>
        <v>1.0644903246505851E-2</v>
      </c>
      <c r="AH158" s="119">
        <f t="shared" si="78"/>
        <v>1.9813986636100858E-2</v>
      </c>
      <c r="AI158" s="122">
        <f t="shared" si="72"/>
        <v>1.9813986636100862E-2</v>
      </c>
      <c r="AJ158" s="87" t="b">
        <f t="shared" si="79"/>
        <v>1</v>
      </c>
      <c r="AK158" s="88">
        <f t="shared" si="83"/>
        <v>1.9379993654452116E-3</v>
      </c>
      <c r="AL158" s="312">
        <f>+AC158/'MWh by month-WgtbyCDH&amp;DayLtHrs'!AC158-1</f>
        <v>4.4006003982158592E-2</v>
      </c>
      <c r="AM158" s="89">
        <f t="shared" si="73"/>
        <v>333930.96448150073</v>
      </c>
      <c r="AN158" s="93"/>
      <c r="AO158" s="96">
        <f t="shared" si="61"/>
        <v>67.558309348526436</v>
      </c>
      <c r="AP158" s="92">
        <f t="shared" si="60"/>
        <v>5.4191157231438317E-3</v>
      </c>
      <c r="AR158" s="94">
        <f t="shared" si="74"/>
        <v>1.9813986636100862E-2</v>
      </c>
      <c r="AS158" s="95">
        <v>1078209.4451565538</v>
      </c>
      <c r="AU158" s="141">
        <v>247.01436673005742</v>
      </c>
    </row>
    <row r="159" spans="1:47">
      <c r="A159" s="78">
        <v>2017</v>
      </c>
      <c r="B159" s="78">
        <v>11</v>
      </c>
      <c r="C159" s="317">
        <f t="shared" si="81"/>
        <v>78.117279066674627</v>
      </c>
      <c r="D159" s="324">
        <f t="shared" si="80"/>
        <v>4.3450781564265642E-2</v>
      </c>
      <c r="E159" s="321">
        <f>$D159*'MWh Impact Summary'!B$23</f>
        <v>101284.34491504499</v>
      </c>
      <c r="F159" s="319">
        <f>$D159*'MWh Impact Summary'!N$23</f>
        <v>9876.5062378895564</v>
      </c>
      <c r="G159" s="319">
        <f>$D159*'MWh Impact Summary'!C$23</f>
        <v>79485.356242350419</v>
      </c>
      <c r="H159" s="319">
        <f>$D159*'MWh Impact Summary'!D$23</f>
        <v>286.9279738750667</v>
      </c>
      <c r="I159" s="319">
        <f>$D159*'MWh Impact Summary'!E$23</f>
        <v>30982.286768345995</v>
      </c>
      <c r="J159" s="104">
        <f t="shared" si="75"/>
        <v>221915.42213750604</v>
      </c>
      <c r="K159" s="298">
        <f t="shared" si="82"/>
        <v>13.15</v>
      </c>
      <c r="L159" s="300">
        <f t="shared" si="63"/>
        <v>9.2573037662794788E-2</v>
      </c>
      <c r="M159" s="297">
        <f>(30/365)</f>
        <v>8.2191780821917804E-2</v>
      </c>
      <c r="N159" s="304">
        <f>$M159*'MWh Impact Summary'!F$23</f>
        <v>99750.99494923187</v>
      </c>
      <c r="O159" s="304">
        <f>$M159*'MWh Impact Summary'!G$23</f>
        <v>3307.6400712839759</v>
      </c>
      <c r="P159" s="304">
        <f>$M159*'MWh Impact Summary'!H$23</f>
        <v>5952.1137392740984</v>
      </c>
      <c r="Q159" s="320">
        <f>$D159*'MWh Impact Summary'!I$23</f>
        <v>628.77474169141487</v>
      </c>
      <c r="R159" s="304">
        <f>$M159*'MWh Impact Summary'!J$23</f>
        <v>29416.532627973607</v>
      </c>
      <c r="S159" s="304">
        <f>$M159*'MWh Impact Summary'!K$23</f>
        <v>9677.9774738171109</v>
      </c>
      <c r="T159" s="304">
        <f>$M159*'MWh Impact Summary'!L$23</f>
        <v>3461.0524739997481</v>
      </c>
      <c r="U159" s="304">
        <f>$M159*'MWh Impact Summary'!M$23</f>
        <v>10670.085091695506</v>
      </c>
      <c r="V159" s="304">
        <f>$M159*'LED Impact Forecast'!$H$24+$D159*'LED Impact Forecast'!$J$24</f>
        <v>22549.251328209946</v>
      </c>
      <c r="W159" s="304">
        <f>$M159*'CFL Impact Forecast'!$H$24+$D159*'CFL Impact Forecast'!$J$24</f>
        <v>288301.23747183924</v>
      </c>
      <c r="X159" s="304">
        <f>$M159*'EISA Incand Impact Forecast'!$G$24+$D159*'EISA Incand Impact Forecast'!$I$24</f>
        <v>109106.49370285773</v>
      </c>
      <c r="Y159" s="85">
        <f t="shared" si="67"/>
        <v>582822.15367187432</v>
      </c>
      <c r="Z159" s="81">
        <f t="shared" si="68"/>
        <v>804737.57580938039</v>
      </c>
      <c r="AA159" s="81"/>
      <c r="AB159" s="262">
        <f>+'MWh by mo-WgtbyActulCDH&amp;Days'!AB159</f>
        <v>4948496.4210517863</v>
      </c>
      <c r="AC159" s="308">
        <f t="shared" si="76"/>
        <v>162.62264480699295</v>
      </c>
      <c r="AD159" s="309">
        <f t="shared" si="69"/>
        <v>44.84502023552816</v>
      </c>
      <c r="AE159" s="107">
        <f t="shared" si="70"/>
        <v>3.4102676985192514E-3</v>
      </c>
      <c r="AF159" s="309">
        <f t="shared" si="77"/>
        <v>117.77762457146476</v>
      </c>
      <c r="AG159" s="107">
        <f t="shared" si="71"/>
        <v>8.9564733514421856E-3</v>
      </c>
      <c r="AH159" s="119">
        <f t="shared" si="78"/>
        <v>1.2366741049961437E-2</v>
      </c>
      <c r="AI159" s="122">
        <f t="shared" si="72"/>
        <v>1.236674104996144E-2</v>
      </c>
      <c r="AJ159" s="87" t="b">
        <f t="shared" si="79"/>
        <v>1</v>
      </c>
      <c r="AK159" s="88">
        <f t="shared" si="83"/>
        <v>1.2506469512409395E-3</v>
      </c>
      <c r="AL159" s="312">
        <f>+AC159/'MWh by month-WgtbyCDH&amp;DayLtHrs'!AC159-1</f>
        <v>-9.3978378820324115E-2</v>
      </c>
      <c r="AM159" s="89">
        <f t="shared" si="73"/>
        <v>288301.23747183924</v>
      </c>
      <c r="AN159" s="93"/>
      <c r="AO159" s="96">
        <f t="shared" si="61"/>
        <v>58.260371018023648</v>
      </c>
      <c r="AP159" s="92">
        <f t="shared" si="60"/>
        <v>4.4304464652489472E-3</v>
      </c>
      <c r="AR159" s="94">
        <f t="shared" si="74"/>
        <v>1.236674104996144E-2</v>
      </c>
      <c r="AS159" s="95">
        <v>837522.03634758166</v>
      </c>
      <c r="AU159" s="141">
        <v>162.62264480699295</v>
      </c>
    </row>
    <row r="160" spans="1:47">
      <c r="A160" s="78">
        <v>2017</v>
      </c>
      <c r="B160" s="78">
        <v>12</v>
      </c>
      <c r="C160" s="317">
        <f t="shared" si="81"/>
        <v>0</v>
      </c>
      <c r="D160" s="324">
        <f t="shared" si="80"/>
        <v>0</v>
      </c>
      <c r="E160" s="321">
        <f>$D160*'MWh Impact Summary'!B$23</f>
        <v>0</v>
      </c>
      <c r="F160" s="319">
        <f>$D160*'MWh Impact Summary'!N$23</f>
        <v>0</v>
      </c>
      <c r="G160" s="319">
        <f>$D160*'MWh Impact Summary'!C$23</f>
        <v>0</v>
      </c>
      <c r="H160" s="319">
        <f>$D160*'MWh Impact Summary'!D$23</f>
        <v>0</v>
      </c>
      <c r="I160" s="319">
        <f>$D160*'MWh Impact Summary'!E$23</f>
        <v>0</v>
      </c>
      <c r="J160" s="104">
        <f t="shared" si="75"/>
        <v>0</v>
      </c>
      <c r="K160" s="298">
        <f t="shared" si="82"/>
        <v>13.483333333333333</v>
      </c>
      <c r="L160" s="300">
        <f t="shared" si="63"/>
        <v>9.491962923853102E-2</v>
      </c>
      <c r="M160" s="297">
        <f t="shared" si="84"/>
        <v>8.4931506849315067E-2</v>
      </c>
      <c r="N160" s="304">
        <f>$M160*'MWh Impact Summary'!F$23</f>
        <v>103076.02811420627</v>
      </c>
      <c r="O160" s="304">
        <f>$M160*'MWh Impact Summary'!G$23</f>
        <v>3417.8947403267753</v>
      </c>
      <c r="P160" s="304">
        <f>$M160*'MWh Impact Summary'!H$23</f>
        <v>6150.5175305832354</v>
      </c>
      <c r="Q160" s="320">
        <f>$D160*'MWh Impact Summary'!I$23</f>
        <v>0</v>
      </c>
      <c r="R160" s="304">
        <f>$M160*'MWh Impact Summary'!J$23</f>
        <v>30397.083715572728</v>
      </c>
      <c r="S160" s="304">
        <f>$M160*'MWh Impact Summary'!K$23</f>
        <v>10000.576722944348</v>
      </c>
      <c r="T160" s="304">
        <f>$M160*'MWh Impact Summary'!L$23</f>
        <v>3576.4208897997401</v>
      </c>
      <c r="U160" s="304">
        <f>$M160*'MWh Impact Summary'!M$23</f>
        <v>11025.754594752025</v>
      </c>
      <c r="V160" s="304">
        <f>$M160*'LED Impact Forecast'!$H$24+$D160*'LED Impact Forecast'!$J$24</f>
        <v>21899.510761101068</v>
      </c>
      <c r="W160" s="304">
        <f>$M160*'CFL Impact Forecast'!$H$24+$D160*'CFL Impact Forecast'!$J$24</f>
        <v>273306.291494017</v>
      </c>
      <c r="X160" s="304">
        <f>$M160*'EISA Incand Impact Forecast'!$G$24+$D160*'EISA Incand Impact Forecast'!$I$24</f>
        <v>102717.57378268885</v>
      </c>
      <c r="Y160" s="85">
        <f t="shared" si="67"/>
        <v>565567.65234599204</v>
      </c>
      <c r="Z160" s="81">
        <f t="shared" si="68"/>
        <v>565567.65234599204</v>
      </c>
      <c r="AA160" s="81">
        <f>SUM(Z149:Z160)</f>
        <v>12583370.232092248</v>
      </c>
      <c r="AB160" s="262">
        <f>+'MWh by mo-WgtbyActulCDH&amp;Days'!AB160</f>
        <v>4954254.5070241485</v>
      </c>
      <c r="AC160" s="308">
        <f t="shared" si="76"/>
        <v>114.15797301978118</v>
      </c>
      <c r="AD160" s="309">
        <f t="shared" si="69"/>
        <v>0</v>
      </c>
      <c r="AE160" s="107">
        <f t="shared" si="70"/>
        <v>0</v>
      </c>
      <c r="AF160" s="309">
        <f t="shared" si="77"/>
        <v>114.15797301978118</v>
      </c>
      <c r="AG160" s="107">
        <f t="shared" si="71"/>
        <v>8.4665987406512631E-3</v>
      </c>
      <c r="AH160" s="119">
        <f t="shared" si="78"/>
        <v>8.4665987406512631E-3</v>
      </c>
      <c r="AI160" s="122">
        <f t="shared" si="72"/>
        <v>8.4665987406512631E-3</v>
      </c>
      <c r="AJ160" s="87" t="b">
        <f t="shared" si="79"/>
        <v>1</v>
      </c>
      <c r="AK160" s="88">
        <f t="shared" si="83"/>
        <v>8.9766452715751236E-4</v>
      </c>
      <c r="AL160" s="312">
        <f>+AC160/'MWh by month-WgtbyCDH&amp;DayLtHrs'!AC160-1</f>
        <v>-0.30336838695016533</v>
      </c>
      <c r="AM160" s="89">
        <f t="shared" si="73"/>
        <v>273306.291494017</v>
      </c>
      <c r="AN160" s="90">
        <f>SUM(AM149:AM160)</f>
        <v>3765966.9199525123</v>
      </c>
      <c r="AO160" s="96">
        <f t="shared" si="61"/>
        <v>55.165977263889651</v>
      </c>
      <c r="AP160" s="92">
        <f t="shared" si="60"/>
        <v>4.0914198217965134E-3</v>
      </c>
      <c r="AR160" s="94">
        <f t="shared" si="74"/>
        <v>8.4665987406512631E-3</v>
      </c>
      <c r="AS160" s="95">
        <v>693785.17810445942</v>
      </c>
      <c r="AU160" s="141">
        <v>114.15797301978118</v>
      </c>
    </row>
    <row r="161" spans="1:47">
      <c r="A161" s="78">
        <v>2018</v>
      </c>
      <c r="B161" s="78">
        <v>1</v>
      </c>
      <c r="C161" s="317">
        <f t="shared" si="81"/>
        <v>0</v>
      </c>
      <c r="D161" s="324">
        <f t="shared" si="80"/>
        <v>0</v>
      </c>
      <c r="E161" s="321">
        <f>$D161*'MWh Impact Summary'!B$24</f>
        <v>0</v>
      </c>
      <c r="F161" s="319">
        <f>$D161*'MWh Impact Summary'!N$24</f>
        <v>0</v>
      </c>
      <c r="G161" s="319">
        <f>$D161*'MWh Impact Summary'!C$24</f>
        <v>0</v>
      </c>
      <c r="H161" s="319">
        <f>$D161*'MWh Impact Summary'!D$24</f>
        <v>0</v>
      </c>
      <c r="I161" s="319">
        <f>$D161*'MWh Impact Summary'!E$24</f>
        <v>0</v>
      </c>
      <c r="J161" s="104">
        <f t="shared" si="75"/>
        <v>0</v>
      </c>
      <c r="K161" s="298">
        <f t="shared" si="82"/>
        <v>13.3</v>
      </c>
      <c r="L161" s="300">
        <f t="shared" si="63"/>
        <v>9.3629003871876101E-2</v>
      </c>
      <c r="M161" s="297">
        <f>(31/365)</f>
        <v>8.4931506849315067E-2</v>
      </c>
      <c r="N161" s="304">
        <f>$M161*'MWh Impact Summary'!F$24</f>
        <v>113983.79641755276</v>
      </c>
      <c r="O161" s="304">
        <f>$M161*'MWh Impact Summary'!G$24</f>
        <v>5624.0090521658503</v>
      </c>
      <c r="P161" s="304">
        <f>$M161*'MWh Impact Summary'!H$24</f>
        <v>7316.5057456947579</v>
      </c>
      <c r="Q161" s="320">
        <f>$D161*'MWh Impact Summary'!I$24</f>
        <v>0</v>
      </c>
      <c r="R161" s="304">
        <f>$M161*'MWh Impact Summary'!J$24</f>
        <v>34717.908095217281</v>
      </c>
      <c r="S161" s="304">
        <f>$M161*'MWh Impact Summary'!K$24</f>
        <v>13300.229568617904</v>
      </c>
      <c r="T161" s="304">
        <f>$M161*'MWh Impact Summary'!L$24</f>
        <v>4853.8089668765797</v>
      </c>
      <c r="U161" s="304">
        <f>$M161*'MWh Impact Summary'!M$24</f>
        <v>15461.815569925069</v>
      </c>
      <c r="V161" s="304">
        <f>$M161*'LED Impact Forecast'!$H$25+$D161*'LED Impact Forecast'!$J$25</f>
        <v>35999.389290635758</v>
      </c>
      <c r="W161" s="304">
        <f>$M161*'CFL Impact Forecast'!$H$25+$D161*'CFL Impact Forecast'!$J$25</f>
        <v>281382.91111012374</v>
      </c>
      <c r="X161" s="304">
        <f>$M161*'EISA Incand Impact Forecast'!$G$25+$D161*'EISA Incand Impact Forecast'!$I$25</f>
        <v>103720.9497447001</v>
      </c>
      <c r="Y161" s="85">
        <f t="shared" si="67"/>
        <v>616361.32356150984</v>
      </c>
      <c r="Z161" s="81">
        <f t="shared" si="68"/>
        <v>616361.32356150984</v>
      </c>
      <c r="AA161" s="81"/>
      <c r="AB161" s="262">
        <f>+'MWh by mo-WgtbyActulCDH&amp;Days'!AB161</f>
        <v>4960404.0012794416</v>
      </c>
      <c r="AC161" s="308">
        <f t="shared" si="76"/>
        <v>124.2562749732746</v>
      </c>
      <c r="AD161" s="309">
        <f t="shared" si="69"/>
        <v>0</v>
      </c>
      <c r="AE161" s="107">
        <f t="shared" si="70"/>
        <v>0</v>
      </c>
      <c r="AF161" s="309">
        <f t="shared" si="77"/>
        <v>124.2562749732746</v>
      </c>
      <c r="AG161" s="107">
        <f t="shared" si="71"/>
        <v>9.3425770656597445E-3</v>
      </c>
      <c r="AH161" s="119">
        <f t="shared" si="78"/>
        <v>9.3425770656597445E-3</v>
      </c>
      <c r="AI161" s="122">
        <f t="shared" si="72"/>
        <v>9.3425770656597445E-3</v>
      </c>
      <c r="AJ161" s="87" t="b">
        <f t="shared" si="79"/>
        <v>1</v>
      </c>
      <c r="AK161" s="88">
        <f t="shared" si="83"/>
        <v>6.4829226883024102E-4</v>
      </c>
      <c r="AL161" s="312">
        <f>+AC161/'MWh by month-WgtbyCDH&amp;DayLtHrs'!AC161-1</f>
        <v>-0.2538256448557884</v>
      </c>
      <c r="AM161" s="89">
        <f t="shared" si="73"/>
        <v>281382.91111012374</v>
      </c>
      <c r="AN161" s="93"/>
      <c r="AO161" s="96">
        <f t="shared" si="61"/>
        <v>56.725805204081439</v>
      </c>
      <c r="AP161" s="92">
        <f t="shared" si="60"/>
        <v>4.26509813564522E-3</v>
      </c>
      <c r="AR161" s="94">
        <f t="shared" si="74"/>
        <v>9.3425770656597445E-3</v>
      </c>
      <c r="AS161" s="95">
        <v>720512.05106462038</v>
      </c>
      <c r="AU161" s="141">
        <v>124.2562749732746</v>
      </c>
    </row>
    <row r="162" spans="1:47">
      <c r="A162" s="78">
        <v>2018</v>
      </c>
      <c r="B162" s="78">
        <v>2</v>
      </c>
      <c r="C162" s="317">
        <f t="shared" si="81"/>
        <v>0</v>
      </c>
      <c r="D162" s="324">
        <f t="shared" si="80"/>
        <v>0</v>
      </c>
      <c r="E162" s="321">
        <f>$D162*'MWh Impact Summary'!B$24</f>
        <v>0</v>
      </c>
      <c r="F162" s="319">
        <f>$D162*'MWh Impact Summary'!N$24</f>
        <v>0</v>
      </c>
      <c r="G162" s="319">
        <f>$D162*'MWh Impact Summary'!C$24</f>
        <v>0</v>
      </c>
      <c r="H162" s="319">
        <f>$D162*'MWh Impact Summary'!D$24</f>
        <v>0</v>
      </c>
      <c r="I162" s="319">
        <f>$D162*'MWh Impact Summary'!E$24</f>
        <v>0</v>
      </c>
      <c r="J162" s="104">
        <f t="shared" si="75"/>
        <v>0</v>
      </c>
      <c r="K162" s="298">
        <f t="shared" si="82"/>
        <v>12.733333333333333</v>
      </c>
      <c r="L162" s="300">
        <f t="shared" si="63"/>
        <v>8.9639798193124468E-2</v>
      </c>
      <c r="M162" s="297">
        <f>(28/365)</f>
        <v>7.6712328767123292E-2</v>
      </c>
      <c r="N162" s="304">
        <f>$M162*'MWh Impact Summary'!F$24</f>
        <v>102953.10644166057</v>
      </c>
      <c r="O162" s="304">
        <f>$M162*'MWh Impact Summary'!G$24</f>
        <v>5079.7501116336716</v>
      </c>
      <c r="P162" s="304">
        <f>$M162*'MWh Impact Summary'!H$24</f>
        <v>6608.4568025630078</v>
      </c>
      <c r="Q162" s="320">
        <f>$D162*'MWh Impact Summary'!I$24</f>
        <v>0</v>
      </c>
      <c r="R162" s="304">
        <f>$M162*'MWh Impact Summary'!J$24</f>
        <v>31358.110537615612</v>
      </c>
      <c r="S162" s="304">
        <f>$M162*'MWh Impact Summary'!K$24</f>
        <v>12013.110578106494</v>
      </c>
      <c r="T162" s="304">
        <f>$M162*'MWh Impact Summary'!L$24</f>
        <v>4384.0855184691691</v>
      </c>
      <c r="U162" s="304">
        <f>$M162*'MWh Impact Summary'!M$24</f>
        <v>13965.510837351676</v>
      </c>
      <c r="V162" s="304">
        <f>$M162*'LED Impact Forecast'!$H$25+$D162*'LED Impact Forecast'!$J$25</f>
        <v>32515.577423800045</v>
      </c>
      <c r="W162" s="304">
        <f>$M162*'CFL Impact Forecast'!$H$25+$D162*'CFL Impact Forecast'!$J$25</f>
        <v>254152.30680914404</v>
      </c>
      <c r="X162" s="304">
        <f>$M162*'EISA Incand Impact Forecast'!$G$25+$D162*'EISA Incand Impact Forecast'!$I$25</f>
        <v>93683.438479083983</v>
      </c>
      <c r="Y162" s="85">
        <f t="shared" si="67"/>
        <v>556713.45353942818</v>
      </c>
      <c r="Z162" s="81">
        <f t="shared" si="68"/>
        <v>556713.45353942818</v>
      </c>
      <c r="AA162" s="81"/>
      <c r="AB162" s="262">
        <f>+'MWh by mo-WgtbyActulCDH&amp;Days'!AB162</f>
        <v>4966174.0780797284</v>
      </c>
      <c r="AC162" s="308">
        <f t="shared" si="76"/>
        <v>112.10107515093243</v>
      </c>
      <c r="AD162" s="309">
        <f t="shared" si="69"/>
        <v>0</v>
      </c>
      <c r="AE162" s="107">
        <f t="shared" si="70"/>
        <v>0</v>
      </c>
      <c r="AF162" s="309">
        <f t="shared" si="77"/>
        <v>112.10107515093243</v>
      </c>
      <c r="AG162" s="107">
        <f t="shared" si="71"/>
        <v>8.8037493574030703E-3</v>
      </c>
      <c r="AH162" s="119">
        <f t="shared" si="78"/>
        <v>8.8037493574030703E-3</v>
      </c>
      <c r="AI162" s="122">
        <f t="shared" si="72"/>
        <v>8.8037493574030703E-3</v>
      </c>
      <c r="AJ162" s="87" t="b">
        <f t="shared" si="79"/>
        <v>1</v>
      </c>
      <c r="AK162" s="88">
        <f t="shared" si="83"/>
        <v>6.1124606167396907E-4</v>
      </c>
      <c r="AL162" s="312">
        <f>+AC162/'MWh by month-WgtbyCDH&amp;DayLtHrs'!AC162-1</f>
        <v>-0.32346291419896211</v>
      </c>
      <c r="AM162" s="89">
        <f t="shared" si="73"/>
        <v>254152.30680914404</v>
      </c>
      <c r="AN162" s="93"/>
      <c r="AO162" s="96">
        <f t="shared" si="61"/>
        <v>51.176681045263962</v>
      </c>
      <c r="AP162" s="92">
        <f t="shared" si="60"/>
        <v>4.019111076853191E-3</v>
      </c>
      <c r="AR162" s="94">
        <f t="shared" si="74"/>
        <v>8.8037493574030703E-3</v>
      </c>
      <c r="AS162" s="95">
        <v>669054.7350160582</v>
      </c>
      <c r="AU162" s="141">
        <v>112.10107515093243</v>
      </c>
    </row>
    <row r="163" spans="1:47">
      <c r="A163" s="78">
        <v>2018</v>
      </c>
      <c r="B163" s="78">
        <v>3</v>
      </c>
      <c r="C163" s="317">
        <f t="shared" si="81"/>
        <v>0</v>
      </c>
      <c r="D163" s="324">
        <f t="shared" si="80"/>
        <v>0</v>
      </c>
      <c r="E163" s="321">
        <f>$D163*'MWh Impact Summary'!B$24</f>
        <v>0</v>
      </c>
      <c r="F163" s="319">
        <f>$D163*'MWh Impact Summary'!N$24</f>
        <v>0</v>
      </c>
      <c r="G163" s="319">
        <f>$D163*'MWh Impact Summary'!C$24</f>
        <v>0</v>
      </c>
      <c r="H163" s="319">
        <f>$D163*'MWh Impact Summary'!D$24</f>
        <v>0</v>
      </c>
      <c r="I163" s="319">
        <f>$D163*'MWh Impact Summary'!E$24</f>
        <v>0</v>
      </c>
      <c r="J163" s="104">
        <f t="shared" si="75"/>
        <v>0</v>
      </c>
      <c r="K163" s="298">
        <f t="shared" si="82"/>
        <v>12</v>
      </c>
      <c r="L163" s="300">
        <f t="shared" si="63"/>
        <v>8.4477296726504739E-2</v>
      </c>
      <c r="M163" s="297">
        <f t="shared" ref="M163:M172" si="85">(31/365)</f>
        <v>8.4931506849315067E-2</v>
      </c>
      <c r="N163" s="304">
        <f>$M163*'MWh Impact Summary'!F$24</f>
        <v>113983.79641755276</v>
      </c>
      <c r="O163" s="304">
        <f>$M163*'MWh Impact Summary'!G$24</f>
        <v>5624.0090521658503</v>
      </c>
      <c r="P163" s="304">
        <f>$M163*'MWh Impact Summary'!H$24</f>
        <v>7316.5057456947579</v>
      </c>
      <c r="Q163" s="320">
        <f>$D163*'MWh Impact Summary'!I$24</f>
        <v>0</v>
      </c>
      <c r="R163" s="304">
        <f>$M163*'MWh Impact Summary'!J$24</f>
        <v>34717.908095217281</v>
      </c>
      <c r="S163" s="304">
        <f>$M163*'MWh Impact Summary'!K$24</f>
        <v>13300.229568617904</v>
      </c>
      <c r="T163" s="304">
        <f>$M163*'MWh Impact Summary'!L$24</f>
        <v>4853.8089668765797</v>
      </c>
      <c r="U163" s="304">
        <f>$M163*'MWh Impact Summary'!M$24</f>
        <v>15461.815569925069</v>
      </c>
      <c r="V163" s="304">
        <f>$M163*'LED Impact Forecast'!$H$25+$D163*'LED Impact Forecast'!$J$25</f>
        <v>35999.389290635758</v>
      </c>
      <c r="W163" s="304">
        <f>$M163*'CFL Impact Forecast'!$H$25+$D163*'CFL Impact Forecast'!$J$25</f>
        <v>281382.91111012374</v>
      </c>
      <c r="X163" s="304">
        <f>$M163*'EISA Incand Impact Forecast'!$G$25+$D163*'EISA Incand Impact Forecast'!$I$25</f>
        <v>103720.9497447001</v>
      </c>
      <c r="Y163" s="85">
        <f t="shared" si="67"/>
        <v>616361.32356150984</v>
      </c>
      <c r="Z163" s="81">
        <f t="shared" si="68"/>
        <v>616361.32356150984</v>
      </c>
      <c r="AA163" s="81"/>
      <c r="AB163" s="262">
        <f>+'MWh by mo-WgtbyActulCDH&amp;Days'!AB163</f>
        <v>4972258.3870254578</v>
      </c>
      <c r="AC163" s="308">
        <f t="shared" si="76"/>
        <v>123.96003497522062</v>
      </c>
      <c r="AD163" s="309">
        <f t="shared" si="69"/>
        <v>0</v>
      </c>
      <c r="AE163" s="107">
        <f t="shared" si="70"/>
        <v>0</v>
      </c>
      <c r="AF163" s="309">
        <f t="shared" si="77"/>
        <v>123.96003497522062</v>
      </c>
      <c r="AG163" s="107">
        <f t="shared" si="71"/>
        <v>1.0330002914601719E-2</v>
      </c>
      <c r="AH163" s="119">
        <f t="shared" si="78"/>
        <v>1.0330002914601719E-2</v>
      </c>
      <c r="AI163" s="122">
        <f t="shared" si="72"/>
        <v>1.0330002914601719E-2</v>
      </c>
      <c r="AJ163" s="87" t="b">
        <f t="shared" si="79"/>
        <v>1</v>
      </c>
      <c r="AK163" s="88">
        <f t="shared" si="83"/>
        <v>7.1791554186723811E-4</v>
      </c>
      <c r="AL163" s="312">
        <f>+AC163/'MWh by month-WgtbyCDH&amp;DayLtHrs'!AC163-1</f>
        <v>-0.29191480507878442</v>
      </c>
      <c r="AM163" s="89">
        <f t="shared" si="73"/>
        <v>281382.91111012374</v>
      </c>
      <c r="AN163" s="93"/>
      <c r="AO163" s="96">
        <f t="shared" si="61"/>
        <v>56.590564932096136</v>
      </c>
      <c r="AP163" s="92">
        <f t="shared" si="60"/>
        <v>4.715880411008011E-3</v>
      </c>
      <c r="AR163" s="94">
        <f t="shared" si="74"/>
        <v>1.0330002914601719E-2</v>
      </c>
      <c r="AS163" s="95">
        <v>809172.95227528678</v>
      </c>
      <c r="AU163" s="141">
        <v>123.96003497522062</v>
      </c>
    </row>
    <row r="164" spans="1:47">
      <c r="A164" s="78">
        <v>2018</v>
      </c>
      <c r="B164" s="78">
        <v>4</v>
      </c>
      <c r="C164" s="317">
        <f t="shared" si="81"/>
        <v>114.03392869270741</v>
      </c>
      <c r="D164" s="324">
        <f t="shared" si="80"/>
        <v>6.3428519090031305E-2</v>
      </c>
      <c r="E164" s="321">
        <f>$D164*'MWh Impact Summary'!B$24</f>
        <v>164467.84812518943</v>
      </c>
      <c r="F164" s="319">
        <f>$D164*'MWh Impact Summary'!N$24</f>
        <v>17891.662772061274</v>
      </c>
      <c r="G164" s="319">
        <f>$D164*'MWh Impact Summary'!C$24</f>
        <v>126368.36258452262</v>
      </c>
      <c r="H164" s="319">
        <f>$D164*'MWh Impact Summary'!D$24</f>
        <v>472.59559673047431</v>
      </c>
      <c r="I164" s="319">
        <f>$D164*'MWh Impact Summary'!E$24</f>
        <v>48905.150251191117</v>
      </c>
      <c r="J164" s="104">
        <f t="shared" si="75"/>
        <v>358105.61932969489</v>
      </c>
      <c r="K164" s="298">
        <f t="shared" si="82"/>
        <v>11.2</v>
      </c>
      <c r="L164" s="300">
        <f t="shared" si="63"/>
        <v>7.8845476944737758E-2</v>
      </c>
      <c r="M164" s="297">
        <f>(30/365)</f>
        <v>8.2191780821917804E-2</v>
      </c>
      <c r="N164" s="304">
        <f>$M164*'MWh Impact Summary'!F$24</f>
        <v>110306.89975892202</v>
      </c>
      <c r="O164" s="304">
        <f>$M164*'MWh Impact Summary'!G$24</f>
        <v>5442.5894053217908</v>
      </c>
      <c r="P164" s="304">
        <f>$M164*'MWh Impact Summary'!H$24</f>
        <v>7080.4894313175073</v>
      </c>
      <c r="Q164" s="320">
        <f>$D164*'MWh Impact Summary'!I$24</f>
        <v>987.02582615449967</v>
      </c>
      <c r="R164" s="304">
        <f>$M164*'MWh Impact Summary'!J$24</f>
        <v>33597.975576016725</v>
      </c>
      <c r="S164" s="304">
        <f>$M164*'MWh Impact Summary'!K$24</f>
        <v>12871.189905114099</v>
      </c>
      <c r="T164" s="304">
        <f>$M164*'MWh Impact Summary'!L$24</f>
        <v>4697.2344840741098</v>
      </c>
      <c r="U164" s="304">
        <f>$M164*'MWh Impact Summary'!M$24</f>
        <v>14963.047325733936</v>
      </c>
      <c r="V164" s="304">
        <f>$M164*'LED Impact Forecast'!$H$25+$D164*'LED Impact Forecast'!$J$25</f>
        <v>38498.617730435129</v>
      </c>
      <c r="W164" s="304">
        <f>$M164*'CFL Impact Forecast'!$H$25+$D164*'CFL Impact Forecast'!$J$25</f>
        <v>308144.80624493398</v>
      </c>
      <c r="X164" s="304">
        <f>$M164*'EISA Incand Impact Forecast'!$G$25+$D164*'EISA Incand Impact Forecast'!$I$25</f>
        <v>114692.66132298035</v>
      </c>
      <c r="Y164" s="85">
        <f t="shared" si="67"/>
        <v>651282.53701100405</v>
      </c>
      <c r="Z164" s="81">
        <f t="shared" si="68"/>
        <v>1009388.1563406989</v>
      </c>
      <c r="AA164" s="81"/>
      <c r="AB164" s="262">
        <f>+'MWh by mo-WgtbyActulCDH&amp;Days'!AB164</f>
        <v>4977933.1022701599</v>
      </c>
      <c r="AC164" s="308">
        <f t="shared" si="76"/>
        <v>202.7725434639475</v>
      </c>
      <c r="AD164" s="309">
        <f t="shared" si="69"/>
        <v>71.938616283610301</v>
      </c>
      <c r="AE164" s="107">
        <f t="shared" si="70"/>
        <v>6.4230907396080634E-3</v>
      </c>
      <c r="AF164" s="309">
        <f t="shared" si="77"/>
        <v>130.83392718033718</v>
      </c>
      <c r="AG164" s="107">
        <f t="shared" si="71"/>
        <v>1.1681600641101535E-2</v>
      </c>
      <c r="AH164" s="119">
        <f t="shared" si="78"/>
        <v>1.8104691380709598E-2</v>
      </c>
      <c r="AI164" s="122">
        <f t="shared" si="72"/>
        <v>1.8104691380709598E-2</v>
      </c>
      <c r="AJ164" s="87" t="b">
        <f t="shared" si="79"/>
        <v>1</v>
      </c>
      <c r="AK164" s="88">
        <f t="shared" si="83"/>
        <v>1.3154360332475849E-3</v>
      </c>
      <c r="AL164" s="312">
        <f>+AC164/'MWh by month-WgtbyCDH&amp;DayLtHrs'!AC164-1</f>
        <v>3.8651203356715236E-2</v>
      </c>
      <c r="AM164" s="89">
        <f t="shared" si="73"/>
        <v>308144.80624493398</v>
      </c>
      <c r="AN164" s="93"/>
      <c r="AO164" s="96">
        <f t="shared" si="61"/>
        <v>61.902158971241732</v>
      </c>
      <c r="AP164" s="92">
        <f t="shared" si="60"/>
        <v>5.5269784795751557E-3</v>
      </c>
      <c r="AR164" s="94">
        <f t="shared" si="74"/>
        <v>1.8104691380709598E-2</v>
      </c>
      <c r="AS164" s="95">
        <v>948781.63662367896</v>
      </c>
      <c r="AU164" s="141">
        <v>202.7725434639475</v>
      </c>
    </row>
    <row r="165" spans="1:47">
      <c r="A165" s="78">
        <v>2018</v>
      </c>
      <c r="B165" s="78">
        <v>5</v>
      </c>
      <c r="C165" s="317">
        <f t="shared" si="81"/>
        <v>208.47875842628665</v>
      </c>
      <c r="D165" s="324">
        <f t="shared" si="80"/>
        <v>0.11596109210918912</v>
      </c>
      <c r="E165" s="321">
        <f>$D165*'MWh Impact Summary'!B$24</f>
        <v>300682.9035118153</v>
      </c>
      <c r="F165" s="319">
        <f>$D165*'MWh Impact Summary'!N$24</f>
        <v>32709.840690945937</v>
      </c>
      <c r="G165" s="319">
        <f>$D165*'MWh Impact Summary'!C$24</f>
        <v>231028.77922392313</v>
      </c>
      <c r="H165" s="319">
        <f>$D165*'MWh Impact Summary'!D$24</f>
        <v>864.00726848236877</v>
      </c>
      <c r="I165" s="319">
        <f>$D165*'MWh Impact Summary'!E$24</f>
        <v>89409.223394329558</v>
      </c>
      <c r="J165" s="104">
        <f t="shared" si="75"/>
        <v>654694.75408949621</v>
      </c>
      <c r="K165" s="298">
        <f t="shared" si="82"/>
        <v>10.533333333333333</v>
      </c>
      <c r="L165" s="300">
        <f t="shared" si="63"/>
        <v>7.4152293793265281E-2</v>
      </c>
      <c r="M165" s="297">
        <f t="shared" si="85"/>
        <v>8.4931506849315067E-2</v>
      </c>
      <c r="N165" s="304">
        <f>$M165*'MWh Impact Summary'!F$24</f>
        <v>113983.79641755276</v>
      </c>
      <c r="O165" s="304">
        <f>$M165*'MWh Impact Summary'!G$24</f>
        <v>5624.0090521658503</v>
      </c>
      <c r="P165" s="304">
        <f>$M165*'MWh Impact Summary'!H$24</f>
        <v>7316.5057456947579</v>
      </c>
      <c r="Q165" s="320">
        <f>$D165*'MWh Impact Summary'!I$24</f>
        <v>1804.4973204937858</v>
      </c>
      <c r="R165" s="304">
        <f>$M165*'MWh Impact Summary'!J$24</f>
        <v>34717.908095217281</v>
      </c>
      <c r="S165" s="304">
        <f>$M165*'MWh Impact Summary'!K$24</f>
        <v>13300.229568617904</v>
      </c>
      <c r="T165" s="304">
        <f>$M165*'MWh Impact Summary'!L$24</f>
        <v>4853.8089668765797</v>
      </c>
      <c r="U165" s="304">
        <f>$M165*'MWh Impact Summary'!M$24</f>
        <v>15461.815569925069</v>
      </c>
      <c r="V165" s="304">
        <f>$M165*'LED Impact Forecast'!$H$25+$D165*'LED Impact Forecast'!$J$25</f>
        <v>42691.575628783023</v>
      </c>
      <c r="W165" s="304">
        <f>$M165*'CFL Impact Forecast'!$H$25+$D165*'CFL Impact Forecast'!$J$25</f>
        <v>346903.94461699424</v>
      </c>
      <c r="X165" s="304">
        <f>$M165*'EISA Incand Impact Forecast'!$G$25+$D165*'EISA Incand Impact Forecast'!$I$25</f>
        <v>129896.53453762534</v>
      </c>
      <c r="Y165" s="85">
        <f t="shared" si="67"/>
        <v>716554.62551994668</v>
      </c>
      <c r="Z165" s="81">
        <f t="shared" si="68"/>
        <v>1371249.3796094428</v>
      </c>
      <c r="AA165" s="81"/>
      <c r="AB165" s="262">
        <f>+'MWh by mo-WgtbyActulCDH&amp;Days'!AB165</f>
        <v>4983179.119985274</v>
      </c>
      <c r="AC165" s="308">
        <f t="shared" si="76"/>
        <v>275.17561512288063</v>
      </c>
      <c r="AD165" s="309">
        <f t="shared" si="69"/>
        <v>131.38093942154561</v>
      </c>
      <c r="AE165" s="107">
        <f t="shared" si="70"/>
        <v>1.2472873995716355E-2</v>
      </c>
      <c r="AF165" s="309">
        <f t="shared" si="77"/>
        <v>143.79467570133505</v>
      </c>
      <c r="AG165" s="107">
        <f t="shared" si="71"/>
        <v>1.3651393262784974E-2</v>
      </c>
      <c r="AH165" s="119">
        <f t="shared" si="78"/>
        <v>2.6124267258501331E-2</v>
      </c>
      <c r="AI165" s="122">
        <f t="shared" si="72"/>
        <v>2.6124267258501328E-2</v>
      </c>
      <c r="AJ165" s="87" t="b">
        <f t="shared" si="79"/>
        <v>1</v>
      </c>
      <c r="AK165" s="88">
        <f t="shared" si="83"/>
        <v>1.9264385817002565E-3</v>
      </c>
      <c r="AL165" s="312">
        <f>+AC165/'MWh by month-WgtbyCDH&amp;DayLtHrs'!AC165-1</f>
        <v>0.13405448713320833</v>
      </c>
      <c r="AM165" s="89">
        <f t="shared" si="73"/>
        <v>346903.94461699424</v>
      </c>
      <c r="AN165" s="93"/>
      <c r="AO165" s="96">
        <f t="shared" si="61"/>
        <v>69.614985988707431</v>
      </c>
      <c r="AP165" s="92">
        <f t="shared" si="60"/>
        <v>6.6090176571557682E-3</v>
      </c>
      <c r="AR165" s="94">
        <f t="shared" si="74"/>
        <v>2.6124267258501328E-2</v>
      </c>
      <c r="AS165" s="95">
        <v>1138391.8949239727</v>
      </c>
      <c r="AU165" s="141">
        <v>275.17561512288063</v>
      </c>
    </row>
    <row r="166" spans="1:47">
      <c r="A166" s="78">
        <v>2018</v>
      </c>
      <c r="B166" s="78">
        <v>6</v>
      </c>
      <c r="C166" s="317">
        <f t="shared" si="81"/>
        <v>271.66325293295364</v>
      </c>
      <c r="D166" s="324">
        <f t="shared" si="80"/>
        <v>0.15110588596093688</v>
      </c>
      <c r="E166" s="321">
        <f>$D166*'MWh Impact Summary'!B$24</f>
        <v>391812.07853473932</v>
      </c>
      <c r="F166" s="319">
        <f>$D166*'MWh Impact Summary'!N$24</f>
        <v>42623.343462413104</v>
      </c>
      <c r="G166" s="319">
        <f>$D166*'MWh Impact Summary'!C$24</f>
        <v>301047.59908809303</v>
      </c>
      <c r="H166" s="319">
        <f>$D166*'MWh Impact Summary'!D$24</f>
        <v>1125.8654209446831</v>
      </c>
      <c r="I166" s="319">
        <f>$D166*'MWh Impact Summary'!E$24</f>
        <v>116506.83577003753</v>
      </c>
      <c r="J166" s="104">
        <f t="shared" si="75"/>
        <v>853115.72227622767</v>
      </c>
      <c r="K166" s="298">
        <f t="shared" si="82"/>
        <v>10.199999999999999</v>
      </c>
      <c r="L166" s="300">
        <f t="shared" si="63"/>
        <v>7.1805702217529022E-2</v>
      </c>
      <c r="M166" s="297">
        <f>(30/365)</f>
        <v>8.2191780821917804E-2</v>
      </c>
      <c r="N166" s="304">
        <f>$M166*'MWh Impact Summary'!F$24</f>
        <v>110306.89975892202</v>
      </c>
      <c r="O166" s="304">
        <f>$M166*'MWh Impact Summary'!G$24</f>
        <v>5442.5894053217908</v>
      </c>
      <c r="P166" s="304">
        <f>$M166*'MWh Impact Summary'!H$24</f>
        <v>7080.4894313175073</v>
      </c>
      <c r="Q166" s="320">
        <f>$D166*'MWh Impact Summary'!I$24</f>
        <v>2351.393569755307</v>
      </c>
      <c r="R166" s="304">
        <f>$M166*'MWh Impact Summary'!J$24</f>
        <v>33597.975576016725</v>
      </c>
      <c r="S166" s="304">
        <f>$M166*'MWh Impact Summary'!K$24</f>
        <v>12871.189905114099</v>
      </c>
      <c r="T166" s="304">
        <f>$M166*'MWh Impact Summary'!L$24</f>
        <v>4697.2344840741098</v>
      </c>
      <c r="U166" s="304">
        <f>$M166*'MWh Impact Summary'!M$24</f>
        <v>14963.047325733936</v>
      </c>
      <c r="V166" s="304">
        <f>$M166*'LED Impact Forecast'!$H$25+$D166*'LED Impact Forecast'!$J$25</f>
        <v>43558.532793892031</v>
      </c>
      <c r="W166" s="304">
        <f>$M166*'CFL Impact Forecast'!$H$25+$D166*'CFL Impact Forecast'!$J$25</f>
        <v>357684.79925512016</v>
      </c>
      <c r="X166" s="304">
        <f>$M166*'EISA Incand Impact Forecast'!$G$25+$D166*'EISA Incand Impact Forecast'!$I$25</f>
        <v>134483.83704585835</v>
      </c>
      <c r="Y166" s="85">
        <f t="shared" si="67"/>
        <v>727037.98855112609</v>
      </c>
      <c r="Z166" s="81">
        <f t="shared" si="68"/>
        <v>1580153.7108273539</v>
      </c>
      <c r="AA166" s="81"/>
      <c r="AB166" s="262">
        <f>+'MWh by mo-WgtbyActulCDH&amp;Days'!AB166</f>
        <v>4988439.4249103442</v>
      </c>
      <c r="AC166" s="308">
        <f t="shared" si="76"/>
        <v>316.76313496695485</v>
      </c>
      <c r="AD166" s="309">
        <f t="shared" si="69"/>
        <v>171.01855903393286</v>
      </c>
      <c r="AE166" s="107">
        <f t="shared" si="70"/>
        <v>1.6766525395483615E-2</v>
      </c>
      <c r="AF166" s="309">
        <f t="shared" si="77"/>
        <v>145.74457593302196</v>
      </c>
      <c r="AG166" s="107">
        <f t="shared" si="71"/>
        <v>1.4288683915002156E-2</v>
      </c>
      <c r="AH166" s="119">
        <f t="shared" si="78"/>
        <v>3.1055209310485769E-2</v>
      </c>
      <c r="AI166" s="122">
        <f t="shared" si="72"/>
        <v>3.1055209310485773E-2</v>
      </c>
      <c r="AJ166" s="87" t="b">
        <f t="shared" si="79"/>
        <v>1</v>
      </c>
      <c r="AK166" s="88">
        <f t="shared" si="83"/>
        <v>2.3072746394656729E-3</v>
      </c>
      <c r="AL166" s="312">
        <f>+AC166/'MWh by month-WgtbyCDH&amp;DayLtHrs'!AC166-1</f>
        <v>0.15032727890866915</v>
      </c>
      <c r="AM166" s="89">
        <f t="shared" si="73"/>
        <v>357684.79925512016</v>
      </c>
      <c r="AN166" s="93"/>
      <c r="AO166" s="96">
        <f t="shared" si="61"/>
        <v>71.702744844205199</v>
      </c>
      <c r="AP166" s="92">
        <f t="shared" si="60"/>
        <v>7.0296808670789416E-3</v>
      </c>
      <c r="AR166" s="94">
        <f t="shared" si="74"/>
        <v>3.1055209310485773E-2</v>
      </c>
      <c r="AS166" s="95">
        <v>1387807.9406546159</v>
      </c>
      <c r="AU166" s="141">
        <v>316.76313496695485</v>
      </c>
    </row>
    <row r="167" spans="1:47">
      <c r="A167" s="78">
        <v>2018</v>
      </c>
      <c r="B167" s="78">
        <v>7</v>
      </c>
      <c r="C167" s="317">
        <f t="shared" si="81"/>
        <v>322.31916585708109</v>
      </c>
      <c r="D167" s="324">
        <f t="shared" si="80"/>
        <v>0.17928196984022934</v>
      </c>
      <c r="E167" s="321">
        <f>$D167*'MWh Impact Summary'!B$24</f>
        <v>464871.64149953792</v>
      </c>
      <c r="F167" s="319">
        <f>$D167*'MWh Impact Summary'!N$24</f>
        <v>50571.140419331838</v>
      </c>
      <c r="G167" s="319">
        <f>$D167*'MWh Impact Summary'!C$24</f>
        <v>357182.68839731108</v>
      </c>
      <c r="H167" s="319">
        <f>$D167*'MWh Impact Summary'!D$24</f>
        <v>1335.8008469249328</v>
      </c>
      <c r="I167" s="319">
        <f>$D167*'MWh Impact Summary'!E$24</f>
        <v>138231.37916748109</v>
      </c>
      <c r="J167" s="104">
        <f t="shared" si="75"/>
        <v>1012192.6503305868</v>
      </c>
      <c r="K167" s="298">
        <f t="shared" si="82"/>
        <v>10.366666666666667</v>
      </c>
      <c r="L167" s="300">
        <f t="shared" si="63"/>
        <v>7.2978998005397158E-2</v>
      </c>
      <c r="M167" s="297">
        <f t="shared" si="85"/>
        <v>8.4931506849315067E-2</v>
      </c>
      <c r="N167" s="304">
        <f>$M167*'MWh Impact Summary'!F$24</f>
        <v>113983.79641755276</v>
      </c>
      <c r="O167" s="304">
        <f>$M167*'MWh Impact Summary'!G$24</f>
        <v>5624.0090521658503</v>
      </c>
      <c r="P167" s="304">
        <f>$M167*'MWh Impact Summary'!H$24</f>
        <v>7316.5057456947579</v>
      </c>
      <c r="Q167" s="320">
        <f>$D167*'MWh Impact Summary'!I$24</f>
        <v>2789.8481146152067</v>
      </c>
      <c r="R167" s="304">
        <f>$M167*'MWh Impact Summary'!J$24</f>
        <v>34717.908095217281</v>
      </c>
      <c r="S167" s="304">
        <f>$M167*'MWh Impact Summary'!K$24</f>
        <v>13300.229568617904</v>
      </c>
      <c r="T167" s="304">
        <f>$M167*'MWh Impact Summary'!L$24</f>
        <v>4853.8089668765797</v>
      </c>
      <c r="U167" s="304">
        <f>$M167*'MWh Impact Summary'!M$24</f>
        <v>15461.815569925069</v>
      </c>
      <c r="V167" s="304">
        <f>$M167*'LED Impact Forecast'!$H$25+$D167*'LED Impact Forecast'!$J$25</f>
        <v>46345.862641466141</v>
      </c>
      <c r="W167" s="304">
        <f>$M167*'CFL Impact Forecast'!$H$25+$D167*'CFL Impact Forecast'!$J$25</f>
        <v>382681.88768425491</v>
      </c>
      <c r="X167" s="304">
        <f>$M167*'EISA Incand Impact Forecast'!$G$25+$D167*'EISA Incand Impact Forecast'!$I$25</f>
        <v>144189.78561058544</v>
      </c>
      <c r="Y167" s="85">
        <f t="shared" si="67"/>
        <v>771265.45746697194</v>
      </c>
      <c r="Z167" s="81">
        <f t="shared" si="68"/>
        <v>1783458.1077975589</v>
      </c>
      <c r="AA167" s="81"/>
      <c r="AB167" s="262">
        <f>+'MWh by mo-WgtbyActulCDH&amp;Days'!AB167</f>
        <v>4994424.4728166815</v>
      </c>
      <c r="AC167" s="308">
        <f t="shared" si="76"/>
        <v>357.08981435287387</v>
      </c>
      <c r="AD167" s="309">
        <f t="shared" si="69"/>
        <v>202.66452237683862</v>
      </c>
      <c r="AE167" s="107">
        <f t="shared" si="70"/>
        <v>1.9549632383617871E-2</v>
      </c>
      <c r="AF167" s="309">
        <f t="shared" si="77"/>
        <v>154.42529197603525</v>
      </c>
      <c r="AG167" s="107">
        <f t="shared" si="71"/>
        <v>1.4896330415694719E-2</v>
      </c>
      <c r="AH167" s="119">
        <f t="shared" si="78"/>
        <v>3.4445962799312592E-2</v>
      </c>
      <c r="AI167" s="122">
        <f t="shared" si="72"/>
        <v>3.4445962799312592E-2</v>
      </c>
      <c r="AJ167" s="87" t="b">
        <f t="shared" si="79"/>
        <v>1</v>
      </c>
      <c r="AK167" s="88">
        <f t="shared" si="83"/>
        <v>2.5699957459609651E-3</v>
      </c>
      <c r="AL167" s="312">
        <f>+AC167/'MWh by month-WgtbyCDH&amp;DayLtHrs'!AC167-1</f>
        <v>0.16750877999063785</v>
      </c>
      <c r="AM167" s="89">
        <f t="shared" si="73"/>
        <v>382681.88768425491</v>
      </c>
      <c r="AN167" s="93"/>
      <c r="AO167" s="96">
        <f t="shared" si="61"/>
        <v>76.621818943722189</v>
      </c>
      <c r="AP167" s="92">
        <f t="shared" si="60"/>
        <v>7.3911722453751305E-3</v>
      </c>
      <c r="AR167" s="94">
        <f t="shared" si="74"/>
        <v>3.4445962799312592E-2</v>
      </c>
      <c r="AS167" s="95">
        <v>1458921.5818659998</v>
      </c>
      <c r="AU167" s="141">
        <v>357.08981435287387</v>
      </c>
    </row>
    <row r="168" spans="1:47">
      <c r="A168" s="78">
        <v>2018</v>
      </c>
      <c r="B168" s="78">
        <v>8</v>
      </c>
      <c r="C168" s="317">
        <f t="shared" si="81"/>
        <v>326.45437890907908</v>
      </c>
      <c r="D168" s="324">
        <f t="shared" si="80"/>
        <v>0.18158207861502046</v>
      </c>
      <c r="E168" s="321">
        <f>$D168*'MWh Impact Summary'!B$24</f>
        <v>470835.74007965461</v>
      </c>
      <c r="F168" s="319">
        <f>$D168*'MWh Impact Summary'!N$24</f>
        <v>51219.945895606776</v>
      </c>
      <c r="G168" s="319">
        <f>$D168*'MWh Impact Summary'!C$24</f>
        <v>361765.18510079046</v>
      </c>
      <c r="H168" s="319">
        <f>$D168*'MWh Impact Summary'!D$24</f>
        <v>1352.9385839328627</v>
      </c>
      <c r="I168" s="319">
        <f>$D168*'MWh Impact Summary'!E$24</f>
        <v>140004.82692945038</v>
      </c>
      <c r="J168" s="104">
        <f t="shared" si="75"/>
        <v>1025178.636589435</v>
      </c>
      <c r="K168" s="298">
        <f t="shared" si="82"/>
        <v>10.933333333333334</v>
      </c>
      <c r="L168" s="300">
        <f t="shared" si="63"/>
        <v>7.6968203684148764E-2</v>
      </c>
      <c r="M168" s="297">
        <f t="shared" si="85"/>
        <v>8.4931506849315067E-2</v>
      </c>
      <c r="N168" s="304">
        <f>$M168*'MWh Impact Summary'!F$24</f>
        <v>113983.79641755276</v>
      </c>
      <c r="O168" s="304">
        <f>$M168*'MWh Impact Summary'!G$24</f>
        <v>5624.0090521658503</v>
      </c>
      <c r="P168" s="304">
        <f>$M168*'MWh Impact Summary'!H$24</f>
        <v>7316.5057456947579</v>
      </c>
      <c r="Q168" s="320">
        <f>$D168*'MWh Impact Summary'!I$24</f>
        <v>2825.6406381716997</v>
      </c>
      <c r="R168" s="304">
        <f>$M168*'MWh Impact Summary'!J$24</f>
        <v>34717.908095217281</v>
      </c>
      <c r="S168" s="304">
        <f>$M168*'MWh Impact Summary'!K$24</f>
        <v>13300.229568617904</v>
      </c>
      <c r="T168" s="304">
        <f>$M168*'MWh Impact Summary'!L$24</f>
        <v>4853.8089668765797</v>
      </c>
      <c r="U168" s="304">
        <f>$M168*'MWh Impact Summary'!M$24</f>
        <v>15461.815569925069</v>
      </c>
      <c r="V168" s="304">
        <f>$M168*'LED Impact Forecast'!$H$25+$D168*'LED Impact Forecast'!$J$25</f>
        <v>46478.603341289971</v>
      </c>
      <c r="W168" s="304">
        <f>$M168*'CFL Impact Forecast'!$H$25+$D168*'CFL Impact Forecast'!$J$25</f>
        <v>383981.50897413236</v>
      </c>
      <c r="X168" s="304">
        <f>$M168*'EISA Incand Impact Forecast'!$G$25+$D168*'EISA Incand Impact Forecast'!$I$25</f>
        <v>144708.98296525341</v>
      </c>
      <c r="Y168" s="85">
        <f t="shared" si="67"/>
        <v>773252.80933489767</v>
      </c>
      <c r="Z168" s="81">
        <f t="shared" si="68"/>
        <v>1798431.4459243328</v>
      </c>
      <c r="AA168" s="81"/>
      <c r="AB168" s="262">
        <f>+'MWh by mo-WgtbyActulCDH&amp;Days'!AB168</f>
        <v>5000782.228093843</v>
      </c>
      <c r="AC168" s="308">
        <f t="shared" si="76"/>
        <v>359.63002664282067</v>
      </c>
      <c r="AD168" s="309">
        <f t="shared" si="69"/>
        <v>205.00365539416904</v>
      </c>
      <c r="AE168" s="107">
        <f t="shared" si="70"/>
        <v>1.8750334334832534E-2</v>
      </c>
      <c r="AF168" s="309">
        <f t="shared" si="77"/>
        <v>154.62637124865159</v>
      </c>
      <c r="AG168" s="107">
        <f t="shared" si="71"/>
        <v>1.4142655906888867E-2</v>
      </c>
      <c r="AH168" s="119">
        <f t="shared" si="78"/>
        <v>3.2892990241721404E-2</v>
      </c>
      <c r="AI168" s="122">
        <f t="shared" si="72"/>
        <v>3.2892990241721397E-2</v>
      </c>
      <c r="AJ168" s="87" t="b">
        <f t="shared" si="79"/>
        <v>1</v>
      </c>
      <c r="AK168" s="88">
        <f t="shared" si="83"/>
        <v>2.4582652982590991E-3</v>
      </c>
      <c r="AL168" s="312">
        <f>+AC168/'MWh by month-WgtbyCDH&amp;DayLtHrs'!AC168-1</f>
        <v>0.14678956024929501</v>
      </c>
      <c r="AM168" s="89">
        <f t="shared" si="73"/>
        <v>383981.50897413236</v>
      </c>
      <c r="AN168" s="93"/>
      <c r="AO168" s="96">
        <f t="shared" si="61"/>
        <v>76.7842892291863</v>
      </c>
      <c r="AP168" s="92">
        <f t="shared" si="60"/>
        <v>7.0229532831572834E-3</v>
      </c>
      <c r="AR168" s="94">
        <f t="shared" si="74"/>
        <v>3.2892990241721397E-2</v>
      </c>
      <c r="AS168" s="95">
        <v>1516703.6736954609</v>
      </c>
      <c r="AU168" s="141">
        <v>359.63002664282067</v>
      </c>
    </row>
    <row r="169" spans="1:47">
      <c r="A169" s="78">
        <v>2018</v>
      </c>
      <c r="B169" s="78">
        <v>9</v>
      </c>
      <c r="C169" s="317">
        <f t="shared" si="81"/>
        <v>277.87653293728147</v>
      </c>
      <c r="D169" s="324">
        <f t="shared" si="80"/>
        <v>0.15456186747349368</v>
      </c>
      <c r="E169" s="321">
        <f>$D169*'MWh Impact Summary'!B$24</f>
        <v>400773.31317627121</v>
      </c>
      <c r="F169" s="319">
        <f>$D169*'MWh Impact Summary'!N$24</f>
        <v>43598.192893808111</v>
      </c>
      <c r="G169" s="319">
        <f>$D169*'MWh Impact Summary'!C$24</f>
        <v>307932.93601743685</v>
      </c>
      <c r="H169" s="319">
        <f>$D169*'MWh Impact Summary'!D$24</f>
        <v>1151.6153780404491</v>
      </c>
      <c r="I169" s="319">
        <f>$D169*'MWh Impact Summary'!E$24</f>
        <v>119171.49352275957</v>
      </c>
      <c r="J169" s="104">
        <f t="shared" si="75"/>
        <v>872627.55098831619</v>
      </c>
      <c r="K169" s="298">
        <f t="shared" si="82"/>
        <v>11.683333333333334</v>
      </c>
      <c r="L169" s="300">
        <f t="shared" si="63"/>
        <v>8.2248034729555317E-2</v>
      </c>
      <c r="M169" s="297">
        <f>(30/365)</f>
        <v>8.2191780821917804E-2</v>
      </c>
      <c r="N169" s="304">
        <f>$M169*'MWh Impact Summary'!F$24</f>
        <v>110306.89975892202</v>
      </c>
      <c r="O169" s="304">
        <f>$M169*'MWh Impact Summary'!G$24</f>
        <v>5442.5894053217908</v>
      </c>
      <c r="P169" s="304">
        <f>$M169*'MWh Impact Summary'!H$24</f>
        <v>7080.4894313175073</v>
      </c>
      <c r="Q169" s="320">
        <f>$D169*'MWh Impact Summary'!I$24</f>
        <v>2405.1728957831501</v>
      </c>
      <c r="R169" s="304">
        <f>$M169*'MWh Impact Summary'!J$24</f>
        <v>33597.975576016725</v>
      </c>
      <c r="S169" s="304">
        <f>$M169*'MWh Impact Summary'!K$24</f>
        <v>12871.189905114099</v>
      </c>
      <c r="T169" s="304">
        <f>$M169*'MWh Impact Summary'!L$24</f>
        <v>4697.2344840741098</v>
      </c>
      <c r="U169" s="304">
        <f>$M169*'MWh Impact Summary'!M$24</f>
        <v>14963.047325733936</v>
      </c>
      <c r="V169" s="304">
        <f>$M169*'LED Impact Forecast'!$H$25+$D169*'LED Impact Forecast'!$J$25</f>
        <v>43757.979624225823</v>
      </c>
      <c r="W169" s="304">
        <f>$M169*'CFL Impact Forecast'!$H$25+$D169*'CFL Impact Forecast'!$J$25</f>
        <v>359637.51870924653</v>
      </c>
      <c r="X169" s="304">
        <f>$M169*'EISA Incand Impact Forecast'!$G$25+$D169*'EISA Incand Impact Forecast'!$I$25</f>
        <v>135263.94643840817</v>
      </c>
      <c r="Y169" s="85">
        <f t="shared" si="67"/>
        <v>730024.04355416377</v>
      </c>
      <c r="Z169" s="81">
        <f t="shared" si="68"/>
        <v>1602651.5945424801</v>
      </c>
      <c r="AA169" s="81"/>
      <c r="AB169" s="262">
        <f>+'MWh by mo-WgtbyActulCDH&amp;Days'!AB169</f>
        <v>5005798.6680340152</v>
      </c>
      <c r="AC169" s="308">
        <f t="shared" si="76"/>
        <v>320.15901973378959</v>
      </c>
      <c r="AD169" s="309">
        <f t="shared" si="69"/>
        <v>174.3233415600059</v>
      </c>
      <c r="AE169" s="107">
        <f t="shared" si="70"/>
        <v>1.4920685440228751E-2</v>
      </c>
      <c r="AF169" s="309">
        <f t="shared" si="77"/>
        <v>145.83567817378372</v>
      </c>
      <c r="AG169" s="107">
        <f t="shared" si="71"/>
        <v>1.2482369030566367E-2</v>
      </c>
      <c r="AH169" s="119">
        <f t="shared" si="78"/>
        <v>2.7403054470795118E-2</v>
      </c>
      <c r="AI169" s="122">
        <f t="shared" si="72"/>
        <v>2.7403054470795114E-2</v>
      </c>
      <c r="AJ169" s="87" t="b">
        <f t="shared" si="79"/>
        <v>1</v>
      </c>
      <c r="AK169" s="88">
        <f t="shared" si="83"/>
        <v>2.0412845642187837E-3</v>
      </c>
      <c r="AL169" s="312">
        <f>+AC169/'MWh by month-WgtbyCDH&amp;DayLtHrs'!AC169-1</f>
        <v>9.2589996596306179E-2</v>
      </c>
      <c r="AM169" s="89">
        <f t="shared" si="73"/>
        <v>359637.51870924653</v>
      </c>
      <c r="AN169" s="93"/>
      <c r="AO169" s="96">
        <f t="shared" si="61"/>
        <v>71.844183627642991</v>
      </c>
      <c r="AP169" s="92">
        <f t="shared" ref="AP169:AP232" si="86">+AO169/K169/1000</f>
        <v>6.1492881849623095E-3</v>
      </c>
      <c r="AR169" s="94">
        <f t="shared" si="74"/>
        <v>2.7403054470795114E-2</v>
      </c>
      <c r="AS169" s="95">
        <v>1433185.8171820336</v>
      </c>
      <c r="AU169" s="141">
        <v>320.15901973378959</v>
      </c>
    </row>
    <row r="170" spans="1:47">
      <c r="A170" s="78">
        <v>2018</v>
      </c>
      <c r="B170" s="78">
        <v>10</v>
      </c>
      <c r="C170" s="317">
        <f t="shared" si="81"/>
        <v>198.89039579254836</v>
      </c>
      <c r="D170" s="324">
        <f t="shared" si="80"/>
        <v>0.11062780534683357</v>
      </c>
      <c r="E170" s="321">
        <f>$D170*'MWh Impact Summary'!B$24</f>
        <v>286853.88448657002</v>
      </c>
      <c r="F170" s="319">
        <f>$D170*'MWh Impact Summary'!N$24</f>
        <v>31205.448509200032</v>
      </c>
      <c r="G170" s="319">
        <f>$D170*'MWh Impact Summary'!C$24</f>
        <v>220403.29521418369</v>
      </c>
      <c r="H170" s="319">
        <f>$D170*'MWh Impact Summary'!D$24</f>
        <v>824.26981479197843</v>
      </c>
      <c r="I170" s="319">
        <f>$D170*'MWh Impact Summary'!E$24</f>
        <v>85297.111142812733</v>
      </c>
      <c r="J170" s="104">
        <f t="shared" si="75"/>
        <v>624584.0091675584</v>
      </c>
      <c r="K170" s="298">
        <f t="shared" si="82"/>
        <v>12.466666666666667</v>
      </c>
      <c r="L170" s="300">
        <f t="shared" si="63"/>
        <v>8.7762524932535488E-2</v>
      </c>
      <c r="M170" s="297">
        <f t="shared" si="85"/>
        <v>8.4931506849315067E-2</v>
      </c>
      <c r="N170" s="304">
        <f>$M170*'MWh Impact Summary'!F$24</f>
        <v>113983.79641755276</v>
      </c>
      <c r="O170" s="304">
        <f>$M170*'MWh Impact Summary'!G$24</f>
        <v>5624.0090521658503</v>
      </c>
      <c r="P170" s="304">
        <f>$M170*'MWh Impact Summary'!H$24</f>
        <v>7316.5057456947579</v>
      </c>
      <c r="Q170" s="320">
        <f>$D170*'MWh Impact Summary'!I$24</f>
        <v>1721.504814153524</v>
      </c>
      <c r="R170" s="304">
        <f>$M170*'MWh Impact Summary'!J$24</f>
        <v>34717.908095217281</v>
      </c>
      <c r="S170" s="304">
        <f>$M170*'MWh Impact Summary'!K$24</f>
        <v>13300.229568617904</v>
      </c>
      <c r="T170" s="304">
        <f>$M170*'MWh Impact Summary'!L$24</f>
        <v>4853.8089668765797</v>
      </c>
      <c r="U170" s="304">
        <f>$M170*'MWh Impact Summary'!M$24</f>
        <v>15461.815569925069</v>
      </c>
      <c r="V170" s="304">
        <f>$M170*'LED Impact Forecast'!$H$25+$D170*'LED Impact Forecast'!$J$25</f>
        <v>42383.78835152238</v>
      </c>
      <c r="W170" s="304">
        <f>$M170*'CFL Impact Forecast'!$H$25+$D170*'CFL Impact Forecast'!$J$25</f>
        <v>343890.49886288727</v>
      </c>
      <c r="X170" s="304">
        <f>$M170*'EISA Incand Impact Forecast'!$G$25+$D170*'EISA Incand Impact Forecast'!$I$25</f>
        <v>128692.66609059852</v>
      </c>
      <c r="Y170" s="85">
        <f t="shared" si="67"/>
        <v>711946.53153521195</v>
      </c>
      <c r="Z170" s="81">
        <f t="shared" si="68"/>
        <v>1336530.5407027705</v>
      </c>
      <c r="AA170" s="81"/>
      <c r="AB170" s="262">
        <f>+'MWh by mo-WgtbyActulCDH&amp;Days'!AB170</f>
        <v>5011255.4649064513</v>
      </c>
      <c r="AC170" s="308">
        <f t="shared" si="76"/>
        <v>266.70572874650293</v>
      </c>
      <c r="AD170" s="309">
        <f t="shared" si="69"/>
        <v>124.6362340817558</v>
      </c>
      <c r="AE170" s="107">
        <f t="shared" si="70"/>
        <v>9.9975588835632991E-3</v>
      </c>
      <c r="AF170" s="309">
        <f t="shared" si="77"/>
        <v>142.06949466474711</v>
      </c>
      <c r="AG170" s="107">
        <f t="shared" si="71"/>
        <v>1.1395948769899501E-2</v>
      </c>
      <c r="AH170" s="119">
        <f t="shared" si="78"/>
        <v>2.13935076534628E-2</v>
      </c>
      <c r="AI170" s="122">
        <f t="shared" si="72"/>
        <v>2.13935076534628E-2</v>
      </c>
      <c r="AJ170" s="87" t="b">
        <f t="shared" si="79"/>
        <v>1</v>
      </c>
      <c r="AK170" s="88">
        <f t="shared" si="83"/>
        <v>1.5795210173619387E-3</v>
      </c>
      <c r="AL170" s="312">
        <f>+AC170/'MWh by month-WgtbyCDH&amp;DayLtHrs'!AC170-1</f>
        <v>4.4310769385736526E-2</v>
      </c>
      <c r="AM170" s="89">
        <f t="shared" si="73"/>
        <v>343890.49886288727</v>
      </c>
      <c r="AN170" s="93"/>
      <c r="AO170" s="96">
        <f t="shared" si="61"/>
        <v>68.62362161959885</v>
      </c>
      <c r="AP170" s="92">
        <f t="shared" si="86"/>
        <v>5.5045685791122066E-3</v>
      </c>
      <c r="AR170" s="94">
        <f t="shared" si="74"/>
        <v>2.13935076534628E-2</v>
      </c>
      <c r="AS170" s="95">
        <v>1155848.495995641</v>
      </c>
      <c r="AU170" s="141">
        <v>266.70572874650293</v>
      </c>
    </row>
    <row r="171" spans="1:47">
      <c r="A171" s="78">
        <v>2018</v>
      </c>
      <c r="B171" s="78">
        <v>11</v>
      </c>
      <c r="C171" s="317">
        <f t="shared" si="81"/>
        <v>78.117279066674627</v>
      </c>
      <c r="D171" s="324">
        <f t="shared" si="80"/>
        <v>4.3450781564265642E-2</v>
      </c>
      <c r="E171" s="321">
        <f>$D171*'MWh Impact Summary'!B$24</f>
        <v>112666.29973007771</v>
      </c>
      <c r="F171" s="319">
        <f>$D171*'MWh Impact Summary'!N$24</f>
        <v>12256.422538052262</v>
      </c>
      <c r="G171" s="319">
        <f>$D171*'MWh Impact Summary'!C$24</f>
        <v>86566.803041708874</v>
      </c>
      <c r="H171" s="319">
        <f>$D171*'MWh Impact Summary'!D$24</f>
        <v>323.74471824925399</v>
      </c>
      <c r="I171" s="319">
        <f>$D171*'MWh Impact Summary'!E$24</f>
        <v>33501.759640894168</v>
      </c>
      <c r="J171" s="104">
        <f t="shared" si="75"/>
        <v>245315.02966898223</v>
      </c>
      <c r="K171" s="298">
        <f t="shared" si="82"/>
        <v>13.15</v>
      </c>
      <c r="L171" s="300">
        <f t="shared" si="63"/>
        <v>9.2573037662794788E-2</v>
      </c>
      <c r="M171" s="297">
        <f>(30/365)</f>
        <v>8.2191780821917804E-2</v>
      </c>
      <c r="N171" s="304">
        <f>$M171*'MWh Impact Summary'!F$24</f>
        <v>110306.89975892202</v>
      </c>
      <c r="O171" s="304">
        <f>$M171*'MWh Impact Summary'!G$24</f>
        <v>5442.5894053217908</v>
      </c>
      <c r="P171" s="304">
        <f>$M171*'MWh Impact Summary'!H$24</f>
        <v>7080.4894313175073</v>
      </c>
      <c r="Q171" s="320">
        <f>$D171*'MWh Impact Summary'!I$24</f>
        <v>676.14764124720534</v>
      </c>
      <c r="R171" s="304">
        <f>$M171*'MWh Impact Summary'!J$24</f>
        <v>33597.975576016725</v>
      </c>
      <c r="S171" s="304">
        <f>$M171*'MWh Impact Summary'!K$24</f>
        <v>12871.189905114099</v>
      </c>
      <c r="T171" s="304">
        <f>$M171*'MWh Impact Summary'!L$24</f>
        <v>4697.2344840741098</v>
      </c>
      <c r="U171" s="304">
        <f>$M171*'MWh Impact Summary'!M$24</f>
        <v>14963.047325733936</v>
      </c>
      <c r="V171" s="304">
        <f>$M171*'LED Impact Forecast'!$H$25+$D171*'LED Impact Forecast'!$J$25</f>
        <v>37345.6901432136</v>
      </c>
      <c r="W171" s="304">
        <f>$M171*'CFL Impact Forecast'!$H$25+$D171*'CFL Impact Forecast'!$J$25</f>
        <v>296856.86486728088</v>
      </c>
      <c r="X171" s="304">
        <f>$M171*'EISA Incand Impact Forecast'!$G$25+$D171*'EISA Incand Impact Forecast'!$I$25</f>
        <v>110183.14047365882</v>
      </c>
      <c r="Y171" s="85">
        <f t="shared" si="67"/>
        <v>634021.26901190064</v>
      </c>
      <c r="Z171" s="81">
        <f t="shared" si="68"/>
        <v>879336.2986808829</v>
      </c>
      <c r="AA171" s="81"/>
      <c r="AB171" s="262">
        <f>+'MWh by mo-WgtbyActulCDH&amp;Days'!AB171</f>
        <v>5016812.6063650586</v>
      </c>
      <c r="AC171" s="308">
        <f t="shared" si="76"/>
        <v>175.27788412212746</v>
      </c>
      <c r="AD171" s="309">
        <f t="shared" si="69"/>
        <v>48.898583406870706</v>
      </c>
      <c r="AE171" s="107">
        <f t="shared" si="70"/>
        <v>3.7185234529939701E-3</v>
      </c>
      <c r="AF171" s="309">
        <f t="shared" si="77"/>
        <v>126.37930071525673</v>
      </c>
      <c r="AG171" s="107">
        <f t="shared" si="71"/>
        <v>9.6105932102856836E-3</v>
      </c>
      <c r="AH171" s="119">
        <f t="shared" si="78"/>
        <v>1.3329116663279654E-2</v>
      </c>
      <c r="AI171" s="122">
        <f t="shared" si="72"/>
        <v>1.3329116663279654E-2</v>
      </c>
      <c r="AJ171" s="87" t="b">
        <f t="shared" si="79"/>
        <v>1</v>
      </c>
      <c r="AK171" s="88">
        <f t="shared" si="83"/>
        <v>9.6237561331821361E-4</v>
      </c>
      <c r="AL171" s="312">
        <f>+AC171/'MWh by month-WgtbyCDH&amp;DayLtHrs'!AC171-1</f>
        <v>-9.1347720807259725E-2</v>
      </c>
      <c r="AM171" s="89">
        <f t="shared" si="73"/>
        <v>296856.86486728088</v>
      </c>
      <c r="AN171" s="93"/>
      <c r="AO171" s="96">
        <f t="shared" ref="AO171:AO234" si="87">+AM171*1000/AB171</f>
        <v>59.172404504534427</v>
      </c>
      <c r="AP171" s="92">
        <f t="shared" si="86"/>
        <v>4.4998026239189675E-3</v>
      </c>
      <c r="AR171" s="94">
        <f t="shared" si="74"/>
        <v>1.3329116663279654E-2</v>
      </c>
      <c r="AS171" s="95">
        <v>893899.58279067918</v>
      </c>
      <c r="AU171" s="141">
        <v>175.27788412212746</v>
      </c>
    </row>
    <row r="172" spans="1:47">
      <c r="A172" s="78">
        <v>2018</v>
      </c>
      <c r="B172" s="78">
        <v>12</v>
      </c>
      <c r="C172" s="317">
        <f t="shared" si="81"/>
        <v>0</v>
      </c>
      <c r="D172" s="324">
        <f t="shared" si="80"/>
        <v>0</v>
      </c>
      <c r="E172" s="321">
        <f>$D172*'MWh Impact Summary'!B$24</f>
        <v>0</v>
      </c>
      <c r="F172" s="319">
        <f>$D172*'MWh Impact Summary'!N$24</f>
        <v>0</v>
      </c>
      <c r="G172" s="319">
        <f>$D172*'MWh Impact Summary'!C$24</f>
        <v>0</v>
      </c>
      <c r="H172" s="319">
        <f>$D172*'MWh Impact Summary'!D$24</f>
        <v>0</v>
      </c>
      <c r="I172" s="319">
        <f>$D172*'MWh Impact Summary'!E$24</f>
        <v>0</v>
      </c>
      <c r="J172" s="104">
        <f t="shared" si="75"/>
        <v>0</v>
      </c>
      <c r="K172" s="298">
        <f t="shared" si="82"/>
        <v>13.483333333333333</v>
      </c>
      <c r="L172" s="300">
        <f t="shared" si="63"/>
        <v>9.491962923853102E-2</v>
      </c>
      <c r="M172" s="297">
        <f t="shared" si="85"/>
        <v>8.4931506849315067E-2</v>
      </c>
      <c r="N172" s="304">
        <f>$M172*'MWh Impact Summary'!F$24</f>
        <v>113983.79641755276</v>
      </c>
      <c r="O172" s="304">
        <f>$M172*'MWh Impact Summary'!G$24</f>
        <v>5624.0090521658503</v>
      </c>
      <c r="P172" s="304">
        <f>$M172*'MWh Impact Summary'!H$24</f>
        <v>7316.5057456947579</v>
      </c>
      <c r="Q172" s="320">
        <f>$D172*'MWh Impact Summary'!I$24</f>
        <v>0</v>
      </c>
      <c r="R172" s="304">
        <f>$M172*'MWh Impact Summary'!J$24</f>
        <v>34717.908095217281</v>
      </c>
      <c r="S172" s="304">
        <f>$M172*'MWh Impact Summary'!K$24</f>
        <v>13300.229568617904</v>
      </c>
      <c r="T172" s="304">
        <f>$M172*'MWh Impact Summary'!L$24</f>
        <v>4853.8089668765797</v>
      </c>
      <c r="U172" s="304">
        <f>$M172*'MWh Impact Summary'!M$24</f>
        <v>15461.815569925069</v>
      </c>
      <c r="V172" s="304">
        <f>$M172*'LED Impact Forecast'!$H$25+$D172*'LED Impact Forecast'!$J$25</f>
        <v>35999.389290635758</v>
      </c>
      <c r="W172" s="304">
        <f>$M172*'CFL Impact Forecast'!$H$25+$D172*'CFL Impact Forecast'!$J$25</f>
        <v>281382.91111012374</v>
      </c>
      <c r="X172" s="304">
        <f>$M172*'EISA Incand Impact Forecast'!$G$25+$D172*'EISA Incand Impact Forecast'!$I$25</f>
        <v>103720.9497447001</v>
      </c>
      <c r="Y172" s="85">
        <f t="shared" si="67"/>
        <v>616361.32356150984</v>
      </c>
      <c r="Z172" s="81">
        <f t="shared" si="68"/>
        <v>616361.32356150984</v>
      </c>
      <c r="AA172" s="81">
        <f>SUM(Z161:Z172)</f>
        <v>13766996.65864948</v>
      </c>
      <c r="AB172" s="262">
        <f>+'MWh by mo-WgtbyActulCDH&amp;Days'!AB172</f>
        <v>5022446.1507833218</v>
      </c>
      <c r="AC172" s="308">
        <f t="shared" si="76"/>
        <v>122.72134037024558</v>
      </c>
      <c r="AD172" s="309">
        <f t="shared" si="69"/>
        <v>0</v>
      </c>
      <c r="AE172" s="107">
        <f t="shared" si="70"/>
        <v>0</v>
      </c>
      <c r="AF172" s="309">
        <f t="shared" si="77"/>
        <v>122.72134037024558</v>
      </c>
      <c r="AG172" s="107">
        <f t="shared" si="71"/>
        <v>9.1017063315386101E-3</v>
      </c>
      <c r="AH172" s="119">
        <f t="shared" si="78"/>
        <v>9.1017063315386101E-3</v>
      </c>
      <c r="AI172" s="122">
        <f t="shared" si="72"/>
        <v>9.1017063315386101E-3</v>
      </c>
      <c r="AJ172" s="87" t="b">
        <f t="shared" si="79"/>
        <v>1</v>
      </c>
      <c r="AK172" s="88">
        <f t="shared" si="83"/>
        <v>6.3510759088734707E-4</v>
      </c>
      <c r="AL172" s="312">
        <f>+AC172/'MWh by month-WgtbyCDH&amp;DayLtHrs'!AC172-1</f>
        <v>-0.30179436133114335</v>
      </c>
      <c r="AM172" s="89">
        <f t="shared" si="73"/>
        <v>281382.91111012374</v>
      </c>
      <c r="AN172" s="90">
        <f>SUM(AM161:AM172)</f>
        <v>3878082.8693543649</v>
      </c>
      <c r="AO172" s="96">
        <f t="shared" si="87"/>
        <v>56.025072775790356</v>
      </c>
      <c r="AP172" s="92">
        <f t="shared" si="86"/>
        <v>4.1551351873268492E-3</v>
      </c>
      <c r="AR172" s="94">
        <f t="shared" si="74"/>
        <v>9.1017063315386101E-3</v>
      </c>
      <c r="AS172" s="95">
        <v>738281.07191137853</v>
      </c>
      <c r="AU172" s="141">
        <v>122.72134037024558</v>
      </c>
    </row>
    <row r="173" spans="1:47">
      <c r="A173" s="78">
        <v>2019</v>
      </c>
      <c r="B173" s="78">
        <v>1</v>
      </c>
      <c r="C173" s="317">
        <f t="shared" si="81"/>
        <v>0</v>
      </c>
      <c r="D173" s="324">
        <f t="shared" si="80"/>
        <v>0</v>
      </c>
      <c r="E173" s="321">
        <f>$D173*'MWh Impact Summary'!B$25</f>
        <v>0</v>
      </c>
      <c r="F173" s="319">
        <f>$D173*'MWh Impact Summary'!N$25</f>
        <v>0</v>
      </c>
      <c r="G173" s="319">
        <f>$D173*'MWh Impact Summary'!C$25</f>
        <v>0</v>
      </c>
      <c r="H173" s="319">
        <f>$D173*'MWh Impact Summary'!D$25</f>
        <v>0</v>
      </c>
      <c r="I173" s="319">
        <f>$D173*'MWh Impact Summary'!E$25</f>
        <v>0</v>
      </c>
      <c r="J173" s="104">
        <f t="shared" si="75"/>
        <v>0</v>
      </c>
      <c r="K173" s="298">
        <f t="shared" si="82"/>
        <v>13.3</v>
      </c>
      <c r="L173" s="300">
        <f t="shared" si="63"/>
        <v>9.3629003871876101E-2</v>
      </c>
      <c r="M173" s="297">
        <f>(31/365)</f>
        <v>8.4931506849315067E-2</v>
      </c>
      <c r="N173" s="304">
        <f>$M173*'MWh Impact Summary'!F$25</f>
        <v>124811.28459773332</v>
      </c>
      <c r="O173" s="304">
        <f>$M173*'MWh Impact Summary'!G$25</f>
        <v>8441.7535575178408</v>
      </c>
      <c r="P173" s="304">
        <f>$M173*'MWh Impact Summary'!H$25</f>
        <v>8478.4823916279402</v>
      </c>
      <c r="Q173" s="320">
        <f>$D173*'MWh Impact Summary'!I$25</f>
        <v>0</v>
      </c>
      <c r="R173" s="304">
        <f>$M173*'MWh Impact Summary'!J$25</f>
        <v>39021.332976499914</v>
      </c>
      <c r="S173" s="304">
        <f>$M173*'MWh Impact Summary'!K$25</f>
        <v>17312.223108981307</v>
      </c>
      <c r="T173" s="304">
        <f>$M173*'MWh Impact Summary'!L$25</f>
        <v>6126.1590904431287</v>
      </c>
      <c r="U173" s="304">
        <f>$M173*'MWh Impact Summary'!M$25</f>
        <v>19857.320630166058</v>
      </c>
      <c r="V173" s="304">
        <f>$M173*'LED Impact Forecast'!$H$26+$D173*'LED Impact Forecast'!$J$26</f>
        <v>54456.817991202217</v>
      </c>
      <c r="W173" s="304">
        <f>$M173*'CFL Impact Forecast'!$H$26+$D173*'CFL Impact Forecast'!$J$26</f>
        <v>288562.55197303335</v>
      </c>
      <c r="X173" s="304">
        <f>$M173*'EISA Incand Impact Forecast'!$G$26+$D173*'EISA Incand Impact Forecast'!$I$26</f>
        <v>104495.36096851274</v>
      </c>
      <c r="Y173" s="85">
        <f t="shared" si="67"/>
        <v>671563.28728571779</v>
      </c>
      <c r="Z173" s="81">
        <f t="shared" si="68"/>
        <v>671563.28728571779</v>
      </c>
      <c r="AA173" s="81"/>
      <c r="AB173" s="262">
        <f>+'MWh by mo-WgtbyActulCDH&amp;Days'!AB173</f>
        <v>5028344.8487463314</v>
      </c>
      <c r="AC173" s="308">
        <f t="shared" si="76"/>
        <v>133.5555351684267</v>
      </c>
      <c r="AD173" s="309">
        <f t="shared" si="69"/>
        <v>0</v>
      </c>
      <c r="AE173" s="107">
        <f t="shared" si="70"/>
        <v>0</v>
      </c>
      <c r="AF173" s="309">
        <f t="shared" si="77"/>
        <v>133.5555351684267</v>
      </c>
      <c r="AG173" s="107">
        <f t="shared" si="71"/>
        <v>1.0041769561535843E-2</v>
      </c>
      <c r="AH173" s="119">
        <f t="shared" si="78"/>
        <v>1.0041769561535843E-2</v>
      </c>
      <c r="AI173" s="122">
        <f t="shared" si="72"/>
        <v>1.0041769561535843E-2</v>
      </c>
      <c r="AJ173" s="87" t="b">
        <f t="shared" si="79"/>
        <v>1</v>
      </c>
      <c r="AK173" s="88">
        <f t="shared" si="83"/>
        <v>6.9919249587609839E-4</v>
      </c>
      <c r="AL173" s="312">
        <f>+AC173/'MWh by month-WgtbyCDH&amp;DayLtHrs'!AC173-1</f>
        <v>-0.25148212731379682</v>
      </c>
      <c r="AM173" s="89">
        <f t="shared" si="73"/>
        <v>288562.55197303335</v>
      </c>
      <c r="AN173" s="93"/>
      <c r="AO173" s="96">
        <f t="shared" si="87"/>
        <v>57.387184183474979</v>
      </c>
      <c r="AP173" s="92">
        <f t="shared" si="86"/>
        <v>4.3148258784567652E-3</v>
      </c>
      <c r="AR173" s="94">
        <f t="shared" si="74"/>
        <v>1.0041769561535843E-2</v>
      </c>
      <c r="AS173" s="95">
        <v>761448.87440197717</v>
      </c>
      <c r="AU173" s="141">
        <v>133.5555351684267</v>
      </c>
    </row>
    <row r="174" spans="1:47">
      <c r="A174" s="78">
        <v>2019</v>
      </c>
      <c r="B174" s="78">
        <v>2</v>
      </c>
      <c r="C174" s="317">
        <f t="shared" si="81"/>
        <v>0</v>
      </c>
      <c r="D174" s="324">
        <f t="shared" si="80"/>
        <v>0</v>
      </c>
      <c r="E174" s="321">
        <f>$D174*'MWh Impact Summary'!B$25</f>
        <v>0</v>
      </c>
      <c r="F174" s="319">
        <f>$D174*'MWh Impact Summary'!N$25</f>
        <v>0</v>
      </c>
      <c r="G174" s="319">
        <f>$D174*'MWh Impact Summary'!C$25</f>
        <v>0</v>
      </c>
      <c r="H174" s="319">
        <f>$D174*'MWh Impact Summary'!D$25</f>
        <v>0</v>
      </c>
      <c r="I174" s="319">
        <f>$D174*'MWh Impact Summary'!E$25</f>
        <v>0</v>
      </c>
      <c r="J174" s="104">
        <f t="shared" si="75"/>
        <v>0</v>
      </c>
      <c r="K174" s="298">
        <f t="shared" si="82"/>
        <v>12.733333333333333</v>
      </c>
      <c r="L174" s="300">
        <f t="shared" si="63"/>
        <v>8.9639798193124468E-2</v>
      </c>
      <c r="M174" s="297">
        <f>(28/365)</f>
        <v>7.6712328767123292E-2</v>
      </c>
      <c r="N174" s="304">
        <f>$M174*'MWh Impact Summary'!F$25</f>
        <v>112732.77318504945</v>
      </c>
      <c r="O174" s="304">
        <f>$M174*'MWh Impact Summary'!G$25</f>
        <v>7624.8096648548253</v>
      </c>
      <c r="P174" s="304">
        <f>$M174*'MWh Impact Summary'!H$25</f>
        <v>7657.9840956639473</v>
      </c>
      <c r="Q174" s="320">
        <f>$D174*'MWh Impact Summary'!I$25</f>
        <v>0</v>
      </c>
      <c r="R174" s="304">
        <f>$M174*'MWh Impact Summary'!J$25</f>
        <v>35245.074946516055</v>
      </c>
      <c r="S174" s="304">
        <f>$M174*'MWh Impact Summary'!K$25</f>
        <v>15636.84667907989</v>
      </c>
      <c r="T174" s="304">
        <f>$M174*'MWh Impact Summary'!L$25</f>
        <v>5533.3049849163754</v>
      </c>
      <c r="U174" s="304">
        <f>$M174*'MWh Impact Summary'!M$25</f>
        <v>17935.64444014999</v>
      </c>
      <c r="V174" s="304">
        <f>$M174*'LED Impact Forecast'!$H$26+$D174*'LED Impact Forecast'!$J$26</f>
        <v>49186.803346892331</v>
      </c>
      <c r="W174" s="304">
        <f>$M174*'CFL Impact Forecast'!$H$26+$D174*'CFL Impact Forecast'!$J$26</f>
        <v>260637.14371757852</v>
      </c>
      <c r="X174" s="304">
        <f>$M174*'EISA Incand Impact Forecast'!$G$26+$D174*'EISA Incand Impact Forecast'!$I$26</f>
        <v>94382.90668123732</v>
      </c>
      <c r="Y174" s="85">
        <f t="shared" si="67"/>
        <v>606573.29174193868</v>
      </c>
      <c r="Z174" s="81">
        <f t="shared" si="68"/>
        <v>606573.29174193868</v>
      </c>
      <c r="AA174" s="81"/>
      <c r="AB174" s="262">
        <f>+'MWh by mo-WgtbyActulCDH&amp;Days'!AB174</f>
        <v>5033985.8735689241</v>
      </c>
      <c r="AC174" s="308">
        <f t="shared" si="76"/>
        <v>120.49562850916365</v>
      </c>
      <c r="AD174" s="309">
        <f t="shared" si="69"/>
        <v>0</v>
      </c>
      <c r="AE174" s="107">
        <f t="shared" si="70"/>
        <v>0</v>
      </c>
      <c r="AF174" s="309">
        <f t="shared" si="77"/>
        <v>120.49562850916365</v>
      </c>
      <c r="AG174" s="107">
        <f t="shared" si="71"/>
        <v>9.463007474541648E-3</v>
      </c>
      <c r="AH174" s="119">
        <f t="shared" si="78"/>
        <v>9.463007474541648E-3</v>
      </c>
      <c r="AI174" s="122">
        <f t="shared" si="72"/>
        <v>9.463007474541648E-3</v>
      </c>
      <c r="AJ174" s="87" t="b">
        <f t="shared" si="79"/>
        <v>1</v>
      </c>
      <c r="AK174" s="88">
        <f t="shared" si="83"/>
        <v>6.5925811713857772E-4</v>
      </c>
      <c r="AL174" s="312">
        <f>+AC174/'MWh by month-WgtbyCDH&amp;DayLtHrs'!AC174-1</f>
        <v>-0.32179179895758092</v>
      </c>
      <c r="AM174" s="89">
        <f t="shared" si="73"/>
        <v>260637.14371757852</v>
      </c>
      <c r="AN174" s="93"/>
      <c r="AO174" s="96">
        <f t="shared" si="87"/>
        <v>51.775501613157225</v>
      </c>
      <c r="AP174" s="92">
        <f t="shared" si="86"/>
        <v>4.0661388701432382E-3</v>
      </c>
      <c r="AR174" s="94">
        <f t="shared" si="74"/>
        <v>9.463007474541648E-3</v>
      </c>
      <c r="AS174" s="95">
        <v>707451.56583231059</v>
      </c>
      <c r="AU174" s="141">
        <v>120.49562850916365</v>
      </c>
    </row>
    <row r="175" spans="1:47">
      <c r="A175" s="78">
        <v>2019</v>
      </c>
      <c r="B175" s="78">
        <v>3</v>
      </c>
      <c r="C175" s="317">
        <f t="shared" si="81"/>
        <v>0</v>
      </c>
      <c r="D175" s="324">
        <f t="shared" si="80"/>
        <v>0</v>
      </c>
      <c r="E175" s="321">
        <f>$D175*'MWh Impact Summary'!B$25</f>
        <v>0</v>
      </c>
      <c r="F175" s="319">
        <f>$D175*'MWh Impact Summary'!N$25</f>
        <v>0</v>
      </c>
      <c r="G175" s="319">
        <f>$D175*'MWh Impact Summary'!C$25</f>
        <v>0</v>
      </c>
      <c r="H175" s="319">
        <f>$D175*'MWh Impact Summary'!D$25</f>
        <v>0</v>
      </c>
      <c r="I175" s="319">
        <f>$D175*'MWh Impact Summary'!E$25</f>
        <v>0</v>
      </c>
      <c r="J175" s="104">
        <f t="shared" si="75"/>
        <v>0</v>
      </c>
      <c r="K175" s="298">
        <f t="shared" si="82"/>
        <v>12</v>
      </c>
      <c r="L175" s="300">
        <f t="shared" si="63"/>
        <v>8.4477296726504739E-2</v>
      </c>
      <c r="M175" s="297">
        <f t="shared" ref="M175:M184" si="88">(31/365)</f>
        <v>8.4931506849315067E-2</v>
      </c>
      <c r="N175" s="304">
        <f>$M175*'MWh Impact Summary'!F$25</f>
        <v>124811.28459773332</v>
      </c>
      <c r="O175" s="304">
        <f>$M175*'MWh Impact Summary'!G$25</f>
        <v>8441.7535575178408</v>
      </c>
      <c r="P175" s="304">
        <f>$M175*'MWh Impact Summary'!H$25</f>
        <v>8478.4823916279402</v>
      </c>
      <c r="Q175" s="320">
        <f>$D175*'MWh Impact Summary'!I$25</f>
        <v>0</v>
      </c>
      <c r="R175" s="304">
        <f>$M175*'MWh Impact Summary'!J$25</f>
        <v>39021.332976499914</v>
      </c>
      <c r="S175" s="304">
        <f>$M175*'MWh Impact Summary'!K$25</f>
        <v>17312.223108981307</v>
      </c>
      <c r="T175" s="304">
        <f>$M175*'MWh Impact Summary'!L$25</f>
        <v>6126.1590904431287</v>
      </c>
      <c r="U175" s="304">
        <f>$M175*'MWh Impact Summary'!M$25</f>
        <v>19857.320630166058</v>
      </c>
      <c r="V175" s="304">
        <f>$M175*'LED Impact Forecast'!$H$26+$D175*'LED Impact Forecast'!$J$26</f>
        <v>54456.817991202217</v>
      </c>
      <c r="W175" s="304">
        <f>$M175*'CFL Impact Forecast'!$H$26+$D175*'CFL Impact Forecast'!$J$26</f>
        <v>288562.55197303335</v>
      </c>
      <c r="X175" s="304">
        <f>$M175*'EISA Incand Impact Forecast'!$G$26+$D175*'EISA Incand Impact Forecast'!$I$26</f>
        <v>104495.36096851274</v>
      </c>
      <c r="Y175" s="85">
        <f t="shared" si="67"/>
        <v>671563.28728571779</v>
      </c>
      <c r="Z175" s="81">
        <f t="shared" si="68"/>
        <v>671563.28728571779</v>
      </c>
      <c r="AA175" s="81"/>
      <c r="AB175" s="262">
        <f>+'MWh by mo-WgtbyActulCDH&amp;Days'!AB175</f>
        <v>5039839.6897841692</v>
      </c>
      <c r="AC175" s="308">
        <f t="shared" si="76"/>
        <v>133.25092237496892</v>
      </c>
      <c r="AD175" s="309">
        <f t="shared" si="69"/>
        <v>0</v>
      </c>
      <c r="AE175" s="107">
        <f t="shared" si="70"/>
        <v>0</v>
      </c>
      <c r="AF175" s="309">
        <f t="shared" si="77"/>
        <v>133.25092237496892</v>
      </c>
      <c r="AG175" s="107">
        <f t="shared" si="71"/>
        <v>1.110424353124741E-2</v>
      </c>
      <c r="AH175" s="119">
        <f t="shared" si="78"/>
        <v>1.110424353124741E-2</v>
      </c>
      <c r="AI175" s="122">
        <f t="shared" si="72"/>
        <v>1.110424353124741E-2</v>
      </c>
      <c r="AJ175" s="87" t="b">
        <f t="shared" si="79"/>
        <v>1</v>
      </c>
      <c r="AK175" s="88">
        <f t="shared" si="83"/>
        <v>7.742406166456918E-4</v>
      </c>
      <c r="AL175" s="312">
        <f>+AC175/'MWh by month-WgtbyCDH&amp;DayLtHrs'!AC175-1</f>
        <v>-0.29103921922872944</v>
      </c>
      <c r="AM175" s="89">
        <f t="shared" si="73"/>
        <v>288562.55197303335</v>
      </c>
      <c r="AN175" s="93"/>
      <c r="AO175" s="96">
        <f t="shared" si="87"/>
        <v>57.256295782176167</v>
      </c>
      <c r="AP175" s="92">
        <f t="shared" si="86"/>
        <v>4.7713579818480139E-3</v>
      </c>
      <c r="AR175" s="94">
        <f t="shared" si="74"/>
        <v>1.110424353124741E-2</v>
      </c>
      <c r="AS175" s="95">
        <v>857008.83732047398</v>
      </c>
      <c r="AU175" s="141">
        <v>133.25092237496892</v>
      </c>
    </row>
    <row r="176" spans="1:47">
      <c r="A176" s="78">
        <v>2019</v>
      </c>
      <c r="B176" s="78">
        <v>4</v>
      </c>
      <c r="C176" s="317">
        <f t="shared" si="81"/>
        <v>114.03392869270741</v>
      </c>
      <c r="D176" s="324">
        <f t="shared" si="80"/>
        <v>6.3428519090031305E-2</v>
      </c>
      <c r="E176" s="321">
        <f>$D176*'MWh Impact Summary'!B$25</f>
        <v>181017.30060564421</v>
      </c>
      <c r="F176" s="319">
        <f>$D176*'MWh Impact Summary'!N$25</f>
        <v>21151.32557360988</v>
      </c>
      <c r="G176" s="319">
        <f>$D176*'MWh Impact Summary'!C$25</f>
        <v>136653.98475328265</v>
      </c>
      <c r="H176" s="319">
        <f>$D176*'MWh Impact Summary'!D$25</f>
        <v>526.08150997990856</v>
      </c>
      <c r="I176" s="319">
        <f>$D176*'MWh Impact Summary'!E$25</f>
        <v>52564.620803708669</v>
      </c>
      <c r="J176" s="104">
        <f t="shared" si="75"/>
        <v>391913.31324622536</v>
      </c>
      <c r="K176" s="298">
        <f t="shared" si="82"/>
        <v>11.2</v>
      </c>
      <c r="L176" s="300">
        <f t="shared" si="63"/>
        <v>7.8845476944737758E-2</v>
      </c>
      <c r="M176" s="297">
        <f>(30/365)</f>
        <v>8.2191780821917804E-2</v>
      </c>
      <c r="N176" s="304">
        <f>$M176*'MWh Impact Summary'!F$25</f>
        <v>120785.11412683869</v>
      </c>
      <c r="O176" s="304">
        <f>$M176*'MWh Impact Summary'!G$25</f>
        <v>8169.4389266301687</v>
      </c>
      <c r="P176" s="304">
        <f>$M176*'MWh Impact Summary'!H$25</f>
        <v>8204.9829596399431</v>
      </c>
      <c r="Q176" s="320">
        <f>$D176*'MWh Impact Summary'!I$25</f>
        <v>1056.1797689755367</v>
      </c>
      <c r="R176" s="304">
        <f>$M176*'MWh Impact Summary'!J$25</f>
        <v>37762.580299838621</v>
      </c>
      <c r="S176" s="304">
        <f>$M176*'MWh Impact Summary'!K$25</f>
        <v>16753.764299014165</v>
      </c>
      <c r="T176" s="304">
        <f>$M176*'MWh Impact Summary'!L$25</f>
        <v>5928.5410552675439</v>
      </c>
      <c r="U176" s="304">
        <f>$M176*'MWh Impact Summary'!M$25</f>
        <v>19216.761900160702</v>
      </c>
      <c r="V176" s="304">
        <f>$M176*'LED Impact Forecast'!$H$26+$D176*'LED Impact Forecast'!$J$26</f>
        <v>58643.723320161153</v>
      </c>
      <c r="W176" s="304">
        <f>$M176*'CFL Impact Forecast'!$H$26+$D176*'CFL Impact Forecast'!$J$26</f>
        <v>316057.04055717442</v>
      </c>
      <c r="X176" s="304">
        <f>$M176*'EISA Incand Impact Forecast'!$G$26+$D176*'EISA Incand Impact Forecast'!$I$26</f>
        <v>115564.1224457838</v>
      </c>
      <c r="Y176" s="85">
        <f t="shared" si="67"/>
        <v>708142.24965948472</v>
      </c>
      <c r="Z176" s="81">
        <f t="shared" si="68"/>
        <v>1100055.5629057102</v>
      </c>
      <c r="AA176" s="81"/>
      <c r="AB176" s="262">
        <f>+'MWh by mo-WgtbyActulCDH&amp;Days'!AB176</f>
        <v>5045414.9673927901</v>
      </c>
      <c r="AC176" s="308">
        <f t="shared" si="76"/>
        <v>218.0307407844715</v>
      </c>
      <c r="AD176" s="309">
        <f t="shared" si="69"/>
        <v>77.677121857975919</v>
      </c>
      <c r="AE176" s="107">
        <f t="shared" si="70"/>
        <v>6.9354573087478501E-3</v>
      </c>
      <c r="AF176" s="309">
        <f t="shared" si="77"/>
        <v>140.35361892649559</v>
      </c>
      <c r="AG176" s="107">
        <f t="shared" si="71"/>
        <v>1.2531573118437106E-2</v>
      </c>
      <c r="AH176" s="119">
        <f t="shared" si="78"/>
        <v>1.9467030427184957E-2</v>
      </c>
      <c r="AI176" s="122">
        <f t="shared" si="72"/>
        <v>1.9467030427184954E-2</v>
      </c>
      <c r="AJ176" s="87" t="b">
        <f t="shared" si="79"/>
        <v>1</v>
      </c>
      <c r="AK176" s="88">
        <f t="shared" si="83"/>
        <v>1.3623390464753554E-3</v>
      </c>
      <c r="AL176" s="312">
        <f>+AC176/'MWh by month-WgtbyCDH&amp;DayLtHrs'!AC176-1</f>
        <v>3.8705209825748765E-2</v>
      </c>
      <c r="AM176" s="89">
        <f t="shared" si="73"/>
        <v>316057.04055717442</v>
      </c>
      <c r="AN176" s="93"/>
      <c r="AO176" s="96">
        <f t="shared" si="87"/>
        <v>62.642427352312787</v>
      </c>
      <c r="AP176" s="92">
        <f t="shared" si="86"/>
        <v>5.5930738707422141E-3</v>
      </c>
      <c r="AR176" s="94">
        <f t="shared" si="74"/>
        <v>1.9467030427184954E-2</v>
      </c>
      <c r="AS176" s="95">
        <v>1007481.0355190123</v>
      </c>
      <c r="AU176" s="141">
        <v>218.0307407844715</v>
      </c>
    </row>
    <row r="177" spans="1:47">
      <c r="A177" s="78">
        <v>2019</v>
      </c>
      <c r="B177" s="78">
        <v>5</v>
      </c>
      <c r="C177" s="317">
        <f t="shared" si="81"/>
        <v>208.47875842628665</v>
      </c>
      <c r="D177" s="324">
        <f t="shared" si="80"/>
        <v>0.11596109210918912</v>
      </c>
      <c r="E177" s="321">
        <f>$D177*'MWh Impact Summary'!B$25</f>
        <v>330938.89263113681</v>
      </c>
      <c r="F177" s="319">
        <f>$D177*'MWh Impact Summary'!N$25</f>
        <v>38669.211393559155</v>
      </c>
      <c r="G177" s="319">
        <f>$D177*'MWh Impact Summary'!C$25</f>
        <v>249833.12775394195</v>
      </c>
      <c r="H177" s="319">
        <f>$D177*'MWh Impact Summary'!D$25</f>
        <v>961.79112031813577</v>
      </c>
      <c r="I177" s="319">
        <f>$D177*'MWh Impact Summary'!E$25</f>
        <v>96099.529393891309</v>
      </c>
      <c r="J177" s="104">
        <f t="shared" si="75"/>
        <v>716502.55229284742</v>
      </c>
      <c r="K177" s="298">
        <f t="shared" si="82"/>
        <v>10.533333333333333</v>
      </c>
      <c r="L177" s="300">
        <f t="shared" si="63"/>
        <v>7.4152293793265281E-2</v>
      </c>
      <c r="M177" s="297">
        <f t="shared" si="88"/>
        <v>8.4931506849315067E-2</v>
      </c>
      <c r="N177" s="304">
        <f>$M177*'MWh Impact Summary'!F$25</f>
        <v>124811.28459773332</v>
      </c>
      <c r="O177" s="304">
        <f>$M177*'MWh Impact Summary'!G$25</f>
        <v>8441.7535575178408</v>
      </c>
      <c r="P177" s="304">
        <f>$M177*'MWh Impact Summary'!H$25</f>
        <v>8478.4823916279402</v>
      </c>
      <c r="Q177" s="320">
        <f>$D177*'MWh Impact Summary'!I$25</f>
        <v>1930.9257291690908</v>
      </c>
      <c r="R177" s="304">
        <f>$M177*'MWh Impact Summary'!J$25</f>
        <v>39021.332976499914</v>
      </c>
      <c r="S177" s="304">
        <f>$M177*'MWh Impact Summary'!K$25</f>
        <v>17312.223108981307</v>
      </c>
      <c r="T177" s="304">
        <f>$M177*'MWh Impact Summary'!L$25</f>
        <v>6126.1590904431287</v>
      </c>
      <c r="U177" s="304">
        <f>$M177*'MWh Impact Summary'!M$25</f>
        <v>19857.320630166058</v>
      </c>
      <c r="V177" s="304">
        <f>$M177*'LED Impact Forecast'!$H$26+$D177*'LED Impact Forecast'!$J$26</f>
        <v>65322.965831115776</v>
      </c>
      <c r="W177" s="304">
        <f>$M177*'CFL Impact Forecast'!$H$26+$D177*'CFL Impact Forecast'!$J$26</f>
        <v>355846.34267253696</v>
      </c>
      <c r="X177" s="304">
        <f>$M177*'EISA Incand Impact Forecast'!$G$26+$D177*'EISA Incand Impact Forecast'!$I$26</f>
        <v>130894.04472950888</v>
      </c>
      <c r="Y177" s="85">
        <f t="shared" si="67"/>
        <v>778042.83531530027</v>
      </c>
      <c r="Z177" s="81">
        <f t="shared" si="68"/>
        <v>1494545.3876081477</v>
      </c>
      <c r="AA177" s="81"/>
      <c r="AB177" s="262">
        <f>+'MWh by mo-WgtbyActulCDH&amp;Days'!AB177</f>
        <v>5050667.5493750526</v>
      </c>
      <c r="AC177" s="308">
        <f t="shared" si="76"/>
        <v>295.91046589337998</v>
      </c>
      <c r="AD177" s="309">
        <f t="shared" si="69"/>
        <v>141.86294094559921</v>
      </c>
      <c r="AE177" s="107">
        <f t="shared" si="70"/>
        <v>1.3468000722683469E-2</v>
      </c>
      <c r="AF177" s="309">
        <f t="shared" si="77"/>
        <v>154.04752494778077</v>
      </c>
      <c r="AG177" s="107">
        <f t="shared" si="71"/>
        <v>1.4624765026688047E-2</v>
      </c>
      <c r="AH177" s="119">
        <f t="shared" si="78"/>
        <v>2.8092765749371515E-2</v>
      </c>
      <c r="AI177" s="122">
        <f t="shared" si="72"/>
        <v>2.8092765749371515E-2</v>
      </c>
      <c r="AJ177" s="87" t="b">
        <f t="shared" si="79"/>
        <v>1</v>
      </c>
      <c r="AK177" s="88">
        <f t="shared" si="83"/>
        <v>1.9684984908701873E-3</v>
      </c>
      <c r="AL177" s="312">
        <f>+AC177/'MWh by month-WgtbyCDH&amp;DayLtHrs'!AC177-1</f>
        <v>0.13263079730956484</v>
      </c>
      <c r="AM177" s="89">
        <f t="shared" si="73"/>
        <v>355846.34267253696</v>
      </c>
      <c r="AN177" s="93"/>
      <c r="AO177" s="96">
        <f t="shared" si="87"/>
        <v>70.455308965360004</v>
      </c>
      <c r="AP177" s="92">
        <f t="shared" si="86"/>
        <v>6.6887951549392411E-3</v>
      </c>
      <c r="AR177" s="94">
        <f t="shared" si="74"/>
        <v>2.8092765749371515E-2</v>
      </c>
      <c r="AS177" s="95">
        <v>1212333.667608062</v>
      </c>
      <c r="AU177" s="141">
        <v>295.91046589337998</v>
      </c>
    </row>
    <row r="178" spans="1:47">
      <c r="A178" s="78">
        <v>2019</v>
      </c>
      <c r="B178" s="78">
        <v>6</v>
      </c>
      <c r="C178" s="317">
        <f t="shared" si="81"/>
        <v>271.66325293295364</v>
      </c>
      <c r="D178" s="324">
        <f t="shared" si="80"/>
        <v>0.15110588596093688</v>
      </c>
      <c r="E178" s="321">
        <f>$D178*'MWh Impact Summary'!B$25</f>
        <v>431237.87177575746</v>
      </c>
      <c r="F178" s="319">
        <f>$D178*'MWh Impact Summary'!N$25</f>
        <v>50388.844574976902</v>
      </c>
      <c r="G178" s="319">
        <f>$D178*'MWh Impact Summary'!C$25</f>
        <v>325551.05703993107</v>
      </c>
      <c r="H178" s="319">
        <f>$D178*'MWh Impact Summary'!D$25</f>
        <v>1253.2850174279911</v>
      </c>
      <c r="I178" s="319">
        <f>$D178*'MWh Impact Summary'!E$25</f>
        <v>125224.79967522086</v>
      </c>
      <c r="J178" s="104">
        <f t="shared" si="75"/>
        <v>933655.85808331426</v>
      </c>
      <c r="K178" s="298">
        <f t="shared" si="82"/>
        <v>10.199999999999999</v>
      </c>
      <c r="L178" s="300">
        <f t="shared" ref="L178:L216" si="89">L166</f>
        <v>7.1805702217529022E-2</v>
      </c>
      <c r="M178" s="297">
        <f>(30/365)</f>
        <v>8.2191780821917804E-2</v>
      </c>
      <c r="N178" s="304">
        <f>$M178*'MWh Impact Summary'!F$25</f>
        <v>120785.11412683869</v>
      </c>
      <c r="O178" s="304">
        <f>$M178*'MWh Impact Summary'!G$25</f>
        <v>8169.4389266301687</v>
      </c>
      <c r="P178" s="304">
        <f>$M178*'MWh Impact Summary'!H$25</f>
        <v>8204.9829596399431</v>
      </c>
      <c r="Q178" s="320">
        <f>$D178*'MWh Impact Summary'!I$25</f>
        <v>2516.1391439477693</v>
      </c>
      <c r="R178" s="304">
        <f>$M178*'MWh Impact Summary'!J$25</f>
        <v>37762.580299838621</v>
      </c>
      <c r="S178" s="304">
        <f>$M178*'MWh Impact Summary'!K$25</f>
        <v>16753.764299014165</v>
      </c>
      <c r="T178" s="304">
        <f>$M178*'MWh Impact Summary'!L$25</f>
        <v>5928.5410552675439</v>
      </c>
      <c r="U178" s="304">
        <f>$M178*'MWh Impact Summary'!M$25</f>
        <v>19216.761900160702</v>
      </c>
      <c r="V178" s="304">
        <f>$M178*'LED Impact Forecast'!$H$26+$D178*'LED Impact Forecast'!$J$26</f>
        <v>66859.541344162863</v>
      </c>
      <c r="W178" s="304">
        <f>$M178*'CFL Impact Forecast'!$H$26+$D178*'CFL Impact Forecast'!$J$26</f>
        <v>366929.84189359896</v>
      </c>
      <c r="X178" s="304">
        <f>$M178*'EISA Incand Impact Forecast'!$G$26+$D178*'EISA Incand Impact Forecast'!$I$26</f>
        <v>135523.98173067631</v>
      </c>
      <c r="Y178" s="85">
        <f t="shared" si="67"/>
        <v>788650.68767977576</v>
      </c>
      <c r="Z178" s="81">
        <f t="shared" si="68"/>
        <v>1722306.54576309</v>
      </c>
      <c r="AA178" s="81"/>
      <c r="AB178" s="262">
        <f>+'MWh by mo-WgtbyActulCDH&amp;Days'!AB178</f>
        <v>5055929.9660004415</v>
      </c>
      <c r="AC178" s="308">
        <f t="shared" si="76"/>
        <v>340.65079171291268</v>
      </c>
      <c r="AD178" s="309">
        <f t="shared" si="69"/>
        <v>184.66550453860316</v>
      </c>
      <c r="AE178" s="107">
        <f t="shared" si="70"/>
        <v>1.8104461229274824E-2</v>
      </c>
      <c r="AF178" s="309">
        <f t="shared" si="77"/>
        <v>155.98528717430949</v>
      </c>
      <c r="AG178" s="107">
        <f t="shared" si="71"/>
        <v>1.5292675213167599E-2</v>
      </c>
      <c r="AH178" s="119">
        <f t="shared" si="78"/>
        <v>3.3397136442442424E-2</v>
      </c>
      <c r="AI178" s="122">
        <f t="shared" si="72"/>
        <v>3.3397136442442424E-2</v>
      </c>
      <c r="AJ178" s="87" t="b">
        <f t="shared" si="79"/>
        <v>1</v>
      </c>
      <c r="AK178" s="88">
        <f t="shared" si="83"/>
        <v>2.3419271319566511E-3</v>
      </c>
      <c r="AL178" s="312">
        <f>+AC178/'MWh by month-WgtbyCDH&amp;DayLtHrs'!AC178-1</f>
        <v>0.14825750099983326</v>
      </c>
      <c r="AM178" s="89">
        <f t="shared" si="73"/>
        <v>366929.84189359896</v>
      </c>
      <c r="AN178" s="93"/>
      <c r="AO178" s="96">
        <f t="shared" si="87"/>
        <v>72.574154381308318</v>
      </c>
      <c r="AP178" s="92">
        <f t="shared" si="86"/>
        <v>7.1151131746380715E-3</v>
      </c>
      <c r="AR178" s="94">
        <f t="shared" si="74"/>
        <v>3.3397136442442424E-2</v>
      </c>
      <c r="AS178" s="95">
        <v>1480669.7439639654</v>
      </c>
      <c r="AU178" s="141">
        <v>340.65079171291268</v>
      </c>
    </row>
    <row r="179" spans="1:47">
      <c r="A179" s="78">
        <v>2019</v>
      </c>
      <c r="B179" s="78">
        <v>7</v>
      </c>
      <c r="C179" s="317">
        <f t="shared" si="81"/>
        <v>322.31916585708109</v>
      </c>
      <c r="D179" s="324">
        <f t="shared" si="80"/>
        <v>0.17928196984022934</v>
      </c>
      <c r="E179" s="321">
        <f>$D179*'MWh Impact Summary'!B$25</f>
        <v>511648.99785341677</v>
      </c>
      <c r="F179" s="319">
        <f>$D179*'MWh Impact Summary'!N$25</f>
        <v>59784.642113215807</v>
      </c>
      <c r="G179" s="319">
        <f>$D179*'MWh Impact Summary'!C$25</f>
        <v>386255.20388250152</v>
      </c>
      <c r="H179" s="319">
        <f>$D179*'MWh Impact Summary'!D$25</f>
        <v>1486.9798437489223</v>
      </c>
      <c r="I179" s="319">
        <f>$D179*'MWh Impact Summary'!E$25</f>
        <v>148574.94541559755</v>
      </c>
      <c r="J179" s="104">
        <f t="shared" si="75"/>
        <v>1107750.7691084808</v>
      </c>
      <c r="K179" s="298">
        <f t="shared" si="82"/>
        <v>10.366666666666667</v>
      </c>
      <c r="L179" s="300">
        <f t="shared" si="89"/>
        <v>7.2978998005397158E-2</v>
      </c>
      <c r="M179" s="297">
        <f t="shared" si="88"/>
        <v>8.4931506849315067E-2</v>
      </c>
      <c r="N179" s="304">
        <f>$M179*'MWh Impact Summary'!F$25</f>
        <v>124811.28459773332</v>
      </c>
      <c r="O179" s="304">
        <f>$M179*'MWh Impact Summary'!G$25</f>
        <v>8441.7535575178408</v>
      </c>
      <c r="P179" s="304">
        <f>$M179*'MWh Impact Summary'!H$25</f>
        <v>8478.4823916279402</v>
      </c>
      <c r="Q179" s="320">
        <f>$D179*'MWh Impact Summary'!I$25</f>
        <v>2985.3131084230567</v>
      </c>
      <c r="R179" s="304">
        <f>$M179*'MWh Impact Summary'!J$25</f>
        <v>39021.332976499914</v>
      </c>
      <c r="S179" s="304">
        <f>$M179*'MWh Impact Summary'!K$25</f>
        <v>17312.223108981307</v>
      </c>
      <c r="T179" s="304">
        <f>$M179*'MWh Impact Summary'!L$25</f>
        <v>6126.1590904431287</v>
      </c>
      <c r="U179" s="304">
        <f>$M179*'MWh Impact Summary'!M$25</f>
        <v>19857.320630166058</v>
      </c>
      <c r="V179" s="304">
        <f>$M179*'LED Impact Forecast'!$H$26+$D179*'LED Impact Forecast'!$J$26</f>
        <v>71256.456161913113</v>
      </c>
      <c r="W179" s="304">
        <f>$M179*'CFL Impact Forecast'!$H$26+$D179*'CFL Impact Forecast'!$J$26</f>
        <v>392586.84422069858</v>
      </c>
      <c r="X179" s="304">
        <f>$M179*'EISA Incand Impact Forecast'!$G$26+$D179*'EISA Incand Impact Forecast'!$I$26</f>
        <v>145309.11961614815</v>
      </c>
      <c r="Y179" s="85">
        <f t="shared" si="67"/>
        <v>836186.2894601525</v>
      </c>
      <c r="Z179" s="81">
        <f t="shared" si="68"/>
        <v>1943937.0585686332</v>
      </c>
      <c r="AA179" s="81"/>
      <c r="AB179" s="262">
        <f>+'MWh by mo-WgtbyActulCDH&amp;Days'!AB179</f>
        <v>5061685.0368930642</v>
      </c>
      <c r="AC179" s="308">
        <f t="shared" si="76"/>
        <v>384.04939153658796</v>
      </c>
      <c r="AD179" s="309">
        <f t="shared" si="69"/>
        <v>218.85019732251737</v>
      </c>
      <c r="AE179" s="107">
        <f t="shared" si="70"/>
        <v>2.1110951510210679E-2</v>
      </c>
      <c r="AF179" s="309">
        <f t="shared" si="77"/>
        <v>165.19919421407062</v>
      </c>
      <c r="AG179" s="107">
        <f t="shared" si="71"/>
        <v>1.5935613589781732E-2</v>
      </c>
      <c r="AH179" s="119">
        <f t="shared" si="78"/>
        <v>3.7046565099992407E-2</v>
      </c>
      <c r="AI179" s="122">
        <f t="shared" si="72"/>
        <v>3.7046565099992407E-2</v>
      </c>
      <c r="AJ179" s="87" t="b">
        <f t="shared" si="79"/>
        <v>1</v>
      </c>
      <c r="AK179" s="88">
        <f t="shared" si="83"/>
        <v>2.6006023006798148E-3</v>
      </c>
      <c r="AL179" s="312">
        <f>+AC179/'MWh by month-WgtbyCDH&amp;DayLtHrs'!AC179-1</f>
        <v>0.16529141560359029</v>
      </c>
      <c r="AM179" s="89">
        <f t="shared" si="73"/>
        <v>392586.84422069858</v>
      </c>
      <c r="AN179" s="93"/>
      <c r="AO179" s="96">
        <f t="shared" si="87"/>
        <v>77.560504329932414</v>
      </c>
      <c r="AP179" s="92">
        <f t="shared" si="86"/>
        <v>7.481720674913094E-3</v>
      </c>
      <c r="AR179" s="94">
        <f t="shared" si="74"/>
        <v>3.7046565099992407E-2</v>
      </c>
      <c r="AS179" s="95">
        <v>1557805.0600731373</v>
      </c>
      <c r="AU179" s="141">
        <v>384.04939153658796</v>
      </c>
    </row>
    <row r="180" spans="1:47">
      <c r="A180" s="78">
        <v>2019</v>
      </c>
      <c r="B180" s="78">
        <v>8</v>
      </c>
      <c r="C180" s="317">
        <f t="shared" si="81"/>
        <v>326.45437890907908</v>
      </c>
      <c r="D180" s="324">
        <f t="shared" si="80"/>
        <v>0.18158207861502046</v>
      </c>
      <c r="E180" s="321">
        <f>$D180*'MWh Impact Summary'!B$25</f>
        <v>518213.22932981397</v>
      </c>
      <c r="F180" s="319">
        <f>$D180*'MWh Impact Summary'!N$25</f>
        <v>60551.652761553174</v>
      </c>
      <c r="G180" s="319">
        <f>$D180*'MWh Impact Summary'!C$25</f>
        <v>391210.68816544762</v>
      </c>
      <c r="H180" s="319">
        <f>$D180*'MWh Impact Summary'!D$25</f>
        <v>1506.0571407553775</v>
      </c>
      <c r="I180" s="319">
        <f>$D180*'MWh Impact Summary'!E$25</f>
        <v>150481.09658054222</v>
      </c>
      <c r="J180" s="104">
        <f t="shared" si="75"/>
        <v>1121962.7239781125</v>
      </c>
      <c r="K180" s="298">
        <f t="shared" si="82"/>
        <v>10.933333333333334</v>
      </c>
      <c r="L180" s="300">
        <f t="shared" si="89"/>
        <v>7.6968203684148764E-2</v>
      </c>
      <c r="M180" s="297">
        <f t="shared" si="88"/>
        <v>8.4931506849315067E-2</v>
      </c>
      <c r="N180" s="304">
        <f>$M180*'MWh Impact Summary'!F$25</f>
        <v>124811.28459773332</v>
      </c>
      <c r="O180" s="304">
        <f>$M180*'MWh Impact Summary'!G$25</f>
        <v>8441.7535575178408</v>
      </c>
      <c r="P180" s="304">
        <f>$M180*'MWh Impact Summary'!H$25</f>
        <v>8478.4823916279402</v>
      </c>
      <c r="Q180" s="320">
        <f>$D180*'MWh Impact Summary'!I$25</f>
        <v>3023.6133618300341</v>
      </c>
      <c r="R180" s="304">
        <f>$M180*'MWh Impact Summary'!J$25</f>
        <v>39021.332976499914</v>
      </c>
      <c r="S180" s="304">
        <f>$M180*'MWh Impact Summary'!K$25</f>
        <v>17312.223108981307</v>
      </c>
      <c r="T180" s="304">
        <f>$M180*'MWh Impact Summary'!L$25</f>
        <v>6126.1590904431287</v>
      </c>
      <c r="U180" s="304">
        <f>$M180*'MWh Impact Summary'!M$25</f>
        <v>19857.320630166058</v>
      </c>
      <c r="V180" s="304">
        <f>$M180*'LED Impact Forecast'!$H$26+$D180*'LED Impact Forecast'!$J$26</f>
        <v>71471.988126472657</v>
      </c>
      <c r="W180" s="304">
        <f>$M180*'CFL Impact Forecast'!$H$26+$D180*'CFL Impact Forecast'!$J$26</f>
        <v>393921.43011131277</v>
      </c>
      <c r="X180" s="304">
        <f>$M180*'EISA Incand Impact Forecast'!$G$26+$D180*'EISA Incand Impact Forecast'!$I$26</f>
        <v>145832.74217831262</v>
      </c>
      <c r="Y180" s="85">
        <f t="shared" si="67"/>
        <v>838298.33013089758</v>
      </c>
      <c r="Z180" s="81">
        <f t="shared" si="68"/>
        <v>1960261.0541090099</v>
      </c>
      <c r="AA180" s="81"/>
      <c r="AB180" s="262">
        <f>+'MWh by mo-WgtbyActulCDH&amp;Days'!AB180</f>
        <v>5067694.0549152512</v>
      </c>
      <c r="AC180" s="308">
        <f t="shared" si="76"/>
        <v>386.81519303788991</v>
      </c>
      <c r="AD180" s="309">
        <f t="shared" si="69"/>
        <v>221.39511813857425</v>
      </c>
      <c r="AE180" s="107">
        <f t="shared" si="70"/>
        <v>2.0249553488284229E-2</v>
      </c>
      <c r="AF180" s="309">
        <f t="shared" si="77"/>
        <v>165.42007489931567</v>
      </c>
      <c r="AG180" s="107">
        <f t="shared" si="71"/>
        <v>1.5129884899327652E-2</v>
      </c>
      <c r="AH180" s="119">
        <f t="shared" si="78"/>
        <v>3.5379438387611879E-2</v>
      </c>
      <c r="AI180" s="122">
        <f t="shared" si="72"/>
        <v>3.5379438387611886E-2</v>
      </c>
      <c r="AJ180" s="87" t="b">
        <f t="shared" si="79"/>
        <v>1</v>
      </c>
      <c r="AK180" s="88">
        <f t="shared" si="83"/>
        <v>2.4864481458904894E-3</v>
      </c>
      <c r="AL180" s="312">
        <f>+AC180/'MWh by month-WgtbyCDH&amp;DayLtHrs'!AC180-1</f>
        <v>0.14496665839311373</v>
      </c>
      <c r="AM180" s="89">
        <f t="shared" si="73"/>
        <v>393921.43011131277</v>
      </c>
      <c r="AN180" s="93"/>
      <c r="AO180" s="96">
        <f t="shared" si="87"/>
        <v>77.731888674147754</v>
      </c>
      <c r="AP180" s="92">
        <f t="shared" si="86"/>
        <v>7.1096239640988795E-3</v>
      </c>
      <c r="AR180" s="94">
        <f t="shared" si="74"/>
        <v>3.5379438387611886E-2</v>
      </c>
      <c r="AS180" s="95">
        <v>1619595.3729790451</v>
      </c>
      <c r="AU180" s="141">
        <v>386.81519303788991</v>
      </c>
    </row>
    <row r="181" spans="1:47">
      <c r="A181" s="78">
        <v>2019</v>
      </c>
      <c r="B181" s="78">
        <v>9</v>
      </c>
      <c r="C181" s="317">
        <f t="shared" si="81"/>
        <v>277.87653293728147</v>
      </c>
      <c r="D181" s="324">
        <f t="shared" si="80"/>
        <v>0.15456186747349368</v>
      </c>
      <c r="E181" s="321">
        <f>$D181*'MWh Impact Summary'!B$25</f>
        <v>441100.8238566356</v>
      </c>
      <c r="F181" s="319">
        <f>$D181*'MWh Impact Summary'!N$25</f>
        <v>51541.300776022807</v>
      </c>
      <c r="G181" s="319">
        <f>$D181*'MWh Impact Summary'!C$25</f>
        <v>332996.81884707988</v>
      </c>
      <c r="H181" s="319">
        <f>$D181*'MWh Impact Summary'!D$25</f>
        <v>1281.9492208284812</v>
      </c>
      <c r="I181" s="319">
        <f>$D181*'MWh Impact Summary'!E$25</f>
        <v>128088.84821865795</v>
      </c>
      <c r="J181" s="104">
        <f t="shared" si="75"/>
        <v>955009.74091922469</v>
      </c>
      <c r="K181" s="298">
        <f t="shared" si="82"/>
        <v>11.683333333333334</v>
      </c>
      <c r="L181" s="300">
        <f t="shared" si="89"/>
        <v>8.2248034729555317E-2</v>
      </c>
      <c r="M181" s="297">
        <f>(30/365)</f>
        <v>8.2191780821917804E-2</v>
      </c>
      <c r="N181" s="304">
        <f>$M181*'MWh Impact Summary'!F$25</f>
        <v>120785.11412683869</v>
      </c>
      <c r="O181" s="304">
        <f>$M181*'MWh Impact Summary'!G$25</f>
        <v>8169.4389266301687</v>
      </c>
      <c r="P181" s="304">
        <f>$M181*'MWh Impact Summary'!H$25</f>
        <v>8204.9829596399431</v>
      </c>
      <c r="Q181" s="320">
        <f>$D181*'MWh Impact Summary'!I$25</f>
        <v>2573.6864082995494</v>
      </c>
      <c r="R181" s="304">
        <f>$M181*'MWh Impact Summary'!J$25</f>
        <v>37762.580299838621</v>
      </c>
      <c r="S181" s="304">
        <f>$M181*'MWh Impact Summary'!K$25</f>
        <v>16753.764299014165</v>
      </c>
      <c r="T181" s="304">
        <f>$M181*'MWh Impact Summary'!L$25</f>
        <v>5928.5410552675439</v>
      </c>
      <c r="U181" s="304">
        <f>$M181*'MWh Impact Summary'!M$25</f>
        <v>19216.761900160702</v>
      </c>
      <c r="V181" s="304">
        <f>$M181*'LED Impact Forecast'!$H$26+$D181*'LED Impact Forecast'!$J$26</f>
        <v>67183.384500211192</v>
      </c>
      <c r="W181" s="304">
        <f>$M181*'CFL Impact Forecast'!$H$26+$D181*'CFL Impact Forecast'!$J$26</f>
        <v>368935.09669521183</v>
      </c>
      <c r="X181" s="304">
        <f>$M181*'EISA Incand Impact Forecast'!$G$26+$D181*'EISA Incand Impact Forecast'!$I$26</f>
        <v>136310.7401284666</v>
      </c>
      <c r="Y181" s="85">
        <f t="shared" si="67"/>
        <v>791824.09129957901</v>
      </c>
      <c r="Z181" s="81">
        <f t="shared" si="68"/>
        <v>1746833.8322188037</v>
      </c>
      <c r="AA181" s="81"/>
      <c r="AB181" s="262">
        <f>+'MWh by mo-WgtbyActulCDH&amp;Days'!AB181</f>
        <v>5072789.4203578094</v>
      </c>
      <c r="AC181" s="308">
        <f t="shared" si="76"/>
        <v>344.35370512493904</v>
      </c>
      <c r="AD181" s="309">
        <f t="shared" si="69"/>
        <v>188.26126254849805</v>
      </c>
      <c r="AE181" s="107">
        <f t="shared" si="70"/>
        <v>1.6113660132539065E-2</v>
      </c>
      <c r="AF181" s="309">
        <f t="shared" si="77"/>
        <v>156.09244257644104</v>
      </c>
      <c r="AG181" s="107">
        <f t="shared" si="71"/>
        <v>1.3360266126371558E-2</v>
      </c>
      <c r="AH181" s="119">
        <f t="shared" si="78"/>
        <v>2.9473926258910623E-2</v>
      </c>
      <c r="AI181" s="122">
        <f t="shared" si="72"/>
        <v>2.9473926258910616E-2</v>
      </c>
      <c r="AJ181" s="87" t="b">
        <f t="shared" si="79"/>
        <v>1</v>
      </c>
      <c r="AK181" s="88">
        <f t="shared" si="83"/>
        <v>2.0708717881155018E-3</v>
      </c>
      <c r="AL181" s="312">
        <f>+AC181/'MWh by month-WgtbyCDH&amp;DayLtHrs'!AC181-1</f>
        <v>9.1582887911765276E-2</v>
      </c>
      <c r="AM181" s="89">
        <f t="shared" si="73"/>
        <v>368935.09669521183</v>
      </c>
      <c r="AN181" s="93"/>
      <c r="AO181" s="96">
        <f t="shared" si="87"/>
        <v>72.728249908151909</v>
      </c>
      <c r="AP181" s="92">
        <f t="shared" si="86"/>
        <v>6.224957196132831E-3</v>
      </c>
      <c r="AR181" s="94">
        <f t="shared" si="74"/>
        <v>2.9473926258910616E-2</v>
      </c>
      <c r="AS181" s="95">
        <v>1529578.6557736564</v>
      </c>
      <c r="AU181" s="141">
        <v>344.35370512493904</v>
      </c>
    </row>
    <row r="182" spans="1:47">
      <c r="A182" s="78">
        <v>2019</v>
      </c>
      <c r="B182" s="78">
        <v>10</v>
      </c>
      <c r="C182" s="317">
        <f t="shared" si="81"/>
        <v>198.89039579254836</v>
      </c>
      <c r="D182" s="324">
        <f t="shared" si="80"/>
        <v>0.11062780534683357</v>
      </c>
      <c r="E182" s="321">
        <f>$D182*'MWh Impact Summary'!B$25</f>
        <v>315718.33905480173</v>
      </c>
      <c r="F182" s="319">
        <f>$D182*'MWh Impact Summary'!N$25</f>
        <v>36890.735617892889</v>
      </c>
      <c r="G182" s="319">
        <f>$D182*'MWh Impact Summary'!C$25</f>
        <v>238342.79346325278</v>
      </c>
      <c r="H182" s="319">
        <f>$D182*'MWh Impact Summary'!D$25</f>
        <v>917.55638816061287</v>
      </c>
      <c r="I182" s="319">
        <f>$D182*'MWh Impact Summary'!E$25</f>
        <v>91679.716345714405</v>
      </c>
      <c r="J182" s="104">
        <f t="shared" si="75"/>
        <v>683549.14086982235</v>
      </c>
      <c r="K182" s="298">
        <f t="shared" si="82"/>
        <v>12.466666666666667</v>
      </c>
      <c r="L182" s="300">
        <f t="shared" si="89"/>
        <v>8.7762524932535488E-2</v>
      </c>
      <c r="M182" s="297">
        <f t="shared" si="88"/>
        <v>8.4931506849315067E-2</v>
      </c>
      <c r="N182" s="304">
        <f>$M182*'MWh Impact Summary'!F$25</f>
        <v>124811.28459773332</v>
      </c>
      <c r="O182" s="304">
        <f>$M182*'MWh Impact Summary'!G$25</f>
        <v>8441.7535575178408</v>
      </c>
      <c r="P182" s="304">
        <f>$M182*'MWh Impact Summary'!H$25</f>
        <v>8478.4823916279402</v>
      </c>
      <c r="Q182" s="320">
        <f>$D182*'MWh Impact Summary'!I$25</f>
        <v>1842.1185228625784</v>
      </c>
      <c r="R182" s="304">
        <f>$M182*'MWh Impact Summary'!J$25</f>
        <v>39021.332976499914</v>
      </c>
      <c r="S182" s="304">
        <f>$M182*'MWh Impact Summary'!K$25</f>
        <v>17312.223108981307</v>
      </c>
      <c r="T182" s="304">
        <f>$M182*'MWh Impact Summary'!L$25</f>
        <v>6126.1590904431287</v>
      </c>
      <c r="U182" s="304">
        <f>$M182*'MWh Impact Summary'!M$25</f>
        <v>19857.320630166058</v>
      </c>
      <c r="V182" s="304">
        <f>$M182*'LED Impact Forecast'!$H$26+$D182*'LED Impact Forecast'!$J$26</f>
        <v>64823.20956478257</v>
      </c>
      <c r="W182" s="304">
        <f>$M182*'CFL Impact Forecast'!$H$26+$D182*'CFL Impact Forecast'!$J$26</f>
        <v>352751.82412556716</v>
      </c>
      <c r="X182" s="304">
        <f>$M182*'EISA Incand Impact Forecast'!$G$26+$D182*'EISA Incand Impact Forecast'!$I$26</f>
        <v>129679.91550663505</v>
      </c>
      <c r="Y182" s="85">
        <f t="shared" si="67"/>
        <v>773145.62407281692</v>
      </c>
      <c r="Z182" s="81">
        <f t="shared" si="68"/>
        <v>1456694.7649426393</v>
      </c>
      <c r="AA182" s="81"/>
      <c r="AB182" s="262">
        <f>+'MWh by mo-WgtbyActulCDH&amp;Days'!AB182</f>
        <v>5078184.2010707669</v>
      </c>
      <c r="AC182" s="308">
        <f t="shared" si="76"/>
        <v>286.85347109612252</v>
      </c>
      <c r="AD182" s="309">
        <f t="shared" si="69"/>
        <v>134.60503081508776</v>
      </c>
      <c r="AE182" s="107">
        <f t="shared" si="70"/>
        <v>1.0797194985167466E-2</v>
      </c>
      <c r="AF182" s="309">
        <f t="shared" si="77"/>
        <v>152.24844028103479</v>
      </c>
      <c r="AG182" s="107">
        <f t="shared" si="71"/>
        <v>1.2212441733772844E-2</v>
      </c>
      <c r="AH182" s="119">
        <f t="shared" si="78"/>
        <v>2.300963671894031E-2</v>
      </c>
      <c r="AI182" s="122">
        <f t="shared" si="72"/>
        <v>2.300963671894031E-2</v>
      </c>
      <c r="AJ182" s="87" t="b">
        <f t="shared" si="79"/>
        <v>1</v>
      </c>
      <c r="AK182" s="88">
        <f t="shared" si="83"/>
        <v>1.6161290654775097E-3</v>
      </c>
      <c r="AL182" s="312">
        <f>+AC182/'MWh by month-WgtbyCDH&amp;DayLtHrs'!AC182-1</f>
        <v>4.4419208123133602E-2</v>
      </c>
      <c r="AM182" s="89">
        <f t="shared" si="73"/>
        <v>352751.82412556716</v>
      </c>
      <c r="AN182" s="93"/>
      <c r="AO182" s="96">
        <f t="shared" si="87"/>
        <v>69.464164779841425</v>
      </c>
      <c r="AP182" s="92">
        <f t="shared" si="86"/>
        <v>5.571991827260008E-3</v>
      </c>
      <c r="AR182" s="94">
        <f t="shared" si="74"/>
        <v>2.300963671894031E-2</v>
      </c>
      <c r="AS182" s="95">
        <v>1231148.637096449</v>
      </c>
      <c r="AU182" s="141">
        <v>286.85347109612252</v>
      </c>
    </row>
    <row r="183" spans="1:47">
      <c r="A183" s="78">
        <v>2019</v>
      </c>
      <c r="B183" s="78">
        <v>11</v>
      </c>
      <c r="C183" s="317">
        <f t="shared" si="81"/>
        <v>78.117279066674627</v>
      </c>
      <c r="D183" s="324">
        <f t="shared" si="80"/>
        <v>4.3450781564265642E-2</v>
      </c>
      <c r="E183" s="321">
        <f>$D183*'MWh Impact Summary'!B$25</f>
        <v>124003.26069105731</v>
      </c>
      <c r="F183" s="319">
        <f>$D183*'MWh Impact Summary'!N$25</f>
        <v>14489.406980936894</v>
      </c>
      <c r="G183" s="319">
        <f>$D183*'MWh Impact Summary'!C$25</f>
        <v>93612.818438552669</v>
      </c>
      <c r="H183" s="319">
        <f>$D183*'MWh Impact Summary'!D$25</f>
        <v>360.38446274758775</v>
      </c>
      <c r="I183" s="319">
        <f>$D183*'MWh Impact Summary'!E$25</f>
        <v>36008.626550282454</v>
      </c>
      <c r="J183" s="104">
        <f t="shared" si="75"/>
        <v>268474.49712357688</v>
      </c>
      <c r="K183" s="298">
        <f t="shared" si="82"/>
        <v>13.15</v>
      </c>
      <c r="L183" s="300">
        <f t="shared" si="89"/>
        <v>9.2573037662794788E-2</v>
      </c>
      <c r="M183" s="297">
        <f>(30/365)</f>
        <v>8.2191780821917804E-2</v>
      </c>
      <c r="N183" s="304">
        <f>$M183*'MWh Impact Summary'!F$25</f>
        <v>120785.11412683869</v>
      </c>
      <c r="O183" s="304">
        <f>$M183*'MWh Impact Summary'!G$25</f>
        <v>8169.4389266301687</v>
      </c>
      <c r="P183" s="304">
        <f>$M183*'MWh Impact Summary'!H$25</f>
        <v>8204.9829596399431</v>
      </c>
      <c r="Q183" s="320">
        <f>$D183*'MWh Impact Summary'!I$25</f>
        <v>723.52054080299581</v>
      </c>
      <c r="R183" s="304">
        <f>$M183*'MWh Impact Summary'!J$25</f>
        <v>37762.580299838621</v>
      </c>
      <c r="S183" s="304">
        <f>$M183*'MWh Impact Summary'!K$25</f>
        <v>16753.764299014165</v>
      </c>
      <c r="T183" s="304">
        <f>$M183*'MWh Impact Summary'!L$25</f>
        <v>5928.5410552675439</v>
      </c>
      <c r="U183" s="304">
        <f>$M183*'MWh Impact Summary'!M$25</f>
        <v>19216.761900160702</v>
      </c>
      <c r="V183" s="304">
        <f>$M183*'LED Impact Forecast'!$H$26+$D183*'LED Impact Forecast'!$J$26</f>
        <v>56771.707064419483</v>
      </c>
      <c r="W183" s="304">
        <f>$M183*'CFL Impact Forecast'!$H$26+$D183*'CFL Impact Forecast'!$J$26</f>
        <v>304465.4119696517</v>
      </c>
      <c r="X183" s="304">
        <f>$M183*'EISA Incand Impact Forecast'!$G$26+$D183*'EISA Incand Impact Forecast'!$I$26</f>
        <v>111016.16618208901</v>
      </c>
      <c r="Y183" s="85">
        <f t="shared" si="67"/>
        <v>689797.98932435305</v>
      </c>
      <c r="Z183" s="81">
        <f t="shared" si="68"/>
        <v>958272.48644792987</v>
      </c>
      <c r="AA183" s="81"/>
      <c r="AB183" s="262">
        <f>+'MWh by mo-WgtbyActulCDH&amp;Days'!AB183</f>
        <v>5083645.8651113315</v>
      </c>
      <c r="AC183" s="308">
        <f t="shared" si="76"/>
        <v>188.50103092831068</v>
      </c>
      <c r="AD183" s="309">
        <f t="shared" si="69"/>
        <v>52.811408238739958</v>
      </c>
      <c r="AE183" s="107">
        <f t="shared" si="70"/>
        <v>4.0160766721475255E-3</v>
      </c>
      <c r="AF183" s="309">
        <f t="shared" si="77"/>
        <v>135.68962268957077</v>
      </c>
      <c r="AG183" s="107">
        <f t="shared" si="71"/>
        <v>1.0318602485898918E-2</v>
      </c>
      <c r="AH183" s="119">
        <f t="shared" si="78"/>
        <v>1.4334679158046443E-2</v>
      </c>
      <c r="AI183" s="122">
        <f t="shared" si="72"/>
        <v>1.433467915804644E-2</v>
      </c>
      <c r="AJ183" s="87" t="b">
        <f t="shared" si="79"/>
        <v>1</v>
      </c>
      <c r="AK183" s="88">
        <f t="shared" si="83"/>
        <v>1.0055624947667863E-3</v>
      </c>
      <c r="AL183" s="312">
        <f>+AC183/'MWh by month-WgtbyCDH&amp;DayLtHrs'!AC183-1</f>
        <v>-8.9477511621269934E-2</v>
      </c>
      <c r="AM183" s="89">
        <f t="shared" si="73"/>
        <v>304465.4119696517</v>
      </c>
      <c r="AN183" s="93"/>
      <c r="AO183" s="96">
        <f t="shared" si="87"/>
        <v>59.891152933994533</v>
      </c>
      <c r="AP183" s="92">
        <f t="shared" si="86"/>
        <v>4.5544602991630821E-3</v>
      </c>
      <c r="AR183" s="94">
        <f t="shared" si="74"/>
        <v>1.433467915804644E-2</v>
      </c>
      <c r="AS183" s="95">
        <v>948328.38809993269</v>
      </c>
      <c r="AU183" s="141">
        <v>188.50103092831068</v>
      </c>
    </row>
    <row r="184" spans="1:47">
      <c r="A184" s="78">
        <v>2019</v>
      </c>
      <c r="B184" s="78">
        <v>12</v>
      </c>
      <c r="C184" s="317">
        <f t="shared" si="81"/>
        <v>0</v>
      </c>
      <c r="D184" s="324">
        <f t="shared" si="80"/>
        <v>0</v>
      </c>
      <c r="E184" s="321">
        <f>$D184*'MWh Impact Summary'!B$25</f>
        <v>0</v>
      </c>
      <c r="F184" s="319">
        <f>$D184*'MWh Impact Summary'!N$25</f>
        <v>0</v>
      </c>
      <c r="G184" s="319">
        <f>$D184*'MWh Impact Summary'!C$25</f>
        <v>0</v>
      </c>
      <c r="H184" s="319">
        <f>$D184*'MWh Impact Summary'!D$25</f>
        <v>0</v>
      </c>
      <c r="I184" s="319">
        <f>$D184*'MWh Impact Summary'!E$25</f>
        <v>0</v>
      </c>
      <c r="J184" s="104">
        <f t="shared" si="75"/>
        <v>0</v>
      </c>
      <c r="K184" s="298">
        <f t="shared" si="82"/>
        <v>13.483333333333333</v>
      </c>
      <c r="L184" s="300">
        <f t="shared" si="89"/>
        <v>9.491962923853102E-2</v>
      </c>
      <c r="M184" s="297">
        <f t="shared" si="88"/>
        <v>8.4931506849315067E-2</v>
      </c>
      <c r="N184" s="304">
        <f>$M184*'MWh Impact Summary'!F$25</f>
        <v>124811.28459773332</v>
      </c>
      <c r="O184" s="304">
        <f>$M184*'MWh Impact Summary'!G$25</f>
        <v>8441.7535575178408</v>
      </c>
      <c r="P184" s="304">
        <f>$M184*'MWh Impact Summary'!H$25</f>
        <v>8478.4823916279402</v>
      </c>
      <c r="Q184" s="320">
        <f>$D184*'MWh Impact Summary'!I$25</f>
        <v>0</v>
      </c>
      <c r="R184" s="304">
        <f>$M184*'MWh Impact Summary'!J$25</f>
        <v>39021.332976499914</v>
      </c>
      <c r="S184" s="304">
        <f>$M184*'MWh Impact Summary'!K$25</f>
        <v>17312.223108981307</v>
      </c>
      <c r="T184" s="304">
        <f>$M184*'MWh Impact Summary'!L$25</f>
        <v>6126.1590904431287</v>
      </c>
      <c r="U184" s="304">
        <f>$M184*'MWh Impact Summary'!M$25</f>
        <v>19857.320630166058</v>
      </c>
      <c r="V184" s="304">
        <f>$M184*'LED Impact Forecast'!$H$26+$D184*'LED Impact Forecast'!$J$26</f>
        <v>54456.817991202217</v>
      </c>
      <c r="W184" s="304">
        <f>$M184*'CFL Impact Forecast'!$H$26+$D184*'CFL Impact Forecast'!$J$26</f>
        <v>288562.55197303335</v>
      </c>
      <c r="X184" s="304">
        <f>$M184*'EISA Incand Impact Forecast'!$G$26+$D184*'EISA Incand Impact Forecast'!$I$26</f>
        <v>104495.36096851274</v>
      </c>
      <c r="Y184" s="85">
        <f t="shared" si="67"/>
        <v>671563.28728571779</v>
      </c>
      <c r="Z184" s="81">
        <f t="shared" si="68"/>
        <v>671563.28728571779</v>
      </c>
      <c r="AA184" s="81">
        <f>SUM(Z173:Z184)</f>
        <v>15004169.846163055</v>
      </c>
      <c r="AB184" s="262">
        <f>+'MWh by mo-WgtbyActulCDH&amp;Days'!AB184</f>
        <v>5089162.3387235999</v>
      </c>
      <c r="AC184" s="308">
        <f t="shared" si="76"/>
        <v>131.95949403613463</v>
      </c>
      <c r="AD184" s="309">
        <f t="shared" si="69"/>
        <v>0</v>
      </c>
      <c r="AE184" s="107">
        <f t="shared" si="70"/>
        <v>0</v>
      </c>
      <c r="AF184" s="309">
        <f t="shared" si="77"/>
        <v>131.95949403613463</v>
      </c>
      <c r="AG184" s="107">
        <f t="shared" si="71"/>
        <v>9.7868598790705544E-3</v>
      </c>
      <c r="AH184" s="119">
        <f t="shared" si="78"/>
        <v>9.7868598790705544E-3</v>
      </c>
      <c r="AI184" s="122">
        <f t="shared" si="72"/>
        <v>9.7868598790705544E-3</v>
      </c>
      <c r="AJ184" s="87" t="b">
        <f t="shared" si="79"/>
        <v>1</v>
      </c>
      <c r="AK184" s="88">
        <f t="shared" si="83"/>
        <v>6.8515354753194424E-4</v>
      </c>
      <c r="AL184" s="312">
        <f>+AC184/'MWh by month-WgtbyCDH&amp;DayLtHrs'!AC184-1</f>
        <v>-0.29979631648372496</v>
      </c>
      <c r="AM184" s="89">
        <f t="shared" si="73"/>
        <v>288562.55197303335</v>
      </c>
      <c r="AN184" s="90">
        <f>SUM(AM173:AM184)</f>
        <v>3977818.6318824305</v>
      </c>
      <c r="AO184" s="96">
        <f t="shared" si="87"/>
        <v>56.701384779446244</v>
      </c>
      <c r="AP184" s="92">
        <f t="shared" si="86"/>
        <v>4.2052942976103522E-3</v>
      </c>
      <c r="AR184" s="94">
        <f t="shared" si="74"/>
        <v>9.7868598790705544E-3</v>
      </c>
      <c r="AS184" s="95">
        <v>781088.61044894578</v>
      </c>
      <c r="AU184" s="141">
        <v>131.95949403613463</v>
      </c>
    </row>
    <row r="185" spans="1:47">
      <c r="A185" s="78">
        <v>2020</v>
      </c>
      <c r="B185" s="78">
        <v>1</v>
      </c>
      <c r="C185" s="317">
        <f t="shared" si="81"/>
        <v>0</v>
      </c>
      <c r="D185" s="324">
        <f t="shared" si="80"/>
        <v>0</v>
      </c>
      <c r="E185" s="321">
        <f>$D185*'MWh Impact Summary'!B$26</f>
        <v>0</v>
      </c>
      <c r="F185" s="319">
        <f>$D185*'MWh Impact Summary'!N$26</f>
        <v>0</v>
      </c>
      <c r="G185" s="319">
        <f>$D185*'MWh Impact Summary'!C$26</f>
        <v>0</v>
      </c>
      <c r="H185" s="319">
        <f>$D185*'MWh Impact Summary'!D$26</f>
        <v>0</v>
      </c>
      <c r="I185" s="319">
        <f>$D185*'MWh Impact Summary'!E$26</f>
        <v>0</v>
      </c>
      <c r="J185" s="104">
        <f t="shared" si="75"/>
        <v>0</v>
      </c>
      <c r="K185" s="298">
        <f t="shared" si="82"/>
        <v>13.3</v>
      </c>
      <c r="L185" s="300">
        <f t="shared" si="89"/>
        <v>9.3629003871876101E-2</v>
      </c>
      <c r="M185" s="297">
        <f>(31/366)</f>
        <v>8.4699453551912565E-2</v>
      </c>
      <c r="N185" s="304">
        <f>$M185*'MWh Impact Summary'!F$26</f>
        <v>135198.70467387207</v>
      </c>
      <c r="O185" s="304">
        <f>$M185*'MWh Impact Summary'!G$26</f>
        <v>11832.778480380553</v>
      </c>
      <c r="P185" s="304">
        <f>$M185*'MWh Impact Summary'!H$26</f>
        <v>8983.346128978561</v>
      </c>
      <c r="Q185" s="320">
        <f>$D185*'MWh Impact Summary'!I$26</f>
        <v>0</v>
      </c>
      <c r="R185" s="304">
        <f>$M185*'MWh Impact Summary'!J$26</f>
        <v>43191.327555275435</v>
      </c>
      <c r="S185" s="304">
        <f>$M185*'MWh Impact Summary'!K$26</f>
        <v>21220.974320283272</v>
      </c>
      <c r="T185" s="304">
        <f>$M185*'MWh Impact Summary'!L$26</f>
        <v>7373.9351174237272</v>
      </c>
      <c r="U185" s="304">
        <f>$M185*'MWh Impact Summary'!M$26</f>
        <v>23506.805879038871</v>
      </c>
      <c r="V185" s="304">
        <f>$M185*'LED Impact Forecast'!$H$27+$D185*'LED Impact Forecast'!$J$27</f>
        <v>76018.151558175028</v>
      </c>
      <c r="W185" s="304">
        <f>$M185*'CFL Impact Forecast'!$H$27+$D185*'CFL Impact Forecast'!$J$27</f>
        <v>294058.20465354598</v>
      </c>
      <c r="X185" s="304">
        <f>$M185*'EISA Incand Impact Forecast'!$G$27+$D185*'EISA Incand Impact Forecast'!$I$27</f>
        <v>104788.38708059138</v>
      </c>
      <c r="Y185" s="85">
        <f t="shared" si="67"/>
        <v>726172.61544756498</v>
      </c>
      <c r="Z185" s="81">
        <f t="shared" si="68"/>
        <v>726172.61544756498</v>
      </c>
      <c r="AA185" s="81"/>
      <c r="AB185" s="262">
        <f>+'MWh by mo-WgtbyActulCDH&amp;Days'!AB185</f>
        <v>5094859.9289051732</v>
      </c>
      <c r="AC185" s="308">
        <f t="shared" si="76"/>
        <v>142.53043765299572</v>
      </c>
      <c r="AD185" s="309">
        <f t="shared" si="69"/>
        <v>0</v>
      </c>
      <c r="AE185" s="107">
        <f t="shared" si="70"/>
        <v>0</v>
      </c>
      <c r="AF185" s="309">
        <f t="shared" si="77"/>
        <v>142.53043765299572</v>
      </c>
      <c r="AG185" s="107">
        <f t="shared" si="71"/>
        <v>1.0716574259623737E-2</v>
      </c>
      <c r="AH185" s="119">
        <f t="shared" si="78"/>
        <v>1.0716574259623737E-2</v>
      </c>
      <c r="AI185" s="122">
        <f t="shared" si="72"/>
        <v>1.0716574259623737E-2</v>
      </c>
      <c r="AJ185" s="87" t="b">
        <f t="shared" si="79"/>
        <v>1</v>
      </c>
      <c r="AK185" s="88">
        <f t="shared" si="83"/>
        <v>6.7480469808789412E-4</v>
      </c>
      <c r="AL185" s="312">
        <f>+AC185/'MWh by month-WgtbyCDH&amp;DayLtHrs'!AC185-1</f>
        <v>-0.25067551132654942</v>
      </c>
      <c r="AM185" s="89">
        <f t="shared" si="73"/>
        <v>294058.20465354598</v>
      </c>
      <c r="AN185" s="93"/>
      <c r="AO185" s="96">
        <f t="shared" si="87"/>
        <v>57.716641626443241</v>
      </c>
      <c r="AP185" s="92">
        <f t="shared" si="86"/>
        <v>4.3395971147701679E-3</v>
      </c>
      <c r="AR185" s="94">
        <f t="shared" si="74"/>
        <v>1.0716574259623737E-2</v>
      </c>
      <c r="AS185" s="95">
        <v>791250.87450248061</v>
      </c>
      <c r="AU185" s="141">
        <v>142.53043765299572</v>
      </c>
    </row>
    <row r="186" spans="1:47">
      <c r="A186" s="78">
        <v>2020</v>
      </c>
      <c r="B186" s="78">
        <v>2</v>
      </c>
      <c r="C186" s="317">
        <f t="shared" si="81"/>
        <v>0</v>
      </c>
      <c r="D186" s="324">
        <f t="shared" si="80"/>
        <v>0</v>
      </c>
      <c r="E186" s="321">
        <f>$D186*'MWh Impact Summary'!B$26</f>
        <v>0</v>
      </c>
      <c r="F186" s="319">
        <f>$D186*'MWh Impact Summary'!N$26</f>
        <v>0</v>
      </c>
      <c r="G186" s="319">
        <f>$D186*'MWh Impact Summary'!C$26</f>
        <v>0</v>
      </c>
      <c r="H186" s="319">
        <f>$D186*'MWh Impact Summary'!D$26</f>
        <v>0</v>
      </c>
      <c r="I186" s="319">
        <f>$D186*'MWh Impact Summary'!E$26</f>
        <v>0</v>
      </c>
      <c r="J186" s="104">
        <f t="shared" si="75"/>
        <v>0</v>
      </c>
      <c r="K186" s="298">
        <f t="shared" si="82"/>
        <v>12.733333333333333</v>
      </c>
      <c r="L186" s="300">
        <f t="shared" si="89"/>
        <v>8.9639798193124468E-2</v>
      </c>
      <c r="M186" s="297">
        <f>(29/366)</f>
        <v>7.9234972677595633E-2</v>
      </c>
      <c r="N186" s="304">
        <f>$M186*'MWh Impact Summary'!F$26</f>
        <v>126476.20759813841</v>
      </c>
      <c r="O186" s="304">
        <f>$M186*'MWh Impact Summary'!G$26</f>
        <v>11069.373417130197</v>
      </c>
      <c r="P186" s="304">
        <f>$M186*'MWh Impact Summary'!H$26</f>
        <v>8403.7754109799462</v>
      </c>
      <c r="Q186" s="320">
        <f>$D186*'MWh Impact Summary'!I$26</f>
        <v>0</v>
      </c>
      <c r="R186" s="304">
        <f>$M186*'MWh Impact Summary'!J$26</f>
        <v>40404.790293644764</v>
      </c>
      <c r="S186" s="304">
        <f>$M186*'MWh Impact Summary'!K$26</f>
        <v>19851.879202845645</v>
      </c>
      <c r="T186" s="304">
        <f>$M186*'MWh Impact Summary'!L$26</f>
        <v>6898.1973679125194</v>
      </c>
      <c r="U186" s="304">
        <f>$M186*'MWh Impact Summary'!M$26</f>
        <v>21990.237757810559</v>
      </c>
      <c r="V186" s="304">
        <f>$M186*'LED Impact Forecast'!$H$27+$D186*'LED Impact Forecast'!$J$27</f>
        <v>71113.75468345407</v>
      </c>
      <c r="W186" s="304">
        <f>$M186*'CFL Impact Forecast'!$H$27+$D186*'CFL Impact Forecast'!$J$27</f>
        <v>275086.70757912367</v>
      </c>
      <c r="X186" s="304">
        <f>$M186*'EISA Incand Impact Forecast'!$G$27+$D186*'EISA Incand Impact Forecast'!$I$27</f>
        <v>98027.845978617755</v>
      </c>
      <c r="Y186" s="85">
        <f t="shared" si="67"/>
        <v>679322.76928965759</v>
      </c>
      <c r="Z186" s="81">
        <f t="shared" si="68"/>
        <v>679322.76928965759</v>
      </c>
      <c r="AA186" s="81"/>
      <c r="AB186" s="262">
        <f>+'MWh by mo-WgtbyActulCDH&amp;Days'!AB186</f>
        <v>5100381.4721688107</v>
      </c>
      <c r="AC186" s="308">
        <f t="shared" si="76"/>
        <v>133.19058054706494</v>
      </c>
      <c r="AD186" s="309">
        <f t="shared" si="69"/>
        <v>0</v>
      </c>
      <c r="AE186" s="107">
        <f t="shared" si="70"/>
        <v>0</v>
      </c>
      <c r="AF186" s="309">
        <f t="shared" si="77"/>
        <v>133.19058054706494</v>
      </c>
      <c r="AG186" s="107">
        <f t="shared" si="71"/>
        <v>1.0459993236680494E-2</v>
      </c>
      <c r="AH186" s="119">
        <f t="shared" si="78"/>
        <v>1.0459993236680494E-2</v>
      </c>
      <c r="AI186" s="122">
        <f t="shared" si="72"/>
        <v>1.0459993236680494E-2</v>
      </c>
      <c r="AJ186" s="87" t="b">
        <f t="shared" si="79"/>
        <v>1</v>
      </c>
      <c r="AK186" s="88">
        <f t="shared" si="83"/>
        <v>9.9698576213884567E-4</v>
      </c>
      <c r="AL186" s="312">
        <f>+AC186/'MWh by month-WgtbyCDH&amp;DayLtHrs'!AC186-1</f>
        <v>-0.29674463028585751</v>
      </c>
      <c r="AM186" s="89">
        <f t="shared" si="73"/>
        <v>275086.70757912367</v>
      </c>
      <c r="AN186" s="93"/>
      <c r="AO186" s="96">
        <f t="shared" si="87"/>
        <v>53.93453589308681</v>
      </c>
      <c r="AP186" s="92">
        <f t="shared" si="86"/>
        <v>4.2356965361062945E-3</v>
      </c>
      <c r="AR186" s="94">
        <f t="shared" si="74"/>
        <v>1.0459993236680494E-2</v>
      </c>
      <c r="AS186" s="95">
        <v>757160.94458751928</v>
      </c>
      <c r="AU186" s="141">
        <v>133.19058054706494</v>
      </c>
    </row>
    <row r="187" spans="1:47">
      <c r="A187" s="78">
        <v>2020</v>
      </c>
      <c r="B187" s="78">
        <v>3</v>
      </c>
      <c r="C187" s="317">
        <f t="shared" si="81"/>
        <v>0</v>
      </c>
      <c r="D187" s="324">
        <f t="shared" si="80"/>
        <v>0</v>
      </c>
      <c r="E187" s="321">
        <f>$D187*'MWh Impact Summary'!B$26</f>
        <v>0</v>
      </c>
      <c r="F187" s="319">
        <f>$D187*'MWh Impact Summary'!N$26</f>
        <v>0</v>
      </c>
      <c r="G187" s="319">
        <f>$D187*'MWh Impact Summary'!C$26</f>
        <v>0</v>
      </c>
      <c r="H187" s="319">
        <f>$D187*'MWh Impact Summary'!D$26</f>
        <v>0</v>
      </c>
      <c r="I187" s="319">
        <f>$D187*'MWh Impact Summary'!E$26</f>
        <v>0</v>
      </c>
      <c r="J187" s="104">
        <f t="shared" si="75"/>
        <v>0</v>
      </c>
      <c r="K187" s="298">
        <f t="shared" si="82"/>
        <v>12</v>
      </c>
      <c r="L187" s="300">
        <f t="shared" si="89"/>
        <v>8.4477296726504739E-2</v>
      </c>
      <c r="M187" s="297">
        <f>(31/366)</f>
        <v>8.4699453551912565E-2</v>
      </c>
      <c r="N187" s="304">
        <f>$M187*'MWh Impact Summary'!F$26</f>
        <v>135198.70467387207</v>
      </c>
      <c r="O187" s="304">
        <f>$M187*'MWh Impact Summary'!G$26</f>
        <v>11832.778480380553</v>
      </c>
      <c r="P187" s="304">
        <f>$M187*'MWh Impact Summary'!H$26</f>
        <v>8983.346128978561</v>
      </c>
      <c r="Q187" s="320">
        <f>$D187*'MWh Impact Summary'!I$26</f>
        <v>0</v>
      </c>
      <c r="R187" s="304">
        <f>$M187*'MWh Impact Summary'!J$26</f>
        <v>43191.327555275435</v>
      </c>
      <c r="S187" s="304">
        <f>$M187*'MWh Impact Summary'!K$26</f>
        <v>21220.974320283272</v>
      </c>
      <c r="T187" s="304">
        <f>$M187*'MWh Impact Summary'!L$26</f>
        <v>7373.9351174237272</v>
      </c>
      <c r="U187" s="304">
        <f>$M187*'MWh Impact Summary'!M$26</f>
        <v>23506.805879038871</v>
      </c>
      <c r="V187" s="304">
        <f>$M187*'LED Impact Forecast'!$H$27+$D187*'LED Impact Forecast'!$J$27</f>
        <v>76018.151558175028</v>
      </c>
      <c r="W187" s="304">
        <f>$M187*'CFL Impact Forecast'!$H$27+$D187*'CFL Impact Forecast'!$J$27</f>
        <v>294058.20465354598</v>
      </c>
      <c r="X187" s="304">
        <f>$M187*'EISA Incand Impact Forecast'!$G$27+$D187*'EISA Incand Impact Forecast'!$I$27</f>
        <v>104788.38708059138</v>
      </c>
      <c r="Y187" s="85">
        <f t="shared" si="67"/>
        <v>726172.61544756498</v>
      </c>
      <c r="Z187" s="81">
        <f t="shared" si="68"/>
        <v>726172.61544756498</v>
      </c>
      <c r="AA187" s="81"/>
      <c r="AB187" s="262">
        <f>+'MWh by mo-WgtbyActulCDH&amp;Days'!AB187</f>
        <v>5106049.1589007676</v>
      </c>
      <c r="AC187" s="308">
        <f t="shared" si="76"/>
        <v>142.21810108931575</v>
      </c>
      <c r="AD187" s="309">
        <f t="shared" si="69"/>
        <v>0</v>
      </c>
      <c r="AE187" s="107">
        <f t="shared" si="70"/>
        <v>0</v>
      </c>
      <c r="AF187" s="309">
        <f t="shared" si="77"/>
        <v>142.21810108931575</v>
      </c>
      <c r="AG187" s="107">
        <f t="shared" si="71"/>
        <v>1.1851508424109645E-2</v>
      </c>
      <c r="AH187" s="119">
        <f t="shared" si="78"/>
        <v>1.1851508424109645E-2</v>
      </c>
      <c r="AI187" s="122">
        <f t="shared" si="72"/>
        <v>1.1851508424109645E-2</v>
      </c>
      <c r="AJ187" s="87" t="b">
        <f t="shared" si="79"/>
        <v>1</v>
      </c>
      <c r="AK187" s="88">
        <f t="shared" si="83"/>
        <v>7.4726489286223476E-4</v>
      </c>
      <c r="AL187" s="312">
        <f>+AC187/'MWh by month-WgtbyCDH&amp;DayLtHrs'!AC187-1</f>
        <v>-0.28967217566523928</v>
      </c>
      <c r="AM187" s="89">
        <f t="shared" si="73"/>
        <v>294058.20465354598</v>
      </c>
      <c r="AN187" s="93"/>
      <c r="AO187" s="96">
        <f t="shared" si="87"/>
        <v>57.590163255860809</v>
      </c>
      <c r="AP187" s="92">
        <f t="shared" si="86"/>
        <v>4.7991802713217334E-3</v>
      </c>
      <c r="AR187" s="94">
        <f t="shared" si="74"/>
        <v>1.1851508424109645E-2</v>
      </c>
      <c r="AS187" s="95">
        <v>884832.37801699457</v>
      </c>
      <c r="AU187" s="141">
        <v>142.21810108931575</v>
      </c>
    </row>
    <row r="188" spans="1:47">
      <c r="A188" s="78">
        <v>2020</v>
      </c>
      <c r="B188" s="78">
        <v>4</v>
      </c>
      <c r="C188" s="317">
        <f t="shared" si="81"/>
        <v>114.03392869270741</v>
      </c>
      <c r="D188" s="324">
        <f t="shared" si="80"/>
        <v>6.3428519090031305E-2</v>
      </c>
      <c r="E188" s="321">
        <f>$D188*'MWh Impact Summary'!B$26</f>
        <v>197453.98094745222</v>
      </c>
      <c r="F188" s="319">
        <f>$D188*'MWh Impact Summary'!N$26</f>
        <v>24025.232592390472</v>
      </c>
      <c r="G188" s="319">
        <f>$D188*'MWh Impact Summary'!C$26</f>
        <v>143476.69406605067</v>
      </c>
      <c r="H188" s="319">
        <f>$D188*'MWh Impact Summary'!D$26</f>
        <v>579.34086288023479</v>
      </c>
      <c r="I188" s="319">
        <f>$D188*'MWh Impact Summary'!E$26</f>
        <v>53264.174712343993</v>
      </c>
      <c r="J188" s="104">
        <f t="shared" si="75"/>
        <v>418799.42318111757</v>
      </c>
      <c r="K188" s="298">
        <f t="shared" si="82"/>
        <v>11.2</v>
      </c>
      <c r="L188" s="300">
        <f t="shared" si="89"/>
        <v>7.8845476944737758E-2</v>
      </c>
      <c r="M188" s="297">
        <f>(30/366)</f>
        <v>8.1967213114754092E-2</v>
      </c>
      <c r="N188" s="304">
        <f>$M188*'MWh Impact Summary'!F$26</f>
        <v>130837.45613600523</v>
      </c>
      <c r="O188" s="304">
        <f>$M188*'MWh Impact Summary'!G$26</f>
        <v>11451.075948755373</v>
      </c>
      <c r="P188" s="304">
        <f>$M188*'MWh Impact Summary'!H$26</f>
        <v>8693.5607699792527</v>
      </c>
      <c r="Q188" s="320">
        <f>$D188*'MWh Impact Summary'!I$26</f>
        <v>1125.3337117965732</v>
      </c>
      <c r="R188" s="304">
        <f>$M188*'MWh Impact Summary'!J$26</f>
        <v>41798.058924460092</v>
      </c>
      <c r="S188" s="304">
        <f>$M188*'MWh Impact Summary'!K$26</f>
        <v>20536.426761564457</v>
      </c>
      <c r="T188" s="304">
        <f>$M188*'MWh Impact Summary'!L$26</f>
        <v>7136.0662426681229</v>
      </c>
      <c r="U188" s="304">
        <f>$M188*'MWh Impact Summary'!M$26</f>
        <v>22748.521818424713</v>
      </c>
      <c r="V188" s="304">
        <f>$M188*'LED Impact Forecast'!$H$27+$D188*'LED Impact Forecast'!$J$27</f>
        <v>82272.327833644697</v>
      </c>
      <c r="W188" s="304">
        <f>$M188*'CFL Impact Forecast'!$H$27+$D188*'CFL Impact Forecast'!$J$27</f>
        <v>322224.03138331673</v>
      </c>
      <c r="X188" s="304">
        <f>$M188*'EISA Incand Impact Forecast'!$G$27+$D188*'EISA Incand Impact Forecast'!$I$27</f>
        <v>115939.11042134528</v>
      </c>
      <c r="Y188" s="85">
        <f t="shared" si="67"/>
        <v>764761.96995196049</v>
      </c>
      <c r="Z188" s="81">
        <f t="shared" si="68"/>
        <v>1183561.393133078</v>
      </c>
      <c r="AA188" s="81"/>
      <c r="AB188" s="262">
        <f>+'MWh by mo-WgtbyActulCDH&amp;Days'!AB188</f>
        <v>5111527.3694814648</v>
      </c>
      <c r="AC188" s="308">
        <f t="shared" si="76"/>
        <v>231.54750186794826</v>
      </c>
      <c r="AD188" s="309">
        <f t="shared" si="69"/>
        <v>81.932344856759002</v>
      </c>
      <c r="AE188" s="107">
        <f t="shared" si="70"/>
        <v>7.3153879336391977E-3</v>
      </c>
      <c r="AF188" s="309">
        <f t="shared" si="77"/>
        <v>149.61515701118924</v>
      </c>
      <c r="AG188" s="107">
        <f t="shared" si="71"/>
        <v>1.3358496161713326E-2</v>
      </c>
      <c r="AH188" s="119">
        <f t="shared" si="78"/>
        <v>2.0673884095352524E-2</v>
      </c>
      <c r="AI188" s="122">
        <f t="shared" si="72"/>
        <v>2.0673884095352524E-2</v>
      </c>
      <c r="AJ188" s="87" t="b">
        <f t="shared" si="79"/>
        <v>1</v>
      </c>
      <c r="AK188" s="88">
        <f t="shared" si="83"/>
        <v>1.2068536681675707E-3</v>
      </c>
      <c r="AL188" s="312">
        <f>+AC188/'MWh by month-WgtbyCDH&amp;DayLtHrs'!AC188-1</f>
        <v>3.6745523689149628E-2</v>
      </c>
      <c r="AM188" s="89">
        <f t="shared" si="73"/>
        <v>322224.03138331673</v>
      </c>
      <c r="AN188" s="93"/>
      <c r="AO188" s="96">
        <f t="shared" si="87"/>
        <v>63.038698238644969</v>
      </c>
      <c r="AP188" s="92">
        <f t="shared" si="86"/>
        <v>5.6284551998790153E-3</v>
      </c>
      <c r="AR188" s="94">
        <f t="shared" si="74"/>
        <v>2.0673884095352524E-2</v>
      </c>
      <c r="AS188" s="95">
        <v>1032189.2219764603</v>
      </c>
      <c r="AU188" s="141">
        <v>231.54750186794826</v>
      </c>
    </row>
    <row r="189" spans="1:47">
      <c r="A189" s="78">
        <v>2020</v>
      </c>
      <c r="B189" s="78">
        <v>5</v>
      </c>
      <c r="C189" s="317">
        <f t="shared" si="81"/>
        <v>208.47875842628665</v>
      </c>
      <c r="D189" s="324">
        <f t="shared" si="80"/>
        <v>0.11596109210918912</v>
      </c>
      <c r="E189" s="321">
        <f>$D189*'MWh Impact Summary'!B$26</f>
        <v>360988.70981794945</v>
      </c>
      <c r="F189" s="319">
        <f>$D189*'MWh Impact Summary'!N$26</f>
        <v>43923.336845314152</v>
      </c>
      <c r="G189" s="319">
        <f>$D189*'MWh Impact Summary'!C$26</f>
        <v>262306.52039186744</v>
      </c>
      <c r="H189" s="319">
        <f>$D189*'MWh Impact Summary'!D$26</f>
        <v>1059.1607706891971</v>
      </c>
      <c r="I189" s="319">
        <f>$D189*'MWh Impact Summary'!E$26</f>
        <v>97378.465689399964</v>
      </c>
      <c r="J189" s="104">
        <f t="shared" si="75"/>
        <v>765656.19351522031</v>
      </c>
      <c r="K189" s="298">
        <f t="shared" si="82"/>
        <v>10.533333333333333</v>
      </c>
      <c r="L189" s="300">
        <f t="shared" si="89"/>
        <v>7.4152293793265281E-2</v>
      </c>
      <c r="M189" s="297">
        <f>(31/366)</f>
        <v>8.4699453551912565E-2</v>
      </c>
      <c r="N189" s="304">
        <f>$M189*'MWh Impact Summary'!F$26</f>
        <v>135198.70467387207</v>
      </c>
      <c r="O189" s="304">
        <f>$M189*'MWh Impact Summary'!G$26</f>
        <v>11832.778480380553</v>
      </c>
      <c r="P189" s="304">
        <f>$M189*'MWh Impact Summary'!H$26</f>
        <v>8983.346128978561</v>
      </c>
      <c r="Q189" s="320">
        <f>$D189*'MWh Impact Summary'!I$26</f>
        <v>2057.3541378443947</v>
      </c>
      <c r="R189" s="304">
        <f>$M189*'MWh Impact Summary'!J$26</f>
        <v>43191.327555275435</v>
      </c>
      <c r="S189" s="304">
        <f>$M189*'MWh Impact Summary'!K$26</f>
        <v>21220.974320283272</v>
      </c>
      <c r="T189" s="304">
        <f>$M189*'MWh Impact Summary'!L$26</f>
        <v>7373.9351174237272</v>
      </c>
      <c r="U189" s="304">
        <f>$M189*'MWh Impact Summary'!M$26</f>
        <v>23506.805879038871</v>
      </c>
      <c r="V189" s="304">
        <f>$M189*'LED Impact Forecast'!$H$27+$D189*'LED Impact Forecast'!$J$27</f>
        <v>91935.293160969974</v>
      </c>
      <c r="W189" s="304">
        <f>$M189*'CFL Impact Forecast'!$H$27+$D189*'CFL Impact Forecast'!$J$27</f>
        <v>362893.45179833937</v>
      </c>
      <c r="X189" s="304">
        <f>$M189*'EISA Incand Impact Forecast'!$G$27+$D189*'EISA Incand Impact Forecast'!$I$27</f>
        <v>131354.19604621542</v>
      </c>
      <c r="Y189" s="85">
        <f t="shared" si="67"/>
        <v>839548.16729862173</v>
      </c>
      <c r="Z189" s="81">
        <f t="shared" si="68"/>
        <v>1605204.3608138422</v>
      </c>
      <c r="AA189" s="81"/>
      <c r="AB189" s="262">
        <f>+'MWh by mo-WgtbyActulCDH&amp;Days'!AB189</f>
        <v>5116441.1678385669</v>
      </c>
      <c r="AC189" s="308">
        <f t="shared" si="76"/>
        <v>313.73454871405437</v>
      </c>
      <c r="AD189" s="309">
        <f t="shared" si="69"/>
        <v>149.64624206529686</v>
      </c>
      <c r="AE189" s="107">
        <f t="shared" si="70"/>
        <v>1.420692171505983E-2</v>
      </c>
      <c r="AF189" s="309">
        <f t="shared" si="77"/>
        <v>164.08830664875751</v>
      </c>
      <c r="AG189" s="107">
        <f t="shared" si="71"/>
        <v>1.5578003795768118E-2</v>
      </c>
      <c r="AH189" s="119">
        <f t="shared" si="78"/>
        <v>2.9784925510827946E-2</v>
      </c>
      <c r="AI189" s="122">
        <f t="shared" si="72"/>
        <v>2.9784925510827946E-2</v>
      </c>
      <c r="AJ189" s="87" t="b">
        <f t="shared" si="79"/>
        <v>1</v>
      </c>
      <c r="AK189" s="88">
        <f t="shared" si="83"/>
        <v>1.6921597614564313E-3</v>
      </c>
      <c r="AL189" s="312">
        <f>+AC189/'MWh by month-WgtbyCDH&amp;DayLtHrs'!AC189-1</f>
        <v>0.13058296865699459</v>
      </c>
      <c r="AM189" s="89">
        <f t="shared" si="73"/>
        <v>362893.45179833937</v>
      </c>
      <c r="AN189" s="93"/>
      <c r="AO189" s="96">
        <f t="shared" si="87"/>
        <v>70.926927505675422</v>
      </c>
      <c r="AP189" s="92">
        <f t="shared" si="86"/>
        <v>6.7335690669945028E-3</v>
      </c>
      <c r="AR189" s="94">
        <f t="shared" si="74"/>
        <v>2.9784925510827946E-2</v>
      </c>
      <c r="AS189" s="95">
        <v>1231330.71450657</v>
      </c>
      <c r="AU189" s="141">
        <v>313.73454871405437</v>
      </c>
    </row>
    <row r="190" spans="1:47">
      <c r="A190" s="78">
        <v>2020</v>
      </c>
      <c r="B190" s="78">
        <v>6</v>
      </c>
      <c r="C190" s="317">
        <f t="shared" si="81"/>
        <v>271.66325293295364</v>
      </c>
      <c r="D190" s="324">
        <f t="shared" si="80"/>
        <v>0.15110588596093688</v>
      </c>
      <c r="E190" s="321">
        <f>$D190*'MWh Impact Summary'!B$26</f>
        <v>470395.00772875437</v>
      </c>
      <c r="F190" s="319">
        <f>$D190*'MWh Impact Summary'!N$26</f>
        <v>57235.358926443871</v>
      </c>
      <c r="G190" s="319">
        <f>$D190*'MWh Impact Summary'!C$26</f>
        <v>341804.8108741708</v>
      </c>
      <c r="H190" s="319">
        <f>$D190*'MWh Impact Summary'!D$26</f>
        <v>1380.1648787453714</v>
      </c>
      <c r="I190" s="319">
        <f>$D190*'MWh Impact Summary'!E$26</f>
        <v>126891.34832964768</v>
      </c>
      <c r="J190" s="104">
        <f t="shared" si="75"/>
        <v>997706.69073776202</v>
      </c>
      <c r="K190" s="298">
        <f t="shared" si="82"/>
        <v>10.199999999999999</v>
      </c>
      <c r="L190" s="300">
        <f t="shared" si="89"/>
        <v>7.1805702217529022E-2</v>
      </c>
      <c r="M190" s="297">
        <f>(30/366)</f>
        <v>8.1967213114754092E-2</v>
      </c>
      <c r="N190" s="304">
        <f>$M190*'MWh Impact Summary'!F$26</f>
        <v>130837.45613600523</v>
      </c>
      <c r="O190" s="304">
        <f>$M190*'MWh Impact Summary'!G$26</f>
        <v>11451.075948755373</v>
      </c>
      <c r="P190" s="304">
        <f>$M190*'MWh Impact Summary'!H$26</f>
        <v>8693.5607699792527</v>
      </c>
      <c r="Q190" s="320">
        <f>$D190*'MWh Impact Summary'!I$26</f>
        <v>2680.8847181402302</v>
      </c>
      <c r="R190" s="304">
        <f>$M190*'MWh Impact Summary'!J$26</f>
        <v>41798.058924460092</v>
      </c>
      <c r="S190" s="304">
        <f>$M190*'MWh Impact Summary'!K$26</f>
        <v>20536.426761564457</v>
      </c>
      <c r="T190" s="304">
        <f>$M190*'MWh Impact Summary'!L$26</f>
        <v>7136.0662426681229</v>
      </c>
      <c r="U190" s="304">
        <f>$M190*'MWh Impact Summary'!M$26</f>
        <v>22748.521818424713</v>
      </c>
      <c r="V190" s="304">
        <f>$M190*'LED Impact Forecast'!$H$27+$D190*'LED Impact Forecast'!$J$27</f>
        <v>94307.166747806798</v>
      </c>
      <c r="W190" s="304">
        <f>$M190*'CFL Impact Forecast'!$H$27+$D190*'CFL Impact Forecast'!$J$27</f>
        <v>374269.87803574966</v>
      </c>
      <c r="X190" s="304">
        <f>$M190*'EISA Incand Impact Forecast'!$G$27+$D190*'EISA Incand Impact Forecast'!$I$27</f>
        <v>136025.33189904763</v>
      </c>
      <c r="Y190" s="85">
        <f t="shared" si="67"/>
        <v>850484.42800260149</v>
      </c>
      <c r="Z190" s="81">
        <f t="shared" si="68"/>
        <v>1848191.1187403635</v>
      </c>
      <c r="AA190" s="81"/>
      <c r="AB190" s="262">
        <f>+'MWh by mo-WgtbyActulCDH&amp;Days'!AB190</f>
        <v>5121360.7767743841</v>
      </c>
      <c r="AC190" s="308">
        <f t="shared" si="76"/>
        <v>360.87891466697653</v>
      </c>
      <c r="AD190" s="309">
        <f t="shared" si="69"/>
        <v>194.81281132592915</v>
      </c>
      <c r="AE190" s="107">
        <f t="shared" si="70"/>
        <v>1.9099295228032272E-2</v>
      </c>
      <c r="AF190" s="309">
        <f t="shared" si="77"/>
        <v>166.06610334104738</v>
      </c>
      <c r="AG190" s="107">
        <f t="shared" si="71"/>
        <v>1.6280990523632098E-2</v>
      </c>
      <c r="AH190" s="119">
        <f t="shared" si="78"/>
        <v>3.5380285751664367E-2</v>
      </c>
      <c r="AI190" s="122">
        <f t="shared" si="72"/>
        <v>3.5380285751664367E-2</v>
      </c>
      <c r="AJ190" s="87" t="b">
        <f t="shared" si="79"/>
        <v>1</v>
      </c>
      <c r="AK190" s="88">
        <f t="shared" si="83"/>
        <v>1.9831493092219432E-3</v>
      </c>
      <c r="AL190" s="312">
        <f>+AC190/'MWh by month-WgtbyCDH&amp;DayLtHrs'!AC190-1</f>
        <v>0.14616534945649251</v>
      </c>
      <c r="AM190" s="89">
        <f t="shared" si="73"/>
        <v>374269.87803574966</v>
      </c>
      <c r="AN190" s="93"/>
      <c r="AO190" s="96">
        <f t="shared" si="87"/>
        <v>73.080162548415146</v>
      </c>
      <c r="AP190" s="92">
        <f t="shared" si="86"/>
        <v>7.1647218184720737E-3</v>
      </c>
      <c r="AR190" s="94">
        <f t="shared" si="74"/>
        <v>3.5380285751664367E-2</v>
      </c>
      <c r="AS190" s="95">
        <v>1495581.1010643367</v>
      </c>
      <c r="AU190" s="141">
        <v>360.87891466697653</v>
      </c>
    </row>
    <row r="191" spans="1:47">
      <c r="A191" s="78">
        <v>2020</v>
      </c>
      <c r="B191" s="78">
        <v>7</v>
      </c>
      <c r="C191" s="317">
        <f t="shared" si="81"/>
        <v>322.31916585708109</v>
      </c>
      <c r="D191" s="324">
        <f t="shared" si="80"/>
        <v>0.17928196984022934</v>
      </c>
      <c r="E191" s="321">
        <f>$D191*'MWh Impact Summary'!B$26</f>
        <v>558107.60151608125</v>
      </c>
      <c r="F191" s="319">
        <f>$D191*'MWh Impact Summary'!N$26</f>
        <v>67907.797420267947</v>
      </c>
      <c r="G191" s="319">
        <f>$D191*'MWh Impact Summary'!C$26</f>
        <v>405539.72735535947</v>
      </c>
      <c r="H191" s="319">
        <f>$D191*'MWh Impact Summary'!D$26</f>
        <v>1637.518463243305</v>
      </c>
      <c r="I191" s="319">
        <f>$D191*'MWh Impact Summary'!E$26</f>
        <v>150552.2484418838</v>
      </c>
      <c r="J191" s="104">
        <f t="shared" si="75"/>
        <v>1183744.8931968356</v>
      </c>
      <c r="K191" s="298">
        <f t="shared" si="82"/>
        <v>10.366666666666667</v>
      </c>
      <c r="L191" s="300">
        <f t="shared" si="89"/>
        <v>7.2978998005397158E-2</v>
      </c>
      <c r="M191" s="297">
        <f>(31/366)</f>
        <v>8.4699453551912565E-2</v>
      </c>
      <c r="N191" s="304">
        <f>$M191*'MWh Impact Summary'!F$26</f>
        <v>135198.70467387207</v>
      </c>
      <c r="O191" s="304">
        <f>$M191*'MWh Impact Summary'!G$26</f>
        <v>11832.778480380553</v>
      </c>
      <c r="P191" s="304">
        <f>$M191*'MWh Impact Summary'!H$26</f>
        <v>8983.346128978561</v>
      </c>
      <c r="Q191" s="320">
        <f>$D191*'MWh Impact Summary'!I$26</f>
        <v>3180.7781022309059</v>
      </c>
      <c r="R191" s="304">
        <f>$M191*'MWh Impact Summary'!J$26</f>
        <v>43191.327555275435</v>
      </c>
      <c r="S191" s="304">
        <f>$M191*'MWh Impact Summary'!K$26</f>
        <v>21220.974320283272</v>
      </c>
      <c r="T191" s="304">
        <f>$M191*'MWh Impact Summary'!L$26</f>
        <v>7373.9351174237272</v>
      </c>
      <c r="U191" s="304">
        <f>$M191*'MWh Impact Summary'!M$26</f>
        <v>23506.805879038871</v>
      </c>
      <c r="V191" s="304">
        <f>$M191*'LED Impact Forecast'!$H$27+$D191*'LED Impact Forecast'!$J$27</f>
        <v>100626.89272187446</v>
      </c>
      <c r="W191" s="304">
        <f>$M191*'CFL Impact Forecast'!$H$27+$D191*'CFL Impact Forecast'!$J$27</f>
        <v>400481.13046505314</v>
      </c>
      <c r="X191" s="304">
        <f>$M191*'EISA Incand Impact Forecast'!$G$27+$D191*'EISA Incand Impact Forecast'!$I$27</f>
        <v>145860.53011690977</v>
      </c>
      <c r="Y191" s="85">
        <f t="shared" si="67"/>
        <v>901457.20356132078</v>
      </c>
      <c r="Z191" s="81">
        <f t="shared" si="68"/>
        <v>2085202.0967581565</v>
      </c>
      <c r="AA191" s="81"/>
      <c r="AB191" s="262">
        <f>+'MWh by mo-WgtbyActulCDH&amp;Days'!AB191</f>
        <v>5126615.2635603016</v>
      </c>
      <c r="AC191" s="308">
        <f t="shared" si="76"/>
        <v>406.74050802673997</v>
      </c>
      <c r="AD191" s="309">
        <f t="shared" si="69"/>
        <v>230.90183919414221</v>
      </c>
      <c r="AE191" s="107">
        <f t="shared" si="70"/>
        <v>2.2273489311332047E-2</v>
      </c>
      <c r="AF191" s="309">
        <f t="shared" si="77"/>
        <v>175.83866883259776</v>
      </c>
      <c r="AG191" s="107">
        <f t="shared" si="71"/>
        <v>1.6961929469382419E-2</v>
      </c>
      <c r="AH191" s="119">
        <f t="shared" si="78"/>
        <v>3.9235418780714466E-2</v>
      </c>
      <c r="AI191" s="122">
        <f t="shared" si="72"/>
        <v>3.9235418780714466E-2</v>
      </c>
      <c r="AJ191" s="87" t="b">
        <f t="shared" si="79"/>
        <v>1</v>
      </c>
      <c r="AK191" s="88">
        <f t="shared" si="83"/>
        <v>2.1888536807220596E-3</v>
      </c>
      <c r="AL191" s="312">
        <f>+AC191/'MWh by month-WgtbyCDH&amp;DayLtHrs'!AC191-1</f>
        <v>0.16339134793649346</v>
      </c>
      <c r="AM191" s="89">
        <f t="shared" si="73"/>
        <v>400481.13046505314</v>
      </c>
      <c r="AN191" s="93"/>
      <c r="AO191" s="96">
        <f t="shared" si="87"/>
        <v>78.118038876771365</v>
      </c>
      <c r="AP191" s="92">
        <f t="shared" si="86"/>
        <v>7.5355021424538295E-3</v>
      </c>
      <c r="AR191" s="94">
        <f t="shared" si="74"/>
        <v>3.9235418780714466E-2</v>
      </c>
      <c r="AS191" s="95">
        <v>1569649.5181221459</v>
      </c>
      <c r="AU191" s="141">
        <v>406.74050802673997</v>
      </c>
    </row>
    <row r="192" spans="1:47">
      <c r="A192" s="78">
        <v>2020</v>
      </c>
      <c r="B192" s="78">
        <v>8</v>
      </c>
      <c r="C192" s="317">
        <f t="shared" si="81"/>
        <v>326.45437890907908</v>
      </c>
      <c r="D192" s="324">
        <f t="shared" si="80"/>
        <v>0.18158207861502046</v>
      </c>
      <c r="E192" s="321">
        <f>$D192*'MWh Impact Summary'!B$26</f>
        <v>565267.87643200706</v>
      </c>
      <c r="F192" s="319">
        <f>$D192*'MWh Impact Summary'!N$26</f>
        <v>68779.024576363401</v>
      </c>
      <c r="G192" s="319">
        <f>$D192*'MWh Impact Summary'!C$26</f>
        <v>410742.62358774542</v>
      </c>
      <c r="H192" s="319">
        <f>$D192*'MWh Impact Summary'!D$26</f>
        <v>1658.5271044889637</v>
      </c>
      <c r="I192" s="319">
        <f>$D192*'MWh Impact Summary'!E$26</f>
        <v>152483.76753448584</v>
      </c>
      <c r="J192" s="104">
        <f t="shared" si="75"/>
        <v>1198931.8192350906</v>
      </c>
      <c r="K192" s="298">
        <f t="shared" si="82"/>
        <v>10.933333333333334</v>
      </c>
      <c r="L192" s="300">
        <f t="shared" si="89"/>
        <v>7.6968203684148764E-2</v>
      </c>
      <c r="M192" s="297">
        <f>(31/366)</f>
        <v>8.4699453551912565E-2</v>
      </c>
      <c r="N192" s="304">
        <f>$M192*'MWh Impact Summary'!F$26</f>
        <v>135198.70467387207</v>
      </c>
      <c r="O192" s="304">
        <f>$M192*'MWh Impact Summary'!G$26</f>
        <v>11832.778480380553</v>
      </c>
      <c r="P192" s="304">
        <f>$M192*'MWh Impact Summary'!H$26</f>
        <v>8983.346128978561</v>
      </c>
      <c r="Q192" s="320">
        <f>$D192*'MWh Impact Summary'!I$26</f>
        <v>3221.5860854883672</v>
      </c>
      <c r="R192" s="304">
        <f>$M192*'MWh Impact Summary'!J$26</f>
        <v>43191.327555275435</v>
      </c>
      <c r="S192" s="304">
        <f>$M192*'MWh Impact Summary'!K$26</f>
        <v>21220.974320283272</v>
      </c>
      <c r="T192" s="304">
        <f>$M192*'MWh Impact Summary'!L$26</f>
        <v>7373.9351174237272</v>
      </c>
      <c r="U192" s="304">
        <f>$M192*'MWh Impact Summary'!M$26</f>
        <v>23506.805879038871</v>
      </c>
      <c r="V192" s="304">
        <f>$M192*'LED Impact Forecast'!$H$27+$D192*'LED Impact Forecast'!$J$27</f>
        <v>100942.61204121054</v>
      </c>
      <c r="W192" s="304">
        <f>$M192*'CFL Impact Forecast'!$H$27+$D192*'CFL Impact Forecast'!$J$27</f>
        <v>401846.48976870283</v>
      </c>
      <c r="X192" s="304">
        <f>$M192*'EISA Incand Impact Forecast'!$G$27+$D192*'EISA Incand Impact Forecast'!$I$27</f>
        <v>146387.46763707144</v>
      </c>
      <c r="Y192" s="85">
        <f t="shared" si="67"/>
        <v>903706.02768772561</v>
      </c>
      <c r="Z192" s="81">
        <f t="shared" si="68"/>
        <v>2102637.8469228162</v>
      </c>
      <c r="AA192" s="81"/>
      <c r="AB192" s="262">
        <f>+'MWh by mo-WgtbyActulCDH&amp;Days'!AB192</f>
        <v>5132042.3812502129</v>
      </c>
      <c r="AC192" s="308">
        <f t="shared" si="76"/>
        <v>409.70781040405092</v>
      </c>
      <c r="AD192" s="309">
        <f t="shared" si="69"/>
        <v>233.61689755629413</v>
      </c>
      <c r="AE192" s="107">
        <f t="shared" si="70"/>
        <v>2.1367399166734219E-2</v>
      </c>
      <c r="AF192" s="309">
        <f t="shared" si="77"/>
        <v>176.09091284775684</v>
      </c>
      <c r="AG192" s="107">
        <f t="shared" si="71"/>
        <v>1.6105876175099711E-2</v>
      </c>
      <c r="AH192" s="119">
        <f t="shared" si="78"/>
        <v>3.747327534183393E-2</v>
      </c>
      <c r="AI192" s="122">
        <f t="shared" si="72"/>
        <v>3.7473275341833923E-2</v>
      </c>
      <c r="AJ192" s="87" t="b">
        <f t="shared" si="79"/>
        <v>1</v>
      </c>
      <c r="AK192" s="88">
        <f t="shared" si="83"/>
        <v>2.0938369542220364E-3</v>
      </c>
      <c r="AL192" s="312">
        <f>+AC192/'MWh by month-WgtbyCDH&amp;DayLtHrs'!AC192-1</f>
        <v>0.14313920242464073</v>
      </c>
      <c r="AM192" s="89">
        <f t="shared" si="73"/>
        <v>401846.48976870283</v>
      </c>
      <c r="AN192" s="93"/>
      <c r="AO192" s="96">
        <f t="shared" si="87"/>
        <v>78.301475302861647</v>
      </c>
      <c r="AP192" s="92">
        <f t="shared" si="86"/>
        <v>7.1617203020910049E-3</v>
      </c>
      <c r="AR192" s="94">
        <f t="shared" si="74"/>
        <v>3.7473275341833923E-2</v>
      </c>
      <c r="AS192" s="95">
        <v>1631630.4343088379</v>
      </c>
      <c r="AU192" s="141">
        <v>409.70781040405092</v>
      </c>
    </row>
    <row r="193" spans="1:47">
      <c r="A193" s="78">
        <v>2020</v>
      </c>
      <c r="B193" s="78">
        <v>9</v>
      </c>
      <c r="C193" s="317">
        <f t="shared" si="81"/>
        <v>277.87653293728147</v>
      </c>
      <c r="D193" s="324">
        <f t="shared" si="80"/>
        <v>0.15456186747349368</v>
      </c>
      <c r="E193" s="321">
        <f>$D193*'MWh Impact Summary'!B$26</f>
        <v>481153.53271916969</v>
      </c>
      <c r="F193" s="319">
        <f>$D193*'MWh Impact Summary'!N$26</f>
        <v>58544.40351498808</v>
      </c>
      <c r="G193" s="319">
        <f>$D193*'MWh Impact Summary'!C$26</f>
        <v>349622.31645823177</v>
      </c>
      <c r="H193" s="319">
        <f>$D193*'MWh Impact Summary'!D$26</f>
        <v>1411.730984029035</v>
      </c>
      <c r="I193" s="319">
        <f>$D193*'MWh Impact Summary'!E$26</f>
        <v>129793.51293522786</v>
      </c>
      <c r="J193" s="104">
        <f t="shared" si="75"/>
        <v>1020525.4966116464</v>
      </c>
      <c r="K193" s="298">
        <f t="shared" si="82"/>
        <v>11.683333333333334</v>
      </c>
      <c r="L193" s="300">
        <f t="shared" si="89"/>
        <v>8.2248034729555317E-2</v>
      </c>
      <c r="M193" s="297">
        <f>(30/366)</f>
        <v>8.1967213114754092E-2</v>
      </c>
      <c r="N193" s="304">
        <f>$M193*'MWh Impact Summary'!F$26</f>
        <v>130837.45613600523</v>
      </c>
      <c r="O193" s="304">
        <f>$M193*'MWh Impact Summary'!G$26</f>
        <v>11451.075948755373</v>
      </c>
      <c r="P193" s="304">
        <f>$M193*'MWh Impact Summary'!H$26</f>
        <v>8693.5607699792527</v>
      </c>
      <c r="Q193" s="320">
        <f>$D193*'MWh Impact Summary'!I$26</f>
        <v>2742.1999208159477</v>
      </c>
      <c r="R193" s="304">
        <f>$M193*'MWh Impact Summary'!J$26</f>
        <v>41798.058924460092</v>
      </c>
      <c r="S193" s="304">
        <f>$M193*'MWh Impact Summary'!K$26</f>
        <v>20536.426761564457</v>
      </c>
      <c r="T193" s="304">
        <f>$M193*'MWh Impact Summary'!L$26</f>
        <v>7136.0662426681229</v>
      </c>
      <c r="U193" s="304">
        <f>$M193*'MWh Impact Summary'!M$26</f>
        <v>22748.521818424713</v>
      </c>
      <c r="V193" s="304">
        <f>$M193*'LED Impact Forecast'!$H$27+$D193*'LED Impact Forecast'!$J$27</f>
        <v>94781.544369744093</v>
      </c>
      <c r="W193" s="304">
        <f>$M193*'CFL Impact Forecast'!$H$27+$D193*'CFL Impact Forecast'!$J$27</f>
        <v>376321.37080127723</v>
      </c>
      <c r="X193" s="304">
        <f>$M193*'EISA Incand Impact Forecast'!$G$27+$D193*'EISA Incand Impact Forecast'!$I$27</f>
        <v>136817.07111934456</v>
      </c>
      <c r="Y193" s="85">
        <f t="shared" si="67"/>
        <v>853863.35281303909</v>
      </c>
      <c r="Z193" s="81">
        <f t="shared" si="68"/>
        <v>1874388.8494246854</v>
      </c>
      <c r="AA193" s="81"/>
      <c r="AB193" s="262">
        <f>+'MWh by mo-WgtbyActulCDH&amp;Days'!AB193</f>
        <v>5136848.4535763171</v>
      </c>
      <c r="AC193" s="308">
        <f t="shared" si="76"/>
        <v>364.89082097014563</v>
      </c>
      <c r="AD193" s="309">
        <f t="shared" si="69"/>
        <v>198.66762779445986</v>
      </c>
      <c r="AE193" s="107">
        <f t="shared" si="70"/>
        <v>1.7004361865431659E-2</v>
      </c>
      <c r="AF193" s="309">
        <f t="shared" si="77"/>
        <v>166.22319317568582</v>
      </c>
      <c r="AG193" s="107">
        <f t="shared" si="71"/>
        <v>1.4227377447276961E-2</v>
      </c>
      <c r="AH193" s="119">
        <f t="shared" si="78"/>
        <v>3.1231739312708621E-2</v>
      </c>
      <c r="AI193" s="122">
        <f t="shared" si="72"/>
        <v>3.123173931270861E-2</v>
      </c>
      <c r="AJ193" s="87" t="b">
        <f t="shared" si="79"/>
        <v>1</v>
      </c>
      <c r="AK193" s="88">
        <f t="shared" si="83"/>
        <v>1.7578130537979943E-3</v>
      </c>
      <c r="AL193" s="312">
        <f>+AC193/'MWh by month-WgtbyCDH&amp;DayLtHrs'!AC193-1</f>
        <v>8.9722803784378025E-2</v>
      </c>
      <c r="AM193" s="89">
        <f t="shared" si="73"/>
        <v>376321.37080127723</v>
      </c>
      <c r="AN193" s="93"/>
      <c r="AO193" s="96">
        <f t="shared" si="87"/>
        <v>73.259192713633425</v>
      </c>
      <c r="AP193" s="92">
        <f t="shared" si="86"/>
        <v>6.2704016587988663E-3</v>
      </c>
      <c r="AR193" s="94">
        <f t="shared" si="74"/>
        <v>3.123173931270861E-2</v>
      </c>
      <c r="AS193" s="95">
        <v>1543477.4099642611</v>
      </c>
      <c r="AU193" s="141">
        <v>364.89082097014563</v>
      </c>
    </row>
    <row r="194" spans="1:47">
      <c r="A194" s="78">
        <v>2020</v>
      </c>
      <c r="B194" s="78">
        <v>10</v>
      </c>
      <c r="C194" s="317">
        <f t="shared" si="81"/>
        <v>198.89039579254836</v>
      </c>
      <c r="D194" s="324">
        <f t="shared" si="80"/>
        <v>0.11062780534683357</v>
      </c>
      <c r="E194" s="321">
        <f>$D194*'MWh Impact Summary'!B$26</f>
        <v>344386.1039575368</v>
      </c>
      <c r="F194" s="319">
        <f>$D194*'MWh Impact Summary'!N$26</f>
        <v>41903.213140933876</v>
      </c>
      <c r="G194" s="319">
        <f>$D194*'MWh Impact Summary'!C$26</f>
        <v>250242.509373687</v>
      </c>
      <c r="H194" s="319">
        <f>$D194*'MWh Impact Summary'!D$26</f>
        <v>1010.4478100333586</v>
      </c>
      <c r="I194" s="319">
        <f>$D194*'MWh Impact Summary'!E$26</f>
        <v>92899.831756642991</v>
      </c>
      <c r="J194" s="104">
        <f t="shared" si="75"/>
        <v>730442.10603883408</v>
      </c>
      <c r="K194" s="298">
        <f t="shared" si="82"/>
        <v>12.466666666666667</v>
      </c>
      <c r="L194" s="300">
        <f t="shared" si="89"/>
        <v>8.7762524932535488E-2</v>
      </c>
      <c r="M194" s="297">
        <f>(31/366)</f>
        <v>8.4699453551912565E-2</v>
      </c>
      <c r="N194" s="304">
        <f>$M194*'MWh Impact Summary'!F$26</f>
        <v>135198.70467387207</v>
      </c>
      <c r="O194" s="304">
        <f>$M194*'MWh Impact Summary'!G$26</f>
        <v>11832.778480380553</v>
      </c>
      <c r="P194" s="304">
        <f>$M194*'MWh Impact Summary'!H$26</f>
        <v>8983.346128978561</v>
      </c>
      <c r="Q194" s="320">
        <f>$D194*'MWh Impact Summary'!I$26</f>
        <v>1962.7322315716319</v>
      </c>
      <c r="R194" s="304">
        <f>$M194*'MWh Impact Summary'!J$26</f>
        <v>43191.327555275435</v>
      </c>
      <c r="S194" s="304">
        <f>$M194*'MWh Impact Summary'!K$26</f>
        <v>21220.974320283272</v>
      </c>
      <c r="T194" s="304">
        <f>$M194*'MWh Impact Summary'!L$26</f>
        <v>7373.9351174237272</v>
      </c>
      <c r="U194" s="304">
        <f>$M194*'MWh Impact Summary'!M$26</f>
        <v>23506.805879038871</v>
      </c>
      <c r="V194" s="304">
        <f>$M194*'LED Impact Forecast'!$H$27+$D194*'LED Impact Forecast'!$J$27</f>
        <v>91203.23140593931</v>
      </c>
      <c r="W194" s="304">
        <f>$M194*'CFL Impact Forecast'!$H$27+$D194*'CFL Impact Forecast'!$J$27</f>
        <v>359727.57861015724</v>
      </c>
      <c r="X194" s="304">
        <f>$M194*'EISA Incand Impact Forecast'!$G$27+$D194*'EISA Incand Impact Forecast'!$I$27</f>
        <v>130132.38039485697</v>
      </c>
      <c r="Y194" s="85">
        <f t="shared" si="67"/>
        <v>834333.79479777766</v>
      </c>
      <c r="Z194" s="81">
        <f t="shared" si="68"/>
        <v>1564775.9008366116</v>
      </c>
      <c r="AA194" s="81"/>
      <c r="AB194" s="262">
        <f>+'MWh by mo-WgtbyActulCDH&amp;Days'!AB194</f>
        <v>5141857.9398052078</v>
      </c>
      <c r="AC194" s="308">
        <f t="shared" si="76"/>
        <v>304.32110710858944</v>
      </c>
      <c r="AD194" s="309">
        <f t="shared" si="69"/>
        <v>142.0580098847511</v>
      </c>
      <c r="AE194" s="107">
        <f t="shared" si="70"/>
        <v>1.1395027530862387E-2</v>
      </c>
      <c r="AF194" s="309">
        <f t="shared" si="77"/>
        <v>162.26309722383837</v>
      </c>
      <c r="AG194" s="107">
        <f t="shared" si="71"/>
        <v>1.3015756461805217E-2</v>
      </c>
      <c r="AH194" s="119">
        <f t="shared" si="78"/>
        <v>2.4410783992667606E-2</v>
      </c>
      <c r="AI194" s="122">
        <f t="shared" si="72"/>
        <v>2.4410783992667603E-2</v>
      </c>
      <c r="AJ194" s="87" t="b">
        <f t="shared" si="79"/>
        <v>1</v>
      </c>
      <c r="AK194" s="88">
        <f t="shared" si="83"/>
        <v>1.4011472737272927E-3</v>
      </c>
      <c r="AL194" s="312">
        <f>+AC194/'MWh by month-WgtbyCDH&amp;DayLtHrs'!AC194-1</f>
        <v>4.2766388183686832E-2</v>
      </c>
      <c r="AM194" s="89">
        <f t="shared" si="73"/>
        <v>359727.57861015724</v>
      </c>
      <c r="AN194" s="93"/>
      <c r="AO194" s="96">
        <f t="shared" si="87"/>
        <v>69.960621787187108</v>
      </c>
      <c r="AP194" s="92">
        <f t="shared" si="86"/>
        <v>5.611814581859928E-3</v>
      </c>
      <c r="AR194" s="94">
        <f t="shared" si="74"/>
        <v>2.4410783992667603E-2</v>
      </c>
      <c r="AS194" s="95">
        <v>1249756.1416365989</v>
      </c>
      <c r="AU194" s="141">
        <v>304.32110710858944</v>
      </c>
    </row>
    <row r="195" spans="1:47">
      <c r="A195" s="78">
        <v>2020</v>
      </c>
      <c r="B195" s="78">
        <v>11</v>
      </c>
      <c r="C195" s="317">
        <f t="shared" si="81"/>
        <v>78.117279066674627</v>
      </c>
      <c r="D195" s="324">
        <f t="shared" si="80"/>
        <v>4.3450781564265642E-2</v>
      </c>
      <c r="E195" s="321">
        <f>$D195*'MWh Impact Summary'!B$26</f>
        <v>135262.96874383138</v>
      </c>
      <c r="F195" s="319">
        <f>$D195*'MWh Impact Summary'!N$26</f>
        <v>16458.135053112095</v>
      </c>
      <c r="G195" s="319">
        <f>$D195*'MWh Impact Summary'!C$26</f>
        <v>98286.615908185777</v>
      </c>
      <c r="H195" s="319">
        <f>$D195*'MWh Impact Summary'!D$26</f>
        <v>396.86900538433855</v>
      </c>
      <c r="I195" s="319">
        <f>$D195*'MWh Impact Summary'!E$26</f>
        <v>36487.845748722153</v>
      </c>
      <c r="J195" s="104">
        <f t="shared" si="75"/>
        <v>286892.43445923575</v>
      </c>
      <c r="K195" s="298">
        <f t="shared" si="82"/>
        <v>13.15</v>
      </c>
      <c r="L195" s="300">
        <f t="shared" si="89"/>
        <v>9.2573037662794788E-2</v>
      </c>
      <c r="M195" s="297">
        <f>(30/366)</f>
        <v>8.1967213114754092E-2</v>
      </c>
      <c r="N195" s="304">
        <f>$M195*'MWh Impact Summary'!F$26</f>
        <v>130837.45613600523</v>
      </c>
      <c r="O195" s="304">
        <f>$M195*'MWh Impact Summary'!G$26</f>
        <v>11451.075948755373</v>
      </c>
      <c r="P195" s="304">
        <f>$M195*'MWh Impact Summary'!H$26</f>
        <v>8693.5607699792527</v>
      </c>
      <c r="Q195" s="320">
        <f>$D195*'MWh Impact Summary'!I$26</f>
        <v>770.89344035878594</v>
      </c>
      <c r="R195" s="304">
        <f>$M195*'MWh Impact Summary'!J$26</f>
        <v>41798.058924460092</v>
      </c>
      <c r="S195" s="304">
        <f>$M195*'MWh Impact Summary'!K$26</f>
        <v>20536.426761564457</v>
      </c>
      <c r="T195" s="304">
        <f>$M195*'MWh Impact Summary'!L$26</f>
        <v>7136.0662426681229</v>
      </c>
      <c r="U195" s="304">
        <f>$M195*'MWh Impact Summary'!M$26</f>
        <v>22748.521818424713</v>
      </c>
      <c r="V195" s="304">
        <f>$M195*'LED Impact Forecast'!$H$27+$D195*'LED Impact Forecast'!$J$27</f>
        <v>79530.128089598948</v>
      </c>
      <c r="W195" s="304">
        <f>$M195*'CFL Impact Forecast'!$H$27+$D195*'CFL Impact Forecast'!$J$27</f>
        <v>310365.11840684153</v>
      </c>
      <c r="X195" s="304">
        <f>$M195*'EISA Incand Impact Forecast'!$G$27+$D195*'EISA Incand Impact Forecast'!$I$27</f>
        <v>111362.36188421406</v>
      </c>
      <c r="Y195" s="85">
        <f t="shared" si="67"/>
        <v>745229.66842287057</v>
      </c>
      <c r="Z195" s="81">
        <f t="shared" si="68"/>
        <v>1032122.1028821063</v>
      </c>
      <c r="AA195" s="81"/>
      <c r="AB195" s="262">
        <f>+'MWh by mo-WgtbyActulCDH&amp;Days'!AB195</f>
        <v>5146914.2029780019</v>
      </c>
      <c r="AC195" s="308">
        <f t="shared" si="76"/>
        <v>200.53221448395644</v>
      </c>
      <c r="AD195" s="309">
        <f t="shared" si="69"/>
        <v>55.740667737037448</v>
      </c>
      <c r="AE195" s="107">
        <f t="shared" si="70"/>
        <v>4.2388340484439124E-3</v>
      </c>
      <c r="AF195" s="309">
        <f t="shared" si="77"/>
        <v>144.79154674691895</v>
      </c>
      <c r="AG195" s="107">
        <f t="shared" si="71"/>
        <v>1.1010764011172543E-2</v>
      </c>
      <c r="AH195" s="119">
        <f t="shared" si="78"/>
        <v>1.5249598059616455E-2</v>
      </c>
      <c r="AI195" s="122">
        <f t="shared" si="72"/>
        <v>1.5249598059616459E-2</v>
      </c>
      <c r="AJ195" s="87" t="b">
        <f t="shared" si="79"/>
        <v>1</v>
      </c>
      <c r="AK195" s="88">
        <f t="shared" si="83"/>
        <v>9.1491890157001897E-4</v>
      </c>
      <c r="AL195" s="312">
        <f>+AC195/'MWh by month-WgtbyCDH&amp;DayLtHrs'!AC195-1</f>
        <v>-9.0618723132742107E-2</v>
      </c>
      <c r="AM195" s="89">
        <f t="shared" si="73"/>
        <v>310365.11840684153</v>
      </c>
      <c r="AN195" s="93"/>
      <c r="AO195" s="96">
        <f t="shared" si="87"/>
        <v>60.301203044586295</v>
      </c>
      <c r="AP195" s="92">
        <f t="shared" si="86"/>
        <v>4.5856428170788057E-3</v>
      </c>
      <c r="AR195" s="94">
        <f t="shared" si="74"/>
        <v>1.5249598059616459E-2</v>
      </c>
      <c r="AS195" s="95">
        <v>974261.26226112701</v>
      </c>
      <c r="AU195" s="141">
        <v>200.53221448395644</v>
      </c>
    </row>
    <row r="196" spans="1:47">
      <c r="A196" s="78">
        <v>2020</v>
      </c>
      <c r="B196" s="78">
        <v>12</v>
      </c>
      <c r="C196" s="317">
        <f t="shared" si="81"/>
        <v>0</v>
      </c>
      <c r="D196" s="324">
        <f t="shared" si="80"/>
        <v>0</v>
      </c>
      <c r="E196" s="321">
        <f>$D196*'MWh Impact Summary'!B$26</f>
        <v>0</v>
      </c>
      <c r="F196" s="319">
        <f>$D196*'MWh Impact Summary'!N$26</f>
        <v>0</v>
      </c>
      <c r="G196" s="319">
        <f>$D196*'MWh Impact Summary'!C$26</f>
        <v>0</v>
      </c>
      <c r="H196" s="319">
        <f>$D196*'MWh Impact Summary'!D$26</f>
        <v>0</v>
      </c>
      <c r="I196" s="319">
        <f>$D196*'MWh Impact Summary'!E$26</f>
        <v>0</v>
      </c>
      <c r="J196" s="104">
        <f t="shared" si="75"/>
        <v>0</v>
      </c>
      <c r="K196" s="298">
        <f t="shared" si="82"/>
        <v>13.483333333333333</v>
      </c>
      <c r="L196" s="300">
        <f t="shared" si="89"/>
        <v>9.491962923853102E-2</v>
      </c>
      <c r="M196" s="297">
        <f>(31/366)</f>
        <v>8.4699453551912565E-2</v>
      </c>
      <c r="N196" s="304">
        <f>$M196*'MWh Impact Summary'!F$26</f>
        <v>135198.70467387207</v>
      </c>
      <c r="O196" s="304">
        <f>$M196*'MWh Impact Summary'!G$26</f>
        <v>11832.778480380553</v>
      </c>
      <c r="P196" s="304">
        <f>$M196*'MWh Impact Summary'!H$26</f>
        <v>8983.346128978561</v>
      </c>
      <c r="Q196" s="320">
        <f>$D196*'MWh Impact Summary'!I$26</f>
        <v>0</v>
      </c>
      <c r="R196" s="304">
        <f>$M196*'MWh Impact Summary'!J$26</f>
        <v>43191.327555275435</v>
      </c>
      <c r="S196" s="304">
        <f>$M196*'MWh Impact Summary'!K$26</f>
        <v>21220.974320283272</v>
      </c>
      <c r="T196" s="304">
        <f>$M196*'MWh Impact Summary'!L$26</f>
        <v>7373.9351174237272</v>
      </c>
      <c r="U196" s="304">
        <f>$M196*'MWh Impact Summary'!M$26</f>
        <v>23506.805879038871</v>
      </c>
      <c r="V196" s="304">
        <f>$M196*'LED Impact Forecast'!$H$27+$D196*'LED Impact Forecast'!$J$27</f>
        <v>76018.151558175028</v>
      </c>
      <c r="W196" s="304">
        <f>$M196*'CFL Impact Forecast'!$H$27+$D196*'CFL Impact Forecast'!$J$27</f>
        <v>294058.20465354598</v>
      </c>
      <c r="X196" s="304">
        <f>$M196*'EISA Incand Impact Forecast'!$G$27+$D196*'EISA Incand Impact Forecast'!$I$27</f>
        <v>104788.38708059138</v>
      </c>
      <c r="Y196" s="85">
        <f t="shared" si="67"/>
        <v>726172.61544756498</v>
      </c>
      <c r="Z196" s="81">
        <f t="shared" si="68"/>
        <v>726172.61544756498</v>
      </c>
      <c r="AA196" s="81">
        <f>SUM(Z185:Z196)</f>
        <v>16153924.285144012</v>
      </c>
      <c r="AB196" s="262">
        <f>+'MWh by mo-WgtbyActulCDH&amp;Days'!AB196</f>
        <v>5152004.6812553955</v>
      </c>
      <c r="AC196" s="308">
        <f t="shared" si="76"/>
        <v>140.94952554868749</v>
      </c>
      <c r="AD196" s="309">
        <f t="shared" si="69"/>
        <v>0</v>
      </c>
      <c r="AE196" s="107">
        <f t="shared" si="70"/>
        <v>0</v>
      </c>
      <c r="AF196" s="309">
        <f t="shared" si="77"/>
        <v>140.94952554868749</v>
      </c>
      <c r="AG196" s="107">
        <f t="shared" si="71"/>
        <v>1.0453611289148639E-2</v>
      </c>
      <c r="AH196" s="119">
        <f t="shared" si="78"/>
        <v>1.0453611289148639E-2</v>
      </c>
      <c r="AI196" s="122">
        <f t="shared" si="72"/>
        <v>1.0453611289148639E-2</v>
      </c>
      <c r="AJ196" s="87" t="b">
        <f t="shared" si="79"/>
        <v>1</v>
      </c>
      <c r="AK196" s="88">
        <f t="shared" si="83"/>
        <v>6.6675141007808449E-4</v>
      </c>
      <c r="AL196" s="312">
        <f>+AC196/'MWh by month-WgtbyCDH&amp;DayLtHrs'!AC196-1</f>
        <v>-0.29858536370833011</v>
      </c>
      <c r="AM196" s="89">
        <f t="shared" si="73"/>
        <v>294058.20465354598</v>
      </c>
      <c r="AN196" s="90">
        <f>SUM(AM185:AM196)</f>
        <v>4065390.3708091993</v>
      </c>
      <c r="AO196" s="96">
        <f t="shared" si="87"/>
        <v>57.07646301708958</v>
      </c>
      <c r="AP196" s="92">
        <f t="shared" si="86"/>
        <v>4.2331122138756175E-3</v>
      </c>
      <c r="AR196" s="94">
        <f t="shared" si="74"/>
        <v>1.0453611289148639E-2</v>
      </c>
      <c r="AS196" s="95">
        <v>809014.09152322926</v>
      </c>
      <c r="AU196" s="141">
        <v>140.94952554868749</v>
      </c>
    </row>
    <row r="197" spans="1:47">
      <c r="A197" s="78">
        <v>2021</v>
      </c>
      <c r="B197" s="78">
        <v>1</v>
      </c>
      <c r="C197" s="317">
        <f t="shared" si="81"/>
        <v>0</v>
      </c>
      <c r="D197" s="324">
        <f t="shared" si="80"/>
        <v>0</v>
      </c>
      <c r="E197" s="321">
        <f>$D197*'MWh Impact Summary'!B$27</f>
        <v>0</v>
      </c>
      <c r="F197" s="319">
        <f>$D197*'MWh Impact Summary'!N$27</f>
        <v>0</v>
      </c>
      <c r="G197" s="319">
        <f>$D197*'MWh Impact Summary'!C$27</f>
        <v>0</v>
      </c>
      <c r="H197" s="319">
        <f>$D197*'MWh Impact Summary'!D$27</f>
        <v>0</v>
      </c>
      <c r="I197" s="319">
        <f>$D197*'MWh Impact Summary'!E$27</f>
        <v>0</v>
      </c>
      <c r="J197" s="104">
        <f t="shared" si="75"/>
        <v>0</v>
      </c>
      <c r="K197" s="298">
        <f t="shared" si="82"/>
        <v>13.3</v>
      </c>
      <c r="L197" s="300">
        <f t="shared" si="89"/>
        <v>9.3629003871876101E-2</v>
      </c>
      <c r="M197" s="297">
        <f>(31/365)</f>
        <v>8.4931506849315067E-2</v>
      </c>
      <c r="N197" s="304">
        <f>$M197*'MWh Impact Summary'!F$27</f>
        <v>146287.57986945406</v>
      </c>
      <c r="O197" s="304">
        <f>$M197*'MWh Impact Summary'!G$27</f>
        <v>15670.265720436975</v>
      </c>
      <c r="P197" s="304">
        <f>$M197*'MWh Impact Summary'!H$27</f>
        <v>9566.7797527246166</v>
      </c>
      <c r="Q197" s="320">
        <f>$D197*'MWh Impact Summary'!I$27</f>
        <v>0</v>
      </c>
      <c r="R197" s="304">
        <f>$M197*'MWh Impact Summary'!J$27</f>
        <v>44687.952157098225</v>
      </c>
      <c r="S197" s="304">
        <f>$M197*'MWh Impact Summary'!K$27</f>
        <v>24615.749176464124</v>
      </c>
      <c r="T197" s="304">
        <f>$M197*'MWh Impact Summary'!L$27</f>
        <v>8659.6462628792251</v>
      </c>
      <c r="U197" s="304">
        <f>$M197*'MWh Impact Summary'!M$27</f>
        <v>27059.567039112593</v>
      </c>
      <c r="V197" s="304">
        <f>$M197*'LED Impact Forecast'!$H$28+$D197*'LED Impact Forecast'!$J$28</f>
        <v>101476.1998608638</v>
      </c>
      <c r="W197" s="304">
        <f>$M197*'CFL Impact Forecast'!$H$28+$D197*'CFL Impact Forecast'!$J$28</f>
        <v>299852.40366515197</v>
      </c>
      <c r="X197" s="304">
        <f>$M197*'EISA Incand Impact Forecast'!$G$28+$D197*'EISA Incand Impact Forecast'!$I$28</f>
        <v>105075.47855204505</v>
      </c>
      <c r="Y197" s="85">
        <f t="shared" ref="Y197:Y260" si="90">SUM(N197:X197)</f>
        <v>782951.62205623067</v>
      </c>
      <c r="Z197" s="81">
        <f t="shared" ref="Z197:Z260" si="91">Y197+J197</f>
        <v>782951.62205623067</v>
      </c>
      <c r="AA197" s="81"/>
      <c r="AB197" s="262">
        <f>+'MWh by mo-WgtbyActulCDH&amp;Days'!AB197</f>
        <v>5157217.8149424428</v>
      </c>
      <c r="AC197" s="308">
        <f t="shared" si="76"/>
        <v>151.8166674651047</v>
      </c>
      <c r="AD197" s="309">
        <f t="shared" ref="AD197:AD260" si="92">+J197*1000/AB197</f>
        <v>0</v>
      </c>
      <c r="AE197" s="107">
        <f t="shared" ref="AE197:AE260" si="93">+AD197/K197/1000</f>
        <v>0</v>
      </c>
      <c r="AF197" s="309">
        <f t="shared" si="77"/>
        <v>151.8166674651047</v>
      </c>
      <c r="AG197" s="107">
        <f t="shared" ref="AG197:AG260" si="94">+AF197/K197/1000</f>
        <v>1.1414787027451479E-2</v>
      </c>
      <c r="AH197" s="119">
        <f t="shared" si="78"/>
        <v>1.1414787027451479E-2</v>
      </c>
      <c r="AI197" s="122">
        <f t="shared" ref="AI197:AI260" si="95">+AC197/K197/1000</f>
        <v>1.1414787027451479E-2</v>
      </c>
      <c r="AJ197" s="87" t="b">
        <f t="shared" si="79"/>
        <v>1</v>
      </c>
      <c r="AK197" s="88">
        <f t="shared" si="83"/>
        <v>6.982127678277425E-4</v>
      </c>
      <c r="AL197" s="312">
        <f>+AC197/'MWh by month-WgtbyCDH&amp;DayLtHrs'!AC197-1</f>
        <v>-0.24625907481723608</v>
      </c>
      <c r="AM197" s="89">
        <f t="shared" ref="AM197:AM260" si="96">+W197</f>
        <v>299852.40366515197</v>
      </c>
      <c r="AN197" s="93"/>
      <c r="AO197" s="96">
        <f t="shared" si="87"/>
        <v>58.142280280728933</v>
      </c>
      <c r="AP197" s="92">
        <f t="shared" si="86"/>
        <v>4.3716000211074385E-3</v>
      </c>
      <c r="AR197" s="94">
        <f t="shared" ref="AR197:AR260" si="97">AI197</f>
        <v>1.1414787027451479E-2</v>
      </c>
      <c r="AS197" s="95">
        <v>817529.58394237643</v>
      </c>
      <c r="AU197" s="141">
        <v>151.8166674651047</v>
      </c>
    </row>
    <row r="198" spans="1:47">
      <c r="A198" s="78">
        <v>2021</v>
      </c>
      <c r="B198" s="78">
        <v>2</v>
      </c>
      <c r="C198" s="317">
        <f t="shared" si="81"/>
        <v>0</v>
      </c>
      <c r="D198" s="324">
        <f t="shared" si="80"/>
        <v>0</v>
      </c>
      <c r="E198" s="321">
        <f>$D198*'MWh Impact Summary'!B$27</f>
        <v>0</v>
      </c>
      <c r="F198" s="319">
        <f>$D198*'MWh Impact Summary'!N$27</f>
        <v>0</v>
      </c>
      <c r="G198" s="319">
        <f>$D198*'MWh Impact Summary'!C$27</f>
        <v>0</v>
      </c>
      <c r="H198" s="319">
        <f>$D198*'MWh Impact Summary'!D$27</f>
        <v>0</v>
      </c>
      <c r="I198" s="319">
        <f>$D198*'MWh Impact Summary'!E$27</f>
        <v>0</v>
      </c>
      <c r="J198" s="104">
        <f t="shared" ref="J198:J261" si="98">SUM(E198:I198)</f>
        <v>0</v>
      </c>
      <c r="K198" s="298">
        <f t="shared" si="82"/>
        <v>12.733333333333333</v>
      </c>
      <c r="L198" s="300">
        <f t="shared" si="89"/>
        <v>8.9639798193124468E-2</v>
      </c>
      <c r="M198" s="297">
        <f>(28/365)</f>
        <v>7.6712328767123292E-2</v>
      </c>
      <c r="N198" s="304">
        <f>$M198*'MWh Impact Summary'!F$27</f>
        <v>132130.71730144238</v>
      </c>
      <c r="O198" s="304">
        <f>$M198*'MWh Impact Summary'!G$27</f>
        <v>14153.788392652752</v>
      </c>
      <c r="P198" s="304">
        <f>$M198*'MWh Impact Summary'!H$27</f>
        <v>8640.9623572996552</v>
      </c>
      <c r="Q198" s="320">
        <f>$D198*'MWh Impact Summary'!I$27</f>
        <v>0</v>
      </c>
      <c r="R198" s="304">
        <f>$M198*'MWh Impact Summary'!J$27</f>
        <v>40363.311625766146</v>
      </c>
      <c r="S198" s="304">
        <f>$M198*'MWh Impact Summary'!K$27</f>
        <v>22233.579901322435</v>
      </c>
      <c r="T198" s="304">
        <f>$M198*'MWh Impact Summary'!L$27</f>
        <v>7821.6159793747838</v>
      </c>
      <c r="U198" s="304">
        <f>$M198*'MWh Impact Summary'!M$27</f>
        <v>24440.899261133956</v>
      </c>
      <c r="V198" s="304">
        <f>$M198*'LED Impact Forecast'!$H$28+$D198*'LED Impact Forecast'!$J$28</f>
        <v>91655.922454973756</v>
      </c>
      <c r="W198" s="304">
        <f>$M198*'CFL Impact Forecast'!$H$28+$D198*'CFL Impact Forecast'!$J$28</f>
        <v>270834.42911691149</v>
      </c>
      <c r="X198" s="304">
        <f>$M198*'EISA Incand Impact Forecast'!$G$28+$D198*'EISA Incand Impact Forecast'!$I$28</f>
        <v>94906.883853460051</v>
      </c>
      <c r="Y198" s="85">
        <f t="shared" si="90"/>
        <v>707182.11024433747</v>
      </c>
      <c r="Z198" s="81">
        <f t="shared" si="91"/>
        <v>707182.11024433747</v>
      </c>
      <c r="AA198" s="81"/>
      <c r="AB198" s="262">
        <f>+'MWh by mo-WgtbyActulCDH&amp;Days'!AB198</f>
        <v>5162310.6728719575</v>
      </c>
      <c r="AC198" s="308">
        <f t="shared" ref="AC198:AC261" si="99">+Z198*1000/AB198</f>
        <v>136.98945202205539</v>
      </c>
      <c r="AD198" s="309">
        <f t="shared" si="92"/>
        <v>0</v>
      </c>
      <c r="AE198" s="107">
        <f t="shared" si="93"/>
        <v>0</v>
      </c>
      <c r="AF198" s="309">
        <f t="shared" ref="AF198:AF261" si="100">+Y198*1000/AB198</f>
        <v>136.98945202205539</v>
      </c>
      <c r="AG198" s="107">
        <f t="shared" si="94"/>
        <v>1.075833392843367E-2</v>
      </c>
      <c r="AH198" s="119">
        <f t="shared" ref="AH198:AH261" si="101">AE198+AG198</f>
        <v>1.075833392843367E-2</v>
      </c>
      <c r="AI198" s="122">
        <f t="shared" si="95"/>
        <v>1.075833392843367E-2</v>
      </c>
      <c r="AJ198" s="87" t="b">
        <f t="shared" ref="AJ198:AJ261" si="102">AH198=AI198</f>
        <v>1</v>
      </c>
      <c r="AK198" s="88">
        <f t="shared" si="83"/>
        <v>2.9834069175317668E-4</v>
      </c>
      <c r="AL198" s="312">
        <f>+AC198/'MWh by month-WgtbyCDH&amp;DayLtHrs'!AC198-1</f>
        <v>-0.3166125491087125</v>
      </c>
      <c r="AM198" s="89">
        <f t="shared" si="96"/>
        <v>270834.42911691149</v>
      </c>
      <c r="AN198" s="93"/>
      <c r="AO198" s="96">
        <f t="shared" si="87"/>
        <v>52.463798922477032</v>
      </c>
      <c r="AP198" s="92">
        <f t="shared" si="86"/>
        <v>4.1201936326552644E-3</v>
      </c>
      <c r="AR198" s="94">
        <f t="shared" si="97"/>
        <v>1.075833392843367E-2</v>
      </c>
      <c r="AS198" s="95">
        <v>756573.78368226485</v>
      </c>
      <c r="AU198" s="141">
        <v>136.98945202205539</v>
      </c>
    </row>
    <row r="199" spans="1:47">
      <c r="A199" s="78">
        <v>2021</v>
      </c>
      <c r="B199" s="78">
        <v>3</v>
      </c>
      <c r="C199" s="317">
        <f t="shared" si="81"/>
        <v>0</v>
      </c>
      <c r="D199" s="324">
        <f t="shared" si="80"/>
        <v>0</v>
      </c>
      <c r="E199" s="321">
        <f>$D199*'MWh Impact Summary'!B$27</f>
        <v>0</v>
      </c>
      <c r="F199" s="319">
        <f>$D199*'MWh Impact Summary'!N$27</f>
        <v>0</v>
      </c>
      <c r="G199" s="319">
        <f>$D199*'MWh Impact Summary'!C$27</f>
        <v>0</v>
      </c>
      <c r="H199" s="319">
        <f>$D199*'MWh Impact Summary'!D$27</f>
        <v>0</v>
      </c>
      <c r="I199" s="319">
        <f>$D199*'MWh Impact Summary'!E$27</f>
        <v>0</v>
      </c>
      <c r="J199" s="104">
        <f t="shared" si="98"/>
        <v>0</v>
      </c>
      <c r="K199" s="298">
        <f t="shared" si="82"/>
        <v>12</v>
      </c>
      <c r="L199" s="300">
        <f t="shared" si="89"/>
        <v>8.4477296726504739E-2</v>
      </c>
      <c r="M199" s="297">
        <f t="shared" ref="M199:M208" si="103">(31/365)</f>
        <v>8.4931506849315067E-2</v>
      </c>
      <c r="N199" s="304">
        <f>$M199*'MWh Impact Summary'!F$27</f>
        <v>146287.57986945406</v>
      </c>
      <c r="O199" s="304">
        <f>$M199*'MWh Impact Summary'!G$27</f>
        <v>15670.265720436975</v>
      </c>
      <c r="P199" s="304">
        <f>$M199*'MWh Impact Summary'!H$27</f>
        <v>9566.7797527246166</v>
      </c>
      <c r="Q199" s="320">
        <f>$D199*'MWh Impact Summary'!I$27</f>
        <v>0</v>
      </c>
      <c r="R199" s="304">
        <f>$M199*'MWh Impact Summary'!J$27</f>
        <v>44687.952157098225</v>
      </c>
      <c r="S199" s="304">
        <f>$M199*'MWh Impact Summary'!K$27</f>
        <v>24615.749176464124</v>
      </c>
      <c r="T199" s="304">
        <f>$M199*'MWh Impact Summary'!L$27</f>
        <v>8659.6462628792251</v>
      </c>
      <c r="U199" s="304">
        <f>$M199*'MWh Impact Summary'!M$27</f>
        <v>27059.567039112593</v>
      </c>
      <c r="V199" s="304">
        <f>$M199*'LED Impact Forecast'!$H$28+$D199*'LED Impact Forecast'!$J$28</f>
        <v>101476.1998608638</v>
      </c>
      <c r="W199" s="304">
        <f>$M199*'CFL Impact Forecast'!$H$28+$D199*'CFL Impact Forecast'!$J$28</f>
        <v>299852.40366515197</v>
      </c>
      <c r="X199" s="304">
        <f>$M199*'EISA Incand Impact Forecast'!$G$28+$D199*'EISA Incand Impact Forecast'!$I$28</f>
        <v>105075.47855204505</v>
      </c>
      <c r="Y199" s="85">
        <f t="shared" si="90"/>
        <v>782951.62205623067</v>
      </c>
      <c r="Z199" s="81">
        <f t="shared" si="91"/>
        <v>782951.62205623067</v>
      </c>
      <c r="AA199" s="81"/>
      <c r="AB199" s="262">
        <f>+'MWh by mo-WgtbyActulCDH&amp;Days'!AB199</f>
        <v>5167504.396665371</v>
      </c>
      <c r="AC199" s="308">
        <f t="shared" si="99"/>
        <v>151.51445687428446</v>
      </c>
      <c r="AD199" s="309">
        <f t="shared" si="92"/>
        <v>0</v>
      </c>
      <c r="AE199" s="107">
        <f t="shared" si="93"/>
        <v>0</v>
      </c>
      <c r="AF199" s="309">
        <f t="shared" si="100"/>
        <v>151.51445687428446</v>
      </c>
      <c r="AG199" s="107">
        <f t="shared" si="94"/>
        <v>1.2626204739523706E-2</v>
      </c>
      <c r="AH199" s="119">
        <f t="shared" si="101"/>
        <v>1.2626204739523706E-2</v>
      </c>
      <c r="AI199" s="122">
        <f t="shared" si="95"/>
        <v>1.2626204739523706E-2</v>
      </c>
      <c r="AJ199" s="87" t="b">
        <f t="shared" si="102"/>
        <v>1</v>
      </c>
      <c r="AK199" s="88">
        <f t="shared" si="83"/>
        <v>7.7469631541406125E-4</v>
      </c>
      <c r="AL199" s="312">
        <f>+AC199/'MWh by month-WgtbyCDH&amp;DayLtHrs'!AC199-1</f>
        <v>-0.28382510711632425</v>
      </c>
      <c r="AM199" s="89">
        <f t="shared" si="96"/>
        <v>299852.40366515197</v>
      </c>
      <c r="AN199" s="93"/>
      <c r="AO199" s="96">
        <f t="shared" si="87"/>
        <v>58.026540598330008</v>
      </c>
      <c r="AP199" s="92">
        <f t="shared" si="86"/>
        <v>4.8355450498608343E-3</v>
      </c>
      <c r="AR199" s="94">
        <f t="shared" si="97"/>
        <v>1.2626204739523706E-2</v>
      </c>
      <c r="AS199" s="95">
        <v>905658.16661233245</v>
      </c>
      <c r="AU199" s="141">
        <v>151.51445687428446</v>
      </c>
    </row>
    <row r="200" spans="1:47">
      <c r="A200" s="78">
        <v>2021</v>
      </c>
      <c r="B200" s="78">
        <v>4</v>
      </c>
      <c r="C200" s="317">
        <f t="shared" si="81"/>
        <v>114.03392869270741</v>
      </c>
      <c r="D200" s="324">
        <f t="shared" si="80"/>
        <v>6.3428519090031305E-2</v>
      </c>
      <c r="E200" s="321">
        <f>$D200*'MWh Impact Summary'!B$27</f>
        <v>211041.99629638292</v>
      </c>
      <c r="F200" s="319">
        <f>$D200*'MWh Impact Summary'!N$27</f>
        <v>27731.831799907559</v>
      </c>
      <c r="G200" s="319">
        <f>$D200*'MWh Impact Summary'!C$27</f>
        <v>147086.45583083527</v>
      </c>
      <c r="H200" s="319">
        <f>$D200*'MWh Impact Summary'!D$27</f>
        <v>632.47293468554915</v>
      </c>
      <c r="I200" s="319">
        <f>$D200*'MWh Impact Summary'!E$27</f>
        <v>53954.706538984821</v>
      </c>
      <c r="J200" s="104">
        <f t="shared" si="98"/>
        <v>440447.46340079611</v>
      </c>
      <c r="K200" s="298">
        <f t="shared" si="82"/>
        <v>11.2</v>
      </c>
      <c r="L200" s="300">
        <f t="shared" si="89"/>
        <v>7.8845476944737758E-2</v>
      </c>
      <c r="M200" s="297">
        <f>(30/365)</f>
        <v>8.2191780821917804E-2</v>
      </c>
      <c r="N200" s="304">
        <f>$M200*'MWh Impact Summary'!F$27</f>
        <v>141568.62568011682</v>
      </c>
      <c r="O200" s="304">
        <f>$M200*'MWh Impact Summary'!G$27</f>
        <v>15164.773277842232</v>
      </c>
      <c r="P200" s="304">
        <f>$M200*'MWh Impact Summary'!H$27</f>
        <v>9258.1739542496289</v>
      </c>
      <c r="Q200" s="320">
        <f>$D200*'MWh Impact Summary'!I$27</f>
        <v>1194.4876546176099</v>
      </c>
      <c r="R200" s="304">
        <f>$M200*'MWh Impact Summary'!J$27</f>
        <v>43246.405313320865</v>
      </c>
      <c r="S200" s="304">
        <f>$M200*'MWh Impact Summary'!K$27</f>
        <v>23821.692751416893</v>
      </c>
      <c r="T200" s="304">
        <f>$M200*'MWh Impact Summary'!L$27</f>
        <v>8380.302835044411</v>
      </c>
      <c r="U200" s="304">
        <f>$M200*'MWh Impact Summary'!M$27</f>
        <v>26186.67777978638</v>
      </c>
      <c r="V200" s="304">
        <f>$M200*'LED Impact Forecast'!$H$28+$D200*'LED Impact Forecast'!$J$28</f>
        <v>110186.13160398885</v>
      </c>
      <c r="W200" s="304">
        <f>$M200*'CFL Impact Forecast'!$H$28+$D200*'CFL Impact Forecast'!$J$28</f>
        <v>328512.66446860158</v>
      </c>
      <c r="X200" s="304">
        <f>$M200*'EISA Incand Impact Forecast'!$G$28+$D200*'EISA Incand Impact Forecast'!$I$28</f>
        <v>116216.94087759078</v>
      </c>
      <c r="Y200" s="85">
        <f t="shared" si="90"/>
        <v>823736.87619657605</v>
      </c>
      <c r="Z200" s="81">
        <f t="shared" si="91"/>
        <v>1264184.3395973721</v>
      </c>
      <c r="AA200" s="81"/>
      <c r="AB200" s="262">
        <f>+'MWh by mo-WgtbyActulCDH&amp;Days'!AB200</f>
        <v>5172569.6347586866</v>
      </c>
      <c r="AC200" s="308">
        <f t="shared" si="99"/>
        <v>244.40160865158646</v>
      </c>
      <c r="AD200" s="309">
        <f t="shared" si="92"/>
        <v>85.150610721810821</v>
      </c>
      <c r="AE200" s="107">
        <f t="shared" si="93"/>
        <v>7.6027331001616814E-3</v>
      </c>
      <c r="AF200" s="309">
        <f t="shared" si="100"/>
        <v>159.25099792977565</v>
      </c>
      <c r="AG200" s="107">
        <f t="shared" si="94"/>
        <v>1.4218839100872828E-2</v>
      </c>
      <c r="AH200" s="119">
        <f t="shared" si="101"/>
        <v>2.1821572201034509E-2</v>
      </c>
      <c r="AI200" s="122">
        <f t="shared" si="95"/>
        <v>2.1821572201034506E-2</v>
      </c>
      <c r="AJ200" s="87" t="b">
        <f t="shared" si="102"/>
        <v>1</v>
      </c>
      <c r="AK200" s="88">
        <f t="shared" si="83"/>
        <v>1.1476881056819814E-3</v>
      </c>
      <c r="AL200" s="312">
        <f>+AC200/'MWh by month-WgtbyCDH&amp;DayLtHrs'!AC200-1</f>
        <v>3.8079206084638884E-2</v>
      </c>
      <c r="AM200" s="89">
        <f t="shared" si="96"/>
        <v>328512.66446860158</v>
      </c>
      <c r="AN200" s="93"/>
      <c r="AO200" s="96">
        <f t="shared" si="87"/>
        <v>63.510534930464502</v>
      </c>
      <c r="AP200" s="92">
        <f t="shared" si="86"/>
        <v>5.6705834759343309E-3</v>
      </c>
      <c r="AR200" s="94">
        <f t="shared" si="97"/>
        <v>2.1821572201034506E-2</v>
      </c>
      <c r="AS200" s="95">
        <v>1044428.6427978469</v>
      </c>
      <c r="AU200" s="141">
        <v>244.40160865158646</v>
      </c>
    </row>
    <row r="201" spans="1:47">
      <c r="A201" s="78">
        <v>2021</v>
      </c>
      <c r="B201" s="78">
        <v>5</v>
      </c>
      <c r="C201" s="317">
        <f t="shared" si="81"/>
        <v>208.47875842628665</v>
      </c>
      <c r="D201" s="324">
        <f t="shared" ref="D201:D216" si="104">D189</f>
        <v>0.11596109210918912</v>
      </c>
      <c r="E201" s="321">
        <f>$D201*'MWh Impact Summary'!B$27</f>
        <v>385830.54945197731</v>
      </c>
      <c r="F201" s="319">
        <f>$D201*'MWh Impact Summary'!N$27</f>
        <v>50699.804249584493</v>
      </c>
      <c r="G201" s="319">
        <f>$D201*'MWh Impact Summary'!C$27</f>
        <v>268905.94794438937</v>
      </c>
      <c r="H201" s="319">
        <f>$D201*'MWh Impact Summary'!D$27</f>
        <v>1156.2977236081633</v>
      </c>
      <c r="I201" s="319">
        <f>$D201*'MWh Impact Summary'!E$27</f>
        <v>98640.907661910212</v>
      </c>
      <c r="J201" s="104">
        <f t="shared" si="98"/>
        <v>805233.50703146949</v>
      </c>
      <c r="K201" s="298">
        <f t="shared" si="82"/>
        <v>10.533333333333333</v>
      </c>
      <c r="L201" s="300">
        <f t="shared" si="89"/>
        <v>7.4152293793265281E-2</v>
      </c>
      <c r="M201" s="297">
        <f t="shared" si="103"/>
        <v>8.4931506849315067E-2</v>
      </c>
      <c r="N201" s="304">
        <f>$M201*'MWh Impact Summary'!F$27</f>
        <v>146287.57986945406</v>
      </c>
      <c r="O201" s="304">
        <f>$M201*'MWh Impact Summary'!G$27</f>
        <v>15670.265720436975</v>
      </c>
      <c r="P201" s="304">
        <f>$M201*'MWh Impact Summary'!H$27</f>
        <v>9566.7797527246166</v>
      </c>
      <c r="Q201" s="320">
        <f>$D201*'MWh Impact Summary'!I$27</f>
        <v>2183.7825465196993</v>
      </c>
      <c r="R201" s="304">
        <f>$M201*'MWh Impact Summary'!J$27</f>
        <v>44687.952157098225</v>
      </c>
      <c r="S201" s="304">
        <f>$M201*'MWh Impact Summary'!K$27</f>
        <v>24615.749176464124</v>
      </c>
      <c r="T201" s="304">
        <f>$M201*'MWh Impact Summary'!L$27</f>
        <v>8659.6462628792251</v>
      </c>
      <c r="U201" s="304">
        <f>$M201*'MWh Impact Summary'!M$27</f>
        <v>27059.567039112593</v>
      </c>
      <c r="V201" s="304">
        <f>$M201*'LED Impact Forecast'!$H$28+$D201*'LED Impact Forecast'!$J$28</f>
        <v>123384.37693955173</v>
      </c>
      <c r="W201" s="304">
        <f>$M201*'CFL Impact Forecast'!$H$28+$D201*'CFL Impact Forecast'!$J$28</f>
        <v>369933.29492895299</v>
      </c>
      <c r="X201" s="304">
        <f>$M201*'EISA Incand Impact Forecast'!$G$28+$D201*'EISA Incand Impact Forecast'!$I$28</f>
        <v>131641.28751766912</v>
      </c>
      <c r="Y201" s="85">
        <f t="shared" si="90"/>
        <v>903690.28191086347</v>
      </c>
      <c r="Z201" s="81">
        <f t="shared" si="91"/>
        <v>1708923.7889423328</v>
      </c>
      <c r="AA201" s="81"/>
      <c r="AB201" s="262">
        <f>+'MWh by mo-WgtbyActulCDH&amp;Days'!AB201</f>
        <v>5177582.9748099707</v>
      </c>
      <c r="AC201" s="308">
        <f t="shared" si="99"/>
        <v>330.06207669806668</v>
      </c>
      <c r="AD201" s="309">
        <f t="shared" si="92"/>
        <v>155.52305215562933</v>
      </c>
      <c r="AE201" s="107">
        <f t="shared" si="93"/>
        <v>1.4764846723635696E-2</v>
      </c>
      <c r="AF201" s="309">
        <f t="shared" si="100"/>
        <v>174.5390245424374</v>
      </c>
      <c r="AG201" s="107">
        <f t="shared" si="94"/>
        <v>1.6570160557826338E-2</v>
      </c>
      <c r="AH201" s="119">
        <f t="shared" si="101"/>
        <v>3.1335007281462032E-2</v>
      </c>
      <c r="AI201" s="122">
        <f t="shared" si="95"/>
        <v>3.1335007281462025E-2</v>
      </c>
      <c r="AJ201" s="87" t="b">
        <f t="shared" si="102"/>
        <v>1</v>
      </c>
      <c r="AK201" s="88">
        <f t="shared" si="83"/>
        <v>1.5500817706340791E-3</v>
      </c>
      <c r="AL201" s="312">
        <f>+AC201/'MWh by month-WgtbyCDH&amp;DayLtHrs'!AC201-1</f>
        <v>0.13201592563426856</v>
      </c>
      <c r="AM201" s="89">
        <f t="shared" si="96"/>
        <v>369933.29492895299</v>
      </c>
      <c r="AN201" s="93"/>
      <c r="AO201" s="96">
        <f t="shared" si="87"/>
        <v>71.449032633326439</v>
      </c>
      <c r="AP201" s="92">
        <f t="shared" si="86"/>
        <v>6.783136009493017E-3</v>
      </c>
      <c r="AR201" s="94">
        <f t="shared" si="97"/>
        <v>3.1335007281462025E-2</v>
      </c>
      <c r="AS201" s="95">
        <v>1229631.339983386</v>
      </c>
      <c r="AU201" s="141">
        <v>330.06207669806668</v>
      </c>
    </row>
    <row r="202" spans="1:47">
      <c r="A202" s="78">
        <v>2021</v>
      </c>
      <c r="B202" s="78">
        <v>6</v>
      </c>
      <c r="C202" s="317">
        <f t="shared" ref="C202:C265" si="105">+C190</f>
        <v>271.66325293295364</v>
      </c>
      <c r="D202" s="324">
        <f t="shared" si="104"/>
        <v>0.15110588596093688</v>
      </c>
      <c r="E202" s="321">
        <f>$D202*'MWh Impact Summary'!B$27</f>
        <v>502765.76345831191</v>
      </c>
      <c r="F202" s="319">
        <f>$D202*'MWh Impact Summary'!N$27</f>
        <v>66065.597519260118</v>
      </c>
      <c r="G202" s="319">
        <f>$D202*'MWh Impact Summary'!C$27</f>
        <v>350404.35343642836</v>
      </c>
      <c r="H202" s="319">
        <f>$D202*'MWh Impact Summary'!D$27</f>
        <v>1506.7415180594044</v>
      </c>
      <c r="I202" s="319">
        <f>$D202*'MWh Impact Summary'!E$27</f>
        <v>128536.40366036855</v>
      </c>
      <c r="J202" s="104">
        <f t="shared" si="98"/>
        <v>1049278.8595924284</v>
      </c>
      <c r="K202" s="298">
        <f t="shared" si="82"/>
        <v>10.199999999999999</v>
      </c>
      <c r="L202" s="300">
        <f t="shared" si="89"/>
        <v>7.1805702217529022E-2</v>
      </c>
      <c r="M202" s="297">
        <f>(30/365)</f>
        <v>8.2191780821917804E-2</v>
      </c>
      <c r="N202" s="304">
        <f>$M202*'MWh Impact Summary'!F$27</f>
        <v>141568.62568011682</v>
      </c>
      <c r="O202" s="304">
        <f>$M202*'MWh Impact Summary'!G$27</f>
        <v>15164.773277842232</v>
      </c>
      <c r="P202" s="304">
        <f>$M202*'MWh Impact Summary'!H$27</f>
        <v>9258.1739542496289</v>
      </c>
      <c r="Q202" s="320">
        <f>$D202*'MWh Impact Summary'!I$27</f>
        <v>2845.6302923326921</v>
      </c>
      <c r="R202" s="304">
        <f>$M202*'MWh Impact Summary'!J$27</f>
        <v>43246.405313320865</v>
      </c>
      <c r="S202" s="304">
        <f>$M202*'MWh Impact Summary'!K$27</f>
        <v>23821.692751416893</v>
      </c>
      <c r="T202" s="304">
        <f>$M202*'MWh Impact Summary'!L$27</f>
        <v>8380.302835044411</v>
      </c>
      <c r="U202" s="304">
        <f>$M202*'MWh Impact Summary'!M$27</f>
        <v>26186.67777978638</v>
      </c>
      <c r="V202" s="304">
        <f>$M202*'LED Impact Forecast'!$H$28+$D202*'LED Impact Forecast'!$J$28</f>
        <v>126750.75034173073</v>
      </c>
      <c r="W202" s="304">
        <f>$M202*'CFL Impact Forecast'!$H$28+$D202*'CFL Impact Forecast'!$J$28</f>
        <v>381500.33388612175</v>
      </c>
      <c r="X202" s="304">
        <f>$M202*'EISA Incand Impact Forecast'!$G$28+$D202*'EISA Incand Impact Forecast'!$I$28</f>
        <v>136303.16235529311</v>
      </c>
      <c r="Y202" s="85">
        <f t="shared" si="90"/>
        <v>915026.52846725541</v>
      </c>
      <c r="Z202" s="81">
        <f t="shared" si="91"/>
        <v>1964305.3880596838</v>
      </c>
      <c r="AA202" s="81"/>
      <c r="AB202" s="262">
        <f>+'MWh by mo-WgtbyActulCDH&amp;Days'!AB202</f>
        <v>5182599.1656009592</v>
      </c>
      <c r="AC202" s="308">
        <f t="shared" si="99"/>
        <v>379.01935405261247</v>
      </c>
      <c r="AD202" s="309">
        <f t="shared" si="92"/>
        <v>202.46189721885565</v>
      </c>
      <c r="AE202" s="107">
        <f t="shared" si="93"/>
        <v>1.9849205609691733E-2</v>
      </c>
      <c r="AF202" s="309">
        <f t="shared" si="100"/>
        <v>176.55745683375679</v>
      </c>
      <c r="AG202" s="107">
        <f t="shared" si="94"/>
        <v>1.7309554591544787E-2</v>
      </c>
      <c r="AH202" s="119">
        <f t="shared" si="101"/>
        <v>3.715876020123652E-2</v>
      </c>
      <c r="AI202" s="122">
        <f t="shared" si="95"/>
        <v>3.715876020123652E-2</v>
      </c>
      <c r="AJ202" s="87" t="b">
        <f t="shared" si="102"/>
        <v>1</v>
      </c>
      <c r="AK202" s="88">
        <f t="shared" si="83"/>
        <v>1.7784744495721524E-3</v>
      </c>
      <c r="AL202" s="312">
        <f>+AC202/'MWh by month-WgtbyCDH&amp;DayLtHrs'!AC202-1</f>
        <v>0.14743463965821046</v>
      </c>
      <c r="AM202" s="89">
        <f t="shared" si="96"/>
        <v>381500.33388612175</v>
      </c>
      <c r="AN202" s="93"/>
      <c r="AO202" s="96">
        <f t="shared" si="87"/>
        <v>73.611776966718992</v>
      </c>
      <c r="AP202" s="92">
        <f t="shared" si="86"/>
        <v>7.216840879090098E-3</v>
      </c>
      <c r="AR202" s="94">
        <f t="shared" si="97"/>
        <v>3.715876020123652E-2</v>
      </c>
      <c r="AS202" s="95">
        <v>1480819.0403773016</v>
      </c>
      <c r="AU202" s="141">
        <v>379.01935405261247</v>
      </c>
    </row>
    <row r="203" spans="1:47">
      <c r="A203" s="78">
        <v>2021</v>
      </c>
      <c r="B203" s="78">
        <v>7</v>
      </c>
      <c r="C203" s="317">
        <f t="shared" si="105"/>
        <v>322.31916585708109</v>
      </c>
      <c r="D203" s="324">
        <f t="shared" si="104"/>
        <v>0.17928196984022934</v>
      </c>
      <c r="E203" s="321">
        <f>$D203*'MWh Impact Summary'!B$27</f>
        <v>596514.39695959084</v>
      </c>
      <c r="F203" s="319">
        <f>$D203*'MWh Impact Summary'!N$27</f>
        <v>78384.573748415511</v>
      </c>
      <c r="G203" s="319">
        <f>$D203*'MWh Impact Summary'!C$27</f>
        <v>415742.79072699411</v>
      </c>
      <c r="H203" s="319">
        <f>$D203*'MWh Impact Summary'!D$27</f>
        <v>1787.6973201929443</v>
      </c>
      <c r="I203" s="319">
        <f>$D203*'MWh Impact Summary'!E$27</f>
        <v>152504.05037410007</v>
      </c>
      <c r="J203" s="104">
        <f t="shared" si="98"/>
        <v>1244933.5091292935</v>
      </c>
      <c r="K203" s="298">
        <f t="shared" si="82"/>
        <v>10.366666666666667</v>
      </c>
      <c r="L203" s="300">
        <f t="shared" si="89"/>
        <v>7.2978998005397158E-2</v>
      </c>
      <c r="M203" s="297">
        <f t="shared" si="103"/>
        <v>8.4931506849315067E-2</v>
      </c>
      <c r="N203" s="304">
        <f>$M203*'MWh Impact Summary'!F$27</f>
        <v>146287.57986945406</v>
      </c>
      <c r="O203" s="304">
        <f>$M203*'MWh Impact Summary'!G$27</f>
        <v>15670.265720436975</v>
      </c>
      <c r="P203" s="304">
        <f>$M203*'MWh Impact Summary'!H$27</f>
        <v>9566.7797527246166</v>
      </c>
      <c r="Q203" s="320">
        <f>$D203*'MWh Impact Summary'!I$27</f>
        <v>3376.2430960387555</v>
      </c>
      <c r="R203" s="304">
        <f>$M203*'MWh Impact Summary'!J$27</f>
        <v>44687.952157098225</v>
      </c>
      <c r="S203" s="304">
        <f>$M203*'MWh Impact Summary'!K$27</f>
        <v>24615.749176464124</v>
      </c>
      <c r="T203" s="304">
        <f>$M203*'MWh Impact Summary'!L$27</f>
        <v>8659.6462628792251</v>
      </c>
      <c r="U203" s="304">
        <f>$M203*'MWh Impact Summary'!M$27</f>
        <v>27059.567039112593</v>
      </c>
      <c r="V203" s="304">
        <f>$M203*'LED Impact Forecast'!$H$28+$D203*'LED Impact Forecast'!$J$28</f>
        <v>135347.39812948107</v>
      </c>
      <c r="W203" s="304">
        <f>$M203*'CFL Impact Forecast'!$H$28+$D203*'CFL Impact Forecast'!$J$28</f>
        <v>408201.16104062286</v>
      </c>
      <c r="X203" s="304">
        <f>$M203*'EISA Incand Impact Forecast'!$G$28+$D203*'EISA Incand Impact Forecast'!$I$28</f>
        <v>146147.62158836346</v>
      </c>
      <c r="Y203" s="85">
        <f t="shared" si="90"/>
        <v>969619.96383267595</v>
      </c>
      <c r="Z203" s="81">
        <f t="shared" si="91"/>
        <v>2214553.4729619697</v>
      </c>
      <c r="AA203" s="81"/>
      <c r="AB203" s="262">
        <f>+'MWh by mo-WgtbyActulCDH&amp;Days'!AB203</f>
        <v>5187842.8780874414</v>
      </c>
      <c r="AC203" s="308">
        <f t="shared" si="99"/>
        <v>426.87365924590046</v>
      </c>
      <c r="AD203" s="309">
        <f t="shared" si="92"/>
        <v>239.97132110297309</v>
      </c>
      <c r="AE203" s="107">
        <f t="shared" si="93"/>
        <v>2.3148358948839844E-2</v>
      </c>
      <c r="AF203" s="309">
        <f t="shared" si="100"/>
        <v>186.90233814292725</v>
      </c>
      <c r="AG203" s="107">
        <f t="shared" si="94"/>
        <v>1.8029164451086228E-2</v>
      </c>
      <c r="AH203" s="119">
        <f t="shared" si="101"/>
        <v>4.1177523399926072E-2</v>
      </c>
      <c r="AI203" s="122">
        <f t="shared" si="95"/>
        <v>4.1177523399926086E-2</v>
      </c>
      <c r="AJ203" s="87" t="b">
        <f t="shared" si="102"/>
        <v>1</v>
      </c>
      <c r="AK203" s="88">
        <f t="shared" si="83"/>
        <v>1.9421046192116195E-3</v>
      </c>
      <c r="AL203" s="312">
        <f>+AC203/'MWh by month-WgtbyCDH&amp;DayLtHrs'!AC203-1</f>
        <v>0.16479217658152923</v>
      </c>
      <c r="AM203" s="89">
        <f t="shared" si="96"/>
        <v>408201.16104062286</v>
      </c>
      <c r="AN203" s="93"/>
      <c r="AO203" s="96">
        <f t="shared" si="87"/>
        <v>78.684179654860898</v>
      </c>
      <c r="AP203" s="92">
        <f t="shared" si="86"/>
        <v>7.5901137930733985E-3</v>
      </c>
      <c r="AR203" s="94">
        <f t="shared" si="97"/>
        <v>4.1177523399926086E-2</v>
      </c>
      <c r="AS203" s="95">
        <v>1548236.5721445843</v>
      </c>
      <c r="AU203" s="141">
        <v>426.87365924590046</v>
      </c>
    </row>
    <row r="204" spans="1:47">
      <c r="A204" s="78">
        <v>2021</v>
      </c>
      <c r="B204" s="78">
        <v>8</v>
      </c>
      <c r="C204" s="317">
        <f t="shared" si="105"/>
        <v>326.45437890907908</v>
      </c>
      <c r="D204" s="324">
        <f t="shared" si="104"/>
        <v>0.18158207861502046</v>
      </c>
      <c r="E204" s="321">
        <f>$D204*'MWh Impact Summary'!B$27</f>
        <v>604167.41415902646</v>
      </c>
      <c r="F204" s="319">
        <f>$D204*'MWh Impact Summary'!N$27</f>
        <v>79390.213334190164</v>
      </c>
      <c r="G204" s="319">
        <f>$D204*'MWh Impact Summary'!C$27</f>
        <v>421076.58777228254</v>
      </c>
      <c r="H204" s="319">
        <f>$D204*'MWh Impact Summary'!D$27</f>
        <v>1810.6326900826814</v>
      </c>
      <c r="I204" s="319">
        <f>$D204*'MWh Impact Summary'!E$27</f>
        <v>154460.6102265451</v>
      </c>
      <c r="J204" s="104">
        <f t="shared" si="98"/>
        <v>1260905.458182127</v>
      </c>
      <c r="K204" s="298">
        <f t="shared" si="82"/>
        <v>10.933333333333334</v>
      </c>
      <c r="L204" s="300">
        <f t="shared" si="89"/>
        <v>7.6968203684148764E-2</v>
      </c>
      <c r="M204" s="297">
        <f t="shared" si="103"/>
        <v>8.4931506849315067E-2</v>
      </c>
      <c r="N204" s="304">
        <f>$M204*'MWh Impact Summary'!F$27</f>
        <v>146287.57986945406</v>
      </c>
      <c r="O204" s="304">
        <f>$M204*'MWh Impact Summary'!G$27</f>
        <v>15670.265720436975</v>
      </c>
      <c r="P204" s="304">
        <f>$M204*'MWh Impact Summary'!H$27</f>
        <v>9566.7797527246166</v>
      </c>
      <c r="Q204" s="320">
        <f>$D204*'MWh Impact Summary'!I$27</f>
        <v>3419.5588091467012</v>
      </c>
      <c r="R204" s="304">
        <f>$M204*'MWh Impact Summary'!J$27</f>
        <v>44687.952157098225</v>
      </c>
      <c r="S204" s="304">
        <f>$M204*'MWh Impact Summary'!K$27</f>
        <v>24615.749176464124</v>
      </c>
      <c r="T204" s="304">
        <f>$M204*'MWh Impact Summary'!L$27</f>
        <v>8659.6462628792251</v>
      </c>
      <c r="U204" s="304">
        <f>$M204*'MWh Impact Summary'!M$27</f>
        <v>27059.567039112593</v>
      </c>
      <c r="V204" s="304">
        <f>$M204*'LED Impact Forecast'!$H$28+$D204*'LED Impact Forecast'!$J$28</f>
        <v>135781.95069725887</v>
      </c>
      <c r="W204" s="304">
        <f>$M204*'CFL Impact Forecast'!$H$28+$D204*'CFL Impact Forecast'!$J$28</f>
        <v>409591.22791571985</v>
      </c>
      <c r="X204" s="304">
        <f>$M204*'EISA Incand Impact Forecast'!$G$28+$D204*'EISA Incand Impact Forecast'!$I$28</f>
        <v>146674.55910852514</v>
      </c>
      <c r="Y204" s="85">
        <f t="shared" si="90"/>
        <v>972014.83650882042</v>
      </c>
      <c r="Z204" s="81">
        <f t="shared" si="91"/>
        <v>2232920.2946909475</v>
      </c>
      <c r="AA204" s="81"/>
      <c r="AB204" s="262">
        <f>+'MWh by mo-WgtbyActulCDH&amp;Days'!AB204</f>
        <v>5193203.3234929005</v>
      </c>
      <c r="AC204" s="308">
        <f t="shared" si="99"/>
        <v>429.96974229560993</v>
      </c>
      <c r="AD204" s="309">
        <f t="shared" si="92"/>
        <v>242.79917030748061</v>
      </c>
      <c r="AE204" s="107">
        <f t="shared" si="93"/>
        <v>2.2207241186659812E-2</v>
      </c>
      <c r="AF204" s="309">
        <f t="shared" si="100"/>
        <v>187.17057198812932</v>
      </c>
      <c r="AG204" s="107">
        <f t="shared" si="94"/>
        <v>1.7119259633060609E-2</v>
      </c>
      <c r="AH204" s="119">
        <f t="shared" si="101"/>
        <v>3.9326500819720417E-2</v>
      </c>
      <c r="AI204" s="122">
        <f t="shared" si="95"/>
        <v>3.9326500819720424E-2</v>
      </c>
      <c r="AJ204" s="87" t="b">
        <f t="shared" si="102"/>
        <v>1</v>
      </c>
      <c r="AK204" s="88">
        <f t="shared" si="83"/>
        <v>1.8532254778865012E-3</v>
      </c>
      <c r="AL204" s="312">
        <f>+AC204/'MWh by month-WgtbyCDH&amp;DayLtHrs'!AC204-1</f>
        <v>0.14431339836552581</v>
      </c>
      <c r="AM204" s="89">
        <f t="shared" si="96"/>
        <v>409591.22791571985</v>
      </c>
      <c r="AN204" s="93"/>
      <c r="AO204" s="96">
        <f t="shared" si="87"/>
        <v>78.870631939793299</v>
      </c>
      <c r="AP204" s="92">
        <f t="shared" si="86"/>
        <v>7.2137773115664603E-3</v>
      </c>
      <c r="AR204" s="94">
        <f t="shared" si="97"/>
        <v>3.9326500819720424E-2</v>
      </c>
      <c r="AS204" s="95">
        <v>1608940.8856324463</v>
      </c>
      <c r="AU204" s="141">
        <v>429.96974229560993</v>
      </c>
    </row>
    <row r="205" spans="1:47">
      <c r="A205" s="78">
        <v>2021</v>
      </c>
      <c r="B205" s="78">
        <v>9</v>
      </c>
      <c r="C205" s="317">
        <f t="shared" si="105"/>
        <v>277.87653293728147</v>
      </c>
      <c r="D205" s="324">
        <f t="shared" si="104"/>
        <v>0.15456186747349368</v>
      </c>
      <c r="E205" s="321">
        <f>$D205*'MWh Impact Summary'!B$27</f>
        <v>514264.64831384702</v>
      </c>
      <c r="F205" s="319">
        <f>$D205*'MWh Impact Summary'!N$27</f>
        <v>67576.600761725509</v>
      </c>
      <c r="G205" s="319">
        <f>$D205*'MWh Impact Summary'!C$27</f>
        <v>358418.54136626702</v>
      </c>
      <c r="H205" s="319">
        <f>$D205*'MWh Impact Summary'!D$27</f>
        <v>1541.2025901579541</v>
      </c>
      <c r="I205" s="319">
        <f>$D205*'MWh Impact Summary'!E$27</f>
        <v>131476.19274876718</v>
      </c>
      <c r="J205" s="104">
        <f t="shared" si="98"/>
        <v>1073277.1857807646</v>
      </c>
      <c r="K205" s="298">
        <f t="shared" si="82"/>
        <v>11.683333333333334</v>
      </c>
      <c r="L205" s="300">
        <f t="shared" si="89"/>
        <v>8.2248034729555317E-2</v>
      </c>
      <c r="M205" s="297">
        <f>(30/365)</f>
        <v>8.2191780821917804E-2</v>
      </c>
      <c r="N205" s="304">
        <f>$M205*'MWh Impact Summary'!F$27</f>
        <v>141568.62568011682</v>
      </c>
      <c r="O205" s="304">
        <f>$M205*'MWh Impact Summary'!G$27</f>
        <v>15164.773277842232</v>
      </c>
      <c r="P205" s="304">
        <f>$M205*'MWh Impact Summary'!H$27</f>
        <v>9258.1739542496289</v>
      </c>
      <c r="Q205" s="320">
        <f>$D205*'MWh Impact Summary'!I$27</f>
        <v>2910.7134333323465</v>
      </c>
      <c r="R205" s="304">
        <f>$M205*'MWh Impact Summary'!J$27</f>
        <v>43246.405313320865</v>
      </c>
      <c r="S205" s="304">
        <f>$M205*'MWh Impact Summary'!K$27</f>
        <v>23821.692751416893</v>
      </c>
      <c r="T205" s="304">
        <f>$M205*'MWh Impact Summary'!L$27</f>
        <v>8380.302835044411</v>
      </c>
      <c r="U205" s="304">
        <f>$M205*'MWh Impact Summary'!M$27</f>
        <v>26186.67777978638</v>
      </c>
      <c r="V205" s="304">
        <f>$M205*'LED Impact Forecast'!$H$28+$D205*'LED Impact Forecast'!$J$28</f>
        <v>127403.67843666859</v>
      </c>
      <c r="W205" s="304">
        <f>$M205*'CFL Impact Forecast'!$H$28+$D205*'CFL Impact Forecast'!$J$28</f>
        <v>383588.95050904166</v>
      </c>
      <c r="X205" s="304">
        <f>$M205*'EISA Incand Impact Forecast'!$G$28+$D205*'EISA Incand Impact Forecast'!$I$28</f>
        <v>137094.90157559008</v>
      </c>
      <c r="Y205" s="85">
        <f t="shared" si="90"/>
        <v>918624.89554640977</v>
      </c>
      <c r="Z205" s="81">
        <f t="shared" si="91"/>
        <v>1991902.0813271743</v>
      </c>
      <c r="AA205" s="81"/>
      <c r="AB205" s="262">
        <f>+'MWh by mo-WgtbyActulCDH&amp;Days'!AB205</f>
        <v>5198143.0314946659</v>
      </c>
      <c r="AC205" s="308">
        <f t="shared" si="99"/>
        <v>383.19493504864681</v>
      </c>
      <c r="AD205" s="309">
        <f t="shared" si="92"/>
        <v>206.47319230693736</v>
      </c>
      <c r="AE205" s="107">
        <f t="shared" si="93"/>
        <v>1.7672455832262828E-2</v>
      </c>
      <c r="AF205" s="309">
        <f t="shared" si="100"/>
        <v>176.72174274170939</v>
      </c>
      <c r="AG205" s="107">
        <f t="shared" si="94"/>
        <v>1.5125969421544313E-2</v>
      </c>
      <c r="AH205" s="119">
        <f t="shared" si="101"/>
        <v>3.2798425253807141E-2</v>
      </c>
      <c r="AI205" s="122">
        <f t="shared" si="95"/>
        <v>3.2798425253807148E-2</v>
      </c>
      <c r="AJ205" s="87" t="b">
        <f t="shared" si="102"/>
        <v>1</v>
      </c>
      <c r="AK205" s="88">
        <f t="shared" si="83"/>
        <v>1.5666859410985376E-3</v>
      </c>
      <c r="AL205" s="312">
        <f>+AC205/'MWh by month-WgtbyCDH&amp;DayLtHrs'!AC205-1</f>
        <v>9.0434577687197315E-2</v>
      </c>
      <c r="AM205" s="89">
        <f t="shared" si="96"/>
        <v>383588.95050904166</v>
      </c>
      <c r="AN205" s="93"/>
      <c r="AO205" s="96">
        <f t="shared" si="87"/>
        <v>73.793458199387999</v>
      </c>
      <c r="AP205" s="92">
        <f t="shared" si="86"/>
        <v>6.3161305163527528E-3</v>
      </c>
      <c r="AR205" s="94">
        <f t="shared" si="97"/>
        <v>3.2798425253807148E-2</v>
      </c>
      <c r="AS205" s="95">
        <v>1525924.4689069695</v>
      </c>
      <c r="AU205" s="141">
        <v>383.19493504864681</v>
      </c>
    </row>
    <row r="206" spans="1:47">
      <c r="A206" s="78">
        <v>2021</v>
      </c>
      <c r="B206" s="78">
        <v>10</v>
      </c>
      <c r="C206" s="317">
        <f t="shared" si="105"/>
        <v>198.89039579254836</v>
      </c>
      <c r="D206" s="324">
        <f t="shared" si="104"/>
        <v>0.11062780534683357</v>
      </c>
      <c r="E206" s="321">
        <f>$D206*'MWh Impact Summary'!B$27</f>
        <v>368085.41680035461</v>
      </c>
      <c r="F206" s="319">
        <f>$D206*'MWh Impact Summary'!N$27</f>
        <v>48368.017010087642</v>
      </c>
      <c r="G206" s="319">
        <f>$D206*'MWh Impact Summary'!C$27</f>
        <v>256538.41581438767</v>
      </c>
      <c r="H206" s="319">
        <f>$D206*'MWh Impact Summary'!D$27</f>
        <v>1103.1172366836822</v>
      </c>
      <c r="I206" s="319">
        <f>$D206*'MWh Impact Summary'!E$27</f>
        <v>94104.21145207595</v>
      </c>
      <c r="J206" s="104">
        <f t="shared" si="98"/>
        <v>768199.17831358954</v>
      </c>
      <c r="K206" s="298">
        <f t="shared" si="82"/>
        <v>12.466666666666667</v>
      </c>
      <c r="L206" s="300">
        <f t="shared" si="89"/>
        <v>8.7762524932535488E-2</v>
      </c>
      <c r="M206" s="297">
        <f t="shared" si="103"/>
        <v>8.4931506849315067E-2</v>
      </c>
      <c r="N206" s="304">
        <f>$M206*'MWh Impact Summary'!F$27</f>
        <v>146287.57986945406</v>
      </c>
      <c r="O206" s="304">
        <f>$M206*'MWh Impact Summary'!G$27</f>
        <v>15670.265720436975</v>
      </c>
      <c r="P206" s="304">
        <f>$M206*'MWh Impact Summary'!H$27</f>
        <v>9566.7797527246166</v>
      </c>
      <c r="Q206" s="320">
        <f>$D206*'MWh Impact Summary'!I$27</f>
        <v>2083.3459402806861</v>
      </c>
      <c r="R206" s="304">
        <f>$M206*'MWh Impact Summary'!J$27</f>
        <v>44687.952157098225</v>
      </c>
      <c r="S206" s="304">
        <f>$M206*'MWh Impact Summary'!K$27</f>
        <v>24615.749176464124</v>
      </c>
      <c r="T206" s="304">
        <f>$M206*'MWh Impact Summary'!L$27</f>
        <v>8659.6462628792251</v>
      </c>
      <c r="U206" s="304">
        <f>$M206*'MWh Impact Summary'!M$27</f>
        <v>27059.567039112593</v>
      </c>
      <c r="V206" s="304">
        <f>$M206*'LED Impact Forecast'!$H$28+$D206*'LED Impact Forecast'!$J$28</f>
        <v>122376.77526319731</v>
      </c>
      <c r="W206" s="304">
        <f>$M206*'CFL Impact Forecast'!$H$28+$D206*'CFL Impact Forecast'!$J$28</f>
        <v>366710.13203118229</v>
      </c>
      <c r="X206" s="304">
        <f>$M206*'EISA Incand Impact Forecast'!$G$28+$D206*'EISA Incand Impact Forecast'!$I$28</f>
        <v>130419.47186631063</v>
      </c>
      <c r="Y206" s="85">
        <f t="shared" si="90"/>
        <v>898137.26507914066</v>
      </c>
      <c r="Z206" s="81">
        <f t="shared" si="91"/>
        <v>1666336.4433927303</v>
      </c>
      <c r="AA206" s="81"/>
      <c r="AB206" s="262">
        <f>+'MWh by mo-WgtbyActulCDH&amp;Days'!AB206</f>
        <v>5203221.4699283605</v>
      </c>
      <c r="AC206" s="308">
        <f t="shared" si="99"/>
        <v>320.25091628776522</v>
      </c>
      <c r="AD206" s="309">
        <f t="shared" si="92"/>
        <v>147.63914677730725</v>
      </c>
      <c r="AE206" s="107">
        <f t="shared" si="93"/>
        <v>1.1842712308340154E-2</v>
      </c>
      <c r="AF206" s="309">
        <f t="shared" si="100"/>
        <v>172.611769510458</v>
      </c>
      <c r="AG206" s="107">
        <f t="shared" si="94"/>
        <v>1.3845863864475241E-2</v>
      </c>
      <c r="AH206" s="119">
        <f t="shared" si="101"/>
        <v>2.5688576172815395E-2</v>
      </c>
      <c r="AI206" s="122">
        <f t="shared" si="95"/>
        <v>2.5688576172815392E-2</v>
      </c>
      <c r="AJ206" s="87" t="b">
        <f t="shared" si="102"/>
        <v>1</v>
      </c>
      <c r="AK206" s="88">
        <f t="shared" si="83"/>
        <v>1.2777921801477889E-3</v>
      </c>
      <c r="AL206" s="312">
        <f>+AC206/'MWh by month-WgtbyCDH&amp;DayLtHrs'!AC206-1</f>
        <v>4.3557116477754843E-2</v>
      </c>
      <c r="AM206" s="89">
        <f t="shared" si="96"/>
        <v>366710.13203118229</v>
      </c>
      <c r="AN206" s="93"/>
      <c r="AO206" s="96">
        <f t="shared" si="87"/>
        <v>70.477517466930209</v>
      </c>
      <c r="AP206" s="92">
        <f t="shared" si="86"/>
        <v>5.6532768021601773E-3</v>
      </c>
      <c r="AR206" s="94">
        <f t="shared" si="97"/>
        <v>2.5688576172815392E-2</v>
      </c>
      <c r="AS206" s="95">
        <v>1246983.1319195579</v>
      </c>
      <c r="AU206" s="141">
        <v>320.25091628776522</v>
      </c>
    </row>
    <row r="207" spans="1:47">
      <c r="A207" s="78">
        <v>2021</v>
      </c>
      <c r="B207" s="78">
        <v>11</v>
      </c>
      <c r="C207" s="317">
        <f t="shared" si="105"/>
        <v>78.117279066674627</v>
      </c>
      <c r="D207" s="324">
        <f t="shared" si="104"/>
        <v>4.3450781564265642E-2</v>
      </c>
      <c r="E207" s="321">
        <f>$D207*'MWh Impact Summary'!B$27</f>
        <v>144571.24040598766</v>
      </c>
      <c r="F207" s="319">
        <f>$D207*'MWh Impact Summary'!N$27</f>
        <v>18997.286759988652</v>
      </c>
      <c r="G207" s="319">
        <f>$D207*'MWh Impact Summary'!C$27</f>
        <v>100759.43053780156</v>
      </c>
      <c r="H207" s="319">
        <f>$D207*'MWh Impact Summary'!D$27</f>
        <v>433.26635596401536</v>
      </c>
      <c r="I207" s="319">
        <f>$D207*'MWh Impact Summary'!E$27</f>
        <v>36960.884501526009</v>
      </c>
      <c r="J207" s="104">
        <f t="shared" si="98"/>
        <v>301722.10856126784</v>
      </c>
      <c r="K207" s="298">
        <f t="shared" si="82"/>
        <v>13.15</v>
      </c>
      <c r="L207" s="300">
        <f t="shared" si="89"/>
        <v>9.2573037662794788E-2</v>
      </c>
      <c r="M207" s="297">
        <f>(30/365)</f>
        <v>8.2191780821917804E-2</v>
      </c>
      <c r="N207" s="304">
        <f>$M207*'MWh Impact Summary'!F$27</f>
        <v>141568.62568011682</v>
      </c>
      <c r="O207" s="304">
        <f>$M207*'MWh Impact Summary'!G$27</f>
        <v>15164.773277842232</v>
      </c>
      <c r="P207" s="304">
        <f>$M207*'MWh Impact Summary'!H$27</f>
        <v>9258.1739542496289</v>
      </c>
      <c r="Q207" s="320">
        <f>$D207*'MWh Impact Summary'!I$27</f>
        <v>818.26633991457629</v>
      </c>
      <c r="R207" s="304">
        <f>$M207*'MWh Impact Summary'!J$27</f>
        <v>43246.405313320865</v>
      </c>
      <c r="S207" s="304">
        <f>$M207*'MWh Impact Summary'!K$27</f>
        <v>23821.692751416893</v>
      </c>
      <c r="T207" s="304">
        <f>$M207*'MWh Impact Summary'!L$27</f>
        <v>8380.302835044411</v>
      </c>
      <c r="U207" s="304">
        <f>$M207*'MWh Impact Summary'!M$27</f>
        <v>26186.67777978638</v>
      </c>
      <c r="V207" s="304">
        <f>$M207*'LED Impact Forecast'!$H$28+$D207*'LED Impact Forecast'!$J$28</f>
        <v>106411.79830490344</v>
      </c>
      <c r="W207" s="304">
        <f>$M207*'CFL Impact Forecast'!$H$28+$D207*'CFL Impact Forecast'!$J$28</f>
        <v>316439.15234678017</v>
      </c>
      <c r="X207" s="304">
        <f>$M207*'EISA Incand Impact Forecast'!$G$28+$D207*'EISA Incand Impact Forecast'!$I$28</f>
        <v>111640.19234045956</v>
      </c>
      <c r="Y207" s="85">
        <f t="shared" si="90"/>
        <v>802936.06092383491</v>
      </c>
      <c r="Z207" s="81">
        <f t="shared" si="91"/>
        <v>1104658.1694851029</v>
      </c>
      <c r="AA207" s="81"/>
      <c r="AB207" s="262">
        <f>+'MWh by mo-WgtbyActulCDH&amp;Days'!AB207</f>
        <v>5208331.8045660509</v>
      </c>
      <c r="AC207" s="308">
        <f t="shared" si="99"/>
        <v>212.09443079580086</v>
      </c>
      <c r="AD207" s="309">
        <f t="shared" si="92"/>
        <v>57.930661847763524</v>
      </c>
      <c r="AE207" s="107">
        <f t="shared" si="93"/>
        <v>4.4053735245447546E-3</v>
      </c>
      <c r="AF207" s="309">
        <f t="shared" si="100"/>
        <v>154.16376894803733</v>
      </c>
      <c r="AG207" s="107">
        <f t="shared" si="94"/>
        <v>1.1723480528367858E-2</v>
      </c>
      <c r="AH207" s="119">
        <f t="shared" si="101"/>
        <v>1.6128854052912613E-2</v>
      </c>
      <c r="AI207" s="122">
        <f t="shared" si="95"/>
        <v>1.6128854052912613E-2</v>
      </c>
      <c r="AJ207" s="87" t="b">
        <f t="shared" si="102"/>
        <v>1</v>
      </c>
      <c r="AK207" s="88">
        <f t="shared" si="83"/>
        <v>8.7925599329615432E-4</v>
      </c>
      <c r="AL207" s="312">
        <f>+AC207/'MWh by month-WgtbyCDH&amp;DayLtHrs'!AC207-1</f>
        <v>-8.9338052785407629E-2</v>
      </c>
      <c r="AM207" s="89">
        <f t="shared" si="96"/>
        <v>316439.15234678017</v>
      </c>
      <c r="AN207" s="93"/>
      <c r="AO207" s="96">
        <f t="shared" si="87"/>
        <v>60.756335083982869</v>
      </c>
      <c r="AP207" s="92">
        <f t="shared" si="86"/>
        <v>4.6202536185538301E-3</v>
      </c>
      <c r="AR207" s="94">
        <f t="shared" si="97"/>
        <v>1.6128854052912613E-2</v>
      </c>
      <c r="AS207" s="95">
        <v>989876.09988125623</v>
      </c>
      <c r="AU207" s="141">
        <v>212.09443079580086</v>
      </c>
    </row>
    <row r="208" spans="1:47">
      <c r="A208" s="78">
        <v>2021</v>
      </c>
      <c r="B208" s="78">
        <v>12</v>
      </c>
      <c r="C208" s="317">
        <f t="shared" si="105"/>
        <v>0</v>
      </c>
      <c r="D208" s="324">
        <f t="shared" si="104"/>
        <v>0</v>
      </c>
      <c r="E208" s="321">
        <f>$D208*'MWh Impact Summary'!B$27</f>
        <v>0</v>
      </c>
      <c r="F208" s="319">
        <f>$D208*'MWh Impact Summary'!N$27</f>
        <v>0</v>
      </c>
      <c r="G208" s="319">
        <f>$D208*'MWh Impact Summary'!C$27</f>
        <v>0</v>
      </c>
      <c r="H208" s="319">
        <f>$D208*'MWh Impact Summary'!D$27</f>
        <v>0</v>
      </c>
      <c r="I208" s="319">
        <f>$D208*'MWh Impact Summary'!E$27</f>
        <v>0</v>
      </c>
      <c r="J208" s="104">
        <f t="shared" si="98"/>
        <v>0</v>
      </c>
      <c r="K208" s="298">
        <f t="shared" si="82"/>
        <v>13.483333333333333</v>
      </c>
      <c r="L208" s="300">
        <f t="shared" si="89"/>
        <v>9.491962923853102E-2</v>
      </c>
      <c r="M208" s="297">
        <f t="shared" si="103"/>
        <v>8.4931506849315067E-2</v>
      </c>
      <c r="N208" s="304">
        <f>$M208*'MWh Impact Summary'!F$27</f>
        <v>146287.57986945406</v>
      </c>
      <c r="O208" s="304">
        <f>$M208*'MWh Impact Summary'!G$27</f>
        <v>15670.265720436975</v>
      </c>
      <c r="P208" s="304">
        <f>$M208*'MWh Impact Summary'!H$27</f>
        <v>9566.7797527246166</v>
      </c>
      <c r="Q208" s="320">
        <f>$D208*'MWh Impact Summary'!I$27</f>
        <v>0</v>
      </c>
      <c r="R208" s="304">
        <f>$M208*'MWh Impact Summary'!J$27</f>
        <v>44687.952157098225</v>
      </c>
      <c r="S208" s="304">
        <f>$M208*'MWh Impact Summary'!K$27</f>
        <v>24615.749176464124</v>
      </c>
      <c r="T208" s="304">
        <f>$M208*'MWh Impact Summary'!L$27</f>
        <v>8659.6462628792251</v>
      </c>
      <c r="U208" s="304">
        <f>$M208*'MWh Impact Summary'!M$27</f>
        <v>27059.567039112593</v>
      </c>
      <c r="V208" s="304">
        <f>$M208*'LED Impact Forecast'!$H$28+$D208*'LED Impact Forecast'!$J$28</f>
        <v>101476.1998608638</v>
      </c>
      <c r="W208" s="304">
        <f>$M208*'CFL Impact Forecast'!$H$28+$D208*'CFL Impact Forecast'!$J$28</f>
        <v>299852.40366515197</v>
      </c>
      <c r="X208" s="304">
        <f>$M208*'EISA Incand Impact Forecast'!$G$28+$D208*'EISA Incand Impact Forecast'!$I$28</f>
        <v>105075.47855204505</v>
      </c>
      <c r="Y208" s="85">
        <f t="shared" si="90"/>
        <v>782951.62205623067</v>
      </c>
      <c r="Z208" s="81">
        <f t="shared" si="91"/>
        <v>782951.62205623067</v>
      </c>
      <c r="AA208" s="81">
        <f>SUM(Z197:Z208)</f>
        <v>17203820.954870343</v>
      </c>
      <c r="AB208" s="262">
        <f>+'MWh by mo-WgtbyActulCDH&amp;Days'!AB208</f>
        <v>5213464.9586801976</v>
      </c>
      <c r="AC208" s="308">
        <f t="shared" si="99"/>
        <v>150.17874451283106</v>
      </c>
      <c r="AD208" s="309">
        <f t="shared" si="92"/>
        <v>0</v>
      </c>
      <c r="AE208" s="107">
        <f t="shared" si="93"/>
        <v>0</v>
      </c>
      <c r="AF208" s="309">
        <f t="shared" si="100"/>
        <v>150.17874451283106</v>
      </c>
      <c r="AG208" s="107">
        <f t="shared" si="94"/>
        <v>1.1138102188837904E-2</v>
      </c>
      <c r="AH208" s="119">
        <f t="shared" si="101"/>
        <v>1.1138102188837904E-2</v>
      </c>
      <c r="AI208" s="122">
        <f t="shared" si="95"/>
        <v>1.1138102188837904E-2</v>
      </c>
      <c r="AJ208" s="87" t="b">
        <f t="shared" si="102"/>
        <v>1</v>
      </c>
      <c r="AK208" s="88">
        <f t="shared" si="83"/>
        <v>6.844908996892652E-4</v>
      </c>
      <c r="AL208" s="312">
        <f>+AC208/'MWh by month-WgtbyCDH&amp;DayLtHrs'!AC208-1</f>
        <v>-0.29373275051424197</v>
      </c>
      <c r="AM208" s="89">
        <f t="shared" si="96"/>
        <v>299852.40366515197</v>
      </c>
      <c r="AN208" s="90">
        <f>SUM(AM197:AM208)</f>
        <v>4134868.5572393904</v>
      </c>
      <c r="AO208" s="96">
        <f t="shared" si="87"/>
        <v>57.514993587117232</v>
      </c>
      <c r="AP208" s="92">
        <f t="shared" si="86"/>
        <v>4.2656361127651841E-3</v>
      </c>
      <c r="AR208" s="94">
        <f t="shared" si="97"/>
        <v>1.1138102188837904E-2</v>
      </c>
      <c r="AS208" s="95">
        <v>831922.77553708537</v>
      </c>
      <c r="AU208" s="141">
        <v>150.17874451283106</v>
      </c>
    </row>
    <row r="209" spans="1:47">
      <c r="A209" s="78">
        <v>2022</v>
      </c>
      <c r="B209" s="78">
        <v>1</v>
      </c>
      <c r="C209" s="317">
        <f t="shared" si="105"/>
        <v>0</v>
      </c>
      <c r="D209" s="324">
        <f t="shared" si="104"/>
        <v>0</v>
      </c>
      <c r="E209" s="321">
        <f>$D209*'MWh Impact Summary'!B$28</f>
        <v>0</v>
      </c>
      <c r="F209" s="319">
        <f>$D209*'MWh Impact Summary'!N$28</f>
        <v>0</v>
      </c>
      <c r="G209" s="319">
        <f>$D209*'MWh Impact Summary'!C$28</f>
        <v>0</v>
      </c>
      <c r="H209" s="319">
        <f>$D209*'MWh Impact Summary'!D$28</f>
        <v>0</v>
      </c>
      <c r="I209" s="319">
        <f>$D209*'MWh Impact Summary'!E$28</f>
        <v>0</v>
      </c>
      <c r="J209" s="104">
        <f t="shared" si="98"/>
        <v>0</v>
      </c>
      <c r="K209" s="298">
        <f t="shared" si="82"/>
        <v>13.3</v>
      </c>
      <c r="L209" s="300">
        <f t="shared" si="89"/>
        <v>9.3629003871876101E-2</v>
      </c>
      <c r="M209" s="297">
        <f>(31/365)</f>
        <v>8.4931506849315067E-2</v>
      </c>
      <c r="N209" s="304">
        <f>$M209*'MWh Impact Summary'!F$28</f>
        <v>157034.48949249662</v>
      </c>
      <c r="O209" s="304">
        <f>$M209*'MWh Impact Summary'!G$28</f>
        <v>19880.627707039388</v>
      </c>
      <c r="P209" s="304">
        <f>$M209*'MWh Impact Summary'!H$28</f>
        <v>10124.650232578459</v>
      </c>
      <c r="Q209" s="320">
        <f>$D209*'MWh Impact Summary'!I$28</f>
        <v>0</v>
      </c>
      <c r="R209" s="304">
        <f>$M209*'MWh Impact Summary'!J$28</f>
        <v>46094.558607231847</v>
      </c>
      <c r="S209" s="304">
        <f>$M209*'MWh Impact Summary'!K$28</f>
        <v>27781.869342715021</v>
      </c>
      <c r="T209" s="304">
        <f>$M209*'MWh Impact Summary'!L$28</f>
        <v>9926.9397048067713</v>
      </c>
      <c r="U209" s="304">
        <f>$M209*'MWh Impact Summary'!M$28</f>
        <v>30833.507467980115</v>
      </c>
      <c r="V209" s="304">
        <f>$M209*'LED Impact Forecast'!$H$29+$D209*'LED Impact Forecast'!$J$29</f>
        <v>143523.223442755</v>
      </c>
      <c r="W209" s="304">
        <f>$M209*'CFL Impact Forecast'!$H$29+$D209*'CFL Impact Forecast'!$J$29</f>
        <v>303583.47932167997</v>
      </c>
      <c r="X209" s="304">
        <f>$M209*'EISA Incand Impact Forecast'!$G$29+$D209*'EISA Incand Impact Forecast'!$I$29</f>
        <v>105075.47855204505</v>
      </c>
      <c r="Y209" s="85">
        <f t="shared" si="90"/>
        <v>853858.82387132826</v>
      </c>
      <c r="Z209" s="81">
        <f t="shared" si="91"/>
        <v>853858.82387132826</v>
      </c>
      <c r="AA209" s="81"/>
      <c r="AB209" s="262">
        <f>+'MWh by mo-WgtbyActulCDH&amp;Days'!AB209</f>
        <v>5218681.4177877083</v>
      </c>
      <c r="AC209" s="308">
        <f t="shared" si="99"/>
        <v>163.61581700714243</v>
      </c>
      <c r="AD209" s="309">
        <f t="shared" si="92"/>
        <v>0</v>
      </c>
      <c r="AE209" s="107">
        <f t="shared" si="93"/>
        <v>0</v>
      </c>
      <c r="AF209" s="309">
        <f t="shared" si="100"/>
        <v>163.61581700714243</v>
      </c>
      <c r="AG209" s="107">
        <f t="shared" si="94"/>
        <v>1.2301941128356572E-2</v>
      </c>
      <c r="AH209" s="119">
        <f t="shared" si="101"/>
        <v>1.2301941128356572E-2</v>
      </c>
      <c r="AI209" s="122">
        <f t="shared" si="95"/>
        <v>1.2301941128356572E-2</v>
      </c>
      <c r="AJ209" s="87" t="b">
        <f t="shared" si="102"/>
        <v>1</v>
      </c>
      <c r="AK209" s="88">
        <f t="shared" si="83"/>
        <v>8.8715410090509268E-4</v>
      </c>
      <c r="AL209" s="312">
        <f>+AC209/'MWh by month-WgtbyCDH&amp;DayLtHrs'!AC209-1</f>
        <v>-0.24401341796465126</v>
      </c>
      <c r="AM209" s="89">
        <f t="shared" si="96"/>
        <v>303583.47932167997</v>
      </c>
      <c r="AN209" s="93"/>
      <c r="AO209" s="96">
        <f t="shared" si="87"/>
        <v>58.172449133784134</v>
      </c>
      <c r="AP209" s="92">
        <f t="shared" si="86"/>
        <v>4.3738683559236182E-3</v>
      </c>
      <c r="AR209" s="94">
        <f t="shared" si="97"/>
        <v>1.2301941128356572E-2</v>
      </c>
      <c r="AS209" s="95">
        <v>840001.90652615612</v>
      </c>
      <c r="AU209" s="141">
        <v>163.61581700714243</v>
      </c>
    </row>
    <row r="210" spans="1:47">
      <c r="A210" s="78">
        <v>2022</v>
      </c>
      <c r="B210" s="78">
        <v>2</v>
      </c>
      <c r="C210" s="317">
        <f t="shared" si="105"/>
        <v>0</v>
      </c>
      <c r="D210" s="324">
        <f t="shared" si="104"/>
        <v>0</v>
      </c>
      <c r="E210" s="321">
        <f>$D210*'MWh Impact Summary'!B$28</f>
        <v>0</v>
      </c>
      <c r="F210" s="319">
        <f>$D210*'MWh Impact Summary'!N$28</f>
        <v>0</v>
      </c>
      <c r="G210" s="319">
        <f>$D210*'MWh Impact Summary'!C$28</f>
        <v>0</v>
      </c>
      <c r="H210" s="319">
        <f>$D210*'MWh Impact Summary'!D$28</f>
        <v>0</v>
      </c>
      <c r="I210" s="319">
        <f>$D210*'MWh Impact Summary'!E$28</f>
        <v>0</v>
      </c>
      <c r="J210" s="104">
        <f t="shared" si="98"/>
        <v>0</v>
      </c>
      <c r="K210" s="298">
        <f t="shared" ref="K210:K268" si="106">+K198</f>
        <v>12.733333333333333</v>
      </c>
      <c r="L210" s="300">
        <f t="shared" si="89"/>
        <v>8.9639798193124468E-2</v>
      </c>
      <c r="M210" s="297">
        <f>(28/365)</f>
        <v>7.6712328767123292E-2</v>
      </c>
      <c r="N210" s="304">
        <f>$M210*'MWh Impact Summary'!F$28</f>
        <v>141837.60341257759</v>
      </c>
      <c r="O210" s="304">
        <f>$M210*'MWh Impact Summary'!G$28</f>
        <v>17956.69599345493</v>
      </c>
      <c r="P210" s="304">
        <f>$M210*'MWh Impact Summary'!H$28</f>
        <v>9144.8453713611889</v>
      </c>
      <c r="Q210" s="320">
        <f>$D210*'MWh Impact Summary'!I$28</f>
        <v>0</v>
      </c>
      <c r="R210" s="304">
        <f>$M210*'MWh Impact Summary'!J$28</f>
        <v>41633.794871048121</v>
      </c>
      <c r="S210" s="304">
        <f>$M210*'MWh Impact Summary'!K$28</f>
        <v>25093.301341807117</v>
      </c>
      <c r="T210" s="304">
        <f>$M210*'MWh Impact Summary'!L$28</f>
        <v>8966.2681204706332</v>
      </c>
      <c r="U210" s="304">
        <f>$M210*'MWh Impact Summary'!M$28</f>
        <v>27849.61964849817</v>
      </c>
      <c r="V210" s="304">
        <f>$M210*'LED Impact Forecast'!$H$29+$D210*'LED Impact Forecast'!$J$29</f>
        <v>129633.87923861742</v>
      </c>
      <c r="W210" s="304">
        <f>$M210*'CFL Impact Forecast'!$H$29+$D210*'CFL Impact Forecast'!$J$29</f>
        <v>274204.43293571094</v>
      </c>
      <c r="X210" s="304">
        <f>$M210*'EISA Incand Impact Forecast'!$G$29+$D210*'EISA Incand Impact Forecast'!$I$29</f>
        <v>94906.883853460051</v>
      </c>
      <c r="Y210" s="85">
        <f t="shared" si="90"/>
        <v>771227.32478700613</v>
      </c>
      <c r="Z210" s="81">
        <f t="shared" si="91"/>
        <v>771227.32478700613</v>
      </c>
      <c r="AA210" s="81"/>
      <c r="AB210" s="262">
        <f>+'MWh by mo-WgtbyActulCDH&amp;Days'!AB210</f>
        <v>5223815.6567590404</v>
      </c>
      <c r="AC210" s="308">
        <f t="shared" si="99"/>
        <v>147.63678036554049</v>
      </c>
      <c r="AD210" s="309">
        <f t="shared" si="92"/>
        <v>0</v>
      </c>
      <c r="AE210" s="107">
        <f t="shared" si="93"/>
        <v>0</v>
      </c>
      <c r="AF210" s="309">
        <f t="shared" si="100"/>
        <v>147.63678036554049</v>
      </c>
      <c r="AG210" s="107">
        <f t="shared" si="94"/>
        <v>1.1594511547031975E-2</v>
      </c>
      <c r="AH210" s="119">
        <f t="shared" si="101"/>
        <v>1.1594511547031975E-2</v>
      </c>
      <c r="AI210" s="122">
        <f t="shared" si="95"/>
        <v>1.1594511547031975E-2</v>
      </c>
      <c r="AJ210" s="87" t="b">
        <f t="shared" si="102"/>
        <v>1</v>
      </c>
      <c r="AK210" s="88">
        <f t="shared" si="83"/>
        <v>8.3617761859830497E-4</v>
      </c>
      <c r="AL210" s="312">
        <f>+AC210/'MWh by month-WgtbyCDH&amp;DayLtHrs'!AC210-1</f>
        <v>-0.31370558638331258</v>
      </c>
      <c r="AM210" s="89">
        <f t="shared" si="96"/>
        <v>274204.43293571094</v>
      </c>
      <c r="AN210" s="93"/>
      <c r="AO210" s="96">
        <f t="shared" si="87"/>
        <v>52.491215416631462</v>
      </c>
      <c r="AP210" s="92">
        <f t="shared" si="86"/>
        <v>4.1223467604684398E-3</v>
      </c>
      <c r="AR210" s="94">
        <f t="shared" si="97"/>
        <v>1.1594511547031975E-2</v>
      </c>
      <c r="AS210" s="95">
        <v>775729.3207495173</v>
      </c>
      <c r="AU210" s="141">
        <v>147.63678036554049</v>
      </c>
    </row>
    <row r="211" spans="1:47">
      <c r="A211" s="78">
        <v>2022</v>
      </c>
      <c r="B211" s="78">
        <v>3</v>
      </c>
      <c r="C211" s="317">
        <f t="shared" si="105"/>
        <v>0</v>
      </c>
      <c r="D211" s="324">
        <f t="shared" si="104"/>
        <v>0</v>
      </c>
      <c r="E211" s="321">
        <f>$D211*'MWh Impact Summary'!B$28</f>
        <v>0</v>
      </c>
      <c r="F211" s="319">
        <f>$D211*'MWh Impact Summary'!N$28</f>
        <v>0</v>
      </c>
      <c r="G211" s="319">
        <f>$D211*'MWh Impact Summary'!C$28</f>
        <v>0</v>
      </c>
      <c r="H211" s="319">
        <f>$D211*'MWh Impact Summary'!D$28</f>
        <v>0</v>
      </c>
      <c r="I211" s="319">
        <f>$D211*'MWh Impact Summary'!E$28</f>
        <v>0</v>
      </c>
      <c r="J211" s="104">
        <f t="shared" si="98"/>
        <v>0</v>
      </c>
      <c r="K211" s="298">
        <f t="shared" si="106"/>
        <v>12</v>
      </c>
      <c r="L211" s="300">
        <f t="shared" si="89"/>
        <v>8.4477296726504739E-2</v>
      </c>
      <c r="M211" s="297">
        <f t="shared" ref="M211:M220" si="107">(31/365)</f>
        <v>8.4931506849315067E-2</v>
      </c>
      <c r="N211" s="304">
        <f>$M211*'MWh Impact Summary'!F$28</f>
        <v>157034.48949249662</v>
      </c>
      <c r="O211" s="304">
        <f>$M211*'MWh Impact Summary'!G$28</f>
        <v>19880.627707039388</v>
      </c>
      <c r="P211" s="304">
        <f>$M211*'MWh Impact Summary'!H$28</f>
        <v>10124.650232578459</v>
      </c>
      <c r="Q211" s="320">
        <f>$D211*'MWh Impact Summary'!I$28</f>
        <v>0</v>
      </c>
      <c r="R211" s="304">
        <f>$M211*'MWh Impact Summary'!J$28</f>
        <v>46094.558607231847</v>
      </c>
      <c r="S211" s="304">
        <f>$M211*'MWh Impact Summary'!K$28</f>
        <v>27781.869342715021</v>
      </c>
      <c r="T211" s="304">
        <f>$M211*'MWh Impact Summary'!L$28</f>
        <v>9926.9397048067713</v>
      </c>
      <c r="U211" s="304">
        <f>$M211*'MWh Impact Summary'!M$28</f>
        <v>30833.507467980115</v>
      </c>
      <c r="V211" s="304">
        <f>$M211*'LED Impact Forecast'!$H$29+$D211*'LED Impact Forecast'!$J$29</f>
        <v>143523.223442755</v>
      </c>
      <c r="W211" s="304">
        <f>$M211*'CFL Impact Forecast'!$H$29+$D211*'CFL Impact Forecast'!$J$29</f>
        <v>303583.47932167997</v>
      </c>
      <c r="X211" s="304">
        <f>$M211*'EISA Incand Impact Forecast'!$G$29+$D211*'EISA Incand Impact Forecast'!$I$29</f>
        <v>105075.47855204505</v>
      </c>
      <c r="Y211" s="85">
        <f t="shared" si="90"/>
        <v>853858.82387132826</v>
      </c>
      <c r="Z211" s="81">
        <f t="shared" si="91"/>
        <v>853858.82387132826</v>
      </c>
      <c r="AA211" s="81"/>
      <c r="AB211" s="262">
        <f>+'MWh by mo-WgtbyActulCDH&amp;Days'!AB211</f>
        <v>5229019.600151482</v>
      </c>
      <c r="AC211" s="308">
        <f t="shared" si="99"/>
        <v>163.29233568881486</v>
      </c>
      <c r="AD211" s="309">
        <f t="shared" si="92"/>
        <v>0</v>
      </c>
      <c r="AE211" s="107">
        <f t="shared" si="93"/>
        <v>0</v>
      </c>
      <c r="AF211" s="309">
        <f t="shared" si="100"/>
        <v>163.29233568881486</v>
      </c>
      <c r="AG211" s="107">
        <f t="shared" si="94"/>
        <v>1.3607694640734571E-2</v>
      </c>
      <c r="AH211" s="119">
        <f t="shared" si="101"/>
        <v>1.3607694640734571E-2</v>
      </c>
      <c r="AI211" s="122">
        <f t="shared" si="95"/>
        <v>1.3607694640734571E-2</v>
      </c>
      <c r="AJ211" s="87" t="b">
        <f t="shared" si="102"/>
        <v>1</v>
      </c>
      <c r="AK211" s="88">
        <f t="shared" si="83"/>
        <v>9.8148990121086493E-4</v>
      </c>
      <c r="AL211" s="312">
        <f>+AC211/'MWh by month-WgtbyCDH&amp;DayLtHrs'!AC211-1</f>
        <v>-0.27814389126906058</v>
      </c>
      <c r="AM211" s="89">
        <f t="shared" si="96"/>
        <v>303583.47932167997</v>
      </c>
      <c r="AN211" s="93"/>
      <c r="AO211" s="96">
        <f t="shared" si="87"/>
        <v>58.057437633793782</v>
      </c>
      <c r="AP211" s="92">
        <f t="shared" si="86"/>
        <v>4.8381198028161487E-3</v>
      </c>
      <c r="AR211" s="94">
        <f t="shared" si="97"/>
        <v>1.3607694640734571E-2</v>
      </c>
      <c r="AS211" s="95">
        <v>922588.25556952658</v>
      </c>
      <c r="AU211" s="141">
        <v>163.29233568881486</v>
      </c>
    </row>
    <row r="212" spans="1:47">
      <c r="A212" s="78">
        <v>2022</v>
      </c>
      <c r="B212" s="78">
        <v>4</v>
      </c>
      <c r="C212" s="317">
        <f t="shared" si="105"/>
        <v>114.03392869270741</v>
      </c>
      <c r="D212" s="324">
        <f t="shared" si="104"/>
        <v>6.3428519090031305E-2</v>
      </c>
      <c r="E212" s="321">
        <f>$D212*'MWh Impact Summary'!B$28</f>
        <v>224052.818504789</v>
      </c>
      <c r="F212" s="319">
        <f>$D212*'MWh Impact Summary'!N$28</f>
        <v>31009.996652273436</v>
      </c>
      <c r="G212" s="319">
        <f>$D212*'MWh Impact Summary'!C$28</f>
        <v>150714.5417922725</v>
      </c>
      <c r="H212" s="319">
        <f>$D212*'MWh Impact Summary'!D$28</f>
        <v>685.69792169022423</v>
      </c>
      <c r="I212" s="319">
        <f>$D212*'MWh Impact Summary'!E$28</f>
        <v>54651.757840767656</v>
      </c>
      <c r="J212" s="104">
        <f t="shared" si="98"/>
        <v>461114.81271179288</v>
      </c>
      <c r="K212" s="298">
        <f t="shared" si="106"/>
        <v>11.2</v>
      </c>
      <c r="L212" s="300">
        <f t="shared" si="89"/>
        <v>7.8845476944737758E-2</v>
      </c>
      <c r="M212" s="297">
        <f>(30/365)</f>
        <v>8.2191780821917804E-2</v>
      </c>
      <c r="N212" s="304">
        <f>$M212*'MWh Impact Summary'!F$28</f>
        <v>151968.86079919027</v>
      </c>
      <c r="O212" s="304">
        <f>$M212*'MWh Impact Summary'!G$28</f>
        <v>19239.317135844569</v>
      </c>
      <c r="P212" s="304">
        <f>$M212*'MWh Impact Summary'!H$28</f>
        <v>9798.0486121727008</v>
      </c>
      <c r="Q212" s="320">
        <f>$D212*'MWh Impact Summary'!I$28</f>
        <v>1263.6415974386468</v>
      </c>
      <c r="R212" s="304">
        <f>$M212*'MWh Impact Summary'!J$28</f>
        <v>44607.637361837267</v>
      </c>
      <c r="S212" s="304">
        <f>$M212*'MWh Impact Summary'!K$28</f>
        <v>26885.680009079049</v>
      </c>
      <c r="T212" s="304">
        <f>$M212*'MWh Impact Summary'!L$28</f>
        <v>9606.7158433613913</v>
      </c>
      <c r="U212" s="304">
        <f>$M212*'MWh Impact Summary'!M$28</f>
        <v>29838.878194819466</v>
      </c>
      <c r="V212" s="304">
        <f>$M212*'LED Impact Forecast'!$H$29+$D212*'LED Impact Forecast'!$J$29</f>
        <v>156699.12568936581</v>
      </c>
      <c r="W212" s="304">
        <f>$M212*'CFL Impact Forecast'!$H$29+$D212*'CFL Impact Forecast'!$J$29</f>
        <v>332638.51534701529</v>
      </c>
      <c r="X212" s="304">
        <f>$M212*'EISA Incand Impact Forecast'!$G$29+$D212*'EISA Incand Impact Forecast'!$I$29</f>
        <v>116216.94087759078</v>
      </c>
      <c r="Y212" s="85">
        <f t="shared" si="90"/>
        <v>898763.36146771512</v>
      </c>
      <c r="Z212" s="81">
        <f t="shared" si="91"/>
        <v>1359878.1741795079</v>
      </c>
      <c r="AA212" s="81"/>
      <c r="AB212" s="262">
        <f>+'MWh by mo-WgtbyActulCDH&amp;Days'!AB212</f>
        <v>5234136.2560332026</v>
      </c>
      <c r="AC212" s="308">
        <f t="shared" si="99"/>
        <v>259.80947145042791</v>
      </c>
      <c r="AD212" s="309">
        <f t="shared" si="92"/>
        <v>88.097594360536988</v>
      </c>
      <c r="AE212" s="107">
        <f t="shared" si="93"/>
        <v>7.8658566393336599E-3</v>
      </c>
      <c r="AF212" s="309">
        <f t="shared" si="100"/>
        <v>171.71187708989092</v>
      </c>
      <c r="AG212" s="107">
        <f t="shared" si="94"/>
        <v>1.533141759731169E-2</v>
      </c>
      <c r="AH212" s="119">
        <f t="shared" si="101"/>
        <v>2.319727423664535E-2</v>
      </c>
      <c r="AI212" s="122">
        <f t="shared" si="95"/>
        <v>2.319727423664535E-2</v>
      </c>
      <c r="AJ212" s="87" t="b">
        <f t="shared" si="102"/>
        <v>1</v>
      </c>
      <c r="AK212" s="88">
        <f t="shared" si="83"/>
        <v>1.3757020356108436E-3</v>
      </c>
      <c r="AL212" s="312">
        <f>+AC212/'MWh by month-WgtbyCDH&amp;DayLtHrs'!AC212-1</f>
        <v>3.7250741442787172E-2</v>
      </c>
      <c r="AM212" s="89">
        <f t="shared" si="96"/>
        <v>332638.51534701529</v>
      </c>
      <c r="AN212" s="93"/>
      <c r="AO212" s="96">
        <f t="shared" si="87"/>
        <v>63.551749338507321</v>
      </c>
      <c r="AP212" s="92">
        <f t="shared" si="86"/>
        <v>5.6742633337952967E-3</v>
      </c>
      <c r="AR212" s="94">
        <f t="shared" si="97"/>
        <v>2.319727423664535E-2</v>
      </c>
      <c r="AS212" s="95">
        <v>1052631.7288214653</v>
      </c>
      <c r="AU212" s="141">
        <v>259.80947145042791</v>
      </c>
    </row>
    <row r="213" spans="1:47">
      <c r="A213" s="78">
        <v>2022</v>
      </c>
      <c r="B213" s="78">
        <v>5</v>
      </c>
      <c r="C213" s="317">
        <f t="shared" si="105"/>
        <v>208.47875842628665</v>
      </c>
      <c r="D213" s="324">
        <f t="shared" si="104"/>
        <v>0.11596109210918912</v>
      </c>
      <c r="E213" s="321">
        <f>$D213*'MWh Impact Summary'!B$28</f>
        <v>409617.15481767594</v>
      </c>
      <c r="F213" s="319">
        <f>$D213*'MWh Impact Summary'!N$28</f>
        <v>56693.000714643538</v>
      </c>
      <c r="G213" s="319">
        <f>$D213*'MWh Impact Summary'!C$28</f>
        <v>275538.87610336317</v>
      </c>
      <c r="H213" s="319">
        <f>$D213*'MWh Impact Summary'!D$28</f>
        <v>1253.6045456671625</v>
      </c>
      <c r="I213" s="319">
        <f>$D213*'MWh Impact Summary'!E$28</f>
        <v>99915.268649215257</v>
      </c>
      <c r="J213" s="104">
        <f t="shared" si="98"/>
        <v>843017.90483056498</v>
      </c>
      <c r="K213" s="298">
        <f t="shared" si="106"/>
        <v>10.533333333333333</v>
      </c>
      <c r="L213" s="300">
        <f t="shared" si="89"/>
        <v>7.4152293793265281E-2</v>
      </c>
      <c r="M213" s="297">
        <f t="shared" si="107"/>
        <v>8.4931506849315067E-2</v>
      </c>
      <c r="N213" s="304">
        <f>$M213*'MWh Impact Summary'!F$28</f>
        <v>157034.48949249662</v>
      </c>
      <c r="O213" s="304">
        <f>$M213*'MWh Impact Summary'!G$28</f>
        <v>19880.627707039388</v>
      </c>
      <c r="P213" s="304">
        <f>$M213*'MWh Impact Summary'!H$28</f>
        <v>10124.650232578459</v>
      </c>
      <c r="Q213" s="320">
        <f>$D213*'MWh Impact Summary'!I$28</f>
        <v>2310.2109551950043</v>
      </c>
      <c r="R213" s="304">
        <f>$M213*'MWh Impact Summary'!J$28</f>
        <v>46094.558607231847</v>
      </c>
      <c r="S213" s="304">
        <f>$M213*'MWh Impact Summary'!K$28</f>
        <v>27781.869342715021</v>
      </c>
      <c r="T213" s="304">
        <f>$M213*'MWh Impact Summary'!L$28</f>
        <v>9926.9397048067713</v>
      </c>
      <c r="U213" s="304">
        <f>$M213*'MWh Impact Summary'!M$28</f>
        <v>30833.507467980115</v>
      </c>
      <c r="V213" s="304">
        <f>$M213*'LED Impact Forecast'!$H$29+$D213*'LED Impact Forecast'!$J$29</f>
        <v>176075.87564390281</v>
      </c>
      <c r="W213" s="304">
        <f>$M213*'CFL Impact Forecast'!$H$29+$D213*'CFL Impact Forecast'!$J$29</f>
        <v>374606.14454250841</v>
      </c>
      <c r="X213" s="304">
        <f>$M213*'EISA Incand Impact Forecast'!$G$29+$D213*'EISA Incand Impact Forecast'!$I$29</f>
        <v>131641.28751766912</v>
      </c>
      <c r="Y213" s="85">
        <f t="shared" si="90"/>
        <v>986310.1612141236</v>
      </c>
      <c r="Z213" s="81">
        <f t="shared" si="91"/>
        <v>1829328.0660446887</v>
      </c>
      <c r="AA213" s="81"/>
      <c r="AB213" s="262">
        <f>+'MWh by mo-WgtbyActulCDH&amp;Days'!AB213</f>
        <v>5239238.1846235972</v>
      </c>
      <c r="AC213" s="308">
        <f t="shared" si="99"/>
        <v>349.15917192188374</v>
      </c>
      <c r="AD213" s="309">
        <f t="shared" si="92"/>
        <v>160.90467261150678</v>
      </c>
      <c r="AE213" s="107">
        <f t="shared" si="93"/>
        <v>1.5275760058054441E-2</v>
      </c>
      <c r="AF213" s="309">
        <f t="shared" si="100"/>
        <v>188.25449931037696</v>
      </c>
      <c r="AG213" s="107">
        <f t="shared" si="94"/>
        <v>1.7872262592757305E-2</v>
      </c>
      <c r="AH213" s="119">
        <f t="shared" si="101"/>
        <v>3.3148022650811744E-2</v>
      </c>
      <c r="AI213" s="122">
        <f t="shared" si="95"/>
        <v>3.3148022650811744E-2</v>
      </c>
      <c r="AJ213" s="87" t="b">
        <f t="shared" si="102"/>
        <v>1</v>
      </c>
      <c r="AK213" s="88">
        <f t="shared" si="83"/>
        <v>1.8130153693497186E-3</v>
      </c>
      <c r="AL213" s="312">
        <f>+AC213/'MWh by month-WgtbyCDH&amp;DayLtHrs'!AC213-1</f>
        <v>0.13293197108707755</v>
      </c>
      <c r="AM213" s="89">
        <f t="shared" si="96"/>
        <v>374606.14454250841</v>
      </c>
      <c r="AN213" s="93"/>
      <c r="AO213" s="96">
        <f t="shared" si="87"/>
        <v>71.500117257872148</v>
      </c>
      <c r="AP213" s="92">
        <f t="shared" si="86"/>
        <v>6.7879858156207739E-3</v>
      </c>
      <c r="AR213" s="94">
        <f t="shared" si="97"/>
        <v>3.3148022650811744E-2</v>
      </c>
      <c r="AS213" s="95">
        <v>1223803.9997503732</v>
      </c>
      <c r="AU213" s="141">
        <v>349.15917192188374</v>
      </c>
    </row>
    <row r="214" spans="1:47">
      <c r="A214" s="78">
        <v>2022</v>
      </c>
      <c r="B214" s="78">
        <v>6</v>
      </c>
      <c r="C214" s="317">
        <f t="shared" si="105"/>
        <v>271.66325293295364</v>
      </c>
      <c r="D214" s="324">
        <f t="shared" si="104"/>
        <v>0.15110588596093688</v>
      </c>
      <c r="E214" s="321">
        <f>$D214*'MWh Impact Summary'!B$28</f>
        <v>533761.47083232214</v>
      </c>
      <c r="F214" s="319">
        <f>$D214*'MWh Impact Summary'!N$28</f>
        <v>73875.176103928679</v>
      </c>
      <c r="G214" s="319">
        <f>$D214*'MWh Impact Summary'!C$28</f>
        <v>359047.549768464</v>
      </c>
      <c r="H214" s="319">
        <f>$D214*'MWh Impact Summary'!D$28</f>
        <v>1633.5395094358857</v>
      </c>
      <c r="I214" s="319">
        <f>$D214*'MWh Impact Summary'!E$28</f>
        <v>130196.99034956138</v>
      </c>
      <c r="J214" s="104">
        <f t="shared" si="98"/>
        <v>1098514.7265637121</v>
      </c>
      <c r="K214" s="298">
        <f t="shared" si="106"/>
        <v>10.199999999999999</v>
      </c>
      <c r="L214" s="300">
        <f t="shared" si="89"/>
        <v>7.1805702217529022E-2</v>
      </c>
      <c r="M214" s="297">
        <f>(30/365)</f>
        <v>8.2191780821917804E-2</v>
      </c>
      <c r="N214" s="304">
        <f>$M214*'MWh Impact Summary'!F$28</f>
        <v>151968.86079919027</v>
      </c>
      <c r="O214" s="304">
        <f>$M214*'MWh Impact Summary'!G$28</f>
        <v>19239.317135844569</v>
      </c>
      <c r="P214" s="304">
        <f>$M214*'MWh Impact Summary'!H$28</f>
        <v>9798.0486121727008</v>
      </c>
      <c r="Q214" s="320">
        <f>$D214*'MWh Impact Summary'!I$28</f>
        <v>3010.3758665251539</v>
      </c>
      <c r="R214" s="304">
        <f>$M214*'MWh Impact Summary'!J$28</f>
        <v>44607.637361837267</v>
      </c>
      <c r="S214" s="304">
        <f>$M214*'MWh Impact Summary'!K$28</f>
        <v>26885.680009079049</v>
      </c>
      <c r="T214" s="304">
        <f>$M214*'MWh Impact Summary'!L$28</f>
        <v>9606.7158433613913</v>
      </c>
      <c r="U214" s="304">
        <f>$M214*'MWh Impact Summary'!M$28</f>
        <v>29838.878194819466</v>
      </c>
      <c r="V214" s="304">
        <f>$M214*'LED Impact Forecast'!$H$29+$D214*'LED Impact Forecast'!$J$29</f>
        <v>181311.95726716411</v>
      </c>
      <c r="W214" s="304">
        <f>$M214*'CFL Impact Forecast'!$H$29+$D214*'CFL Impact Forecast'!$J$29</f>
        <v>386338.25343548256</v>
      </c>
      <c r="X214" s="304">
        <f>$M214*'EISA Incand Impact Forecast'!$G$29+$D214*'EISA Incand Impact Forecast'!$I$29</f>
        <v>136303.16235529311</v>
      </c>
      <c r="Y214" s="85">
        <f t="shared" si="90"/>
        <v>998908.88688076963</v>
      </c>
      <c r="Z214" s="81">
        <f t="shared" si="91"/>
        <v>2097423.613444482</v>
      </c>
      <c r="AA214" s="81"/>
      <c r="AB214" s="262">
        <f>+'MWh by mo-WgtbyActulCDH&amp;Days'!AB214</f>
        <v>5244340.260228348</v>
      </c>
      <c r="AC214" s="308">
        <f t="shared" si="99"/>
        <v>399.94041373531252</v>
      </c>
      <c r="AD214" s="309">
        <f t="shared" si="92"/>
        <v>209.46671498311227</v>
      </c>
      <c r="AE214" s="107">
        <f t="shared" si="93"/>
        <v>2.0535952449324733E-2</v>
      </c>
      <c r="AF214" s="309">
        <f t="shared" si="100"/>
        <v>190.47369875220022</v>
      </c>
      <c r="AG214" s="107">
        <f t="shared" si="94"/>
        <v>1.8673892034529432E-2</v>
      </c>
      <c r="AH214" s="119">
        <f t="shared" si="101"/>
        <v>3.9209844483854166E-2</v>
      </c>
      <c r="AI214" s="122">
        <f t="shared" si="95"/>
        <v>3.9209844483854173E-2</v>
      </c>
      <c r="AJ214" s="87" t="b">
        <f t="shared" si="102"/>
        <v>1</v>
      </c>
      <c r="AK214" s="88">
        <f t="shared" ref="AK214:AK268" si="108">AI214-AI202</f>
        <v>2.0510842826176531E-3</v>
      </c>
      <c r="AL214" s="312">
        <f>+AC214/'MWh by month-WgtbyCDH&amp;DayLtHrs'!AC214-1</f>
        <v>0.14894277050870386</v>
      </c>
      <c r="AM214" s="89">
        <f t="shared" si="96"/>
        <v>386338.25343548256</v>
      </c>
      <c r="AN214" s="93"/>
      <c r="AO214" s="96">
        <f t="shared" si="87"/>
        <v>73.667655847078976</v>
      </c>
      <c r="AP214" s="92">
        <f t="shared" si="86"/>
        <v>7.2223192006940174E-3</v>
      </c>
      <c r="AR214" s="94">
        <f t="shared" si="97"/>
        <v>3.9209844483854173E-2</v>
      </c>
      <c r="AS214" s="95">
        <v>1461578.3906399433</v>
      </c>
      <c r="AU214" s="141">
        <v>399.94041373531252</v>
      </c>
    </row>
    <row r="215" spans="1:47">
      <c r="A215" s="78">
        <v>2022</v>
      </c>
      <c r="B215" s="78">
        <v>7</v>
      </c>
      <c r="C215" s="317">
        <f t="shared" si="105"/>
        <v>322.31916585708109</v>
      </c>
      <c r="D215" s="324">
        <f t="shared" si="104"/>
        <v>0.17928196984022934</v>
      </c>
      <c r="E215" s="321">
        <f>$D215*'MWh Impact Summary'!B$28</f>
        <v>633289.74451978074</v>
      </c>
      <c r="F215" s="319">
        <f>$D215*'MWh Impact Summary'!N$28</f>
        <v>87650.371856659971</v>
      </c>
      <c r="G215" s="319">
        <f>$D215*'MWh Impact Summary'!C$28</f>
        <v>425997.64780465799</v>
      </c>
      <c r="H215" s="319">
        <f>$D215*'MWh Impact Summary'!D$28</f>
        <v>1938.1388038002519</v>
      </c>
      <c r="I215" s="319">
        <f>$D215*'MWh Impact Summary'!E$28</f>
        <v>154474.27973237878</v>
      </c>
      <c r="J215" s="104">
        <f t="shared" si="98"/>
        <v>1303350.1827172777</v>
      </c>
      <c r="K215" s="298">
        <f t="shared" si="106"/>
        <v>10.366666666666667</v>
      </c>
      <c r="L215" s="300">
        <f t="shared" si="89"/>
        <v>7.2978998005397158E-2</v>
      </c>
      <c r="M215" s="297">
        <f t="shared" si="107"/>
        <v>8.4931506849315067E-2</v>
      </c>
      <c r="N215" s="304">
        <f>$M215*'MWh Impact Summary'!F$28</f>
        <v>157034.48949249662</v>
      </c>
      <c r="O215" s="304">
        <f>$M215*'MWh Impact Summary'!G$28</f>
        <v>19880.627707039388</v>
      </c>
      <c r="P215" s="304">
        <f>$M215*'MWh Impact Summary'!H$28</f>
        <v>10124.650232578459</v>
      </c>
      <c r="Q215" s="320">
        <f>$D215*'MWh Impact Summary'!I$28</f>
        <v>3571.7080898466061</v>
      </c>
      <c r="R215" s="304">
        <f>$M215*'MWh Impact Summary'!J$28</f>
        <v>46094.558607231847</v>
      </c>
      <c r="S215" s="304">
        <f>$M215*'MWh Impact Summary'!K$28</f>
        <v>27781.869342715021</v>
      </c>
      <c r="T215" s="304">
        <f>$M215*'MWh Impact Summary'!L$28</f>
        <v>9926.9397048067713</v>
      </c>
      <c r="U215" s="304">
        <f>$M215*'MWh Impact Summary'!M$28</f>
        <v>30833.507467980115</v>
      </c>
      <c r="V215" s="304">
        <f>$M215*'LED Impact Forecast'!$H$29+$D215*'LED Impact Forecast'!$J$29</f>
        <v>193851.34215907729</v>
      </c>
      <c r="W215" s="304">
        <f>$M215*'CFL Impact Forecast'!$H$29+$D215*'CFL Impact Forecast'!$J$29</f>
        <v>413388.26894977165</v>
      </c>
      <c r="X215" s="304">
        <f>$M215*'EISA Incand Impact Forecast'!$G$29+$D215*'EISA Incand Impact Forecast'!$I$29</f>
        <v>146147.62158836346</v>
      </c>
      <c r="Y215" s="85">
        <f t="shared" si="90"/>
        <v>1058635.5833419072</v>
      </c>
      <c r="Z215" s="81">
        <f t="shared" si="91"/>
        <v>2361985.7660591849</v>
      </c>
      <c r="AA215" s="81"/>
      <c r="AB215" s="262">
        <f>+'MWh by mo-WgtbyActulCDH&amp;Days'!AB215</f>
        <v>5249596.8518007202</v>
      </c>
      <c r="AC215" s="308">
        <f t="shared" si="99"/>
        <v>449.93660136948898</v>
      </c>
      <c r="AD215" s="309">
        <f t="shared" si="92"/>
        <v>248.27624282618993</v>
      </c>
      <c r="AE215" s="107">
        <f t="shared" si="93"/>
        <v>2.3949476799954014E-2</v>
      </c>
      <c r="AF215" s="309">
        <f t="shared" si="100"/>
        <v>201.66035854329908</v>
      </c>
      <c r="AG215" s="107">
        <f t="shared" si="94"/>
        <v>1.9452767705141389E-2</v>
      </c>
      <c r="AH215" s="119">
        <f t="shared" si="101"/>
        <v>4.3402244505095403E-2</v>
      </c>
      <c r="AI215" s="122">
        <f t="shared" si="95"/>
        <v>4.3402244505095396E-2</v>
      </c>
      <c r="AJ215" s="87" t="b">
        <f t="shared" si="102"/>
        <v>1</v>
      </c>
      <c r="AK215" s="88">
        <f t="shared" si="108"/>
        <v>2.2247211051693097E-3</v>
      </c>
      <c r="AL215" s="312">
        <f>+AC215/'MWh by month-WgtbyCDH&amp;DayLtHrs'!AC215-1</f>
        <v>0.16686868238458241</v>
      </c>
      <c r="AM215" s="89">
        <f t="shared" si="96"/>
        <v>413388.26894977165</v>
      </c>
      <c r="AN215" s="93"/>
      <c r="AO215" s="96">
        <f t="shared" si="87"/>
        <v>78.74666962434857</v>
      </c>
      <c r="AP215" s="92">
        <f t="shared" si="86"/>
        <v>7.5961417644066142E-3</v>
      </c>
      <c r="AR215" s="94">
        <f t="shared" si="97"/>
        <v>4.3402244505095396E-2</v>
      </c>
      <c r="AS215" s="95">
        <v>1522372.7740701623</v>
      </c>
      <c r="AU215" s="141">
        <v>449.93660136948898</v>
      </c>
    </row>
    <row r="216" spans="1:47">
      <c r="A216" s="78">
        <v>2022</v>
      </c>
      <c r="B216" s="78">
        <v>8</v>
      </c>
      <c r="C216" s="317">
        <f t="shared" si="105"/>
        <v>326.45437890907908</v>
      </c>
      <c r="D216" s="324">
        <f t="shared" si="104"/>
        <v>0.18158207861502046</v>
      </c>
      <c r="E216" s="321">
        <f>$D216*'MWh Impact Summary'!B$28</f>
        <v>641414.57324434957</v>
      </c>
      <c r="F216" s="319">
        <f>$D216*'MWh Impact Summary'!N$28</f>
        <v>88774.88755447873</v>
      </c>
      <c r="G216" s="319">
        <f>$D216*'MWh Impact Summary'!C$28</f>
        <v>431463.01015330391</v>
      </c>
      <c r="H216" s="319">
        <f>$D216*'MWh Impact Summary'!D$28</f>
        <v>1963.0042717185088</v>
      </c>
      <c r="I216" s="319">
        <f>$D216*'MWh Impact Summary'!E$28</f>
        <v>156456.11676043365</v>
      </c>
      <c r="J216" s="104">
        <f t="shared" si="98"/>
        <v>1320071.5919842843</v>
      </c>
      <c r="K216" s="298">
        <f t="shared" si="106"/>
        <v>10.933333333333334</v>
      </c>
      <c r="L216" s="300">
        <f t="shared" si="89"/>
        <v>7.6968203684148764E-2</v>
      </c>
      <c r="M216" s="297">
        <f t="shared" si="107"/>
        <v>8.4931506849315067E-2</v>
      </c>
      <c r="N216" s="304">
        <f>$M216*'MWh Impact Summary'!F$28</f>
        <v>157034.48949249662</v>
      </c>
      <c r="O216" s="304">
        <f>$M216*'MWh Impact Summary'!G$28</f>
        <v>19880.627707039388</v>
      </c>
      <c r="P216" s="304">
        <f>$M216*'MWh Impact Summary'!H$28</f>
        <v>10124.650232578459</v>
      </c>
      <c r="Q216" s="320">
        <f>$D216*'MWh Impact Summary'!I$28</f>
        <v>3617.5315328050356</v>
      </c>
      <c r="R216" s="304">
        <f>$M216*'MWh Impact Summary'!J$28</f>
        <v>46094.558607231847</v>
      </c>
      <c r="S216" s="304">
        <f>$M216*'MWh Impact Summary'!K$28</f>
        <v>27781.869342715021</v>
      </c>
      <c r="T216" s="304">
        <f>$M216*'MWh Impact Summary'!L$28</f>
        <v>9926.9397048067713</v>
      </c>
      <c r="U216" s="304">
        <f>$M216*'MWh Impact Summary'!M$28</f>
        <v>30833.507467980115</v>
      </c>
      <c r="V216" s="304">
        <f>$M216*'LED Impact Forecast'!$H$29+$D216*'LED Impact Forecast'!$J$29</f>
        <v>194497.02977385142</v>
      </c>
      <c r="W216" s="304">
        <f>$M216*'CFL Impact Forecast'!$H$29+$D216*'CFL Impact Forecast'!$J$29</f>
        <v>414797.01607790031</v>
      </c>
      <c r="X216" s="304">
        <f>$M216*'EISA Incand Impact Forecast'!$G$29+$D216*'EISA Incand Impact Forecast'!$I$29</f>
        <v>146674.55910852514</v>
      </c>
      <c r="Y216" s="85">
        <f t="shared" si="90"/>
        <v>1061262.7790479301</v>
      </c>
      <c r="Z216" s="81">
        <f t="shared" si="91"/>
        <v>2381334.3710322147</v>
      </c>
      <c r="AA216" s="81"/>
      <c r="AB216" s="262">
        <f>+'MWh by mo-WgtbyActulCDH&amp;Days'!AB216</f>
        <v>5254931.9503803095</v>
      </c>
      <c r="AC216" s="308">
        <f t="shared" si="99"/>
        <v>453.1617903938552</v>
      </c>
      <c r="AD216" s="309">
        <f t="shared" si="92"/>
        <v>251.2062200707943</v>
      </c>
      <c r="AE216" s="107">
        <f t="shared" si="93"/>
        <v>2.2976178665011674E-2</v>
      </c>
      <c r="AF216" s="309">
        <f t="shared" si="100"/>
        <v>201.9555703230609</v>
      </c>
      <c r="AG216" s="107">
        <f t="shared" si="94"/>
        <v>1.8471546066133618E-2</v>
      </c>
      <c r="AH216" s="119">
        <f t="shared" si="101"/>
        <v>4.1447724731145288E-2</v>
      </c>
      <c r="AI216" s="122">
        <f t="shared" si="95"/>
        <v>4.1447724731145295E-2</v>
      </c>
      <c r="AJ216" s="87" t="b">
        <f t="shared" si="102"/>
        <v>1</v>
      </c>
      <c r="AK216" s="88">
        <f t="shared" si="108"/>
        <v>2.1212239114248715E-3</v>
      </c>
      <c r="AL216" s="312">
        <f>+AC216/'MWh by month-WgtbyCDH&amp;DayLtHrs'!AC216-1</f>
        <v>0.14585248281532648</v>
      </c>
      <c r="AM216" s="89">
        <f t="shared" si="96"/>
        <v>414797.01607790031</v>
      </c>
      <c r="AN216" s="93"/>
      <c r="AO216" s="96">
        <f t="shared" si="87"/>
        <v>78.934802580627263</v>
      </c>
      <c r="AP216" s="92">
        <f t="shared" si="86"/>
        <v>7.2196465774963959E-3</v>
      </c>
      <c r="AR216" s="94">
        <f t="shared" si="97"/>
        <v>4.1447724731145295E-2</v>
      </c>
      <c r="AS216" s="95">
        <v>1581642.9044645752</v>
      </c>
      <c r="AU216" s="141">
        <v>453.1617903938552</v>
      </c>
    </row>
    <row r="217" spans="1:47">
      <c r="A217" s="78">
        <v>2022</v>
      </c>
      <c r="B217" s="78">
        <v>9</v>
      </c>
      <c r="C217" s="317">
        <f t="shared" si="105"/>
        <v>277.87653293728147</v>
      </c>
      <c r="D217" s="324">
        <f>D205</f>
        <v>0.15456186747349368</v>
      </c>
      <c r="E217" s="321">
        <f>$D217*'MWh Impact Summary'!B$28</f>
        <v>545969.2664690091</v>
      </c>
      <c r="F217" s="319">
        <f>$D217*'MWh Impact Summary'!N$28</f>
        <v>75564.794223225879</v>
      </c>
      <c r="G217" s="319">
        <f>$D217*'MWh Impact Summary'!C$28</f>
        <v>367259.41846065648</v>
      </c>
      <c r="H217" s="319">
        <f>$D217*'MWh Impact Summary'!D$28</f>
        <v>1670.9006109491713</v>
      </c>
      <c r="I217" s="319">
        <f>$D217*'MWh Impact Summary'!E$28</f>
        <v>133174.7591424656</v>
      </c>
      <c r="J217" s="104">
        <f t="shared" si="98"/>
        <v>1123639.1389063064</v>
      </c>
      <c r="K217" s="298">
        <f t="shared" si="106"/>
        <v>11.683333333333334</v>
      </c>
      <c r="L217" s="300">
        <f>L205</f>
        <v>8.2248034729555317E-2</v>
      </c>
      <c r="M217" s="297">
        <f>(30/365)</f>
        <v>8.2191780821917804E-2</v>
      </c>
      <c r="N217" s="304">
        <f>$M217*'MWh Impact Summary'!F$28</f>
        <v>151968.86079919027</v>
      </c>
      <c r="O217" s="304">
        <f>$M217*'MWh Impact Summary'!G$28</f>
        <v>19239.317135844569</v>
      </c>
      <c r="P217" s="304">
        <f>$M217*'MWh Impact Summary'!H$28</f>
        <v>9798.0486121727008</v>
      </c>
      <c r="Q217" s="320">
        <f>$D217*'MWh Impact Summary'!I$28</f>
        <v>3079.2269458487458</v>
      </c>
      <c r="R217" s="304">
        <f>$M217*'MWh Impact Summary'!J$28</f>
        <v>44607.637361837267</v>
      </c>
      <c r="S217" s="304">
        <f>$M217*'MWh Impact Summary'!K$28</f>
        <v>26885.680009079049</v>
      </c>
      <c r="T217" s="304">
        <f>$M217*'MWh Impact Summary'!L$28</f>
        <v>9606.7158433613913</v>
      </c>
      <c r="U217" s="304">
        <f>$M217*'MWh Impact Summary'!M$28</f>
        <v>29838.878194819466</v>
      </c>
      <c r="V217" s="304">
        <f>$M217*'LED Impact Forecast'!$H$29+$D217*'LED Impact Forecast'!$J$29</f>
        <v>182282.12201937192</v>
      </c>
      <c r="W217" s="304">
        <f>$M217*'CFL Impact Forecast'!$H$29+$D217*'CFL Impact Forecast'!$J$29</f>
        <v>388454.93769147916</v>
      </c>
      <c r="X217" s="304">
        <f>$M217*'EISA Incand Impact Forecast'!$G$29+$D217*'EISA Incand Impact Forecast'!$I$29</f>
        <v>137094.90157559008</v>
      </c>
      <c r="Y217" s="85">
        <f t="shared" si="90"/>
        <v>1002856.3261885946</v>
      </c>
      <c r="Z217" s="81">
        <f t="shared" si="91"/>
        <v>2126495.4650949007</v>
      </c>
      <c r="AA217" s="81"/>
      <c r="AB217" s="262">
        <f>+'MWh by mo-WgtbyActulCDH&amp;Days'!AB217</f>
        <v>5259983.1400663005</v>
      </c>
      <c r="AC217" s="308">
        <f t="shared" si="99"/>
        <v>404.27800022722067</v>
      </c>
      <c r="AD217" s="309">
        <f t="shared" si="92"/>
        <v>213.62029287647928</v>
      </c>
      <c r="AE217" s="107">
        <f t="shared" si="93"/>
        <v>1.8284190545775687E-2</v>
      </c>
      <c r="AF217" s="309">
        <f t="shared" si="100"/>
        <v>190.65770735074142</v>
      </c>
      <c r="AG217" s="107">
        <f t="shared" si="94"/>
        <v>1.6318776663401546E-2</v>
      </c>
      <c r="AH217" s="119">
        <f t="shared" si="101"/>
        <v>3.4602967209177229E-2</v>
      </c>
      <c r="AI217" s="122">
        <f t="shared" si="95"/>
        <v>3.4602967209177229E-2</v>
      </c>
      <c r="AJ217" s="87" t="b">
        <f t="shared" si="102"/>
        <v>1</v>
      </c>
      <c r="AK217" s="88">
        <f t="shared" si="108"/>
        <v>1.8045419553700814E-3</v>
      </c>
      <c r="AL217" s="312">
        <f>+AC217/'MWh by month-WgtbyCDH&amp;DayLtHrs'!AC217-1</f>
        <v>9.0589006411536221E-2</v>
      </c>
      <c r="AM217" s="89">
        <f t="shared" si="96"/>
        <v>388454.93769147916</v>
      </c>
      <c r="AN217" s="93"/>
      <c r="AO217" s="96">
        <f t="shared" si="87"/>
        <v>73.850985325892651</v>
      </c>
      <c r="AP217" s="92">
        <f t="shared" si="86"/>
        <v>6.3210543788210539E-3</v>
      </c>
      <c r="AR217" s="94">
        <f t="shared" si="97"/>
        <v>3.4602967209177229E-2</v>
      </c>
      <c r="AS217" s="95">
        <v>1503847.2272812007</v>
      </c>
      <c r="AU217" s="141">
        <v>404.27800022722067</v>
      </c>
    </row>
    <row r="218" spans="1:47">
      <c r="A218" s="78">
        <v>2022</v>
      </c>
      <c r="B218" s="78">
        <v>10</v>
      </c>
      <c r="C218" s="317">
        <f t="shared" si="105"/>
        <v>198.89039579254836</v>
      </c>
      <c r="D218" s="324">
        <f>D206</f>
        <v>0.11062780534683357</v>
      </c>
      <c r="E218" s="321">
        <f>$D218*'MWh Impact Summary'!B$28</f>
        <v>390778.02774765989</v>
      </c>
      <c r="F218" s="319">
        <f>$D218*'MWh Impact Summary'!N$28</f>
        <v>54085.574165530677</v>
      </c>
      <c r="G218" s="319">
        <f>$D218*'MWh Impact Summary'!C$28</f>
        <v>262866.28210043086</v>
      </c>
      <c r="H218" s="319">
        <f>$D218*'MWh Impact Summary'!D$28</f>
        <v>1195.9487198463773</v>
      </c>
      <c r="I218" s="319">
        <f>$D218*'MWh Impact Summary'!E$28</f>
        <v>95319.961982542096</v>
      </c>
      <c r="J218" s="104">
        <f t="shared" si="98"/>
        <v>804245.79471600987</v>
      </c>
      <c r="K218" s="298">
        <f t="shared" si="106"/>
        <v>12.466666666666667</v>
      </c>
      <c r="L218" s="300">
        <f>L206</f>
        <v>8.7762524932535488E-2</v>
      </c>
      <c r="M218" s="297">
        <f t="shared" si="107"/>
        <v>8.4931506849315067E-2</v>
      </c>
      <c r="N218" s="304">
        <f>$M218*'MWh Impact Summary'!F$28</f>
        <v>157034.48949249662</v>
      </c>
      <c r="O218" s="304">
        <f>$M218*'MWh Impact Summary'!G$28</f>
        <v>19880.627707039388</v>
      </c>
      <c r="P218" s="304">
        <f>$M218*'MWh Impact Summary'!H$28</f>
        <v>10124.650232578459</v>
      </c>
      <c r="Q218" s="320">
        <f>$D218*'MWh Impact Summary'!I$28</f>
        <v>2203.9596489897403</v>
      </c>
      <c r="R218" s="304">
        <f>$M218*'MWh Impact Summary'!J$28</f>
        <v>46094.558607231847</v>
      </c>
      <c r="S218" s="304">
        <f>$M218*'MWh Impact Summary'!K$28</f>
        <v>27781.869342715021</v>
      </c>
      <c r="T218" s="304">
        <f>$M218*'MWh Impact Summary'!L$28</f>
        <v>9926.9397048067713</v>
      </c>
      <c r="U218" s="304">
        <f>$M218*'MWh Impact Summary'!M$28</f>
        <v>30833.507467980115</v>
      </c>
      <c r="V218" s="304">
        <f>$M218*'LED Impact Forecast'!$H$29+$D218*'LED Impact Forecast'!$J$29</f>
        <v>174578.71288089198</v>
      </c>
      <c r="W218" s="304">
        <f>$M218*'CFL Impact Forecast'!$H$29+$D218*'CFL Impact Forecast'!$J$29</f>
        <v>371339.66754268168</v>
      </c>
      <c r="X218" s="304">
        <f>$M218*'EISA Incand Impact Forecast'!$G$29+$D218*'EISA Incand Impact Forecast'!$I$29</f>
        <v>130419.47186631063</v>
      </c>
      <c r="Y218" s="85">
        <f t="shared" si="90"/>
        <v>980218.45449372218</v>
      </c>
      <c r="Z218" s="81">
        <f t="shared" si="91"/>
        <v>1784464.2492097321</v>
      </c>
      <c r="AA218" s="81"/>
      <c r="AB218" s="262">
        <f>+'MWh by mo-WgtbyActulCDH&amp;Days'!AB218</f>
        <v>5265129.0517696831</v>
      </c>
      <c r="AC218" s="308">
        <f t="shared" si="99"/>
        <v>338.92127460958415</v>
      </c>
      <c r="AD218" s="309">
        <f t="shared" si="92"/>
        <v>152.74949328083261</v>
      </c>
      <c r="AE218" s="107">
        <f t="shared" si="93"/>
        <v>1.2252633150868926E-2</v>
      </c>
      <c r="AF218" s="309">
        <f t="shared" si="100"/>
        <v>186.17178132875151</v>
      </c>
      <c r="AG218" s="107">
        <f t="shared" si="94"/>
        <v>1.4933565347226058E-2</v>
      </c>
      <c r="AH218" s="119">
        <f t="shared" si="101"/>
        <v>2.7186198498094984E-2</v>
      </c>
      <c r="AI218" s="122">
        <f t="shared" si="95"/>
        <v>2.7186198498094984E-2</v>
      </c>
      <c r="AJ218" s="87" t="b">
        <f t="shared" si="102"/>
        <v>1</v>
      </c>
      <c r="AK218" s="88">
        <f t="shared" si="108"/>
        <v>1.497622325279592E-3</v>
      </c>
      <c r="AL218" s="312">
        <f>+AC218/'MWh by month-WgtbyCDH&amp;DayLtHrs'!AC218-1</f>
        <v>4.2726265348486336E-2</v>
      </c>
      <c r="AM218" s="89">
        <f t="shared" si="96"/>
        <v>371339.66754268168</v>
      </c>
      <c r="AN218" s="93"/>
      <c r="AO218" s="96">
        <f t="shared" si="87"/>
        <v>70.528122652163532</v>
      </c>
      <c r="AP218" s="92">
        <f t="shared" si="86"/>
        <v>5.6573360416173959E-3</v>
      </c>
      <c r="AR218" s="94">
        <f t="shared" si="97"/>
        <v>2.7186198498094984E-2</v>
      </c>
      <c r="AS218" s="95">
        <v>1240064.5715416537</v>
      </c>
      <c r="AU218" s="141">
        <v>338.92127460958415</v>
      </c>
    </row>
    <row r="219" spans="1:47">
      <c r="A219" s="78">
        <v>2022</v>
      </c>
      <c r="B219" s="78">
        <v>11</v>
      </c>
      <c r="C219" s="317">
        <f t="shared" si="105"/>
        <v>78.117279066674627</v>
      </c>
      <c r="D219" s="324">
        <f>D207</f>
        <v>4.3450781564265642E-2</v>
      </c>
      <c r="E219" s="321">
        <f>$D219*'MWh Impact Summary'!B$28</f>
        <v>153484.11432862349</v>
      </c>
      <c r="F219" s="319">
        <f>$D219*'MWh Impact Summary'!N$28</f>
        <v>21242.945762835985</v>
      </c>
      <c r="G219" s="319">
        <f>$D219*'MWh Impact Summary'!C$28</f>
        <v>103244.79789097951</v>
      </c>
      <c r="H219" s="319">
        <f>$D219*'MWh Impact Summary'!D$28</f>
        <v>469.72735674535761</v>
      </c>
      <c r="I219" s="319">
        <f>$D219*'MWh Impact Summary'!E$28</f>
        <v>37438.38932565508</v>
      </c>
      <c r="J219" s="104">
        <f t="shared" si="98"/>
        <v>315879.97466483939</v>
      </c>
      <c r="K219" s="298">
        <f t="shared" si="106"/>
        <v>13.15</v>
      </c>
      <c r="L219" s="300">
        <f>L207</f>
        <v>9.2573037662794788E-2</v>
      </c>
      <c r="M219" s="297">
        <f>(30/365)</f>
        <v>8.2191780821917804E-2</v>
      </c>
      <c r="N219" s="304">
        <f>$M219*'MWh Impact Summary'!F$28</f>
        <v>151968.86079919027</v>
      </c>
      <c r="O219" s="304">
        <f>$M219*'MWh Impact Summary'!G$28</f>
        <v>19239.317135844569</v>
      </c>
      <c r="P219" s="304">
        <f>$M219*'MWh Impact Summary'!H$28</f>
        <v>9798.0486121727008</v>
      </c>
      <c r="Q219" s="320">
        <f>$D219*'MWh Impact Summary'!I$28</f>
        <v>865.63923947036676</v>
      </c>
      <c r="R219" s="304">
        <f>$M219*'MWh Impact Summary'!J$28</f>
        <v>44607.637361837267</v>
      </c>
      <c r="S219" s="304">
        <f>$M219*'MWh Impact Summary'!K$28</f>
        <v>26885.680009079049</v>
      </c>
      <c r="T219" s="304">
        <f>$M219*'MWh Impact Summary'!L$28</f>
        <v>9606.7158433613913</v>
      </c>
      <c r="U219" s="304">
        <f>$M219*'MWh Impact Summary'!M$28</f>
        <v>29838.878194819466</v>
      </c>
      <c r="V219" s="304">
        <f>$M219*'LED Impact Forecast'!$H$29+$D219*'LED Impact Forecast'!$J$29</f>
        <v>151090.96583494052</v>
      </c>
      <c r="W219" s="304">
        <f>$M219*'CFL Impact Forecast'!$H$29+$D219*'CFL Impact Forecast'!$J$29</f>
        <v>320402.75472804817</v>
      </c>
      <c r="X219" s="304">
        <f>$M219*'EISA Incand Impact Forecast'!$G$29+$D219*'EISA Incand Impact Forecast'!$I$29</f>
        <v>111640.19234045956</v>
      </c>
      <c r="Y219" s="85">
        <f t="shared" si="90"/>
        <v>875944.6900992234</v>
      </c>
      <c r="Z219" s="81">
        <f t="shared" si="91"/>
        <v>1191824.6647640627</v>
      </c>
      <c r="AA219" s="81"/>
      <c r="AB219" s="262">
        <f>+'MWh by mo-WgtbyActulCDH&amp;Days'!AB219</f>
        <v>5270297.39460182</v>
      </c>
      <c r="AC219" s="308">
        <f t="shared" si="99"/>
        <v>226.13992637015261</v>
      </c>
      <c r="AD219" s="309">
        <f t="shared" si="92"/>
        <v>59.935891850881909</v>
      </c>
      <c r="AE219" s="107">
        <f t="shared" si="93"/>
        <v>4.5578624981659245E-3</v>
      </c>
      <c r="AF219" s="309">
        <f t="shared" si="100"/>
        <v>166.20403451927072</v>
      </c>
      <c r="AG219" s="107">
        <f t="shared" si="94"/>
        <v>1.2639090077511081E-2</v>
      </c>
      <c r="AH219" s="119">
        <f t="shared" si="101"/>
        <v>1.7196952575677008E-2</v>
      </c>
      <c r="AI219" s="122">
        <f t="shared" si="95"/>
        <v>1.7196952575677004E-2</v>
      </c>
      <c r="AJ219" s="87" t="b">
        <f t="shared" si="102"/>
        <v>1</v>
      </c>
      <c r="AK219" s="88">
        <f t="shared" si="108"/>
        <v>1.0680985227643908E-3</v>
      </c>
      <c r="AL219" s="312">
        <f>+AC219/'MWh by month-WgtbyCDH&amp;DayLtHrs'!AC219-1</f>
        <v>-9.1246445794603281E-2</v>
      </c>
      <c r="AM219" s="89">
        <f t="shared" si="96"/>
        <v>320402.75472804817</v>
      </c>
      <c r="AN219" s="93"/>
      <c r="AO219" s="96">
        <f t="shared" si="87"/>
        <v>60.794055959010095</v>
      </c>
      <c r="AP219" s="92">
        <f t="shared" si="86"/>
        <v>4.6231221261604626E-3</v>
      </c>
      <c r="AR219" s="94">
        <f t="shared" si="97"/>
        <v>1.7196952575677004E-2</v>
      </c>
      <c r="AS219" s="95">
        <v>1001509.8882787043</v>
      </c>
      <c r="AU219" s="141">
        <v>226.13992637015261</v>
      </c>
    </row>
    <row r="220" spans="1:47">
      <c r="A220" s="78">
        <v>2022</v>
      </c>
      <c r="B220" s="78">
        <v>12</v>
      </c>
      <c r="C220" s="317">
        <f t="shared" si="105"/>
        <v>0</v>
      </c>
      <c r="D220" s="324">
        <f>D208</f>
        <v>0</v>
      </c>
      <c r="E220" s="321">
        <f>$D220*'MWh Impact Summary'!B$28</f>
        <v>0</v>
      </c>
      <c r="F220" s="319">
        <f>$D220*'MWh Impact Summary'!N$28</f>
        <v>0</v>
      </c>
      <c r="G220" s="319">
        <f>$D220*'MWh Impact Summary'!C$28</f>
        <v>0</v>
      </c>
      <c r="H220" s="319">
        <f>$D220*'MWh Impact Summary'!D$28</f>
        <v>0</v>
      </c>
      <c r="I220" s="319">
        <f>$D220*'MWh Impact Summary'!E$28</f>
        <v>0</v>
      </c>
      <c r="J220" s="104">
        <f t="shared" si="98"/>
        <v>0</v>
      </c>
      <c r="K220" s="298">
        <f t="shared" si="106"/>
        <v>13.483333333333333</v>
      </c>
      <c r="L220" s="300">
        <f>L208</f>
        <v>9.491962923853102E-2</v>
      </c>
      <c r="M220" s="297">
        <f t="shared" si="107"/>
        <v>8.4931506849315067E-2</v>
      </c>
      <c r="N220" s="304">
        <f>$M220*'MWh Impact Summary'!F$28</f>
        <v>157034.48949249662</v>
      </c>
      <c r="O220" s="304">
        <f>$M220*'MWh Impact Summary'!G$28</f>
        <v>19880.627707039388</v>
      </c>
      <c r="P220" s="304">
        <f>$M220*'MWh Impact Summary'!H$28</f>
        <v>10124.650232578459</v>
      </c>
      <c r="Q220" s="320">
        <f>$D220*'MWh Impact Summary'!I$28</f>
        <v>0</v>
      </c>
      <c r="R220" s="304">
        <f>$M220*'MWh Impact Summary'!J$28</f>
        <v>46094.558607231847</v>
      </c>
      <c r="S220" s="304">
        <f>$M220*'MWh Impact Summary'!K$28</f>
        <v>27781.869342715021</v>
      </c>
      <c r="T220" s="304">
        <f>$M220*'MWh Impact Summary'!L$28</f>
        <v>9926.9397048067713</v>
      </c>
      <c r="U220" s="304">
        <f>$M220*'MWh Impact Summary'!M$28</f>
        <v>30833.507467980115</v>
      </c>
      <c r="V220" s="304">
        <f>$M220*'LED Impact Forecast'!$H$29+$D220*'LED Impact Forecast'!$J$29</f>
        <v>143523.223442755</v>
      </c>
      <c r="W220" s="304">
        <f>$M220*'CFL Impact Forecast'!$H$29+$D220*'CFL Impact Forecast'!$J$29</f>
        <v>303583.47932167997</v>
      </c>
      <c r="X220" s="304">
        <f>$M220*'EISA Incand Impact Forecast'!$G$29+$D220*'EISA Incand Impact Forecast'!$I$29</f>
        <v>105075.47855204505</v>
      </c>
      <c r="Y220" s="85">
        <f t="shared" si="90"/>
        <v>853858.82387132826</v>
      </c>
      <c r="Z220" s="81">
        <f t="shared" si="91"/>
        <v>853858.82387132826</v>
      </c>
      <c r="AA220" s="81">
        <f>SUM(Z209:Z220)</f>
        <v>18465538.166229766</v>
      </c>
      <c r="AB220" s="262">
        <f>+'MWh by mo-WgtbyActulCDH&amp;Days'!AB220</f>
        <v>5275479.2526890254</v>
      </c>
      <c r="AC220" s="308">
        <f t="shared" si="99"/>
        <v>161.85426630880937</v>
      </c>
      <c r="AD220" s="309">
        <f t="shared" si="92"/>
        <v>0</v>
      </c>
      <c r="AE220" s="107">
        <f t="shared" si="93"/>
        <v>0</v>
      </c>
      <c r="AF220" s="309">
        <f t="shared" si="100"/>
        <v>161.85426630880937</v>
      </c>
      <c r="AG220" s="107">
        <f t="shared" si="94"/>
        <v>1.2004024695338148E-2</v>
      </c>
      <c r="AH220" s="119">
        <f t="shared" si="101"/>
        <v>1.2004024695338148E-2</v>
      </c>
      <c r="AI220" s="122">
        <f t="shared" si="95"/>
        <v>1.2004024695338148E-2</v>
      </c>
      <c r="AJ220" s="87" t="b">
        <f t="shared" si="102"/>
        <v>1</v>
      </c>
      <c r="AK220" s="88">
        <f t="shared" si="108"/>
        <v>8.659225065002444E-4</v>
      </c>
      <c r="AL220" s="312">
        <f>+AC220/'MWh by month-WgtbyCDH&amp;DayLtHrs'!AC220-1</f>
        <v>-0.29026987576108798</v>
      </c>
      <c r="AM220" s="89">
        <f t="shared" si="96"/>
        <v>303583.47932167997</v>
      </c>
      <c r="AN220" s="90">
        <f>SUM(AM209:AM220)</f>
        <v>4186920.4292156375</v>
      </c>
      <c r="AO220" s="96">
        <f t="shared" si="87"/>
        <v>57.546142213892118</v>
      </c>
      <c r="AP220" s="92">
        <f t="shared" si="86"/>
        <v>4.2679462704987977E-3</v>
      </c>
      <c r="AR220" s="94">
        <f t="shared" si="97"/>
        <v>1.2004024695338148E-2</v>
      </c>
      <c r="AS220" s="95">
        <v>851106.54648590065</v>
      </c>
      <c r="AU220" s="141">
        <v>161.85426630880937</v>
      </c>
    </row>
    <row r="221" spans="1:47">
      <c r="A221" s="78">
        <f>+A209+1</f>
        <v>2023</v>
      </c>
      <c r="B221" s="78">
        <f>+B209</f>
        <v>1</v>
      </c>
      <c r="C221" s="317">
        <f t="shared" si="105"/>
        <v>0</v>
      </c>
      <c r="D221" s="324">
        <f t="shared" ref="D221:D267" si="109">D209</f>
        <v>0</v>
      </c>
      <c r="E221" s="321">
        <f>$D221*'MWh Impact Summary'!B$29</f>
        <v>0</v>
      </c>
      <c r="F221" s="321">
        <f>$D221*'MWh Impact Summary'!N$29</f>
        <v>0</v>
      </c>
      <c r="G221" s="321">
        <f>$D221*'MWh Impact Summary'!C$29</f>
        <v>0</v>
      </c>
      <c r="H221" s="321">
        <f>$D221*'MWh Impact Summary'!D$29</f>
        <v>0</v>
      </c>
      <c r="I221" s="321">
        <f>$D221*'MWh Impact Summary'!E$29</f>
        <v>0</v>
      </c>
      <c r="J221" s="104">
        <f t="shared" si="98"/>
        <v>0</v>
      </c>
      <c r="K221" s="298">
        <f t="shared" si="106"/>
        <v>13.3</v>
      </c>
      <c r="L221" s="300">
        <f t="shared" ref="L221:L267" si="110">L209</f>
        <v>9.3629003871876101E-2</v>
      </c>
      <c r="M221" s="297">
        <f>(31/365)</f>
        <v>8.4931506849315067E-2</v>
      </c>
      <c r="N221" s="304">
        <f>$M221*'MWh Impact Summary'!F$29</f>
        <v>167742.1745310929</v>
      </c>
      <c r="O221" s="304">
        <f>$M221*'MWh Impact Summary'!G$29</f>
        <v>24469.376538334716</v>
      </c>
      <c r="P221" s="304">
        <f>$M221*'MWh Impact Summary'!H$29</f>
        <v>10691.42619664053</v>
      </c>
      <c r="Q221" s="320">
        <f>$D221*'MWh Impact Summary'!I$29</f>
        <v>0</v>
      </c>
      <c r="R221" s="304">
        <f>$M221*'MWh Impact Summary'!J$29</f>
        <v>47543.000571588018</v>
      </c>
      <c r="S221" s="304">
        <f>$M221*'MWh Impact Summary'!K$29</f>
        <v>31211.432652914413</v>
      </c>
      <c r="T221" s="304">
        <f>$M221*'MWh Impact Summary'!L$29</f>
        <v>11191.771620454721</v>
      </c>
      <c r="U221" s="304">
        <f>$M221*'MWh Impact Summary'!M$29</f>
        <v>34640.438961680789</v>
      </c>
      <c r="V221" s="304">
        <f>$M221*'LED Impact Forecast'!$H$30+$D221*'LED Impact Forecast'!$J$30</f>
        <v>178804.30188799146</v>
      </c>
      <c r="W221" s="304">
        <f>$M221*'CFL Impact Forecast'!$H$30+$D221*'CFL Impact Forecast'!$J$30</f>
        <v>306267.10555997503</v>
      </c>
      <c r="X221" s="304">
        <f>$M221*'EISA Incand Impact Forecast'!$G$30+$D221*'EISA Incand Impact Forecast'!$I$30</f>
        <v>105075.47855204505</v>
      </c>
      <c r="Y221" s="85">
        <f t="shared" si="90"/>
        <v>917636.50707271765</v>
      </c>
      <c r="Z221" s="81">
        <f t="shared" si="91"/>
        <v>917636.50707271765</v>
      </c>
      <c r="AA221" s="81"/>
      <c r="AB221" s="262">
        <f>+'MWh by mo-WgtbyActulCDH&amp;Days'!AB221</f>
        <v>5280717.4207708379</v>
      </c>
      <c r="AC221" s="308">
        <f t="shared" si="99"/>
        <v>173.77118182149732</v>
      </c>
      <c r="AD221" s="309">
        <f t="shared" si="92"/>
        <v>0</v>
      </c>
      <c r="AE221" s="107">
        <f t="shared" si="93"/>
        <v>0</v>
      </c>
      <c r="AF221" s="309">
        <f t="shared" si="100"/>
        <v>173.77118182149732</v>
      </c>
      <c r="AG221" s="107">
        <f t="shared" si="94"/>
        <v>1.3065502392593784E-2</v>
      </c>
      <c r="AH221" s="119">
        <f t="shared" si="101"/>
        <v>1.3065502392593784E-2</v>
      </c>
      <c r="AI221" s="122">
        <f t="shared" si="95"/>
        <v>1.3065502392593784E-2</v>
      </c>
      <c r="AJ221" s="87" t="b">
        <f t="shared" si="102"/>
        <v>1</v>
      </c>
      <c r="AK221" s="88">
        <f t="shared" si="108"/>
        <v>7.6356126423721138E-4</v>
      </c>
      <c r="AL221" s="312">
        <f>+AC221/'MWh by month-WgtbyCDH&amp;DayLtHrs'!AC221-1</f>
        <v>-0.24015253126322456</v>
      </c>
      <c r="AM221" s="89">
        <f t="shared" si="96"/>
        <v>306267.10555997503</v>
      </c>
      <c r="AN221" s="90"/>
      <c r="AO221" s="96">
        <f t="shared" si="87"/>
        <v>57.997253243531546</v>
      </c>
      <c r="AP221" s="92">
        <f t="shared" si="86"/>
        <v>4.3606957325963563E-3</v>
      </c>
      <c r="AR221" s="94">
        <f t="shared" si="97"/>
        <v>1.3065502392593784E-2</v>
      </c>
      <c r="AS221" s="95"/>
    </row>
    <row r="222" spans="1:47">
      <c r="A222" s="78">
        <f t="shared" ref="A222:A268" si="111">+A210+1</f>
        <v>2023</v>
      </c>
      <c r="B222" s="78">
        <f t="shared" ref="B222:C266" si="112">+B210</f>
        <v>2</v>
      </c>
      <c r="C222" s="317">
        <f t="shared" si="105"/>
        <v>0</v>
      </c>
      <c r="D222" s="324">
        <f t="shared" si="109"/>
        <v>0</v>
      </c>
      <c r="E222" s="321">
        <f>$D222*'MWh Impact Summary'!B$29</f>
        <v>0</v>
      </c>
      <c r="F222" s="321">
        <f>$D222*'MWh Impact Summary'!N$29</f>
        <v>0</v>
      </c>
      <c r="G222" s="321">
        <f>$D222*'MWh Impact Summary'!C$29</f>
        <v>0</v>
      </c>
      <c r="H222" s="321">
        <f>$D222*'MWh Impact Summary'!D$29</f>
        <v>0</v>
      </c>
      <c r="I222" s="321">
        <f>$D222*'MWh Impact Summary'!E$29</f>
        <v>0</v>
      </c>
      <c r="J222" s="104">
        <f t="shared" si="98"/>
        <v>0</v>
      </c>
      <c r="K222" s="298">
        <f t="shared" si="106"/>
        <v>12.733333333333333</v>
      </c>
      <c r="L222" s="300">
        <f t="shared" si="110"/>
        <v>8.9639798193124468E-2</v>
      </c>
      <c r="M222" s="297">
        <f>(28/365)</f>
        <v>7.6712328767123292E-2</v>
      </c>
      <c r="N222" s="304">
        <f>$M222*'MWh Impact Summary'!F$29</f>
        <v>151509.06086679359</v>
      </c>
      <c r="O222" s="304">
        <f>$M222*'MWh Impact Summary'!G$29</f>
        <v>22101.372357205553</v>
      </c>
      <c r="P222" s="304">
        <f>$M222*'MWh Impact Summary'!H$29</f>
        <v>9656.7720485785449</v>
      </c>
      <c r="Q222" s="320">
        <f>$D222*'MWh Impact Summary'!I$29</f>
        <v>0</v>
      </c>
      <c r="R222" s="304">
        <f>$M222*'MWh Impact Summary'!J$29</f>
        <v>42942.065032402083</v>
      </c>
      <c r="S222" s="304">
        <f>$M222*'MWh Impact Summary'!K$29</f>
        <v>28190.971428438825</v>
      </c>
      <c r="T222" s="304">
        <f>$M222*'MWh Impact Summary'!L$29</f>
        <v>10108.696947507491</v>
      </c>
      <c r="U222" s="304">
        <f>$M222*'MWh Impact Summary'!M$29</f>
        <v>31288.138417002003</v>
      </c>
      <c r="V222" s="304">
        <f>$M222*'LED Impact Forecast'!$H$30+$D222*'LED Impact Forecast'!$J$30</f>
        <v>161500.65976979875</v>
      </c>
      <c r="W222" s="304">
        <f>$M222*'CFL Impact Forecast'!$H$30+$D222*'CFL Impact Forecast'!$J$30</f>
        <v>276628.35340900975</v>
      </c>
      <c r="X222" s="304">
        <f>$M222*'EISA Incand Impact Forecast'!$G$30+$D222*'EISA Incand Impact Forecast'!$I$30</f>
        <v>94906.883853460051</v>
      </c>
      <c r="Y222" s="85">
        <f t="shared" si="90"/>
        <v>828832.97413019661</v>
      </c>
      <c r="Z222" s="81">
        <f t="shared" si="91"/>
        <v>828832.97413019661</v>
      </c>
      <c r="AA222" s="81"/>
      <c r="AB222" s="262">
        <f>+'MWh by mo-WgtbyActulCDH&amp;Days'!AB222</f>
        <v>5285898.8015586017</v>
      </c>
      <c r="AC222" s="308">
        <f t="shared" si="99"/>
        <v>156.80076468467513</v>
      </c>
      <c r="AD222" s="309">
        <f t="shared" si="92"/>
        <v>0</v>
      </c>
      <c r="AE222" s="107">
        <f t="shared" si="93"/>
        <v>0</v>
      </c>
      <c r="AF222" s="309">
        <f t="shared" si="100"/>
        <v>156.80076468467513</v>
      </c>
      <c r="AG222" s="107">
        <f t="shared" si="94"/>
        <v>1.2314196179424749E-2</v>
      </c>
      <c r="AH222" s="119">
        <f t="shared" si="101"/>
        <v>1.2314196179424749E-2</v>
      </c>
      <c r="AI222" s="122">
        <f t="shared" si="95"/>
        <v>1.2314196179424749E-2</v>
      </c>
      <c r="AJ222" s="87" t="b">
        <f t="shared" si="102"/>
        <v>1</v>
      </c>
      <c r="AK222" s="88">
        <f t="shared" si="108"/>
        <v>7.1968463239277351E-4</v>
      </c>
      <c r="AL222" s="312">
        <f>+AC222/'MWh by month-WgtbyCDH&amp;DayLtHrs'!AC222-1</f>
        <v>-0.30906170975325575</v>
      </c>
      <c r="AM222" s="89">
        <f t="shared" si="96"/>
        <v>276628.35340900975</v>
      </c>
      <c r="AN222" s="90"/>
      <c r="AO222" s="96">
        <f t="shared" si="87"/>
        <v>52.333267017416802</v>
      </c>
      <c r="AP222" s="92">
        <f t="shared" si="86"/>
        <v>4.1099424359227858E-3</v>
      </c>
      <c r="AR222" s="94">
        <f t="shared" si="97"/>
        <v>1.2314196179424749E-2</v>
      </c>
      <c r="AS222" s="95"/>
    </row>
    <row r="223" spans="1:47">
      <c r="A223" s="78">
        <f t="shared" si="111"/>
        <v>2023</v>
      </c>
      <c r="B223" s="78">
        <f t="shared" si="112"/>
        <v>3</v>
      </c>
      <c r="C223" s="317">
        <f t="shared" si="105"/>
        <v>0</v>
      </c>
      <c r="D223" s="324">
        <f t="shared" si="109"/>
        <v>0</v>
      </c>
      <c r="E223" s="321">
        <f>$D223*'MWh Impact Summary'!B$29</f>
        <v>0</v>
      </c>
      <c r="F223" s="321">
        <f>$D223*'MWh Impact Summary'!N$29</f>
        <v>0</v>
      </c>
      <c r="G223" s="321">
        <f>$D223*'MWh Impact Summary'!C$29</f>
        <v>0</v>
      </c>
      <c r="H223" s="321">
        <f>$D223*'MWh Impact Summary'!D$29</f>
        <v>0</v>
      </c>
      <c r="I223" s="321">
        <f>$D223*'MWh Impact Summary'!E$29</f>
        <v>0</v>
      </c>
      <c r="J223" s="104">
        <f t="shared" si="98"/>
        <v>0</v>
      </c>
      <c r="K223" s="298">
        <f t="shared" si="106"/>
        <v>12</v>
      </c>
      <c r="L223" s="300">
        <f t="shared" si="110"/>
        <v>8.4477296726504739E-2</v>
      </c>
      <c r="M223" s="297">
        <f t="shared" ref="M223:M232" si="113">(31/365)</f>
        <v>8.4931506849315067E-2</v>
      </c>
      <c r="N223" s="304">
        <f>$M223*'MWh Impact Summary'!F$29</f>
        <v>167742.1745310929</v>
      </c>
      <c r="O223" s="304">
        <f>$M223*'MWh Impact Summary'!G$29</f>
        <v>24469.376538334716</v>
      </c>
      <c r="P223" s="304">
        <f>$M223*'MWh Impact Summary'!H$29</f>
        <v>10691.42619664053</v>
      </c>
      <c r="Q223" s="320">
        <f>$D223*'MWh Impact Summary'!I$29</f>
        <v>0</v>
      </c>
      <c r="R223" s="304">
        <f>$M223*'MWh Impact Summary'!J$29</f>
        <v>47543.000571588018</v>
      </c>
      <c r="S223" s="304">
        <f>$M223*'MWh Impact Summary'!K$29</f>
        <v>31211.432652914413</v>
      </c>
      <c r="T223" s="304">
        <f>$M223*'MWh Impact Summary'!L$29</f>
        <v>11191.771620454721</v>
      </c>
      <c r="U223" s="304">
        <f>$M223*'MWh Impact Summary'!M$29</f>
        <v>34640.438961680789</v>
      </c>
      <c r="V223" s="304">
        <f>$M223*'LED Impact Forecast'!$H$30+$D223*'LED Impact Forecast'!$J$30</f>
        <v>178804.30188799146</v>
      </c>
      <c r="W223" s="304">
        <f>$M223*'CFL Impact Forecast'!$H$30+$D223*'CFL Impact Forecast'!$J$30</f>
        <v>306267.10555997503</v>
      </c>
      <c r="X223" s="304">
        <f>$M223*'EISA Incand Impact Forecast'!$G$30+$D223*'EISA Incand Impact Forecast'!$I$30</f>
        <v>105075.47855204505</v>
      </c>
      <c r="Y223" s="85">
        <f t="shared" si="90"/>
        <v>917636.50707271765</v>
      </c>
      <c r="Z223" s="81">
        <f t="shared" si="91"/>
        <v>917636.50707271765</v>
      </c>
      <c r="AA223" s="81"/>
      <c r="AB223" s="262">
        <f>+'MWh by mo-WgtbyActulCDH&amp;Days'!AB223</f>
        <v>5291129.8776962366</v>
      </c>
      <c r="AC223" s="308">
        <f t="shared" si="99"/>
        <v>173.42921611900738</v>
      </c>
      <c r="AD223" s="309">
        <f t="shared" si="92"/>
        <v>0</v>
      </c>
      <c r="AE223" s="107">
        <f t="shared" si="93"/>
        <v>0</v>
      </c>
      <c r="AF223" s="309">
        <f t="shared" si="100"/>
        <v>173.42921611900738</v>
      </c>
      <c r="AG223" s="107">
        <f t="shared" si="94"/>
        <v>1.4452434676583949E-2</v>
      </c>
      <c r="AH223" s="119">
        <f t="shared" si="101"/>
        <v>1.4452434676583949E-2</v>
      </c>
      <c r="AI223" s="122">
        <f t="shared" si="95"/>
        <v>1.4452434676583949E-2</v>
      </c>
      <c r="AJ223" s="87" t="b">
        <f t="shared" si="102"/>
        <v>1</v>
      </c>
      <c r="AK223" s="88">
        <f t="shared" si="108"/>
        <v>8.4474003584937736E-4</v>
      </c>
      <c r="AL223" s="312">
        <f>+AC223/'MWh by month-WgtbyCDH&amp;DayLtHrs'!AC223-1</f>
        <v>-0.26970534759378662</v>
      </c>
      <c r="AM223" s="89">
        <f t="shared" si="96"/>
        <v>306267.10555997503</v>
      </c>
      <c r="AN223" s="90"/>
      <c r="AO223" s="96">
        <f t="shared" si="87"/>
        <v>57.88311998368939</v>
      </c>
      <c r="AP223" s="92">
        <f t="shared" si="86"/>
        <v>4.8235933319741159E-3</v>
      </c>
      <c r="AR223" s="94">
        <f t="shared" si="97"/>
        <v>1.4452434676583949E-2</v>
      </c>
      <c r="AS223" s="95"/>
    </row>
    <row r="224" spans="1:47">
      <c r="A224" s="78">
        <f t="shared" si="111"/>
        <v>2023</v>
      </c>
      <c r="B224" s="78">
        <f t="shared" si="112"/>
        <v>4</v>
      </c>
      <c r="C224" s="317">
        <f t="shared" si="105"/>
        <v>114.03392869270741</v>
      </c>
      <c r="D224" s="324">
        <f t="shared" si="109"/>
        <v>6.3428519090031305E-2</v>
      </c>
      <c r="E224" s="321">
        <f>$D224*'MWh Impact Summary'!B$29</f>
        <v>223103.73073823788</v>
      </c>
      <c r="F224" s="321">
        <f>$D224*'MWh Impact Summary'!N$29</f>
        <v>33979.05974830014</v>
      </c>
      <c r="G224" s="321">
        <f>$D224*'MWh Impact Summary'!C$29</f>
        <v>154317.35656655967</v>
      </c>
      <c r="H224" s="321">
        <f>$D224*'MWh Impact Summary'!D$29</f>
        <v>738.7943547889314</v>
      </c>
      <c r="I224" s="321">
        <f>$D224*'MWh Impact Summary'!E$29</f>
        <v>55339.818032077375</v>
      </c>
      <c r="J224" s="104">
        <f t="shared" si="98"/>
        <v>467478.75943996408</v>
      </c>
      <c r="K224" s="298">
        <f t="shared" si="106"/>
        <v>11.2</v>
      </c>
      <c r="L224" s="300">
        <f t="shared" si="110"/>
        <v>7.8845476944737758E-2</v>
      </c>
      <c r="M224" s="297">
        <f>(30/365)</f>
        <v>8.2191780821917804E-2</v>
      </c>
      <c r="N224" s="304">
        <f>$M224*'MWh Impact Summary'!F$29</f>
        <v>162331.13664299314</v>
      </c>
      <c r="O224" s="304">
        <f>$M224*'MWh Impact Summary'!G$29</f>
        <v>23680.04181129166</v>
      </c>
      <c r="P224" s="304">
        <f>$M224*'MWh Impact Summary'!H$29</f>
        <v>10346.541480619868</v>
      </c>
      <c r="Q224" s="320">
        <f>$D224*'MWh Impact Summary'!I$29</f>
        <v>1332.7955402596838</v>
      </c>
      <c r="R224" s="304">
        <f>$M224*'MWh Impact Summary'!J$29</f>
        <v>46009.355391859368</v>
      </c>
      <c r="S224" s="304">
        <f>$M224*'MWh Impact Summary'!K$29</f>
        <v>30204.612244755881</v>
      </c>
      <c r="T224" s="304">
        <f>$M224*'MWh Impact Summary'!L$29</f>
        <v>10830.74672947231</v>
      </c>
      <c r="U224" s="304">
        <f>$M224*'MWh Impact Summary'!M$29</f>
        <v>33523.005446787858</v>
      </c>
      <c r="V224" s="304">
        <f>$M224*'LED Impact Forecast'!$H$30+$D224*'LED Impact Forecast'!$J$30</f>
        <v>195708.20406650688</v>
      </c>
      <c r="W224" s="304">
        <f>$M224*'CFL Impact Forecast'!$H$30+$D224*'CFL Impact Forecast'!$J$30</f>
        <v>335611.87672629155</v>
      </c>
      <c r="X224" s="304">
        <f>$M224*'EISA Incand Impact Forecast'!$G$30+$D224*'EISA Incand Impact Forecast'!$I$30</f>
        <v>116216.94087759078</v>
      </c>
      <c r="Y224" s="85">
        <f t="shared" si="90"/>
        <v>965795.256958429</v>
      </c>
      <c r="Z224" s="81">
        <f t="shared" si="91"/>
        <v>1433274.0163983931</v>
      </c>
      <c r="AA224" s="81"/>
      <c r="AB224" s="262">
        <f>+'MWh by mo-WgtbyActulCDH&amp;Days'!AB224</f>
        <v>5296301.965313198</v>
      </c>
      <c r="AC224" s="308">
        <f t="shared" si="99"/>
        <v>270.61788126607246</v>
      </c>
      <c r="AD224" s="309">
        <f t="shared" si="92"/>
        <v>88.265125837159403</v>
      </c>
      <c r="AE224" s="107">
        <f t="shared" si="93"/>
        <v>7.8808148068892324E-3</v>
      </c>
      <c r="AF224" s="309">
        <f t="shared" si="100"/>
        <v>182.35275542891301</v>
      </c>
      <c r="AG224" s="107">
        <f t="shared" si="94"/>
        <v>1.6281496020438664E-2</v>
      </c>
      <c r="AH224" s="119">
        <f t="shared" si="101"/>
        <v>2.4162310827327897E-2</v>
      </c>
      <c r="AI224" s="122">
        <f t="shared" si="95"/>
        <v>2.41623108273279E-2</v>
      </c>
      <c r="AJ224" s="87" t="b">
        <f t="shared" si="102"/>
        <v>1</v>
      </c>
      <c r="AK224" s="88">
        <f t="shared" si="108"/>
        <v>9.6503659068255046E-4</v>
      </c>
      <c r="AL224" s="312">
        <f>+AC224/'MWh by month-WgtbyCDH&amp;DayLtHrs'!AC224-1</f>
        <v>3.6178656674433984E-2</v>
      </c>
      <c r="AM224" s="89">
        <f t="shared" si="96"/>
        <v>335611.87672629155</v>
      </c>
      <c r="AN224" s="90"/>
      <c r="AO224" s="96">
        <f t="shared" si="87"/>
        <v>63.367209597243018</v>
      </c>
      <c r="AP224" s="92">
        <f t="shared" si="86"/>
        <v>5.6577865711824127E-3</v>
      </c>
      <c r="AR224" s="94">
        <f t="shared" si="97"/>
        <v>2.41623108273279E-2</v>
      </c>
      <c r="AS224" s="95"/>
    </row>
    <row r="225" spans="1:45">
      <c r="A225" s="78">
        <f t="shared" si="111"/>
        <v>2023</v>
      </c>
      <c r="B225" s="78">
        <f t="shared" si="112"/>
        <v>5</v>
      </c>
      <c r="C225" s="317">
        <f t="shared" si="105"/>
        <v>208.47875842628665</v>
      </c>
      <c r="D225" s="324">
        <f t="shared" si="109"/>
        <v>0.11596109210918912</v>
      </c>
      <c r="E225" s="321">
        <f>$D225*'MWh Impact Summary'!B$29</f>
        <v>407882.01649983943</v>
      </c>
      <c r="F225" s="321">
        <f>$D225*'MWh Impact Summary'!N$29</f>
        <v>62121.092117308144</v>
      </c>
      <c r="G225" s="321">
        <f>$D225*'MWh Impact Summary'!C$29</f>
        <v>282125.60305028205</v>
      </c>
      <c r="H225" s="321">
        <f>$D225*'MWh Impact Summary'!D$29</f>
        <v>1350.6763432995347</v>
      </c>
      <c r="I225" s="321">
        <f>$D225*'MWh Impact Summary'!E$29</f>
        <v>101173.19193618151</v>
      </c>
      <c r="J225" s="104">
        <f t="shared" si="98"/>
        <v>854652.57994691073</v>
      </c>
      <c r="K225" s="298">
        <f t="shared" si="106"/>
        <v>10.533333333333333</v>
      </c>
      <c r="L225" s="300">
        <f t="shared" si="110"/>
        <v>7.4152293793265281E-2</v>
      </c>
      <c r="M225" s="297">
        <f t="shared" si="113"/>
        <v>8.4931506849315067E-2</v>
      </c>
      <c r="N225" s="304">
        <f>$M225*'MWh Impact Summary'!F$29</f>
        <v>167742.1745310929</v>
      </c>
      <c r="O225" s="304">
        <f>$M225*'MWh Impact Summary'!G$29</f>
        <v>24469.376538334716</v>
      </c>
      <c r="P225" s="304">
        <f>$M225*'MWh Impact Summary'!H$29</f>
        <v>10691.42619664053</v>
      </c>
      <c r="Q225" s="320">
        <f>$D225*'MWh Impact Summary'!I$29</f>
        <v>2436.6393638703094</v>
      </c>
      <c r="R225" s="304">
        <f>$M225*'MWh Impact Summary'!J$29</f>
        <v>47543.000571588018</v>
      </c>
      <c r="S225" s="304">
        <f>$M225*'MWh Impact Summary'!K$29</f>
        <v>31211.432652914413</v>
      </c>
      <c r="T225" s="304">
        <f>$M225*'MWh Impact Summary'!L$29</f>
        <v>11191.771620454721</v>
      </c>
      <c r="U225" s="304">
        <f>$M225*'MWh Impact Summary'!M$29</f>
        <v>34640.438961680789</v>
      </c>
      <c r="V225" s="304">
        <f>$M225*'LED Impact Forecast'!$H$30+$D225*'LED Impact Forecast'!$J$30</f>
        <v>220253.23907075264</v>
      </c>
      <c r="W225" s="304">
        <f>$M225*'CFL Impact Forecast'!$H$30+$D225*'CFL Impact Forecast'!$J$30</f>
        <v>377977.73562756251</v>
      </c>
      <c r="X225" s="304">
        <f>$M225*'EISA Incand Impact Forecast'!$G$30+$D225*'EISA Incand Impact Forecast'!$I$30</f>
        <v>131641.28751766912</v>
      </c>
      <c r="Y225" s="85">
        <f t="shared" si="90"/>
        <v>1059798.5226525606</v>
      </c>
      <c r="Z225" s="81">
        <f t="shared" si="91"/>
        <v>1914451.1025994713</v>
      </c>
      <c r="AA225" s="81"/>
      <c r="AB225" s="262">
        <f>+'MWh by mo-WgtbyActulCDH&amp;Days'!AB225</f>
        <v>5301485.111214349</v>
      </c>
      <c r="AC225" s="308">
        <f t="shared" si="99"/>
        <v>361.11600097674335</v>
      </c>
      <c r="AD225" s="309">
        <f t="shared" si="92"/>
        <v>161.21003115505223</v>
      </c>
      <c r="AE225" s="107">
        <f t="shared" si="93"/>
        <v>1.530474979320116E-2</v>
      </c>
      <c r="AF225" s="309">
        <f t="shared" si="100"/>
        <v>199.90596982169114</v>
      </c>
      <c r="AG225" s="107">
        <f t="shared" si="94"/>
        <v>1.8978414856489666E-2</v>
      </c>
      <c r="AH225" s="119">
        <f t="shared" si="101"/>
        <v>3.4283164649690827E-2</v>
      </c>
      <c r="AI225" s="122">
        <f t="shared" si="95"/>
        <v>3.4283164649690827E-2</v>
      </c>
      <c r="AJ225" s="87" t="b">
        <f t="shared" si="102"/>
        <v>1</v>
      </c>
      <c r="AK225" s="88">
        <f t="shared" si="108"/>
        <v>1.1351419988790828E-3</v>
      </c>
      <c r="AL225" s="312">
        <f>+AC225/'MWh by month-WgtbyCDH&amp;DayLtHrs'!AC225-1</f>
        <v>0.13390975071611089</v>
      </c>
      <c r="AM225" s="89">
        <f t="shared" si="96"/>
        <v>377977.73562756251</v>
      </c>
      <c r="AN225" s="90"/>
      <c r="AO225" s="96">
        <f t="shared" si="87"/>
        <v>71.2965759024802</v>
      </c>
      <c r="AP225" s="92">
        <f t="shared" si="86"/>
        <v>6.7686622692228037E-3</v>
      </c>
      <c r="AR225" s="94">
        <f t="shared" si="97"/>
        <v>3.4283164649690827E-2</v>
      </c>
      <c r="AS225" s="95"/>
    </row>
    <row r="226" spans="1:45">
      <c r="A226" s="78">
        <f t="shared" si="111"/>
        <v>2023</v>
      </c>
      <c r="B226" s="78">
        <f t="shared" si="112"/>
        <v>6</v>
      </c>
      <c r="C226" s="317">
        <f t="shared" si="105"/>
        <v>271.66325293295364</v>
      </c>
      <c r="D226" s="324">
        <f t="shared" si="109"/>
        <v>0.15110588596093688</v>
      </c>
      <c r="E226" s="321">
        <f>$D226*'MWh Impact Summary'!B$29</f>
        <v>531500.4571766851</v>
      </c>
      <c r="F226" s="321">
        <f>$D226*'MWh Impact Summary'!N$29</f>
        <v>80948.380965644377</v>
      </c>
      <c r="G226" s="321">
        <f>$D226*'MWh Impact Summary'!C$29</f>
        <v>367630.54250157636</v>
      </c>
      <c r="H226" s="321">
        <f>$D226*'MWh Impact Summary'!D$29</f>
        <v>1760.031246588972</v>
      </c>
      <c r="I226" s="321">
        <f>$D226*'MWh Impact Summary'!E$29</f>
        <v>131836.15749856466</v>
      </c>
      <c r="J226" s="104">
        <f t="shared" si="98"/>
        <v>1113675.5693890594</v>
      </c>
      <c r="K226" s="298">
        <f t="shared" si="106"/>
        <v>10.199999999999999</v>
      </c>
      <c r="L226" s="300">
        <f t="shared" si="110"/>
        <v>7.1805702217529022E-2</v>
      </c>
      <c r="M226" s="297">
        <f>(30/365)</f>
        <v>8.2191780821917804E-2</v>
      </c>
      <c r="N226" s="304">
        <f>$M226*'MWh Impact Summary'!F$29</f>
        <v>162331.13664299314</v>
      </c>
      <c r="O226" s="304">
        <f>$M226*'MWh Impact Summary'!G$29</f>
        <v>23680.04181129166</v>
      </c>
      <c r="P226" s="304">
        <f>$M226*'MWh Impact Summary'!H$29</f>
        <v>10346.541480619868</v>
      </c>
      <c r="Q226" s="320">
        <f>$D226*'MWh Impact Summary'!I$29</f>
        <v>3175.1214407176162</v>
      </c>
      <c r="R226" s="304">
        <f>$M226*'MWh Impact Summary'!J$29</f>
        <v>46009.355391859368</v>
      </c>
      <c r="S226" s="304">
        <f>$M226*'MWh Impact Summary'!K$29</f>
        <v>30204.612244755881</v>
      </c>
      <c r="T226" s="304">
        <f>$M226*'MWh Impact Summary'!L$29</f>
        <v>10830.74672947231</v>
      </c>
      <c r="U226" s="304">
        <f>$M226*'MWh Impact Summary'!M$29</f>
        <v>33523.005446787858</v>
      </c>
      <c r="V226" s="304">
        <f>$M226*'LED Impact Forecast'!$H$30+$D226*'LED Impact Forecast'!$J$30</f>
        <v>227047.45420361464</v>
      </c>
      <c r="W226" s="304">
        <f>$M226*'CFL Impact Forecast'!$H$30+$D226*'CFL Impact Forecast'!$J$30</f>
        <v>389831.78020097979</v>
      </c>
      <c r="X226" s="304">
        <f>$M226*'EISA Incand Impact Forecast'!$G$30+$D226*'EISA Incand Impact Forecast'!$I$30</f>
        <v>136303.16235529311</v>
      </c>
      <c r="Y226" s="85">
        <f t="shared" si="90"/>
        <v>1073282.9579483853</v>
      </c>
      <c r="Z226" s="81">
        <f t="shared" si="91"/>
        <v>2186958.5273374449</v>
      </c>
      <c r="AA226" s="81"/>
      <c r="AB226" s="262">
        <f>+'MWh by mo-WgtbyActulCDH&amp;Days'!AB226</f>
        <v>5306665.8266493091</v>
      </c>
      <c r="AC226" s="308">
        <f t="shared" si="99"/>
        <v>412.11536561334896</v>
      </c>
      <c r="AD226" s="309">
        <f t="shared" si="92"/>
        <v>209.8635199142071</v>
      </c>
      <c r="AE226" s="107">
        <f t="shared" si="93"/>
        <v>2.0574854893549717E-2</v>
      </c>
      <c r="AF226" s="309">
        <f t="shared" si="100"/>
        <v>202.25184569914188</v>
      </c>
      <c r="AG226" s="107">
        <f t="shared" si="94"/>
        <v>1.9828612323445283E-2</v>
      </c>
      <c r="AH226" s="119">
        <f t="shared" si="101"/>
        <v>4.0403467216995004E-2</v>
      </c>
      <c r="AI226" s="122">
        <f t="shared" si="95"/>
        <v>4.0403467216994997E-2</v>
      </c>
      <c r="AJ226" s="87" t="b">
        <f t="shared" si="102"/>
        <v>1</v>
      </c>
      <c r="AK226" s="88">
        <f t="shared" si="108"/>
        <v>1.1936227331408242E-3</v>
      </c>
      <c r="AL226" s="312">
        <f>+AC226/'MWh by month-WgtbyCDH&amp;DayLtHrs'!AC226-1</f>
        <v>0.15056960294695387</v>
      </c>
      <c r="AM226" s="89">
        <f t="shared" si="96"/>
        <v>389831.78020097979</v>
      </c>
      <c r="AN226" s="90"/>
      <c r="AO226" s="96">
        <f t="shared" si="87"/>
        <v>73.460774229140426</v>
      </c>
      <c r="AP226" s="92">
        <f t="shared" si="86"/>
        <v>7.2020366891314145E-3</v>
      </c>
      <c r="AR226" s="94">
        <f t="shared" si="97"/>
        <v>4.0403467216994997E-2</v>
      </c>
      <c r="AS226" s="95"/>
    </row>
    <row r="227" spans="1:45">
      <c r="A227" s="78">
        <f t="shared" si="111"/>
        <v>2023</v>
      </c>
      <c r="B227" s="78">
        <f t="shared" si="112"/>
        <v>7</v>
      </c>
      <c r="C227" s="317">
        <f t="shared" si="105"/>
        <v>322.31916585708109</v>
      </c>
      <c r="D227" s="324">
        <f t="shared" si="109"/>
        <v>0.17928196984022934</v>
      </c>
      <c r="E227" s="321">
        <f>$D227*'MWh Impact Summary'!B$29</f>
        <v>630607.12908464763</v>
      </c>
      <c r="F227" s="321">
        <f>$D227*'MWh Impact Summary'!N$29</f>
        <v>96042.487707260923</v>
      </c>
      <c r="G227" s="321">
        <f>$D227*'MWh Impact Summary'!C$29</f>
        <v>436181.07536958129</v>
      </c>
      <c r="H227" s="321">
        <f>$D227*'MWh Impact Summary'!D$29</f>
        <v>2088.2169272373521</v>
      </c>
      <c r="I227" s="321">
        <f>$D227*'MWh Impact Summary'!E$29</f>
        <v>156419.09553820832</v>
      </c>
      <c r="J227" s="104">
        <f t="shared" si="98"/>
        <v>1321338.0046269353</v>
      </c>
      <c r="K227" s="298">
        <f t="shared" si="106"/>
        <v>10.366666666666667</v>
      </c>
      <c r="L227" s="300">
        <f t="shared" si="110"/>
        <v>7.2978998005397158E-2</v>
      </c>
      <c r="M227" s="297">
        <f t="shared" si="113"/>
        <v>8.4931506849315067E-2</v>
      </c>
      <c r="N227" s="304">
        <f>$M227*'MWh Impact Summary'!F$29</f>
        <v>167742.1745310929</v>
      </c>
      <c r="O227" s="304">
        <f>$M227*'MWh Impact Summary'!G$29</f>
        <v>24469.376538334716</v>
      </c>
      <c r="P227" s="304">
        <f>$M227*'MWh Impact Summary'!H$29</f>
        <v>10691.42619664053</v>
      </c>
      <c r="Q227" s="320">
        <f>$D227*'MWh Impact Summary'!I$29</f>
        <v>3767.1730836544566</v>
      </c>
      <c r="R227" s="304">
        <f>$M227*'MWh Impact Summary'!J$29</f>
        <v>47543.000571588018</v>
      </c>
      <c r="S227" s="304">
        <f>$M227*'MWh Impact Summary'!K$29</f>
        <v>31211.432652914413</v>
      </c>
      <c r="T227" s="304">
        <f>$M227*'MWh Impact Summary'!L$29</f>
        <v>11191.771620454721</v>
      </c>
      <c r="U227" s="304">
        <f>$M227*'MWh Impact Summary'!M$29</f>
        <v>34640.438961680789</v>
      </c>
      <c r="V227" s="304">
        <f>$M227*'LED Impact Forecast'!$H$30+$D227*'LED Impact Forecast'!$J$30</f>
        <v>242886.54680952313</v>
      </c>
      <c r="W227" s="304">
        <f>$M227*'CFL Impact Forecast'!$H$30+$D227*'CFL Impact Forecast'!$J$30</f>
        <v>417135.52515795053</v>
      </c>
      <c r="X227" s="304">
        <f>$M227*'EISA Incand Impact Forecast'!$G$30+$D227*'EISA Incand Impact Forecast'!$I$30</f>
        <v>146147.62158836346</v>
      </c>
      <c r="Y227" s="85">
        <f t="shared" si="90"/>
        <v>1137426.4877121977</v>
      </c>
      <c r="Z227" s="81">
        <f t="shared" si="91"/>
        <v>2458764.4923391333</v>
      </c>
      <c r="AA227" s="81"/>
      <c r="AB227" s="262">
        <f>+'MWh by mo-WgtbyActulCDH&amp;Days'!AB227</f>
        <v>5311951.1835386856</v>
      </c>
      <c r="AC227" s="308">
        <f t="shared" si="99"/>
        <v>462.87407534140164</v>
      </c>
      <c r="AD227" s="309">
        <f t="shared" si="92"/>
        <v>248.74814526188732</v>
      </c>
      <c r="AE227" s="107">
        <f t="shared" si="93"/>
        <v>2.3994997935230286E-2</v>
      </c>
      <c r="AF227" s="309">
        <f t="shared" si="100"/>
        <v>214.12593007951429</v>
      </c>
      <c r="AG227" s="107">
        <f t="shared" si="94"/>
        <v>2.0655234412814881E-2</v>
      </c>
      <c r="AH227" s="119">
        <f t="shared" si="101"/>
        <v>4.4650232348045167E-2</v>
      </c>
      <c r="AI227" s="122">
        <f t="shared" si="95"/>
        <v>4.4650232348045174E-2</v>
      </c>
      <c r="AJ227" s="87" t="b">
        <f t="shared" si="102"/>
        <v>1</v>
      </c>
      <c r="AK227" s="88">
        <f t="shared" si="108"/>
        <v>1.2479878429497784E-3</v>
      </c>
      <c r="AL227" s="312">
        <f>+AC227/'MWh by month-WgtbyCDH&amp;DayLtHrs'!AC227-1</f>
        <v>0.169246104659869</v>
      </c>
      <c r="AM227" s="89">
        <f t="shared" si="96"/>
        <v>417135.52515795053</v>
      </c>
      <c r="AN227" s="90"/>
      <c r="AO227" s="96">
        <f t="shared" si="87"/>
        <v>78.527740701123221</v>
      </c>
      <c r="AP227" s="92">
        <f t="shared" si="86"/>
        <v>7.575023218757867E-3</v>
      </c>
      <c r="AR227" s="94">
        <f t="shared" si="97"/>
        <v>4.4650232348045174E-2</v>
      </c>
      <c r="AS227" s="95"/>
    </row>
    <row r="228" spans="1:45">
      <c r="A228" s="78">
        <f t="shared" si="111"/>
        <v>2023</v>
      </c>
      <c r="B228" s="78">
        <f t="shared" si="112"/>
        <v>8</v>
      </c>
      <c r="C228" s="317">
        <f t="shared" si="105"/>
        <v>326.45437890907908</v>
      </c>
      <c r="D228" s="324">
        <f t="shared" si="109"/>
        <v>0.18158207861502046</v>
      </c>
      <c r="E228" s="321">
        <f>$D228*'MWh Impact Summary'!B$29</f>
        <v>638697.54103374691</v>
      </c>
      <c r="F228" s="321">
        <f>$D228*'MWh Impact Summary'!N$29</f>
        <v>97274.670558247584</v>
      </c>
      <c r="G228" s="321">
        <f>$D228*'MWh Impact Summary'!C$29</f>
        <v>441777.08661237097</v>
      </c>
      <c r="H228" s="321">
        <f>$D228*'MWh Impact Summary'!D$29</f>
        <v>2115.0078314330522</v>
      </c>
      <c r="I228" s="321">
        <f>$D228*'MWh Impact Summary'!E$29</f>
        <v>158425.88369717906</v>
      </c>
      <c r="J228" s="104">
        <f t="shared" si="98"/>
        <v>1338290.1897329777</v>
      </c>
      <c r="K228" s="298">
        <f t="shared" si="106"/>
        <v>10.933333333333334</v>
      </c>
      <c r="L228" s="300">
        <f t="shared" si="110"/>
        <v>7.6968203684148764E-2</v>
      </c>
      <c r="M228" s="297">
        <f t="shared" si="113"/>
        <v>8.4931506849315067E-2</v>
      </c>
      <c r="N228" s="304">
        <f>$M228*'MWh Impact Summary'!F$29</f>
        <v>167742.1745310929</v>
      </c>
      <c r="O228" s="304">
        <f>$M228*'MWh Impact Summary'!G$29</f>
        <v>24469.376538334716</v>
      </c>
      <c r="P228" s="304">
        <f>$M228*'MWh Impact Summary'!H$29</f>
        <v>10691.42619664053</v>
      </c>
      <c r="Q228" s="320">
        <f>$D228*'MWh Impact Summary'!I$29</f>
        <v>3815.50425646337</v>
      </c>
      <c r="R228" s="304">
        <f>$M228*'MWh Impact Summary'!J$29</f>
        <v>47543.000571588018</v>
      </c>
      <c r="S228" s="304">
        <f>$M228*'MWh Impact Summary'!K$29</f>
        <v>31211.432652914413</v>
      </c>
      <c r="T228" s="304">
        <f>$M228*'MWh Impact Summary'!L$29</f>
        <v>11191.771620454721</v>
      </c>
      <c r="U228" s="304">
        <f>$M228*'MWh Impact Summary'!M$29</f>
        <v>34640.438961680789</v>
      </c>
      <c r="V228" s="304">
        <f>$M228*'LED Impact Forecast'!$H$30+$D228*'LED Impact Forecast'!$J$30</f>
        <v>243708.69381060576</v>
      </c>
      <c r="W228" s="304">
        <f>$M228*'CFL Impact Forecast'!$H$30+$D228*'CFL Impact Forecast'!$J$30</f>
        <v>418557.91819051141</v>
      </c>
      <c r="X228" s="304">
        <f>$M228*'EISA Incand Impact Forecast'!$G$30+$D228*'EISA Incand Impact Forecast'!$I$30</f>
        <v>146674.55910852514</v>
      </c>
      <c r="Y228" s="85">
        <f t="shared" si="90"/>
        <v>1140246.2964388118</v>
      </c>
      <c r="Z228" s="81">
        <f t="shared" si="91"/>
        <v>2478536.4861717895</v>
      </c>
      <c r="AA228" s="81"/>
      <c r="AB228" s="262">
        <f>+'MWh by mo-WgtbyActulCDH&amp;Days'!AB228</f>
        <v>5317288.920798488</v>
      </c>
      <c r="AC228" s="308">
        <f t="shared" si="99"/>
        <v>466.12785633615562</v>
      </c>
      <c r="AD228" s="309">
        <f t="shared" si="92"/>
        <v>251.68656615559814</v>
      </c>
      <c r="AE228" s="107">
        <f t="shared" si="93"/>
        <v>2.3020112758133975E-2</v>
      </c>
      <c r="AF228" s="309">
        <f t="shared" si="100"/>
        <v>214.44129018055747</v>
      </c>
      <c r="AG228" s="107">
        <f t="shared" si="94"/>
        <v>1.961353263846562E-2</v>
      </c>
      <c r="AH228" s="119">
        <f t="shared" si="101"/>
        <v>4.2633645396599598E-2</v>
      </c>
      <c r="AI228" s="122">
        <f t="shared" si="95"/>
        <v>4.2633645396599598E-2</v>
      </c>
      <c r="AJ228" s="87" t="b">
        <f t="shared" si="102"/>
        <v>1</v>
      </c>
      <c r="AK228" s="88">
        <f t="shared" si="108"/>
        <v>1.1859206654543028E-3</v>
      </c>
      <c r="AL228" s="312">
        <f>+AC228/'MWh by month-WgtbyCDH&amp;DayLtHrs'!AC228-1</f>
        <v>0.14751443375113849</v>
      </c>
      <c r="AM228" s="89">
        <f t="shared" si="96"/>
        <v>418557.91819051141</v>
      </c>
      <c r="AN228" s="90"/>
      <c r="AO228" s="96">
        <f t="shared" si="87"/>
        <v>78.716414403085949</v>
      </c>
      <c r="AP228" s="92">
        <f t="shared" si="86"/>
        <v>7.199672049062739E-3</v>
      </c>
      <c r="AR228" s="94">
        <f t="shared" si="97"/>
        <v>4.2633645396599598E-2</v>
      </c>
      <c r="AS228" s="95"/>
    </row>
    <row r="229" spans="1:45">
      <c r="A229" s="78">
        <f t="shared" si="111"/>
        <v>2023</v>
      </c>
      <c r="B229" s="78">
        <f t="shared" si="112"/>
        <v>9</v>
      </c>
      <c r="C229" s="317">
        <f t="shared" si="105"/>
        <v>277.87653293728147</v>
      </c>
      <c r="D229" s="324">
        <f t="shared" si="109"/>
        <v>0.15456186747349368</v>
      </c>
      <c r="E229" s="321">
        <f>$D229*'MWh Impact Summary'!B$29</f>
        <v>543656.54058956401</v>
      </c>
      <c r="F229" s="321">
        <f>$D229*'MWh Impact Summary'!N$29</f>
        <v>82799.772169300035</v>
      </c>
      <c r="G229" s="321">
        <f>$D229*'MWh Impact Summary'!C$29</f>
        <v>376038.71502415516</v>
      </c>
      <c r="H229" s="321">
        <f>$D229*'MWh Impact Summary'!D$29</f>
        <v>1800.285373098023</v>
      </c>
      <c r="I229" s="321">
        <f>$D229*'MWh Impact Summary'!E$29</f>
        <v>134851.41610417154</v>
      </c>
      <c r="J229" s="104">
        <f t="shared" si="98"/>
        <v>1139146.7292602886</v>
      </c>
      <c r="K229" s="298">
        <f t="shared" si="106"/>
        <v>11.683333333333334</v>
      </c>
      <c r="L229" s="300">
        <f t="shared" si="110"/>
        <v>8.2248034729555317E-2</v>
      </c>
      <c r="M229" s="297">
        <f>(30/365)</f>
        <v>8.2191780821917804E-2</v>
      </c>
      <c r="N229" s="304">
        <f>$M229*'MWh Impact Summary'!F$29</f>
        <v>162331.13664299314</v>
      </c>
      <c r="O229" s="304">
        <f>$M229*'MWh Impact Summary'!G$29</f>
        <v>23680.04181129166</v>
      </c>
      <c r="P229" s="304">
        <f>$M229*'MWh Impact Summary'!H$29</f>
        <v>10346.541480619868</v>
      </c>
      <c r="Q229" s="320">
        <f>$D229*'MWh Impact Summary'!I$29</f>
        <v>3247.7404583651455</v>
      </c>
      <c r="R229" s="304">
        <f>$M229*'MWh Impact Summary'!J$29</f>
        <v>46009.355391859368</v>
      </c>
      <c r="S229" s="304">
        <f>$M229*'MWh Impact Summary'!K$29</f>
        <v>30204.612244755881</v>
      </c>
      <c r="T229" s="304">
        <f>$M229*'MWh Impact Summary'!L$29</f>
        <v>10830.74672947231</v>
      </c>
      <c r="U229" s="304">
        <f>$M229*'MWh Impact Summary'!M$29</f>
        <v>33523.005446787858</v>
      </c>
      <c r="V229" s="304">
        <f>$M229*'LED Impact Forecast'!$H$30+$D229*'LED Impact Forecast'!$J$30</f>
        <v>228282.7544065816</v>
      </c>
      <c r="W229" s="304">
        <f>$M229*'CFL Impact Forecast'!$H$30+$D229*'CFL Impact Forecast'!$J$30</f>
        <v>391968.96783227613</v>
      </c>
      <c r="X229" s="304">
        <f>$M229*'EISA Incand Impact Forecast'!$G$30+$D229*'EISA Incand Impact Forecast'!$I$30</f>
        <v>137094.90157559008</v>
      </c>
      <c r="Y229" s="85">
        <f t="shared" si="90"/>
        <v>1077519.8040205929</v>
      </c>
      <c r="Z229" s="81">
        <f t="shared" si="91"/>
        <v>2216666.5332808816</v>
      </c>
      <c r="AA229" s="81"/>
      <c r="AB229" s="262">
        <f>+'MWh by mo-WgtbyActulCDH&amp;Days'!AB229</f>
        <v>5322436.1862808531</v>
      </c>
      <c r="AC229" s="308">
        <f t="shared" si="99"/>
        <v>416.47592487714098</v>
      </c>
      <c r="AD229" s="309">
        <f t="shared" si="92"/>
        <v>214.02731557337614</v>
      </c>
      <c r="AE229" s="107">
        <f t="shared" si="93"/>
        <v>1.8319028437093536E-2</v>
      </c>
      <c r="AF229" s="309">
        <f t="shared" si="100"/>
        <v>202.4486093037649</v>
      </c>
      <c r="AG229" s="107">
        <f t="shared" si="94"/>
        <v>1.7327983677925669E-2</v>
      </c>
      <c r="AH229" s="119">
        <f t="shared" si="101"/>
        <v>3.5647012115019208E-2</v>
      </c>
      <c r="AI229" s="122">
        <f t="shared" si="95"/>
        <v>3.5647012115019201E-2</v>
      </c>
      <c r="AJ229" s="87" t="b">
        <f t="shared" si="102"/>
        <v>1</v>
      </c>
      <c r="AK229" s="88">
        <f t="shared" si="108"/>
        <v>1.0440449058419718E-3</v>
      </c>
      <c r="AL229" s="312">
        <f>+AC229/'MWh by month-WgtbyCDH&amp;DayLtHrs'!AC229-1</f>
        <v>9.0436518214195738E-2</v>
      </c>
      <c r="AM229" s="89">
        <f t="shared" si="96"/>
        <v>391968.96783227613</v>
      </c>
      <c r="AN229" s="90"/>
      <c r="AO229" s="96">
        <f t="shared" si="87"/>
        <v>73.644653334241553</v>
      </c>
      <c r="AP229" s="92">
        <f t="shared" si="86"/>
        <v>6.303394008636937E-3</v>
      </c>
      <c r="AR229" s="94">
        <f t="shared" si="97"/>
        <v>3.5647012115019201E-2</v>
      </c>
      <c r="AS229" s="95"/>
    </row>
    <row r="230" spans="1:45">
      <c r="A230" s="78">
        <f t="shared" si="111"/>
        <v>2023</v>
      </c>
      <c r="B230" s="78">
        <f t="shared" si="112"/>
        <v>10</v>
      </c>
      <c r="C230" s="317">
        <f t="shared" si="105"/>
        <v>198.89039579254836</v>
      </c>
      <c r="D230" s="324">
        <f t="shared" si="109"/>
        <v>0.11062780534683357</v>
      </c>
      <c r="E230" s="321">
        <f>$D230*'MWh Impact Summary'!B$29</f>
        <v>389122.69197439286</v>
      </c>
      <c r="F230" s="321">
        <f>$D230*'MWh Impact Summary'!N$29</f>
        <v>59264.016591145046</v>
      </c>
      <c r="G230" s="321">
        <f>$D230*'MWh Impact Summary'!C$29</f>
        <v>269150.07206224289</v>
      </c>
      <c r="H230" s="321">
        <f>$D230*'MWh Impact Summary'!D$29</f>
        <v>1288.5559878344161</v>
      </c>
      <c r="I230" s="321">
        <f>$D230*'MWh Impact Summary'!E$29</f>
        <v>96520.030815980776</v>
      </c>
      <c r="J230" s="104">
        <f t="shared" si="98"/>
        <v>815345.36743159604</v>
      </c>
      <c r="K230" s="298">
        <f t="shared" si="106"/>
        <v>12.466666666666667</v>
      </c>
      <c r="L230" s="300">
        <f t="shared" si="110"/>
        <v>8.7762524932535488E-2</v>
      </c>
      <c r="M230" s="297">
        <f t="shared" si="113"/>
        <v>8.4931506849315067E-2</v>
      </c>
      <c r="N230" s="304">
        <f>$M230*'MWh Impact Summary'!F$29</f>
        <v>167742.1745310929</v>
      </c>
      <c r="O230" s="304">
        <f>$M230*'MWh Impact Summary'!G$29</f>
        <v>24469.376538334716</v>
      </c>
      <c r="P230" s="304">
        <f>$M230*'MWh Impact Summary'!H$29</f>
        <v>10691.42619664053</v>
      </c>
      <c r="Q230" s="320">
        <f>$D230*'MWh Impact Summary'!I$29</f>
        <v>2324.573357698795</v>
      </c>
      <c r="R230" s="304">
        <f>$M230*'MWh Impact Summary'!J$29</f>
        <v>47543.000571588018</v>
      </c>
      <c r="S230" s="304">
        <f>$M230*'MWh Impact Summary'!K$29</f>
        <v>31211.432652914413</v>
      </c>
      <c r="T230" s="304">
        <f>$M230*'MWh Impact Summary'!L$29</f>
        <v>11191.771620454721</v>
      </c>
      <c r="U230" s="304">
        <f>$M230*'MWh Impact Summary'!M$29</f>
        <v>34640.438961680789</v>
      </c>
      <c r="V230" s="304">
        <f>$M230*'LED Impact Forecast'!$H$30+$D230*'LED Impact Forecast'!$J$30</f>
        <v>218346.91804557311</v>
      </c>
      <c r="W230" s="304">
        <f>$M230*'CFL Impact Forecast'!$H$30+$D230*'CFL Impact Forecast'!$J$30</f>
        <v>374679.61772350274</v>
      </c>
      <c r="X230" s="304">
        <f>$M230*'EISA Incand Impact Forecast'!$G$30+$D230*'EISA Incand Impact Forecast'!$I$30</f>
        <v>130419.47186631063</v>
      </c>
      <c r="Y230" s="85">
        <f t="shared" si="90"/>
        <v>1053260.2020657912</v>
      </c>
      <c r="Z230" s="81">
        <f t="shared" si="91"/>
        <v>1868605.5694973874</v>
      </c>
      <c r="AA230" s="81"/>
      <c r="AB230" s="262">
        <f>+'MWh by mo-WgtbyActulCDH&amp;Days'!AB230</f>
        <v>5327648.4322968516</v>
      </c>
      <c r="AC230" s="308">
        <f t="shared" si="99"/>
        <v>350.73740192195748</v>
      </c>
      <c r="AD230" s="309">
        <f t="shared" si="92"/>
        <v>153.04038503908654</v>
      </c>
      <c r="AE230" s="107">
        <f t="shared" si="93"/>
        <v>1.2275966714365231E-2</v>
      </c>
      <c r="AF230" s="309">
        <f t="shared" si="100"/>
        <v>197.69701688287088</v>
      </c>
      <c r="AG230" s="107">
        <f t="shared" si="94"/>
        <v>1.5858049482583226E-2</v>
      </c>
      <c r="AH230" s="119">
        <f t="shared" si="101"/>
        <v>2.8134016196948455E-2</v>
      </c>
      <c r="AI230" s="122">
        <f t="shared" si="95"/>
        <v>2.8134016196948462E-2</v>
      </c>
      <c r="AJ230" s="87" t="b">
        <f t="shared" si="102"/>
        <v>1</v>
      </c>
      <c r="AK230" s="88">
        <f t="shared" si="108"/>
        <v>9.4781769885347866E-4</v>
      </c>
      <c r="AL230" s="312">
        <f>+AC230/'MWh by month-WgtbyCDH&amp;DayLtHrs'!AC230-1</f>
        <v>4.1473778439913289E-2</v>
      </c>
      <c r="AM230" s="89">
        <f t="shared" si="96"/>
        <v>374679.61772350274</v>
      </c>
      <c r="AN230" s="90"/>
      <c r="AO230" s="96">
        <f t="shared" si="87"/>
        <v>70.327391622192906</v>
      </c>
      <c r="AP230" s="92">
        <f t="shared" si="86"/>
        <v>5.6412346221010358E-3</v>
      </c>
      <c r="AR230" s="94">
        <f t="shared" si="97"/>
        <v>2.8134016196948462E-2</v>
      </c>
      <c r="AS230" s="95"/>
    </row>
    <row r="231" spans="1:45">
      <c r="A231" s="78">
        <f t="shared" si="111"/>
        <v>2023</v>
      </c>
      <c r="B231" s="78">
        <f t="shared" si="112"/>
        <v>11</v>
      </c>
      <c r="C231" s="317">
        <f t="shared" si="105"/>
        <v>78.117279066674627</v>
      </c>
      <c r="D231" s="324">
        <f t="shared" si="109"/>
        <v>4.3450781564265642E-2</v>
      </c>
      <c r="E231" s="321">
        <f>$D231*'MWh Impact Summary'!B$29</f>
        <v>152833.95560158155</v>
      </c>
      <c r="F231" s="321">
        <f>$D231*'MWh Impact Summary'!N$29</f>
        <v>23276.859117377066</v>
      </c>
      <c r="G231" s="321">
        <f>$D231*'MWh Impact Summary'!C$29</f>
        <v>105712.85358611342</v>
      </c>
      <c r="H231" s="321">
        <f>$D231*'MWh Impact Summary'!D$29</f>
        <v>506.100293549051</v>
      </c>
      <c r="I231" s="321">
        <f>$D231*'MWh Impact Summary'!E$29</f>
        <v>37909.734920737159</v>
      </c>
      <c r="J231" s="104">
        <f t="shared" si="98"/>
        <v>320239.50351935823</v>
      </c>
      <c r="K231" s="298">
        <f t="shared" si="106"/>
        <v>13.15</v>
      </c>
      <c r="L231" s="300">
        <f t="shared" si="110"/>
        <v>9.2573037662794788E-2</v>
      </c>
      <c r="M231" s="297">
        <f>(30/365)</f>
        <v>8.2191780821917804E-2</v>
      </c>
      <c r="N231" s="304">
        <f>$M231*'MWh Impact Summary'!F$29</f>
        <v>162331.13664299314</v>
      </c>
      <c r="O231" s="304">
        <f>$M231*'MWh Impact Summary'!G$29</f>
        <v>23680.04181129166</v>
      </c>
      <c r="P231" s="304">
        <f>$M231*'MWh Impact Summary'!H$29</f>
        <v>10346.541480619868</v>
      </c>
      <c r="Q231" s="320">
        <f>$D231*'MWh Impact Summary'!I$29</f>
        <v>913.01213902615723</v>
      </c>
      <c r="R231" s="304">
        <f>$M231*'MWh Impact Summary'!J$29</f>
        <v>46009.355391859368</v>
      </c>
      <c r="S231" s="304">
        <f>$M231*'MWh Impact Summary'!K$29</f>
        <v>30204.612244755881</v>
      </c>
      <c r="T231" s="304">
        <f>$M231*'MWh Impact Summary'!L$29</f>
        <v>10830.74672947231</v>
      </c>
      <c r="U231" s="304">
        <f>$M231*'MWh Impact Summary'!M$29</f>
        <v>33523.005446787858</v>
      </c>
      <c r="V231" s="304">
        <f>$M231*'LED Impact Forecast'!$H$30+$D231*'LED Impact Forecast'!$J$30</f>
        <v>188567.39525988186</v>
      </c>
      <c r="W231" s="304">
        <f>$M231*'CFL Impact Forecast'!$H$30+$D231*'CFL Impact Forecast'!$J$30</f>
        <v>323257.59375740931</v>
      </c>
      <c r="X231" s="304">
        <f>$M231*'EISA Incand Impact Forecast'!$G$30+$D231*'EISA Incand Impact Forecast'!$I$30</f>
        <v>111640.19234045956</v>
      </c>
      <c r="Y231" s="85">
        <f t="shared" si="90"/>
        <v>941303.63324455696</v>
      </c>
      <c r="Z231" s="81">
        <f t="shared" si="91"/>
        <v>1261543.1367639152</v>
      </c>
      <c r="AA231" s="81"/>
      <c r="AB231" s="262">
        <f>+'MWh by mo-WgtbyActulCDH&amp;Days'!AB231</f>
        <v>5332876.5569538418</v>
      </c>
      <c r="AC231" s="308">
        <f t="shared" si="99"/>
        <v>236.55959842515335</v>
      </c>
      <c r="AD231" s="309">
        <f t="shared" si="92"/>
        <v>60.05004993070385</v>
      </c>
      <c r="AE231" s="107">
        <f t="shared" si="93"/>
        <v>4.5665437209660717E-3</v>
      </c>
      <c r="AF231" s="309">
        <f t="shared" si="100"/>
        <v>176.50954849444949</v>
      </c>
      <c r="AG231" s="107">
        <f t="shared" si="94"/>
        <v>1.3422779353190075E-2</v>
      </c>
      <c r="AH231" s="119">
        <f t="shared" si="101"/>
        <v>1.7989323074156148E-2</v>
      </c>
      <c r="AI231" s="122">
        <f t="shared" si="95"/>
        <v>1.7989323074156148E-2</v>
      </c>
      <c r="AJ231" s="87" t="b">
        <f t="shared" si="102"/>
        <v>1</v>
      </c>
      <c r="AK231" s="88">
        <f t="shared" si="108"/>
        <v>7.9237049847914395E-4</v>
      </c>
      <c r="AL231" s="312">
        <f>+AC231/'MWh by month-WgtbyCDH&amp;DayLtHrs'!AC231-1</f>
        <v>-9.3454564782039395E-2</v>
      </c>
      <c r="AM231" s="89">
        <f t="shared" si="96"/>
        <v>323257.59375740931</v>
      </c>
      <c r="AN231" s="90"/>
      <c r="AO231" s="96">
        <f t="shared" si="87"/>
        <v>60.615990320626366</v>
      </c>
      <c r="AP231" s="92">
        <f t="shared" si="86"/>
        <v>4.6095810129753887E-3</v>
      </c>
      <c r="AR231" s="94">
        <f t="shared" si="97"/>
        <v>1.7989323074156148E-2</v>
      </c>
      <c r="AS231" s="95"/>
    </row>
    <row r="232" spans="1:45">
      <c r="A232" s="78">
        <f t="shared" si="111"/>
        <v>2023</v>
      </c>
      <c r="B232" s="78">
        <f t="shared" si="112"/>
        <v>12</v>
      </c>
      <c r="C232" s="317">
        <f t="shared" si="105"/>
        <v>0</v>
      </c>
      <c r="D232" s="324">
        <f t="shared" si="109"/>
        <v>0</v>
      </c>
      <c r="E232" s="321">
        <f>$D232*'MWh Impact Summary'!B$29</f>
        <v>0</v>
      </c>
      <c r="F232" s="321">
        <f>$D232*'MWh Impact Summary'!N$29</f>
        <v>0</v>
      </c>
      <c r="G232" s="321">
        <f>$D232*'MWh Impact Summary'!C$29</f>
        <v>0</v>
      </c>
      <c r="H232" s="321">
        <f>$D232*'MWh Impact Summary'!D$29</f>
        <v>0</v>
      </c>
      <c r="I232" s="321">
        <f>$D232*'MWh Impact Summary'!E$29</f>
        <v>0</v>
      </c>
      <c r="J232" s="104">
        <f t="shared" si="98"/>
        <v>0</v>
      </c>
      <c r="K232" s="298">
        <f t="shared" si="106"/>
        <v>13.483333333333333</v>
      </c>
      <c r="L232" s="300">
        <f t="shared" si="110"/>
        <v>9.491962923853102E-2</v>
      </c>
      <c r="M232" s="297">
        <f t="shared" si="113"/>
        <v>8.4931506849315067E-2</v>
      </c>
      <c r="N232" s="304">
        <f>$M232*'MWh Impact Summary'!F$29</f>
        <v>167742.1745310929</v>
      </c>
      <c r="O232" s="304">
        <f>$M232*'MWh Impact Summary'!G$29</f>
        <v>24469.376538334716</v>
      </c>
      <c r="P232" s="304">
        <f>$M232*'MWh Impact Summary'!H$29</f>
        <v>10691.42619664053</v>
      </c>
      <c r="Q232" s="320">
        <f>$D232*'MWh Impact Summary'!I$29</f>
        <v>0</v>
      </c>
      <c r="R232" s="304">
        <f>$M232*'MWh Impact Summary'!J$29</f>
        <v>47543.000571588018</v>
      </c>
      <c r="S232" s="304">
        <f>$M232*'MWh Impact Summary'!K$29</f>
        <v>31211.432652914413</v>
      </c>
      <c r="T232" s="304">
        <f>$M232*'MWh Impact Summary'!L$29</f>
        <v>11191.771620454721</v>
      </c>
      <c r="U232" s="304">
        <f>$M232*'MWh Impact Summary'!M$29</f>
        <v>34640.438961680789</v>
      </c>
      <c r="V232" s="304">
        <f>$M232*'LED Impact Forecast'!$H$30+$D232*'LED Impact Forecast'!$J$30</f>
        <v>178804.30188799146</v>
      </c>
      <c r="W232" s="304">
        <f>$M232*'CFL Impact Forecast'!$H$30+$D232*'CFL Impact Forecast'!$J$30</f>
        <v>306267.10555997503</v>
      </c>
      <c r="X232" s="304">
        <f>$M232*'EISA Incand Impact Forecast'!$G$30+$D232*'EISA Incand Impact Forecast'!$I$30</f>
        <v>105075.47855204505</v>
      </c>
      <c r="Y232" s="85">
        <f t="shared" si="90"/>
        <v>917636.50707271765</v>
      </c>
      <c r="Z232" s="81">
        <f t="shared" si="91"/>
        <v>917636.50707271765</v>
      </c>
      <c r="AA232" s="81">
        <f>SUM(Z221:Z232)</f>
        <v>19400542.359736763</v>
      </c>
      <c r="AB232" s="262">
        <f>+'MWh by mo-WgtbyActulCDH&amp;Days'!AB232</f>
        <v>5338112.0890329443</v>
      </c>
      <c r="AC232" s="308">
        <f t="shared" si="99"/>
        <v>171.90281728215962</v>
      </c>
      <c r="AD232" s="309">
        <f t="shared" si="92"/>
        <v>0</v>
      </c>
      <c r="AE232" s="107">
        <f t="shared" si="93"/>
        <v>0</v>
      </c>
      <c r="AF232" s="309">
        <f t="shared" si="100"/>
        <v>171.90281728215962</v>
      </c>
      <c r="AG232" s="107">
        <f t="shared" si="94"/>
        <v>1.2749281875067464E-2</v>
      </c>
      <c r="AH232" s="119">
        <f t="shared" si="101"/>
        <v>1.2749281875067464E-2</v>
      </c>
      <c r="AI232" s="122">
        <f t="shared" si="95"/>
        <v>1.2749281875067464E-2</v>
      </c>
      <c r="AJ232" s="87" t="b">
        <f t="shared" si="102"/>
        <v>1</v>
      </c>
      <c r="AK232" s="88">
        <f t="shared" si="108"/>
        <v>7.4525717972931567E-4</v>
      </c>
      <c r="AL232" s="312">
        <f>+AC232/'MWh by month-WgtbyCDH&amp;DayLtHrs'!AC232-1</f>
        <v>-0.28478969944800647</v>
      </c>
      <c r="AM232" s="89">
        <f t="shared" si="96"/>
        <v>306267.10555997503</v>
      </c>
      <c r="AN232" s="90">
        <f>SUM(AM221:AM232)</f>
        <v>4224450.6853054184</v>
      </c>
      <c r="AO232" s="96">
        <f t="shared" si="87"/>
        <v>57.373674522345702</v>
      </c>
      <c r="AP232" s="92">
        <f t="shared" si="86"/>
        <v>4.2551550943643289E-3</v>
      </c>
      <c r="AR232" s="94">
        <f t="shared" si="97"/>
        <v>1.2749281875067464E-2</v>
      </c>
      <c r="AS232" s="95"/>
    </row>
    <row r="233" spans="1:45">
      <c r="A233" s="78">
        <f t="shared" si="111"/>
        <v>2024</v>
      </c>
      <c r="B233" s="78">
        <f t="shared" si="112"/>
        <v>1</v>
      </c>
      <c r="C233" s="317">
        <f t="shared" si="105"/>
        <v>0</v>
      </c>
      <c r="D233" s="324">
        <f t="shared" si="109"/>
        <v>0</v>
      </c>
      <c r="E233" s="321">
        <f>$D233*'MWh Impact Summary'!B$30</f>
        <v>0</v>
      </c>
      <c r="F233" s="321">
        <f>$D233*'MWh Impact Summary'!N$30</f>
        <v>0</v>
      </c>
      <c r="G233" s="321">
        <f>$D233*'MWh Impact Summary'!C$30</f>
        <v>0</v>
      </c>
      <c r="H233" s="321">
        <f>$D233*'MWh Impact Summary'!D$30</f>
        <v>0</v>
      </c>
      <c r="I233" s="321">
        <f>$D233*'MWh Impact Summary'!E$30</f>
        <v>0</v>
      </c>
      <c r="J233" s="104">
        <f t="shared" si="98"/>
        <v>0</v>
      </c>
      <c r="K233" s="298">
        <f t="shared" si="106"/>
        <v>13.3</v>
      </c>
      <c r="L233" s="300">
        <f t="shared" si="110"/>
        <v>9.3629003871876101E-2</v>
      </c>
      <c r="M233" s="297">
        <f>(31/366)</f>
        <v>8.4699453551912565E-2</v>
      </c>
      <c r="N233" s="304">
        <f>$M233*'MWh Impact Summary'!F$30</f>
        <v>177913.93898184501</v>
      </c>
      <c r="O233" s="304">
        <f>$M233*'MWh Impact Summary'!G$30</f>
        <v>29348.910303715045</v>
      </c>
      <c r="P233" s="304">
        <f>$M233*'MWh Impact Summary'!H$30</f>
        <v>11256.233754500045</v>
      </c>
      <c r="Q233" s="320">
        <f>$D233*'MWh Impact Summary'!I$30</f>
        <v>0</v>
      </c>
      <c r="R233" s="304">
        <f>$M233*'MWh Impact Summary'!J$30</f>
        <v>48841.629368224894</v>
      </c>
      <c r="S233" s="304">
        <f>$M233*'MWh Impact Summary'!K$30</f>
        <v>34576.912314095389</v>
      </c>
      <c r="T233" s="304">
        <f>$M233*'MWh Impact Summary'!L$30</f>
        <v>12419.534744117105</v>
      </c>
      <c r="U233" s="304">
        <f>$M233*'MWh Impact Summary'!M$30</f>
        <v>38381.159252237456</v>
      </c>
      <c r="V233" s="304">
        <f>$M233*'LED Impact Forecast'!$H$31+$D233*'LED Impact Forecast'!$J$31</f>
        <v>208208.6144660156</v>
      </c>
      <c r="W233" s="304">
        <f>$M233*'CFL Impact Forecast'!$H$31+$D233*'CFL Impact Forecast'!$J$31</f>
        <v>307212.89186667232</v>
      </c>
      <c r="X233" s="304">
        <f>$M233*'EISA Incand Impact Forecast'!$G$31+$D233*'EISA Incand Impact Forecast'!$I$31</f>
        <v>104788.38708059138</v>
      </c>
      <c r="Y233" s="85">
        <f t="shared" si="90"/>
        <v>972948.21213201433</v>
      </c>
      <c r="Z233" s="81">
        <f t="shared" si="91"/>
        <v>972948.21213201433</v>
      </c>
      <c r="AA233" s="81"/>
      <c r="AB233" s="262">
        <f>+'MWh by mo-WgtbyActulCDH&amp;Days'!AB233</f>
        <v>5343385.5298156925</v>
      </c>
      <c r="AC233" s="308">
        <f t="shared" si="99"/>
        <v>182.08459911848692</v>
      </c>
      <c r="AD233" s="309">
        <f t="shared" si="92"/>
        <v>0</v>
      </c>
      <c r="AE233" s="107">
        <f t="shared" si="93"/>
        <v>0</v>
      </c>
      <c r="AF233" s="309">
        <f t="shared" si="100"/>
        <v>182.08459911848692</v>
      </c>
      <c r="AG233" s="107">
        <f t="shared" si="94"/>
        <v>1.369057136229225E-2</v>
      </c>
      <c r="AH233" s="119">
        <f t="shared" si="101"/>
        <v>1.369057136229225E-2</v>
      </c>
      <c r="AI233" s="122">
        <f t="shared" si="95"/>
        <v>1.369057136229225E-2</v>
      </c>
      <c r="AJ233" s="87" t="b">
        <f t="shared" si="102"/>
        <v>1</v>
      </c>
      <c r="AK233" s="88">
        <f t="shared" si="108"/>
        <v>6.2506896969846681E-4</v>
      </c>
      <c r="AL233" s="312">
        <f>+AC233/'MWh by month-WgtbyCDH&amp;DayLtHrs'!AC233-1</f>
        <v>-0.23832153177821924</v>
      </c>
      <c r="AM233" s="89">
        <f t="shared" si="96"/>
        <v>307212.89186667232</v>
      </c>
      <c r="AN233" s="93"/>
      <c r="AO233" s="96">
        <f t="shared" si="87"/>
        <v>57.494053190144584</v>
      </c>
      <c r="AP233" s="92">
        <f t="shared" ref="AP233:AP268" si="114">+AO233/K233/1000</f>
        <v>4.3228611421161339E-3</v>
      </c>
      <c r="AR233" s="94">
        <f t="shared" si="97"/>
        <v>1.369057136229225E-2</v>
      </c>
      <c r="AS233" s="95"/>
    </row>
    <row r="234" spans="1:45">
      <c r="A234" s="78">
        <f t="shared" si="111"/>
        <v>2024</v>
      </c>
      <c r="B234" s="78">
        <f t="shared" si="112"/>
        <v>2</v>
      </c>
      <c r="C234" s="317">
        <f t="shared" si="105"/>
        <v>0</v>
      </c>
      <c r="D234" s="324">
        <f t="shared" si="109"/>
        <v>0</v>
      </c>
      <c r="E234" s="321">
        <f>$D234*'MWh Impact Summary'!B$30</f>
        <v>0</v>
      </c>
      <c r="F234" s="321">
        <f>$D234*'MWh Impact Summary'!N$30</f>
        <v>0</v>
      </c>
      <c r="G234" s="321">
        <f>$D234*'MWh Impact Summary'!C$30</f>
        <v>0</v>
      </c>
      <c r="H234" s="321">
        <f>$D234*'MWh Impact Summary'!D$30</f>
        <v>0</v>
      </c>
      <c r="I234" s="321">
        <f>$D234*'MWh Impact Summary'!E$30</f>
        <v>0</v>
      </c>
      <c r="J234" s="104">
        <f t="shared" si="98"/>
        <v>0</v>
      </c>
      <c r="K234" s="298">
        <f t="shared" si="106"/>
        <v>12.733333333333333</v>
      </c>
      <c r="L234" s="300">
        <f t="shared" si="110"/>
        <v>8.9639798193124468E-2</v>
      </c>
      <c r="M234" s="297">
        <f>(29/366)</f>
        <v>7.9234972677595633E-2</v>
      </c>
      <c r="N234" s="304">
        <f>$M234*'MWh Impact Summary'!F$30</f>
        <v>166435.62033785501</v>
      </c>
      <c r="O234" s="304">
        <f>$M234*'MWh Impact Summary'!G$30</f>
        <v>27455.432219604401</v>
      </c>
      <c r="P234" s="304">
        <f>$M234*'MWh Impact Summary'!H$30</f>
        <v>10530.025125177463</v>
      </c>
      <c r="Q234" s="320">
        <f>$D234*'MWh Impact Summary'!I$30</f>
        <v>0</v>
      </c>
      <c r="R234" s="304">
        <f>$M234*'MWh Impact Summary'!J$30</f>
        <v>45690.556505758774</v>
      </c>
      <c r="S234" s="304">
        <f>$M234*'MWh Impact Summary'!K$30</f>
        <v>32346.143777702142</v>
      </c>
      <c r="T234" s="304">
        <f>$M234*'MWh Impact Summary'!L$30</f>
        <v>11618.274438045035</v>
      </c>
      <c r="U234" s="304">
        <f>$M234*'MWh Impact Summary'!M$30</f>
        <v>35904.955429512462</v>
      </c>
      <c r="V234" s="304">
        <f>$M234*'LED Impact Forecast'!$H$31+$D234*'LED Impact Forecast'!$J$31</f>
        <v>194775.80062949847</v>
      </c>
      <c r="W234" s="304">
        <f>$M234*'CFL Impact Forecast'!$H$31+$D234*'CFL Impact Forecast'!$J$31</f>
        <v>287392.70529462898</v>
      </c>
      <c r="X234" s="304">
        <f>$M234*'EISA Incand Impact Forecast'!$G$31+$D234*'EISA Incand Impact Forecast'!$I$31</f>
        <v>98027.845978617755</v>
      </c>
      <c r="Y234" s="85">
        <f t="shared" si="90"/>
        <v>910177.35973640054</v>
      </c>
      <c r="Z234" s="81">
        <f t="shared" si="91"/>
        <v>910177.35973640054</v>
      </c>
      <c r="AA234" s="81"/>
      <c r="AB234" s="262">
        <f>+'MWh by mo-WgtbyActulCDH&amp;Days'!AB234</f>
        <v>5348619.574030689</v>
      </c>
      <c r="AC234" s="308">
        <f t="shared" si="99"/>
        <v>170.17051729676413</v>
      </c>
      <c r="AD234" s="309">
        <f t="shared" si="92"/>
        <v>0</v>
      </c>
      <c r="AE234" s="107">
        <f t="shared" si="93"/>
        <v>0</v>
      </c>
      <c r="AF234" s="309">
        <f t="shared" si="100"/>
        <v>170.17051729676413</v>
      </c>
      <c r="AG234" s="107">
        <f t="shared" si="94"/>
        <v>1.3364176751054776E-2</v>
      </c>
      <c r="AH234" s="119">
        <f t="shared" si="101"/>
        <v>1.3364176751054776E-2</v>
      </c>
      <c r="AI234" s="122">
        <f t="shared" si="95"/>
        <v>1.3364176751054776E-2</v>
      </c>
      <c r="AJ234" s="87" t="b">
        <f t="shared" si="102"/>
        <v>1</v>
      </c>
      <c r="AK234" s="88">
        <f t="shared" si="108"/>
        <v>1.049980571630027E-3</v>
      </c>
      <c r="AL234" s="312">
        <f>+AC234/'MWh by month-WgtbyCDH&amp;DayLtHrs'!AC234-1</f>
        <v>-0.28161342601246708</v>
      </c>
      <c r="AM234" s="89">
        <f t="shared" si="96"/>
        <v>287392.70529462898</v>
      </c>
      <c r="AN234" s="93"/>
      <c r="AO234" s="96">
        <f t="shared" si="87"/>
        <v>53.732126825773008</v>
      </c>
      <c r="AP234" s="92">
        <f t="shared" si="114"/>
        <v>4.2198005360554718E-3</v>
      </c>
      <c r="AR234" s="94">
        <f t="shared" si="97"/>
        <v>1.3364176751054776E-2</v>
      </c>
      <c r="AS234" s="95"/>
    </row>
    <row r="235" spans="1:45">
      <c r="A235" s="78">
        <f t="shared" si="111"/>
        <v>2024</v>
      </c>
      <c r="B235" s="78">
        <f t="shared" si="112"/>
        <v>3</v>
      </c>
      <c r="C235" s="317">
        <f t="shared" si="105"/>
        <v>0</v>
      </c>
      <c r="D235" s="324">
        <f t="shared" si="109"/>
        <v>0</v>
      </c>
      <c r="E235" s="321">
        <f>$D235*'MWh Impact Summary'!B$30</f>
        <v>0</v>
      </c>
      <c r="F235" s="321">
        <f>$D235*'MWh Impact Summary'!N$30</f>
        <v>0</v>
      </c>
      <c r="G235" s="321">
        <f>$D235*'MWh Impact Summary'!C$30</f>
        <v>0</v>
      </c>
      <c r="H235" s="321">
        <f>$D235*'MWh Impact Summary'!D$30</f>
        <v>0</v>
      </c>
      <c r="I235" s="321">
        <f>$D235*'MWh Impact Summary'!E$30</f>
        <v>0</v>
      </c>
      <c r="J235" s="104">
        <f t="shared" si="98"/>
        <v>0</v>
      </c>
      <c r="K235" s="298">
        <f t="shared" si="106"/>
        <v>12</v>
      </c>
      <c r="L235" s="300">
        <f t="shared" si="110"/>
        <v>8.4477296726504739E-2</v>
      </c>
      <c r="M235" s="297">
        <f>(31/366)</f>
        <v>8.4699453551912565E-2</v>
      </c>
      <c r="N235" s="304">
        <f>$M235*'MWh Impact Summary'!F$30</f>
        <v>177913.93898184501</v>
      </c>
      <c r="O235" s="304">
        <f>$M235*'MWh Impact Summary'!G$30</f>
        <v>29348.910303715045</v>
      </c>
      <c r="P235" s="304">
        <f>$M235*'MWh Impact Summary'!H$30</f>
        <v>11256.233754500045</v>
      </c>
      <c r="Q235" s="320">
        <f>$D235*'MWh Impact Summary'!I$30</f>
        <v>0</v>
      </c>
      <c r="R235" s="304">
        <f>$M235*'MWh Impact Summary'!J$30</f>
        <v>48841.629368224894</v>
      </c>
      <c r="S235" s="304">
        <f>$M235*'MWh Impact Summary'!K$30</f>
        <v>34576.912314095389</v>
      </c>
      <c r="T235" s="304">
        <f>$M235*'MWh Impact Summary'!L$30</f>
        <v>12419.534744117105</v>
      </c>
      <c r="U235" s="304">
        <f>$M235*'MWh Impact Summary'!M$30</f>
        <v>38381.159252237456</v>
      </c>
      <c r="V235" s="304">
        <f>$M235*'LED Impact Forecast'!$H$31+$D235*'LED Impact Forecast'!$J$31</f>
        <v>208208.6144660156</v>
      </c>
      <c r="W235" s="304">
        <f>$M235*'CFL Impact Forecast'!$H$31+$D235*'CFL Impact Forecast'!$J$31</f>
        <v>307212.89186667232</v>
      </c>
      <c r="X235" s="304">
        <f>$M235*'EISA Incand Impact Forecast'!$G$31+$D235*'EISA Incand Impact Forecast'!$I$31</f>
        <v>104788.38708059138</v>
      </c>
      <c r="Y235" s="85">
        <f t="shared" si="90"/>
        <v>972948.21213201433</v>
      </c>
      <c r="Z235" s="81">
        <f t="shared" si="91"/>
        <v>972948.21213201433</v>
      </c>
      <c r="AA235" s="81"/>
      <c r="AB235" s="262">
        <f>+'MWh by mo-WgtbyActulCDH&amp;Days'!AB235</f>
        <v>5353889.4374803631</v>
      </c>
      <c r="AC235" s="308">
        <f t="shared" si="99"/>
        <v>181.72736353515384</v>
      </c>
      <c r="AD235" s="309">
        <f t="shared" si="92"/>
        <v>0</v>
      </c>
      <c r="AE235" s="107">
        <f t="shared" si="93"/>
        <v>0</v>
      </c>
      <c r="AF235" s="309">
        <f t="shared" si="100"/>
        <v>181.72736353515384</v>
      </c>
      <c r="AG235" s="107">
        <f t="shared" si="94"/>
        <v>1.5143946961262819E-2</v>
      </c>
      <c r="AH235" s="119">
        <f t="shared" si="101"/>
        <v>1.5143946961262819E-2</v>
      </c>
      <c r="AI235" s="122">
        <f t="shared" si="95"/>
        <v>1.5143946961262819E-2</v>
      </c>
      <c r="AJ235" s="87" t="b">
        <f t="shared" si="102"/>
        <v>1</v>
      </c>
      <c r="AK235" s="88">
        <f t="shared" si="108"/>
        <v>6.9151228467887078E-4</v>
      </c>
      <c r="AL235" s="312">
        <f>+AC235/'MWh by month-WgtbyCDH&amp;DayLtHrs'!AC235-1</f>
        <v>-0.26364305255358134</v>
      </c>
      <c r="AM235" s="89">
        <f t="shared" si="96"/>
        <v>307212.89186667232</v>
      </c>
      <c r="AN235" s="93"/>
      <c r="AO235" s="96">
        <f t="shared" ref="AO235:AO268" si="115">+AM235*1000/AB235</f>
        <v>57.381254404695412</v>
      </c>
      <c r="AP235" s="92">
        <f t="shared" si="114"/>
        <v>4.7817712003912841E-3</v>
      </c>
      <c r="AR235" s="94">
        <f t="shared" si="97"/>
        <v>1.5143946961262819E-2</v>
      </c>
      <c r="AS235" s="95"/>
    </row>
    <row r="236" spans="1:45">
      <c r="A236" s="78">
        <f t="shared" si="111"/>
        <v>2024</v>
      </c>
      <c r="B236" s="78">
        <f t="shared" si="112"/>
        <v>4</v>
      </c>
      <c r="C236" s="317">
        <f t="shared" si="105"/>
        <v>114.03392869270741</v>
      </c>
      <c r="D236" s="324">
        <f t="shared" si="109"/>
        <v>6.3428519090031305E-2</v>
      </c>
      <c r="E236" s="321">
        <f>$D236*'MWh Impact Summary'!B$30</f>
        <v>218157.38043058637</v>
      </c>
      <c r="F236" s="321">
        <f>$D236*'MWh Impact Summary'!N$30</f>
        <v>37635.217358957445</v>
      </c>
      <c r="G236" s="321">
        <f>$D236*'MWh Impact Summary'!C$30</f>
        <v>157445.52809791904</v>
      </c>
      <c r="H236" s="321">
        <f>$D236*'MWh Impact Summary'!D$30</f>
        <v>791.73423214078241</v>
      </c>
      <c r="I236" s="321">
        <f>$D236*'MWh Impact Summary'!E$30</f>
        <v>56016.764396601968</v>
      </c>
      <c r="J236" s="104">
        <f t="shared" si="98"/>
        <v>470046.62451620563</v>
      </c>
      <c r="K236" s="298">
        <f t="shared" si="106"/>
        <v>11.2</v>
      </c>
      <c r="L236" s="300">
        <f t="shared" si="110"/>
        <v>7.8845476944737758E-2</v>
      </c>
      <c r="M236" s="297">
        <f>(30/366)</f>
        <v>8.1967213114754092E-2</v>
      </c>
      <c r="N236" s="304">
        <f>$M236*'MWh Impact Summary'!F$30</f>
        <v>172174.77965985</v>
      </c>
      <c r="O236" s="304">
        <f>$M236*'MWh Impact Summary'!G$30</f>
        <v>28402.171261659721</v>
      </c>
      <c r="P236" s="304">
        <f>$M236*'MWh Impact Summary'!H$30</f>
        <v>10893.129439838753</v>
      </c>
      <c r="Q236" s="320">
        <f>$D236*'MWh Impact Summary'!I$30</f>
        <v>1401.9494830807203</v>
      </c>
      <c r="R236" s="304">
        <f>$M236*'MWh Impact Summary'!J$30</f>
        <v>47266.09293699183</v>
      </c>
      <c r="S236" s="304">
        <f>$M236*'MWh Impact Summary'!K$30</f>
        <v>33461.528045898762</v>
      </c>
      <c r="T236" s="304">
        <f>$M236*'MWh Impact Summary'!L$30</f>
        <v>12018.904591081069</v>
      </c>
      <c r="U236" s="304">
        <f>$M236*'MWh Impact Summary'!M$30</f>
        <v>37143.057340874955</v>
      </c>
      <c r="V236" s="304">
        <f>$M236*'LED Impact Forecast'!$H$31+$D236*'LED Impact Forecast'!$J$31</f>
        <v>228280.01376196343</v>
      </c>
      <c r="W236" s="304">
        <f>$M236*'CFL Impact Forecast'!$H$31+$D236*'CFL Impact Forecast'!$J$31</f>
        <v>336785.05648568837</v>
      </c>
      <c r="X236" s="304">
        <f>$M236*'EISA Incand Impact Forecast'!$G$31+$D236*'EISA Incand Impact Forecast'!$I$31</f>
        <v>115939.11042134528</v>
      </c>
      <c r="Y236" s="85">
        <f t="shared" si="90"/>
        <v>1023765.7934282729</v>
      </c>
      <c r="Z236" s="81">
        <f t="shared" si="91"/>
        <v>1493812.4179444786</v>
      </c>
      <c r="AA236" s="81"/>
      <c r="AB236" s="262">
        <f>+'MWh by mo-WgtbyActulCDH&amp;Days'!AB236</f>
        <v>5359119.6367630055</v>
      </c>
      <c r="AC236" s="308">
        <f t="shared" si="99"/>
        <v>278.74212915440069</v>
      </c>
      <c r="AD236" s="309">
        <f t="shared" si="92"/>
        <v>87.709671807237598</v>
      </c>
      <c r="AE236" s="107">
        <f t="shared" si="93"/>
        <v>7.8312206970747866E-3</v>
      </c>
      <c r="AF236" s="309">
        <f t="shared" si="100"/>
        <v>191.03245734716307</v>
      </c>
      <c r="AG236" s="107">
        <f t="shared" si="94"/>
        <v>1.7056469405996706E-2</v>
      </c>
      <c r="AH236" s="119">
        <f t="shared" si="101"/>
        <v>2.4887690103071493E-2</v>
      </c>
      <c r="AI236" s="122">
        <f t="shared" si="95"/>
        <v>2.4887690103071493E-2</v>
      </c>
      <c r="AJ236" s="87" t="b">
        <f t="shared" si="102"/>
        <v>1</v>
      </c>
      <c r="AK236" s="88">
        <f t="shared" si="108"/>
        <v>7.2537927574359284E-4</v>
      </c>
      <c r="AL236" s="312">
        <f>+AC236/'MWh by month-WgtbyCDH&amp;DayLtHrs'!AC236-1</f>
        <v>3.3430394074662084E-2</v>
      </c>
      <c r="AM236" s="89">
        <f t="shared" si="96"/>
        <v>336785.05648568837</v>
      </c>
      <c r="AN236" s="93"/>
      <c r="AO236" s="96">
        <f t="shared" si="115"/>
        <v>62.843354750914273</v>
      </c>
      <c r="AP236" s="92">
        <f t="shared" si="114"/>
        <v>5.6110138170459177E-3</v>
      </c>
      <c r="AR236" s="94">
        <f t="shared" si="97"/>
        <v>2.4887690103071493E-2</v>
      </c>
      <c r="AS236" s="95"/>
    </row>
    <row r="237" spans="1:45">
      <c r="A237" s="78">
        <f t="shared" si="111"/>
        <v>2024</v>
      </c>
      <c r="B237" s="78">
        <f t="shared" si="112"/>
        <v>5</v>
      </c>
      <c r="C237" s="317">
        <f t="shared" si="105"/>
        <v>208.47875842628665</v>
      </c>
      <c r="D237" s="324">
        <f t="shared" si="109"/>
        <v>0.11596109210918912</v>
      </c>
      <c r="E237" s="321">
        <f>$D237*'MWh Impact Summary'!B$30</f>
        <v>398839.01515188522</v>
      </c>
      <c r="F237" s="321">
        <f>$D237*'MWh Impact Summary'!N$30</f>
        <v>68805.341340490428</v>
      </c>
      <c r="G237" s="321">
        <f>$D237*'MWh Impact Summary'!C$30</f>
        <v>287844.57918728469</v>
      </c>
      <c r="H237" s="321">
        <f>$D237*'MWh Impact Summary'!D$30</f>
        <v>1447.4619230658452</v>
      </c>
      <c r="I237" s="321">
        <f>$D237*'MWh Impact Summary'!E$30</f>
        <v>102410.79673692095</v>
      </c>
      <c r="J237" s="104">
        <f t="shared" si="98"/>
        <v>859347.19433964719</v>
      </c>
      <c r="K237" s="298">
        <f t="shared" si="106"/>
        <v>10.533333333333333</v>
      </c>
      <c r="L237" s="300">
        <f t="shared" si="110"/>
        <v>7.4152293793265281E-2</v>
      </c>
      <c r="M237" s="297">
        <f>(31/366)</f>
        <v>8.4699453551912565E-2</v>
      </c>
      <c r="N237" s="304">
        <f>$M237*'MWh Impact Summary'!F$30</f>
        <v>177913.93898184501</v>
      </c>
      <c r="O237" s="304">
        <f>$M237*'MWh Impact Summary'!G$30</f>
        <v>29348.910303715045</v>
      </c>
      <c r="P237" s="304">
        <f>$M237*'MWh Impact Summary'!H$30</f>
        <v>11256.233754500045</v>
      </c>
      <c r="Q237" s="320">
        <f>$D237*'MWh Impact Summary'!I$30</f>
        <v>2563.0677725456135</v>
      </c>
      <c r="R237" s="304">
        <f>$M237*'MWh Impact Summary'!J$30</f>
        <v>48841.629368224894</v>
      </c>
      <c r="S237" s="304">
        <f>$M237*'MWh Impact Summary'!K$30</f>
        <v>34576.912314095389</v>
      </c>
      <c r="T237" s="304">
        <f>$M237*'MWh Impact Summary'!L$30</f>
        <v>12419.534744117105</v>
      </c>
      <c r="U237" s="304">
        <f>$M237*'MWh Impact Summary'!M$30</f>
        <v>38381.159252237456</v>
      </c>
      <c r="V237" s="304">
        <f>$M237*'LED Impact Forecast'!$H$31+$D237*'LED Impact Forecast'!$J$31</f>
        <v>257182.53516246943</v>
      </c>
      <c r="W237" s="304">
        <f>$M237*'CFL Impact Forecast'!$H$31+$D237*'CFL Impact Forecast'!$J$31</f>
        <v>379395.0239941178</v>
      </c>
      <c r="X237" s="304">
        <f>$M237*'EISA Incand Impact Forecast'!$G$31+$D237*'EISA Incand Impact Forecast'!$I$31</f>
        <v>131354.19604621542</v>
      </c>
      <c r="Y237" s="85">
        <f t="shared" si="90"/>
        <v>1123233.1416940833</v>
      </c>
      <c r="Z237" s="81">
        <f t="shared" si="91"/>
        <v>1982580.3360337305</v>
      </c>
      <c r="AA237" s="81"/>
      <c r="AB237" s="262">
        <f>+'MWh by mo-WgtbyActulCDH&amp;Days'!AB237</f>
        <v>5364378.1867245836</v>
      </c>
      <c r="AC237" s="308">
        <f t="shared" si="99"/>
        <v>369.58250649443249</v>
      </c>
      <c r="AD237" s="309">
        <f t="shared" si="92"/>
        <v>160.19511757510014</v>
      </c>
      <c r="AE237" s="107">
        <f t="shared" si="93"/>
        <v>1.5208397238142419E-2</v>
      </c>
      <c r="AF237" s="309">
        <f t="shared" si="100"/>
        <v>209.38738891933238</v>
      </c>
      <c r="AG237" s="107">
        <f t="shared" si="94"/>
        <v>1.9878549580949277E-2</v>
      </c>
      <c r="AH237" s="119">
        <f t="shared" si="101"/>
        <v>3.5086946819091698E-2</v>
      </c>
      <c r="AI237" s="122">
        <f t="shared" si="95"/>
        <v>3.5086946819091691E-2</v>
      </c>
      <c r="AJ237" s="87" t="b">
        <f t="shared" si="102"/>
        <v>1</v>
      </c>
      <c r="AK237" s="88">
        <f t="shared" si="108"/>
        <v>8.0378216940086428E-4</v>
      </c>
      <c r="AL237" s="312">
        <f>+AC237/'MWh by month-WgtbyCDH&amp;DayLtHrs'!AC237-1</f>
        <v>0.13314639438430342</v>
      </c>
      <c r="AM237" s="89">
        <f t="shared" si="96"/>
        <v>379395.0239941178</v>
      </c>
      <c r="AN237" s="93"/>
      <c r="AO237" s="96">
        <f t="shared" si="115"/>
        <v>70.724883814683324</v>
      </c>
      <c r="AP237" s="92">
        <f t="shared" si="114"/>
        <v>6.7143877039256318E-3</v>
      </c>
      <c r="AR237" s="94">
        <f t="shared" si="97"/>
        <v>3.5086946819091691E-2</v>
      </c>
      <c r="AS237" s="95"/>
    </row>
    <row r="238" spans="1:45">
      <c r="A238" s="78">
        <f t="shared" si="111"/>
        <v>2024</v>
      </c>
      <c r="B238" s="78">
        <f t="shared" si="112"/>
        <v>6</v>
      </c>
      <c r="C238" s="317">
        <f t="shared" si="105"/>
        <v>271.66325293295364</v>
      </c>
      <c r="D238" s="324">
        <f t="shared" si="109"/>
        <v>0.15110588596093688</v>
      </c>
      <c r="E238" s="321">
        <f>$D238*'MWh Impact Summary'!B$30</f>
        <v>519716.75709612784</v>
      </c>
      <c r="F238" s="321">
        <f>$D238*'MWh Impact Summary'!N$30</f>
        <v>89658.45244290866</v>
      </c>
      <c r="G238" s="321">
        <f>$D238*'MWh Impact Summary'!C$30</f>
        <v>375082.79170217499</v>
      </c>
      <c r="H238" s="321">
        <f>$D238*'MWh Impact Summary'!D$30</f>
        <v>1886.150020677961</v>
      </c>
      <c r="I238" s="321">
        <f>$D238*'MWh Impact Summary'!E$30</f>
        <v>133448.84815612726</v>
      </c>
      <c r="J238" s="104">
        <f t="shared" si="98"/>
        <v>1119792.9994180168</v>
      </c>
      <c r="K238" s="298">
        <f t="shared" si="106"/>
        <v>10.199999999999999</v>
      </c>
      <c r="L238" s="300">
        <f t="shared" si="110"/>
        <v>7.1805702217529022E-2</v>
      </c>
      <c r="M238" s="297">
        <f>(30/366)</f>
        <v>8.1967213114754092E-2</v>
      </c>
      <c r="N238" s="304">
        <f>$M238*'MWh Impact Summary'!F$30</f>
        <v>172174.77965985</v>
      </c>
      <c r="O238" s="304">
        <f>$M238*'MWh Impact Summary'!G$30</f>
        <v>28402.171261659721</v>
      </c>
      <c r="P238" s="304">
        <f>$M238*'MWh Impact Summary'!H$30</f>
        <v>10893.129439838753</v>
      </c>
      <c r="Q238" s="320">
        <f>$D238*'MWh Impact Summary'!I$30</f>
        <v>3339.8670149100776</v>
      </c>
      <c r="R238" s="304">
        <f>$M238*'MWh Impact Summary'!J$30</f>
        <v>47266.09293699183</v>
      </c>
      <c r="S238" s="304">
        <f>$M238*'MWh Impact Summary'!K$30</f>
        <v>33461.528045898762</v>
      </c>
      <c r="T238" s="304">
        <f>$M238*'MWh Impact Summary'!L$30</f>
        <v>12018.904591081069</v>
      </c>
      <c r="U238" s="304">
        <f>$M238*'MWh Impact Summary'!M$30</f>
        <v>37143.057340874955</v>
      </c>
      <c r="V238" s="304">
        <f>$M238*'LED Impact Forecast'!$H$31+$D238*'LED Impact Forecast'!$J$31</f>
        <v>265308.85105478985</v>
      </c>
      <c r="W238" s="304">
        <f>$M238*'CFL Impact Forecast'!$H$31+$D238*'CFL Impact Forecast'!$J$31</f>
        <v>391361.45935453224</v>
      </c>
      <c r="X238" s="304">
        <f>$M238*'EISA Incand Impact Forecast'!$G$31+$D238*'EISA Incand Impact Forecast'!$I$31</f>
        <v>136025.33189904763</v>
      </c>
      <c r="Y238" s="85">
        <f t="shared" si="90"/>
        <v>1137395.1725994749</v>
      </c>
      <c r="Z238" s="81">
        <f t="shared" si="91"/>
        <v>2257188.1720174914</v>
      </c>
      <c r="AA238" s="81"/>
      <c r="AB238" s="262">
        <f>+'MWh by mo-WgtbyActulCDH&amp;Days'!AB238</f>
        <v>5369633.722238888</v>
      </c>
      <c r="AC238" s="308">
        <f t="shared" si="99"/>
        <v>420.36166501806542</v>
      </c>
      <c r="AD238" s="309">
        <f t="shared" si="92"/>
        <v>208.54178466219759</v>
      </c>
      <c r="AE238" s="107">
        <f t="shared" si="93"/>
        <v>2.0445273006097803E-2</v>
      </c>
      <c r="AF238" s="309">
        <f t="shared" si="100"/>
        <v>211.81988035586789</v>
      </c>
      <c r="AG238" s="107">
        <f t="shared" si="94"/>
        <v>2.0766654936849798E-2</v>
      </c>
      <c r="AH238" s="119">
        <f t="shared" si="101"/>
        <v>4.1211927942947604E-2</v>
      </c>
      <c r="AI238" s="122">
        <f t="shared" si="95"/>
        <v>4.1211927942947597E-2</v>
      </c>
      <c r="AJ238" s="87" t="b">
        <f t="shared" si="102"/>
        <v>1</v>
      </c>
      <c r="AK238" s="88">
        <f t="shared" si="108"/>
        <v>8.0846072595260055E-4</v>
      </c>
      <c r="AL238" s="312">
        <f>+AC238/'MWh by month-WgtbyCDH&amp;DayLtHrs'!AC238-1</f>
        <v>0.15053889729345804</v>
      </c>
      <c r="AM238" s="89">
        <f t="shared" si="96"/>
        <v>391361.45935453224</v>
      </c>
      <c r="AN238" s="93"/>
      <c r="AO238" s="96">
        <f t="shared" si="115"/>
        <v>72.884200226482619</v>
      </c>
      <c r="AP238" s="92">
        <f t="shared" si="114"/>
        <v>7.1455098261257481E-3</v>
      </c>
      <c r="AR238" s="94">
        <f t="shared" si="97"/>
        <v>4.1211927942947597E-2</v>
      </c>
      <c r="AS238" s="95"/>
    </row>
    <row r="239" spans="1:45">
      <c r="A239" s="78">
        <f t="shared" si="111"/>
        <v>2024</v>
      </c>
      <c r="B239" s="78">
        <f t="shared" si="112"/>
        <v>7</v>
      </c>
      <c r="C239" s="317">
        <f t="shared" si="105"/>
        <v>322.31916585708109</v>
      </c>
      <c r="D239" s="324">
        <f t="shared" si="109"/>
        <v>0.17928196984022934</v>
      </c>
      <c r="E239" s="321">
        <f>$D239*'MWh Impact Summary'!B$30</f>
        <v>616626.17163210397</v>
      </c>
      <c r="F239" s="321">
        <f>$D239*'MWh Impact Summary'!N$30</f>
        <v>106376.68985936519</v>
      </c>
      <c r="G239" s="321">
        <f>$D239*'MWh Impact Summary'!C$30</f>
        <v>445022.91437490622</v>
      </c>
      <c r="H239" s="321">
        <f>$D239*'MWh Impact Summary'!D$30</f>
        <v>2237.8525427444411</v>
      </c>
      <c r="I239" s="321">
        <f>$D239*'MWh Impact Summary'!E$30</f>
        <v>158332.49789174402</v>
      </c>
      <c r="J239" s="104">
        <f t="shared" si="98"/>
        <v>1328596.1263008639</v>
      </c>
      <c r="K239" s="298">
        <f t="shared" si="106"/>
        <v>10.366666666666667</v>
      </c>
      <c r="L239" s="300">
        <f t="shared" si="110"/>
        <v>7.2978998005397158E-2</v>
      </c>
      <c r="M239" s="297">
        <f>(31/366)</f>
        <v>8.4699453551912565E-2</v>
      </c>
      <c r="N239" s="304">
        <f>$M239*'MWh Impact Summary'!F$30</f>
        <v>177913.93898184501</v>
      </c>
      <c r="O239" s="304">
        <f>$M239*'MWh Impact Summary'!G$30</f>
        <v>29348.910303715045</v>
      </c>
      <c r="P239" s="304">
        <f>$M239*'MWh Impact Summary'!H$30</f>
        <v>11256.233754500045</v>
      </c>
      <c r="Q239" s="320">
        <f>$D239*'MWh Impact Summary'!I$30</f>
        <v>3962.6380774623053</v>
      </c>
      <c r="R239" s="304">
        <f>$M239*'MWh Impact Summary'!J$30</f>
        <v>48841.629368224894</v>
      </c>
      <c r="S239" s="304">
        <f>$M239*'MWh Impact Summary'!K$30</f>
        <v>34576.912314095389</v>
      </c>
      <c r="T239" s="304">
        <f>$M239*'MWh Impact Summary'!L$30</f>
        <v>12419.534744117105</v>
      </c>
      <c r="U239" s="304">
        <f>$M239*'MWh Impact Summary'!M$30</f>
        <v>38381.159252237456</v>
      </c>
      <c r="V239" s="304">
        <f>$M239*'LED Impact Forecast'!$H$31+$D239*'LED Impact Forecast'!$J$31</f>
        <v>283924.88113408064</v>
      </c>
      <c r="W239" s="304">
        <f>$M239*'CFL Impact Forecast'!$H$31+$D239*'CFL Impact Forecast'!$J$31</f>
        <v>418810.27853918582</v>
      </c>
      <c r="X239" s="304">
        <f>$M239*'EISA Incand Impact Forecast'!$G$31+$D239*'EISA Incand Impact Forecast'!$I$31</f>
        <v>145860.53011690977</v>
      </c>
      <c r="Y239" s="85">
        <f t="shared" si="90"/>
        <v>1205296.6465863734</v>
      </c>
      <c r="Z239" s="81">
        <f t="shared" si="91"/>
        <v>2533892.7728872374</v>
      </c>
      <c r="AA239" s="81"/>
      <c r="AB239" s="262">
        <f>+'MWh by mo-WgtbyActulCDH&amp;Days'!AB239</f>
        <v>5374960.0944571337</v>
      </c>
      <c r="AC239" s="308">
        <f t="shared" si="99"/>
        <v>471.42541123240812</v>
      </c>
      <c r="AD239" s="309">
        <f t="shared" si="92"/>
        <v>247.18250981453119</v>
      </c>
      <c r="AE239" s="107">
        <f t="shared" si="93"/>
        <v>2.384397200783259E-2</v>
      </c>
      <c r="AF239" s="309">
        <f t="shared" si="100"/>
        <v>224.24290141787691</v>
      </c>
      <c r="AG239" s="107">
        <f t="shared" si="94"/>
        <v>2.1631148046740538E-2</v>
      </c>
      <c r="AH239" s="119">
        <f t="shared" si="101"/>
        <v>4.5475120054573132E-2</v>
      </c>
      <c r="AI239" s="122">
        <f t="shared" si="95"/>
        <v>4.5475120054573132E-2</v>
      </c>
      <c r="AJ239" s="87" t="b">
        <f t="shared" si="102"/>
        <v>1</v>
      </c>
      <c r="AK239" s="88">
        <f t="shared" si="108"/>
        <v>8.2488770652795751E-4</v>
      </c>
      <c r="AL239" s="312">
        <f>+AC239/'MWh by month-WgtbyCDH&amp;DayLtHrs'!AC239-1</f>
        <v>0.16999317174033779</v>
      </c>
      <c r="AM239" s="89">
        <f t="shared" si="96"/>
        <v>418810.27853918582</v>
      </c>
      <c r="AN239" s="93"/>
      <c r="AO239" s="96">
        <f t="shared" si="115"/>
        <v>77.918769847441126</v>
      </c>
      <c r="AP239" s="92">
        <f t="shared" si="114"/>
        <v>7.516280049592392E-3</v>
      </c>
      <c r="AR239" s="94">
        <f t="shared" si="97"/>
        <v>4.5475120054573132E-2</v>
      </c>
      <c r="AS239" s="95"/>
    </row>
    <row r="240" spans="1:45">
      <c r="A240" s="78">
        <f t="shared" si="111"/>
        <v>2024</v>
      </c>
      <c r="B240" s="78">
        <f t="shared" si="112"/>
        <v>8</v>
      </c>
      <c r="C240" s="317">
        <f t="shared" si="105"/>
        <v>326.45437890907908</v>
      </c>
      <c r="D240" s="324">
        <f t="shared" si="109"/>
        <v>0.18158207861502046</v>
      </c>
      <c r="E240" s="321">
        <f>$D240*'MWh Impact Summary'!B$30</f>
        <v>624537.21404981497</v>
      </c>
      <c r="F240" s="321">
        <f>$D240*'MWh Impact Summary'!N$30</f>
        <v>107741.45597609633</v>
      </c>
      <c r="G240" s="321">
        <f>$D240*'MWh Impact Summary'!C$30</f>
        <v>450732.36252102506</v>
      </c>
      <c r="H240" s="321">
        <f>$D240*'MWh Impact Summary'!D$30</f>
        <v>2266.5632060355811</v>
      </c>
      <c r="I240" s="321">
        <f>$D240*'MWh Impact Summary'!E$30</f>
        <v>160363.83416086214</v>
      </c>
      <c r="J240" s="104">
        <f t="shared" si="98"/>
        <v>1345641.4299138342</v>
      </c>
      <c r="K240" s="298">
        <f t="shared" si="106"/>
        <v>10.933333333333334</v>
      </c>
      <c r="L240" s="300">
        <f t="shared" si="110"/>
        <v>7.6968203684148764E-2</v>
      </c>
      <c r="M240" s="297">
        <f>(31/366)</f>
        <v>8.4699453551912565E-2</v>
      </c>
      <c r="N240" s="304">
        <f>$M240*'MWh Impact Summary'!F$30</f>
        <v>177913.93898184501</v>
      </c>
      <c r="O240" s="304">
        <f>$M240*'MWh Impact Summary'!G$30</f>
        <v>29348.910303715045</v>
      </c>
      <c r="P240" s="304">
        <f>$M240*'MWh Impact Summary'!H$30</f>
        <v>11256.233754500045</v>
      </c>
      <c r="Q240" s="320">
        <f>$D240*'MWh Impact Summary'!I$30</f>
        <v>4013.476980121703</v>
      </c>
      <c r="R240" s="304">
        <f>$M240*'MWh Impact Summary'!J$30</f>
        <v>48841.629368224894</v>
      </c>
      <c r="S240" s="304">
        <f>$M240*'MWh Impact Summary'!K$30</f>
        <v>34576.912314095389</v>
      </c>
      <c r="T240" s="304">
        <f>$M240*'MWh Impact Summary'!L$30</f>
        <v>12419.534744117105</v>
      </c>
      <c r="U240" s="304">
        <f>$M240*'MWh Impact Summary'!M$30</f>
        <v>38381.159252237456</v>
      </c>
      <c r="V240" s="304">
        <f>$M240*'LED Impact Forecast'!$H$31+$D240*'LED Impact Forecast'!$J$31</f>
        <v>284896.28751428076</v>
      </c>
      <c r="W240" s="304">
        <f>$M240*'CFL Impact Forecast'!$H$31+$D240*'CFL Impact Forecast'!$J$31</f>
        <v>420242.02389850974</v>
      </c>
      <c r="X240" s="304">
        <f>$M240*'EISA Incand Impact Forecast'!$G$31+$D240*'EISA Incand Impact Forecast'!$I$31</f>
        <v>146387.46763707144</v>
      </c>
      <c r="Y240" s="85">
        <f t="shared" si="90"/>
        <v>1208277.5747487186</v>
      </c>
      <c r="Z240" s="81">
        <f t="shared" si="91"/>
        <v>2553919.0046625528</v>
      </c>
      <c r="AA240" s="81"/>
      <c r="AB240" s="262">
        <f>+'MWh by mo-WgtbyActulCDH&amp;Days'!AB240</f>
        <v>5380321.6496443385</v>
      </c>
      <c r="AC240" s="308">
        <f t="shared" si="99"/>
        <v>474.67775552626625</v>
      </c>
      <c r="AD240" s="309">
        <f t="shared" si="92"/>
        <v>250.10427211220477</v>
      </c>
      <c r="AE240" s="107">
        <f t="shared" si="93"/>
        <v>2.287539074196995E-2</v>
      </c>
      <c r="AF240" s="309">
        <f t="shared" si="100"/>
        <v>224.57348341406149</v>
      </c>
      <c r="AG240" s="107">
        <f t="shared" si="94"/>
        <v>2.0540257629334892E-2</v>
      </c>
      <c r="AH240" s="119">
        <f t="shared" si="101"/>
        <v>4.3415648371304842E-2</v>
      </c>
      <c r="AI240" s="122">
        <f t="shared" si="95"/>
        <v>4.3415648371304842E-2</v>
      </c>
      <c r="AJ240" s="87" t="b">
        <f t="shared" si="102"/>
        <v>1</v>
      </c>
      <c r="AK240" s="88">
        <f t="shared" si="108"/>
        <v>7.8200297470524399E-4</v>
      </c>
      <c r="AL240" s="312">
        <f>+AC240/'MWh by month-WgtbyCDH&amp;DayLtHrs'!AC240-1</f>
        <v>0.14763634634958844</v>
      </c>
      <c r="AM240" s="89">
        <f t="shared" si="96"/>
        <v>420242.02389850974</v>
      </c>
      <c r="AN240" s="93"/>
      <c r="AO240" s="96">
        <f t="shared" si="115"/>
        <v>78.107230619992663</v>
      </c>
      <c r="AP240" s="92">
        <f t="shared" si="114"/>
        <v>7.1439540201212797E-3</v>
      </c>
      <c r="AR240" s="94">
        <f t="shared" si="97"/>
        <v>4.3415648371304842E-2</v>
      </c>
      <c r="AS240" s="95"/>
    </row>
    <row r="241" spans="1:45">
      <c r="A241" s="78">
        <f t="shared" si="111"/>
        <v>2024</v>
      </c>
      <c r="B241" s="78">
        <f t="shared" si="112"/>
        <v>9</v>
      </c>
      <c r="C241" s="317">
        <f t="shared" si="105"/>
        <v>277.87653293728147</v>
      </c>
      <c r="D241" s="324">
        <f t="shared" si="109"/>
        <v>0.15456186747349368</v>
      </c>
      <c r="E241" s="321">
        <f>$D241*'MWh Impact Summary'!B$30</f>
        <v>531603.33247913118</v>
      </c>
      <c r="F241" s="321">
        <f>$D241*'MWh Impact Summary'!N$30</f>
        <v>91709.053927534143</v>
      </c>
      <c r="G241" s="321">
        <f>$D241*'MWh Impact Summary'!C$30</f>
        <v>383661.40652950219</v>
      </c>
      <c r="H241" s="321">
        <f>$D241*'MWh Impact Summary'!D$30</f>
        <v>1929.2886420487844</v>
      </c>
      <c r="I241" s="321">
        <f>$D241*'MWh Impact Summary'!E$30</f>
        <v>136500.99102380351</v>
      </c>
      <c r="J241" s="104">
        <f t="shared" si="98"/>
        <v>1145404.0726020199</v>
      </c>
      <c r="K241" s="298">
        <f t="shared" si="106"/>
        <v>11.683333333333334</v>
      </c>
      <c r="L241" s="300">
        <f t="shared" si="110"/>
        <v>8.2248034729555317E-2</v>
      </c>
      <c r="M241" s="297">
        <f>(30/366)</f>
        <v>8.1967213114754092E-2</v>
      </c>
      <c r="N241" s="304">
        <f>$M241*'MWh Impact Summary'!F$30</f>
        <v>172174.77965985</v>
      </c>
      <c r="O241" s="304">
        <f>$M241*'MWh Impact Summary'!G$30</f>
        <v>28402.171261659721</v>
      </c>
      <c r="P241" s="304">
        <f>$M241*'MWh Impact Summary'!H$30</f>
        <v>10893.129439838753</v>
      </c>
      <c r="Q241" s="320">
        <f>$D241*'MWh Impact Summary'!I$30</f>
        <v>3416.2539708815439</v>
      </c>
      <c r="R241" s="304">
        <f>$M241*'MWh Impact Summary'!J$30</f>
        <v>47266.09293699183</v>
      </c>
      <c r="S241" s="304">
        <f>$M241*'MWh Impact Summary'!K$30</f>
        <v>33461.528045898762</v>
      </c>
      <c r="T241" s="304">
        <f>$M241*'MWh Impact Summary'!L$30</f>
        <v>12018.904591081069</v>
      </c>
      <c r="U241" s="304">
        <f>$M241*'MWh Impact Summary'!M$30</f>
        <v>37143.057340874955</v>
      </c>
      <c r="V241" s="304">
        <f>$M241*'LED Impact Forecast'!$H$31+$D241*'LED Impact Forecast'!$J$31</f>
        <v>266768.41789264779</v>
      </c>
      <c r="W241" s="304">
        <f>$M241*'CFL Impact Forecast'!$H$31+$D241*'CFL Impact Forecast'!$J$31</f>
        <v>393512.69913359958</v>
      </c>
      <c r="X241" s="304">
        <f>$M241*'EISA Incand Impact Forecast'!$G$31+$D241*'EISA Incand Impact Forecast'!$I$31</f>
        <v>136817.07111934456</v>
      </c>
      <c r="Y241" s="85">
        <f t="shared" si="90"/>
        <v>1141874.1053926686</v>
      </c>
      <c r="Z241" s="81">
        <f t="shared" si="91"/>
        <v>2287278.1779946885</v>
      </c>
      <c r="AA241" s="81"/>
      <c r="AB241" s="262">
        <f>+'MWh by mo-WgtbyActulCDH&amp;Days'!AB241</f>
        <v>5385554.9074087441</v>
      </c>
      <c r="AC241" s="308">
        <f t="shared" si="99"/>
        <v>424.70612913966386</v>
      </c>
      <c r="AD241" s="309">
        <f t="shared" si="92"/>
        <v>212.6807900568096</v>
      </c>
      <c r="AE241" s="107">
        <f t="shared" si="93"/>
        <v>1.8203776609712664E-2</v>
      </c>
      <c r="AF241" s="309">
        <f t="shared" si="100"/>
        <v>212.02533908285426</v>
      </c>
      <c r="AG241" s="107">
        <f t="shared" si="94"/>
        <v>1.8147675242469696E-2</v>
      </c>
      <c r="AH241" s="119">
        <f t="shared" si="101"/>
        <v>3.6351451852182359E-2</v>
      </c>
      <c r="AI241" s="122">
        <f t="shared" si="95"/>
        <v>3.6351451852182359E-2</v>
      </c>
      <c r="AJ241" s="87" t="b">
        <f t="shared" si="102"/>
        <v>1</v>
      </c>
      <c r="AK241" s="88">
        <f t="shared" si="108"/>
        <v>7.0443973716315805E-4</v>
      </c>
      <c r="AL241" s="312">
        <f>+AC241/'MWh by month-WgtbyCDH&amp;DayLtHrs'!AC241-1</f>
        <v>8.887423420652496E-2</v>
      </c>
      <c r="AM241" s="89">
        <f t="shared" si="96"/>
        <v>393512.69913359958</v>
      </c>
      <c r="AN241" s="93"/>
      <c r="AO241" s="96">
        <f t="shared" si="115"/>
        <v>73.068180698010551</v>
      </c>
      <c r="AP241" s="92">
        <f t="shared" si="114"/>
        <v>6.2540525561777935E-3</v>
      </c>
      <c r="AR241" s="94">
        <f t="shared" si="97"/>
        <v>3.6351451852182359E-2</v>
      </c>
      <c r="AS241" s="95"/>
    </row>
    <row r="242" spans="1:45">
      <c r="A242" s="78">
        <f t="shared" si="111"/>
        <v>2024</v>
      </c>
      <c r="B242" s="78">
        <f t="shared" si="112"/>
        <v>10</v>
      </c>
      <c r="C242" s="317">
        <f t="shared" si="105"/>
        <v>198.89039579254836</v>
      </c>
      <c r="D242" s="324">
        <f t="shared" si="109"/>
        <v>0.11062780534683357</v>
      </c>
      <c r="E242" s="321">
        <f>$D242*'MWh Impact Summary'!B$30</f>
        <v>380495.59667305986</v>
      </c>
      <c r="F242" s="321">
        <f>$D242*'MWh Impact Summary'!N$30</f>
        <v>65640.843581146604</v>
      </c>
      <c r="G242" s="321">
        <f>$D242*'MWh Impact Summary'!C$30</f>
        <v>274606.02084092278</v>
      </c>
      <c r="H242" s="321">
        <f>$D242*'MWh Impact Summary'!D$30</f>
        <v>1380.89020169889</v>
      </c>
      <c r="I242" s="321">
        <f>$D242*'MWh Impact Summary'!E$30</f>
        <v>97700.715651749604</v>
      </c>
      <c r="J242" s="104">
        <f t="shared" si="98"/>
        <v>819824.06694857776</v>
      </c>
      <c r="K242" s="298">
        <f t="shared" si="106"/>
        <v>12.466666666666667</v>
      </c>
      <c r="L242" s="300">
        <f t="shared" si="110"/>
        <v>8.7762524932535488E-2</v>
      </c>
      <c r="M242" s="297">
        <f>(31/366)</f>
        <v>8.4699453551912565E-2</v>
      </c>
      <c r="N242" s="304">
        <f>$M242*'MWh Impact Summary'!F$30</f>
        <v>177913.93898184501</v>
      </c>
      <c r="O242" s="304">
        <f>$M242*'MWh Impact Summary'!G$30</f>
        <v>29348.910303715045</v>
      </c>
      <c r="P242" s="304">
        <f>$M242*'MWh Impact Summary'!H$30</f>
        <v>11256.233754500045</v>
      </c>
      <c r="Q242" s="320">
        <f>$D242*'MWh Impact Summary'!I$30</f>
        <v>2445.1870664078483</v>
      </c>
      <c r="R242" s="304">
        <f>$M242*'MWh Impact Summary'!J$30</f>
        <v>48841.629368224894</v>
      </c>
      <c r="S242" s="304">
        <f>$M242*'MWh Impact Summary'!K$30</f>
        <v>34576.912314095389</v>
      </c>
      <c r="T242" s="304">
        <f>$M242*'MWh Impact Summary'!L$30</f>
        <v>12419.534744117105</v>
      </c>
      <c r="U242" s="304">
        <f>$M242*'MWh Impact Summary'!M$30</f>
        <v>38381.159252237456</v>
      </c>
      <c r="V242" s="304">
        <f>$M242*'LED Impact Forecast'!$H$31+$D242*'LED Impact Forecast'!$J$31</f>
        <v>254930.12482206739</v>
      </c>
      <c r="W242" s="304">
        <f>$M242*'CFL Impact Forecast'!$H$31+$D242*'CFL Impact Forecast'!$J$31</f>
        <v>376075.22075018648</v>
      </c>
      <c r="X242" s="304">
        <f>$M242*'EISA Incand Impact Forecast'!$G$31+$D242*'EISA Incand Impact Forecast'!$I$31</f>
        <v>130132.38039485697</v>
      </c>
      <c r="Y242" s="85">
        <f t="shared" si="90"/>
        <v>1116321.2317522536</v>
      </c>
      <c r="Z242" s="81">
        <f t="shared" si="91"/>
        <v>1936145.2987008314</v>
      </c>
      <c r="AA242" s="81"/>
      <c r="AB242" s="262">
        <f>+'MWh by mo-WgtbyActulCDH&amp;Days'!AB242</f>
        <v>5390832.5836841511</v>
      </c>
      <c r="AC242" s="308">
        <f t="shared" si="99"/>
        <v>359.15515250107239</v>
      </c>
      <c r="AD242" s="309">
        <f t="shared" si="92"/>
        <v>152.07744893244327</v>
      </c>
      <c r="AE242" s="107">
        <f t="shared" si="93"/>
        <v>1.2198725850195984E-2</v>
      </c>
      <c r="AF242" s="309">
        <f t="shared" si="100"/>
        <v>207.07770356862909</v>
      </c>
      <c r="AG242" s="107">
        <f t="shared" si="94"/>
        <v>1.6610510981440837E-2</v>
      </c>
      <c r="AH242" s="119">
        <f t="shared" si="101"/>
        <v>2.880923683163682E-2</v>
      </c>
      <c r="AI242" s="122">
        <f t="shared" si="95"/>
        <v>2.8809236831636824E-2</v>
      </c>
      <c r="AJ242" s="87" t="b">
        <f t="shared" si="102"/>
        <v>1</v>
      </c>
      <c r="AK242" s="88">
        <f t="shared" si="108"/>
        <v>6.7522063468836158E-4</v>
      </c>
      <c r="AL242" s="312">
        <f>+AC242/'MWh by month-WgtbyCDH&amp;DayLtHrs'!AC242-1</f>
        <v>3.8822226810544924E-2</v>
      </c>
      <c r="AM242" s="89">
        <f t="shared" si="96"/>
        <v>376075.22075018648</v>
      </c>
      <c r="AN242" s="93"/>
      <c r="AO242" s="96">
        <f t="shared" si="115"/>
        <v>69.761992217753644</v>
      </c>
      <c r="AP242" s="92">
        <f t="shared" si="114"/>
        <v>5.595881728696816E-3</v>
      </c>
      <c r="AR242" s="94">
        <f t="shared" si="97"/>
        <v>2.8809236831636824E-2</v>
      </c>
      <c r="AS242" s="95"/>
    </row>
    <row r="243" spans="1:45">
      <c r="A243" s="78">
        <f t="shared" si="111"/>
        <v>2024</v>
      </c>
      <c r="B243" s="78">
        <f t="shared" si="112"/>
        <v>11</v>
      </c>
      <c r="C243" s="317">
        <f t="shared" si="105"/>
        <v>78.117279066674627</v>
      </c>
      <c r="D243" s="324">
        <f t="shared" si="109"/>
        <v>4.3450781564265642E-2</v>
      </c>
      <c r="E243" s="321">
        <f>$D243*'MWh Impact Summary'!B$30</f>
        <v>149445.5304918444</v>
      </c>
      <c r="F243" s="321">
        <f>$D243*'MWh Impact Summary'!N$30</f>
        <v>25781.45654428066</v>
      </c>
      <c r="G243" s="321">
        <f>$D243*'MWh Impact Summary'!C$30</f>
        <v>107855.76185284626</v>
      </c>
      <c r="H243" s="321">
        <f>$D243*'MWh Impact Summary'!D$30</f>
        <v>542.36598412254909</v>
      </c>
      <c r="I243" s="321">
        <f>$D243*'MWh Impact Summary'!E$30</f>
        <v>38373.467150933662</v>
      </c>
      <c r="J243" s="104">
        <f t="shared" si="98"/>
        <v>321998.58202402759</v>
      </c>
      <c r="K243" s="298">
        <f t="shared" si="106"/>
        <v>13.15</v>
      </c>
      <c r="L243" s="300">
        <f t="shared" si="110"/>
        <v>9.2573037662794788E-2</v>
      </c>
      <c r="M243" s="297">
        <f>(30/366)</f>
        <v>8.1967213114754092E-2</v>
      </c>
      <c r="N243" s="304">
        <f>$M243*'MWh Impact Summary'!F$30</f>
        <v>172174.77965985</v>
      </c>
      <c r="O243" s="304">
        <f>$M243*'MWh Impact Summary'!G$30</f>
        <v>28402.171261659721</v>
      </c>
      <c r="P243" s="304">
        <f>$M243*'MWh Impact Summary'!H$30</f>
        <v>10893.129439838753</v>
      </c>
      <c r="Q243" s="320">
        <f>$D243*'MWh Impact Summary'!I$30</f>
        <v>960.38503858194747</v>
      </c>
      <c r="R243" s="304">
        <f>$M243*'MWh Impact Summary'!J$30</f>
        <v>47266.09293699183</v>
      </c>
      <c r="S243" s="304">
        <f>$M243*'MWh Impact Summary'!K$30</f>
        <v>33461.528045898762</v>
      </c>
      <c r="T243" s="304">
        <f>$M243*'MWh Impact Summary'!L$30</f>
        <v>12018.904591081069</v>
      </c>
      <c r="U243" s="304">
        <f>$M243*'MWh Impact Summary'!M$30</f>
        <v>37143.057340874955</v>
      </c>
      <c r="V243" s="304">
        <f>$M243*'LED Impact Forecast'!$H$31+$D243*'LED Impact Forecast'!$J$31</f>
        <v>219842.8033538365</v>
      </c>
      <c r="W243" s="304">
        <f>$M243*'CFL Impact Forecast'!$H$31+$D243*'CFL Impact Forecast'!$J$31</f>
        <v>324349.54330222833</v>
      </c>
      <c r="X243" s="304">
        <f>$M243*'EISA Incand Impact Forecast'!$G$31+$D243*'EISA Incand Impact Forecast'!$I$31</f>
        <v>111362.36188421406</v>
      </c>
      <c r="Y243" s="85">
        <f t="shared" si="90"/>
        <v>997874.75685505592</v>
      </c>
      <c r="Z243" s="81">
        <f t="shared" si="91"/>
        <v>1319873.3388790835</v>
      </c>
      <c r="AA243" s="81"/>
      <c r="AB243" s="262">
        <f>+'MWh by mo-WgtbyActulCDH&amp;Days'!AB243</f>
        <v>5396121.651252266</v>
      </c>
      <c r="AC243" s="308">
        <f t="shared" si="99"/>
        <v>244.59666111730144</v>
      </c>
      <c r="AD243" s="309">
        <f t="shared" si="92"/>
        <v>59.672224392736233</v>
      </c>
      <c r="AE243" s="107">
        <f t="shared" si="93"/>
        <v>4.537811740892489E-3</v>
      </c>
      <c r="AF243" s="309">
        <f t="shared" si="100"/>
        <v>184.9244367245652</v>
      </c>
      <c r="AG243" s="107">
        <f t="shared" si="94"/>
        <v>1.4062694807951725E-2</v>
      </c>
      <c r="AH243" s="119">
        <f t="shared" si="101"/>
        <v>1.8600506548844216E-2</v>
      </c>
      <c r="AI243" s="122">
        <f t="shared" si="95"/>
        <v>1.8600506548844216E-2</v>
      </c>
      <c r="AJ243" s="87" t="b">
        <f t="shared" si="102"/>
        <v>1</v>
      </c>
      <c r="AK243" s="88">
        <f t="shared" si="108"/>
        <v>6.1118347468806788E-4</v>
      </c>
      <c r="AL243" s="312">
        <f>+AC243/'MWh by month-WgtbyCDH&amp;DayLtHrs'!AC243-1</f>
        <v>-9.7039623541356534E-2</v>
      </c>
      <c r="AM243" s="89">
        <f t="shared" si="96"/>
        <v>324349.54330222833</v>
      </c>
      <c r="AN243" s="93"/>
      <c r="AO243" s="96">
        <f t="shared" si="115"/>
        <v>60.107900500530278</v>
      </c>
      <c r="AP243" s="92">
        <f t="shared" si="114"/>
        <v>4.5709430038426068E-3</v>
      </c>
      <c r="AR243" s="94">
        <f t="shared" si="97"/>
        <v>1.8600506548844216E-2</v>
      </c>
      <c r="AS243" s="95"/>
    </row>
    <row r="244" spans="1:45">
      <c r="A244" s="78">
        <f t="shared" si="111"/>
        <v>2024</v>
      </c>
      <c r="B244" s="78">
        <f t="shared" si="112"/>
        <v>12</v>
      </c>
      <c r="C244" s="317">
        <f t="shared" si="105"/>
        <v>0</v>
      </c>
      <c r="D244" s="324">
        <f t="shared" si="109"/>
        <v>0</v>
      </c>
      <c r="E244" s="321">
        <f>$D244*'MWh Impact Summary'!B$30</f>
        <v>0</v>
      </c>
      <c r="F244" s="321">
        <f>$D244*'MWh Impact Summary'!N$30</f>
        <v>0</v>
      </c>
      <c r="G244" s="321">
        <f>$D244*'MWh Impact Summary'!C$30</f>
        <v>0</v>
      </c>
      <c r="H244" s="321">
        <f>$D244*'MWh Impact Summary'!D$30</f>
        <v>0</v>
      </c>
      <c r="I244" s="321">
        <f>$D244*'MWh Impact Summary'!E$30</f>
        <v>0</v>
      </c>
      <c r="J244" s="104">
        <f t="shared" si="98"/>
        <v>0</v>
      </c>
      <c r="K244" s="298">
        <f t="shared" si="106"/>
        <v>13.483333333333333</v>
      </c>
      <c r="L244" s="300">
        <f t="shared" si="110"/>
        <v>9.491962923853102E-2</v>
      </c>
      <c r="M244" s="297">
        <f>(31/366)</f>
        <v>8.4699453551912565E-2</v>
      </c>
      <c r="N244" s="304">
        <f>$M244*'MWh Impact Summary'!F$30</f>
        <v>177913.93898184501</v>
      </c>
      <c r="O244" s="304">
        <f>$M244*'MWh Impact Summary'!G$30</f>
        <v>29348.910303715045</v>
      </c>
      <c r="P244" s="304">
        <f>$M244*'MWh Impact Summary'!H$30</f>
        <v>11256.233754500045</v>
      </c>
      <c r="Q244" s="320">
        <f>$D244*'MWh Impact Summary'!I$30</f>
        <v>0</v>
      </c>
      <c r="R244" s="304">
        <f>$M244*'MWh Impact Summary'!J$30</f>
        <v>48841.629368224894</v>
      </c>
      <c r="S244" s="304">
        <f>$M244*'MWh Impact Summary'!K$30</f>
        <v>34576.912314095389</v>
      </c>
      <c r="T244" s="304">
        <f>$M244*'MWh Impact Summary'!L$30</f>
        <v>12419.534744117105</v>
      </c>
      <c r="U244" s="304">
        <f>$M244*'MWh Impact Summary'!M$30</f>
        <v>38381.159252237456</v>
      </c>
      <c r="V244" s="304">
        <f>$M244*'LED Impact Forecast'!$H$31+$D244*'LED Impact Forecast'!$J$31</f>
        <v>208208.6144660156</v>
      </c>
      <c r="W244" s="304">
        <f>$M244*'CFL Impact Forecast'!$H$31+$D244*'CFL Impact Forecast'!$J$31</f>
        <v>307212.89186667232</v>
      </c>
      <c r="X244" s="304">
        <f>$M244*'EISA Incand Impact Forecast'!$G$31+$D244*'EISA Incand Impact Forecast'!$I$31</f>
        <v>104788.38708059138</v>
      </c>
      <c r="Y244" s="85">
        <f t="shared" si="90"/>
        <v>972948.21213201433</v>
      </c>
      <c r="Z244" s="81">
        <f t="shared" si="91"/>
        <v>972948.21213201433</v>
      </c>
      <c r="AA244" s="81">
        <f>SUM(Z233:Z244)</f>
        <v>20193711.515252538</v>
      </c>
      <c r="AB244" s="262">
        <f>+'MWh by mo-WgtbyActulCDH&amp;Days'!AB244</f>
        <v>5401414.1942394003</v>
      </c>
      <c r="AC244" s="308">
        <f t="shared" si="99"/>
        <v>180.12842139928131</v>
      </c>
      <c r="AD244" s="309">
        <f t="shared" si="92"/>
        <v>0</v>
      </c>
      <c r="AE244" s="107">
        <f>+AD244/K244/1000</f>
        <v>0</v>
      </c>
      <c r="AF244" s="309">
        <f t="shared" si="100"/>
        <v>180.12842139928131</v>
      </c>
      <c r="AG244" s="107">
        <f t="shared" si="94"/>
        <v>1.33593390407378E-2</v>
      </c>
      <c r="AH244" s="119">
        <f t="shared" si="101"/>
        <v>1.33593390407378E-2</v>
      </c>
      <c r="AI244" s="122">
        <f t="shared" si="95"/>
        <v>1.33593390407378E-2</v>
      </c>
      <c r="AJ244" s="87" t="b">
        <f t="shared" si="102"/>
        <v>1</v>
      </c>
      <c r="AK244" s="88">
        <f t="shared" si="108"/>
        <v>6.1005716567033574E-4</v>
      </c>
      <c r="AL244" s="312">
        <f>+AC244/'MWh by month-WgtbyCDH&amp;DayLtHrs'!AC244-1</f>
        <v>-0.28137078437447705</v>
      </c>
      <c r="AM244" s="89">
        <f t="shared" si="96"/>
        <v>307212.89186667232</v>
      </c>
      <c r="AN244" s="90">
        <f>SUM(AM233:AM244)</f>
        <v>4249562.6863526944</v>
      </c>
      <c r="AO244" s="96">
        <f t="shared" si="115"/>
        <v>56.876381040045842</v>
      </c>
      <c r="AP244" s="92">
        <f t="shared" si="114"/>
        <v>4.2182730066783079E-3</v>
      </c>
      <c r="AR244" s="94">
        <f t="shared" si="97"/>
        <v>1.33593390407378E-2</v>
      </c>
      <c r="AS244" s="95"/>
    </row>
    <row r="245" spans="1:45">
      <c r="A245" s="78">
        <f t="shared" si="111"/>
        <v>2025</v>
      </c>
      <c r="B245" s="78">
        <f t="shared" si="112"/>
        <v>1</v>
      </c>
      <c r="C245" s="317">
        <f t="shared" si="105"/>
        <v>0</v>
      </c>
      <c r="D245" s="324">
        <f t="shared" si="109"/>
        <v>0</v>
      </c>
      <c r="E245" s="321">
        <f>$D245*'MWh Impact Summary'!B$31</f>
        <v>0</v>
      </c>
      <c r="F245" s="321">
        <f>$D245*'MWh Impact Summary'!N$31</f>
        <v>0</v>
      </c>
      <c r="G245" s="321">
        <f>$D245*'MWh Impact Summary'!C$31</f>
        <v>0</v>
      </c>
      <c r="H245" s="321">
        <f>$D245*'MWh Impact Summary'!D$31</f>
        <v>0</v>
      </c>
      <c r="I245" s="321">
        <f>$D245*'MWh Impact Summary'!E$31</f>
        <v>0</v>
      </c>
      <c r="J245" s="104">
        <f t="shared" si="98"/>
        <v>0</v>
      </c>
      <c r="K245" s="298">
        <f t="shared" si="106"/>
        <v>13.3</v>
      </c>
      <c r="L245" s="300">
        <f t="shared" si="110"/>
        <v>9.3629003871876101E-2</v>
      </c>
      <c r="M245" s="297">
        <f>(31/365)</f>
        <v>8.4931506849315067E-2</v>
      </c>
      <c r="N245" s="304">
        <f>$M245*'MWh Impact Summary'!F$31</f>
        <v>189138.06382954202</v>
      </c>
      <c r="O245" s="304">
        <f>$M245*'MWh Impact Summary'!G$31</f>
        <v>34820.138053350252</v>
      </c>
      <c r="P245" s="304">
        <f>$M245*'MWh Impact Summary'!H$31</f>
        <v>11918.16314863661</v>
      </c>
      <c r="Q245" s="320">
        <f>$D245*'MWh Impact Summary'!I$31</f>
        <v>0</v>
      </c>
      <c r="R245" s="304">
        <f>$M245*'MWh Impact Summary'!J$31</f>
        <v>50449.831017349366</v>
      </c>
      <c r="S245" s="304">
        <f>$M245*'MWh Impact Summary'!K$31</f>
        <v>38142.707657859886</v>
      </c>
      <c r="T245" s="304">
        <f>$M245*'MWh Impact Summary'!L$31</f>
        <v>13720.212941697286</v>
      </c>
      <c r="U245" s="304">
        <f>$M245*'MWh Impact Summary'!M$31</f>
        <v>42513.872742680498</v>
      </c>
      <c r="V245" s="304">
        <f>$M245*'LED Impact Forecast'!$H$32+$D245*'LED Impact Forecast'!$J$32</f>
        <v>234620.53834203188</v>
      </c>
      <c r="W245" s="304">
        <f>$M245*'CFL Impact Forecast'!$H$32+$D245*'CFL Impact Forecast'!$J$32</f>
        <v>309053.49719643046</v>
      </c>
      <c r="X245" s="304">
        <f>$M245*'EISA Incand Impact Forecast'!$G$32+$D245*'EISA Incand Impact Forecast'!$I$32</f>
        <v>105075.47855204505</v>
      </c>
      <c r="Y245" s="85">
        <f t="shared" si="90"/>
        <v>1029452.5034816234</v>
      </c>
      <c r="Z245" s="81">
        <f t="shared" si="91"/>
        <v>1029452.5034816234</v>
      </c>
      <c r="AA245" s="81"/>
      <c r="AB245" s="262">
        <f>+'MWh by mo-WgtbyActulCDH&amp;Days'!AB245</f>
        <v>5406732.2632630393</v>
      </c>
      <c r="AC245" s="308">
        <f t="shared" si="99"/>
        <v>190.40197541801973</v>
      </c>
      <c r="AD245" s="309">
        <f t="shared" si="92"/>
        <v>0</v>
      </c>
      <c r="AE245" s="107">
        <f t="shared" si="93"/>
        <v>0</v>
      </c>
      <c r="AF245" s="309">
        <f t="shared" si="100"/>
        <v>190.40197541801973</v>
      </c>
      <c r="AG245" s="107">
        <f t="shared" si="94"/>
        <v>1.4315938001354866E-2</v>
      </c>
      <c r="AH245" s="119">
        <f t="shared" si="101"/>
        <v>1.4315938001354866E-2</v>
      </c>
      <c r="AI245" s="122">
        <f t="shared" si="95"/>
        <v>1.4315938001354866E-2</v>
      </c>
      <c r="AJ245" s="87" t="b">
        <f t="shared" si="102"/>
        <v>1</v>
      </c>
      <c r="AK245" s="88">
        <f t="shared" si="108"/>
        <v>6.2536663906261579E-4</v>
      </c>
      <c r="AL245" s="312">
        <f>+AC245/'MWh by month-WgtbyCDH&amp;DayLtHrs'!AC245-1</f>
        <v>-0.23312452519249349</v>
      </c>
      <c r="AM245" s="89">
        <f t="shared" si="96"/>
        <v>309053.49719643046</v>
      </c>
      <c r="AN245" s="90"/>
      <c r="AO245" s="96">
        <f t="shared" si="115"/>
        <v>57.160865777716964</v>
      </c>
      <c r="AP245" s="92">
        <f t="shared" si="114"/>
        <v>4.2978094569712001E-3</v>
      </c>
      <c r="AR245" s="94">
        <f t="shared" si="97"/>
        <v>1.4315938001354866E-2</v>
      </c>
      <c r="AS245" s="95"/>
    </row>
    <row r="246" spans="1:45">
      <c r="A246" s="78">
        <f t="shared" si="111"/>
        <v>2025</v>
      </c>
      <c r="B246" s="78">
        <f t="shared" si="112"/>
        <v>2</v>
      </c>
      <c r="C246" s="317">
        <f t="shared" si="105"/>
        <v>0</v>
      </c>
      <c r="D246" s="324">
        <f t="shared" si="109"/>
        <v>0</v>
      </c>
      <c r="E246" s="321">
        <f>$D246*'MWh Impact Summary'!B$31</f>
        <v>0</v>
      </c>
      <c r="F246" s="321">
        <f>$D246*'MWh Impact Summary'!N$31</f>
        <v>0</v>
      </c>
      <c r="G246" s="321">
        <f>$D246*'MWh Impact Summary'!C$31</f>
        <v>0</v>
      </c>
      <c r="H246" s="321">
        <f>$D246*'MWh Impact Summary'!D$31</f>
        <v>0</v>
      </c>
      <c r="I246" s="321">
        <f>$D246*'MWh Impact Summary'!E$31</f>
        <v>0</v>
      </c>
      <c r="J246" s="104">
        <f t="shared" si="98"/>
        <v>0</v>
      </c>
      <c r="K246" s="298">
        <f t="shared" si="106"/>
        <v>12.733333333333333</v>
      </c>
      <c r="L246" s="300">
        <f t="shared" si="110"/>
        <v>8.9639798193124468E-2</v>
      </c>
      <c r="M246" s="297">
        <f>(28/365)</f>
        <v>7.6712328767123292E-2</v>
      </c>
      <c r="N246" s="304">
        <f>$M246*'MWh Impact Summary'!F$31</f>
        <v>170834.38023313473</v>
      </c>
      <c r="O246" s="304">
        <f>$M246*'MWh Impact Summary'!G$31</f>
        <v>31450.447273993777</v>
      </c>
      <c r="P246" s="304">
        <f>$M246*'MWh Impact Summary'!H$31</f>
        <v>10764.792521349196</v>
      </c>
      <c r="Q246" s="320">
        <f>$D246*'MWh Impact Summary'!I$31</f>
        <v>0</v>
      </c>
      <c r="R246" s="304">
        <f>$M246*'MWh Impact Summary'!J$31</f>
        <v>45567.58930599298</v>
      </c>
      <c r="S246" s="304">
        <f>$M246*'MWh Impact Summary'!K$31</f>
        <v>34451.477884518608</v>
      </c>
      <c r="T246" s="304">
        <f>$M246*'MWh Impact Summary'!L$31</f>
        <v>12392.450398952387</v>
      </c>
      <c r="U246" s="304">
        <f>$M246*'MWh Impact Summary'!M$31</f>
        <v>38399.62699338884</v>
      </c>
      <c r="V246" s="304">
        <f>$M246*'LED Impact Forecast'!$H$32+$D246*'LED Impact Forecast'!$J$32</f>
        <v>211915.32495409335</v>
      </c>
      <c r="W246" s="304">
        <f>$M246*'CFL Impact Forecast'!$H$32+$D246*'CFL Impact Forecast'!$J$32</f>
        <v>279145.09424193721</v>
      </c>
      <c r="X246" s="304">
        <f>$M246*'EISA Incand Impact Forecast'!$G$32+$D246*'EISA Incand Impact Forecast'!$I$32</f>
        <v>94906.883853460051</v>
      </c>
      <c r="Y246" s="85">
        <f t="shared" si="90"/>
        <v>929828.06766082125</v>
      </c>
      <c r="Z246" s="81">
        <f t="shared" si="91"/>
        <v>929828.06766082125</v>
      </c>
      <c r="AA246" s="81"/>
      <c r="AB246" s="262">
        <f>+'MWh by mo-WgtbyActulCDH&amp;Days'!AB246</f>
        <v>5412022.880566325</v>
      </c>
      <c r="AC246" s="308">
        <f t="shared" si="99"/>
        <v>171.80785968213092</v>
      </c>
      <c r="AD246" s="309">
        <f t="shared" si="92"/>
        <v>0</v>
      </c>
      <c r="AE246" s="107">
        <f t="shared" si="93"/>
        <v>0</v>
      </c>
      <c r="AF246" s="309">
        <f t="shared" si="100"/>
        <v>171.80785968213092</v>
      </c>
      <c r="AG246" s="107">
        <f t="shared" si="94"/>
        <v>1.3492763849382011E-2</v>
      </c>
      <c r="AH246" s="119">
        <f t="shared" si="101"/>
        <v>1.3492763849382011E-2</v>
      </c>
      <c r="AI246" s="122">
        <f t="shared" si="95"/>
        <v>1.3492763849382011E-2</v>
      </c>
      <c r="AJ246" s="87" t="b">
        <f t="shared" si="102"/>
        <v>1</v>
      </c>
      <c r="AK246" s="88">
        <f t="shared" si="108"/>
        <v>1.2858709832723469E-4</v>
      </c>
      <c r="AL246" s="312">
        <f>+AC246/'MWh by month-WgtbyCDH&amp;DayLtHrs'!AC246-1</f>
        <v>-0.30101159773678687</v>
      </c>
      <c r="AM246" s="89">
        <f t="shared" si="96"/>
        <v>279145.09424193721</v>
      </c>
      <c r="AN246" s="90"/>
      <c r="AO246" s="96">
        <f t="shared" si="115"/>
        <v>51.578698095364835</v>
      </c>
      <c r="AP246" s="92">
        <f t="shared" si="114"/>
        <v>4.0506830964946207E-3</v>
      </c>
      <c r="AR246" s="94">
        <f t="shared" si="97"/>
        <v>1.3492763849382011E-2</v>
      </c>
      <c r="AS246" s="95"/>
    </row>
    <row r="247" spans="1:45">
      <c r="A247" s="78">
        <f t="shared" si="111"/>
        <v>2025</v>
      </c>
      <c r="B247" s="78">
        <f t="shared" si="112"/>
        <v>3</v>
      </c>
      <c r="C247" s="317">
        <f t="shared" si="105"/>
        <v>0</v>
      </c>
      <c r="D247" s="324">
        <f t="shared" si="109"/>
        <v>0</v>
      </c>
      <c r="E247" s="321">
        <f>$D247*'MWh Impact Summary'!B$31</f>
        <v>0</v>
      </c>
      <c r="F247" s="321">
        <f>$D247*'MWh Impact Summary'!N$31</f>
        <v>0</v>
      </c>
      <c r="G247" s="321">
        <f>$D247*'MWh Impact Summary'!C$31</f>
        <v>0</v>
      </c>
      <c r="H247" s="321">
        <f>$D247*'MWh Impact Summary'!D$31</f>
        <v>0</v>
      </c>
      <c r="I247" s="321">
        <f>$D247*'MWh Impact Summary'!E$31</f>
        <v>0</v>
      </c>
      <c r="J247" s="104">
        <f t="shared" si="98"/>
        <v>0</v>
      </c>
      <c r="K247" s="298">
        <f t="shared" si="106"/>
        <v>12</v>
      </c>
      <c r="L247" s="300">
        <f t="shared" si="110"/>
        <v>8.4477296726504739E-2</v>
      </c>
      <c r="M247" s="297">
        <f t="shared" ref="M247:M256" si="116">(31/365)</f>
        <v>8.4931506849315067E-2</v>
      </c>
      <c r="N247" s="304">
        <f>$M247*'MWh Impact Summary'!F$31</f>
        <v>189138.06382954202</v>
      </c>
      <c r="O247" s="304">
        <f>$M247*'MWh Impact Summary'!G$31</f>
        <v>34820.138053350252</v>
      </c>
      <c r="P247" s="304">
        <f>$M247*'MWh Impact Summary'!H$31</f>
        <v>11918.16314863661</v>
      </c>
      <c r="Q247" s="320">
        <f>$D247*'MWh Impact Summary'!I$31</f>
        <v>0</v>
      </c>
      <c r="R247" s="304">
        <f>$M247*'MWh Impact Summary'!J$31</f>
        <v>50449.831017349366</v>
      </c>
      <c r="S247" s="304">
        <f>$M247*'MWh Impact Summary'!K$31</f>
        <v>38142.707657859886</v>
      </c>
      <c r="T247" s="304">
        <f>$M247*'MWh Impact Summary'!L$31</f>
        <v>13720.212941697286</v>
      </c>
      <c r="U247" s="304">
        <f>$M247*'MWh Impact Summary'!M$31</f>
        <v>42513.872742680498</v>
      </c>
      <c r="V247" s="304">
        <f>$M247*'LED Impact Forecast'!$H$32+$D247*'LED Impact Forecast'!$J$32</f>
        <v>234620.53834203188</v>
      </c>
      <c r="W247" s="304">
        <f>$M247*'CFL Impact Forecast'!$H$32+$D247*'CFL Impact Forecast'!$J$32</f>
        <v>309053.49719643046</v>
      </c>
      <c r="X247" s="304">
        <f>$M247*'EISA Incand Impact Forecast'!$G$32+$D247*'EISA Incand Impact Forecast'!$I$32</f>
        <v>105075.47855204505</v>
      </c>
      <c r="Y247" s="85">
        <f t="shared" si="90"/>
        <v>1029452.5034816234</v>
      </c>
      <c r="Z247" s="81">
        <f t="shared" si="91"/>
        <v>1029452.5034816234</v>
      </c>
      <c r="AA247" s="81"/>
      <c r="AB247" s="262">
        <f>+'MWh by mo-WgtbyActulCDH&amp;Days'!AB247</f>
        <v>5417339.5801715693</v>
      </c>
      <c r="AC247" s="308">
        <f t="shared" si="99"/>
        <v>190.02916251541689</v>
      </c>
      <c r="AD247" s="309">
        <f t="shared" si="92"/>
        <v>0</v>
      </c>
      <c r="AE247" s="107">
        <f t="shared" si="93"/>
        <v>0</v>
      </c>
      <c r="AF247" s="309">
        <f t="shared" si="100"/>
        <v>190.02916251541689</v>
      </c>
      <c r="AG247" s="107">
        <f t="shared" si="94"/>
        <v>1.5835763542951405E-2</v>
      </c>
      <c r="AH247" s="119">
        <f t="shared" si="101"/>
        <v>1.5835763542951405E-2</v>
      </c>
      <c r="AI247" s="122">
        <f t="shared" si="95"/>
        <v>1.5835763542951405E-2</v>
      </c>
      <c r="AJ247" s="87" t="b">
        <f t="shared" si="102"/>
        <v>1</v>
      </c>
      <c r="AK247" s="88">
        <f t="shared" si="108"/>
        <v>6.918165816885858E-4</v>
      </c>
      <c r="AL247" s="312">
        <f>+AC247/'MWh by month-WgtbyCDH&amp;DayLtHrs'!AC247-1</f>
        <v>-0.25580671369241015</v>
      </c>
      <c r="AM247" s="89">
        <f t="shared" si="96"/>
        <v>309053.49719643046</v>
      </c>
      <c r="AN247" s="90"/>
      <c r="AO247" s="96">
        <f t="shared" si="115"/>
        <v>57.048943050869738</v>
      </c>
      <c r="AP247" s="92">
        <f t="shared" si="114"/>
        <v>4.7540785875724786E-3</v>
      </c>
      <c r="AR247" s="94">
        <f t="shared" si="97"/>
        <v>1.5835763542951405E-2</v>
      </c>
      <c r="AS247" s="95"/>
    </row>
    <row r="248" spans="1:45">
      <c r="A248" s="78">
        <f t="shared" si="111"/>
        <v>2025</v>
      </c>
      <c r="B248" s="78">
        <f t="shared" si="112"/>
        <v>4</v>
      </c>
      <c r="C248" s="317">
        <f t="shared" si="105"/>
        <v>114.03392869270741</v>
      </c>
      <c r="D248" s="324">
        <f t="shared" si="109"/>
        <v>6.3428519090031305E-2</v>
      </c>
      <c r="E248" s="321">
        <f>$D248*'MWh Impact Summary'!B$31</f>
        <v>219123.76071382835</v>
      </c>
      <c r="F248" s="321">
        <f>$D248*'MWh Impact Summary'!N$31</f>
        <v>40984.015784645097</v>
      </c>
      <c r="G248" s="321">
        <f>$D248*'MWh Impact Summary'!C$31</f>
        <v>159398.13576681161</v>
      </c>
      <c r="H248" s="321">
        <f>$D248*'MWh Impact Summary'!D$31</f>
        <v>801.55269580966296</v>
      </c>
      <c r="I248" s="321">
        <f>$D248*'MWh Impact Summary'!E$31</f>
        <v>56711.473005152104</v>
      </c>
      <c r="J248" s="104">
        <f t="shared" si="98"/>
        <v>477018.93796624686</v>
      </c>
      <c r="K248" s="298">
        <f t="shared" si="106"/>
        <v>11.2</v>
      </c>
      <c r="L248" s="300">
        <f t="shared" si="110"/>
        <v>7.8845476944737758E-2</v>
      </c>
      <c r="M248" s="297">
        <f>(30/365)</f>
        <v>8.2191780821917804E-2</v>
      </c>
      <c r="N248" s="304">
        <f>$M248*'MWh Impact Summary'!F$31</f>
        <v>183036.8359640729</v>
      </c>
      <c r="O248" s="304">
        <f>$M248*'MWh Impact Summary'!G$31</f>
        <v>33696.907793564758</v>
      </c>
      <c r="P248" s="304">
        <f>$M248*'MWh Impact Summary'!H$31</f>
        <v>11533.706272874138</v>
      </c>
      <c r="Q248" s="320">
        <f>$D248*'MWh Impact Summary'!I$31</f>
        <v>1471.1034259017572</v>
      </c>
      <c r="R248" s="304">
        <f>$M248*'MWh Impact Summary'!J$31</f>
        <v>48822.417113563904</v>
      </c>
      <c r="S248" s="304">
        <f>$M248*'MWh Impact Summary'!K$31</f>
        <v>36912.297733412794</v>
      </c>
      <c r="T248" s="304">
        <f>$M248*'MWh Impact Summary'!L$31</f>
        <v>13277.625427448986</v>
      </c>
      <c r="U248" s="304">
        <f>$M248*'MWh Impact Summary'!M$31</f>
        <v>41142.457492916605</v>
      </c>
      <c r="V248" s="304">
        <f>$M248*'LED Impact Forecast'!$H$32+$D248*'LED Impact Forecast'!$J$32</f>
        <v>257370.20818725889</v>
      </c>
      <c r="W248" s="304">
        <f>$M248*'CFL Impact Forecast'!$H$32+$D248*'CFL Impact Forecast'!$J$32</f>
        <v>338721.02749983309</v>
      </c>
      <c r="X248" s="304">
        <f>$M248*'EISA Incand Impact Forecast'!$G$32+$D248*'EISA Incand Impact Forecast'!$I$32</f>
        <v>116216.94087759078</v>
      </c>
      <c r="Y248" s="85">
        <f t="shared" si="90"/>
        <v>1082201.5277884386</v>
      </c>
      <c r="Z248" s="81">
        <f t="shared" si="91"/>
        <v>1559220.4657546855</v>
      </c>
      <c r="AA248" s="81"/>
      <c r="AB248" s="262">
        <f>+'MWh by mo-WgtbyActulCDH&amp;Days'!AB248</f>
        <v>5422629.6092505148</v>
      </c>
      <c r="AC248" s="308">
        <f t="shared" si="99"/>
        <v>287.53954780440779</v>
      </c>
      <c r="AD248" s="309">
        <f t="shared" si="92"/>
        <v>87.968194831617438</v>
      </c>
      <c r="AE248" s="107">
        <f t="shared" si="93"/>
        <v>7.8543031099658437E-3</v>
      </c>
      <c r="AF248" s="309">
        <f t="shared" si="100"/>
        <v>199.57135297279032</v>
      </c>
      <c r="AG248" s="107">
        <f t="shared" si="94"/>
        <v>1.7818870801141994E-2</v>
      </c>
      <c r="AH248" s="119">
        <f t="shared" si="101"/>
        <v>2.5673173911107836E-2</v>
      </c>
      <c r="AI248" s="122">
        <f t="shared" si="95"/>
        <v>2.5673173911107839E-2</v>
      </c>
      <c r="AJ248" s="87" t="b">
        <f t="shared" si="102"/>
        <v>1</v>
      </c>
      <c r="AK248" s="88">
        <f t="shared" si="108"/>
        <v>7.8548380803634618E-4</v>
      </c>
      <c r="AL248" s="312">
        <f>+AC248/'MWh by month-WgtbyCDH&amp;DayLtHrs'!AC248-1</f>
        <v>3.4589414062106139E-2</v>
      </c>
      <c r="AM248" s="89">
        <f t="shared" si="96"/>
        <v>338721.02749983309</v>
      </c>
      <c r="AN248" s="90"/>
      <c r="AO248" s="96">
        <f t="shared" si="115"/>
        <v>62.464348832161747</v>
      </c>
      <c r="AP248" s="92">
        <f t="shared" si="114"/>
        <v>5.5771740028715848E-3</v>
      </c>
      <c r="AR248" s="94">
        <f t="shared" si="97"/>
        <v>2.5673173911107839E-2</v>
      </c>
      <c r="AS248" s="95"/>
    </row>
    <row r="249" spans="1:45">
      <c r="A249" s="78">
        <f t="shared" si="111"/>
        <v>2025</v>
      </c>
      <c r="B249" s="78">
        <f t="shared" si="112"/>
        <v>5</v>
      </c>
      <c r="C249" s="317">
        <f t="shared" si="105"/>
        <v>208.47875842628665</v>
      </c>
      <c r="D249" s="324">
        <f t="shared" si="109"/>
        <v>0.11596109210918912</v>
      </c>
      <c r="E249" s="321">
        <f>$D249*'MWh Impact Summary'!B$31</f>
        <v>400605.7679414067</v>
      </c>
      <c r="F249" s="321">
        <f>$D249*'MWh Impact Summary'!N$31</f>
        <v>74927.671299748545</v>
      </c>
      <c r="G249" s="321">
        <f>$D249*'MWh Impact Summary'!C$31</f>
        <v>291414.36957485729</v>
      </c>
      <c r="H249" s="321">
        <f>$D249*'MWh Impact Summary'!D$31</f>
        <v>1465.412204519866</v>
      </c>
      <c r="I249" s="321">
        <f>$D249*'MWh Impact Summary'!E$31</f>
        <v>103680.8747728086</v>
      </c>
      <c r="J249" s="104">
        <f t="shared" si="98"/>
        <v>872094.09579334094</v>
      </c>
      <c r="K249" s="298">
        <f t="shared" si="106"/>
        <v>10.533333333333333</v>
      </c>
      <c r="L249" s="300">
        <f t="shared" si="110"/>
        <v>7.4152293793265281E-2</v>
      </c>
      <c r="M249" s="297">
        <f t="shared" si="116"/>
        <v>8.4931506849315067E-2</v>
      </c>
      <c r="N249" s="304">
        <f>$M249*'MWh Impact Summary'!F$31</f>
        <v>189138.06382954202</v>
      </c>
      <c r="O249" s="304">
        <f>$M249*'MWh Impact Summary'!G$31</f>
        <v>34820.138053350252</v>
      </c>
      <c r="P249" s="304">
        <f>$M249*'MWh Impact Summary'!H$31</f>
        <v>11918.16314863661</v>
      </c>
      <c r="Q249" s="320">
        <f>$D249*'MWh Impact Summary'!I$31</f>
        <v>2689.4961812209185</v>
      </c>
      <c r="R249" s="304">
        <f>$M249*'MWh Impact Summary'!J$31</f>
        <v>50449.831017349366</v>
      </c>
      <c r="S249" s="304">
        <f>$M249*'MWh Impact Summary'!K$31</f>
        <v>38142.707657859886</v>
      </c>
      <c r="T249" s="304">
        <f>$M249*'MWh Impact Summary'!L$31</f>
        <v>13720.212941697286</v>
      </c>
      <c r="U249" s="304">
        <f>$M249*'MWh Impact Summary'!M$31</f>
        <v>42513.872742680498</v>
      </c>
      <c r="V249" s="304">
        <f>$M249*'LED Impact Forecast'!$H$32+$D249*'LED Impact Forecast'!$J$32</f>
        <v>290048.55491606332</v>
      </c>
      <c r="W249" s="304">
        <f>$M249*'CFL Impact Forecast'!$H$32+$D249*'CFL Impact Forecast'!$J$32</f>
        <v>381518.52770196414</v>
      </c>
      <c r="X249" s="304">
        <f>$M249*'EISA Incand Impact Forecast'!$G$32+$D249*'EISA Incand Impact Forecast'!$I$32</f>
        <v>131641.28751766912</v>
      </c>
      <c r="Y249" s="85">
        <f t="shared" si="90"/>
        <v>1186600.8557080333</v>
      </c>
      <c r="Z249" s="81">
        <f t="shared" si="91"/>
        <v>2058694.9515013741</v>
      </c>
      <c r="AA249" s="81"/>
      <c r="AB249" s="262">
        <f>+'MWh by mo-WgtbyActulCDH&amp;Days'!AB249</f>
        <v>5427176.8441906935</v>
      </c>
      <c r="AC249" s="308">
        <f t="shared" si="99"/>
        <v>379.33072951271578</v>
      </c>
      <c r="AD249" s="309">
        <f t="shared" si="92"/>
        <v>160.69019323128185</v>
      </c>
      <c r="AE249" s="107">
        <f t="shared" si="93"/>
        <v>1.5255398091577391E-2</v>
      </c>
      <c r="AF249" s="309">
        <f t="shared" si="100"/>
        <v>218.64053628143392</v>
      </c>
      <c r="AG249" s="107">
        <f t="shared" si="94"/>
        <v>2.0757012938110816E-2</v>
      </c>
      <c r="AH249" s="119">
        <f t="shared" si="101"/>
        <v>3.6012411029688204E-2</v>
      </c>
      <c r="AI249" s="122">
        <f t="shared" si="95"/>
        <v>3.6012411029688211E-2</v>
      </c>
      <c r="AJ249" s="87" t="b">
        <f t="shared" si="102"/>
        <v>1</v>
      </c>
      <c r="AK249" s="88">
        <f t="shared" si="108"/>
        <v>9.2546421059652023E-4</v>
      </c>
      <c r="AL249" s="312">
        <f>+AC249/'MWh by month-WgtbyCDH&amp;DayLtHrs'!AC249-1</f>
        <v>0.1349805705212952</v>
      </c>
      <c r="AM249" s="89">
        <f t="shared" si="96"/>
        <v>381518.52770196414</v>
      </c>
      <c r="AN249" s="90"/>
      <c r="AO249" s="96">
        <f t="shared" si="115"/>
        <v>70.29778808670028</v>
      </c>
      <c r="AP249" s="92">
        <f t="shared" si="114"/>
        <v>6.673840641142432E-3</v>
      </c>
      <c r="AR249" s="94">
        <f t="shared" si="97"/>
        <v>3.6012411029688211E-2</v>
      </c>
      <c r="AS249" s="95"/>
    </row>
    <row r="250" spans="1:45">
      <c r="A250" s="78">
        <f t="shared" si="111"/>
        <v>2025</v>
      </c>
      <c r="B250" s="78">
        <f t="shared" si="112"/>
        <v>6</v>
      </c>
      <c r="C250" s="317">
        <f t="shared" si="105"/>
        <v>271.66325293295364</v>
      </c>
      <c r="D250" s="324">
        <f t="shared" si="109"/>
        <v>0.15110588596093688</v>
      </c>
      <c r="E250" s="321">
        <f>$D250*'MWh Impact Summary'!B$31</f>
        <v>522018.9667483379</v>
      </c>
      <c r="F250" s="321">
        <f>$D250*'MWh Impact Summary'!N$31</f>
        <v>97636.301528425975</v>
      </c>
      <c r="G250" s="321">
        <f>$D250*'MWh Impact Summary'!C$31</f>
        <v>379734.49279775523</v>
      </c>
      <c r="H250" s="321">
        <f>$D250*'MWh Impact Summary'!D$31</f>
        <v>1909.5405660153917</v>
      </c>
      <c r="I250" s="321">
        <f>$D250*'MWh Impact Summary'!E$31</f>
        <v>135103.85384261751</v>
      </c>
      <c r="J250" s="104">
        <f t="shared" si="98"/>
        <v>1136403.155483152</v>
      </c>
      <c r="K250" s="298">
        <f t="shared" si="106"/>
        <v>10.199999999999999</v>
      </c>
      <c r="L250" s="300">
        <f t="shared" si="110"/>
        <v>7.1805702217529022E-2</v>
      </c>
      <c r="M250" s="297">
        <f>(30/365)</f>
        <v>8.2191780821917804E-2</v>
      </c>
      <c r="N250" s="304">
        <f>$M250*'MWh Impact Summary'!F$31</f>
        <v>183036.8359640729</v>
      </c>
      <c r="O250" s="304">
        <f>$M250*'MWh Impact Summary'!G$31</f>
        <v>33696.907793564758</v>
      </c>
      <c r="P250" s="304">
        <f>$M250*'MWh Impact Summary'!H$31</f>
        <v>11533.706272874138</v>
      </c>
      <c r="Q250" s="320">
        <f>$D250*'MWh Impact Summary'!I$31</f>
        <v>3504.6125891025395</v>
      </c>
      <c r="R250" s="304">
        <f>$M250*'MWh Impact Summary'!J$31</f>
        <v>48822.417113563904</v>
      </c>
      <c r="S250" s="304">
        <f>$M250*'MWh Impact Summary'!K$31</f>
        <v>36912.297733412794</v>
      </c>
      <c r="T250" s="304">
        <f>$M250*'MWh Impact Summary'!L$31</f>
        <v>13277.625427448986</v>
      </c>
      <c r="U250" s="304">
        <f>$M250*'MWh Impact Summary'!M$31</f>
        <v>41142.457492916605</v>
      </c>
      <c r="V250" s="304">
        <f>$M250*'LED Impact Forecast'!$H$32+$D250*'LED Impact Forecast'!$J$32</f>
        <v>299278.9420193964</v>
      </c>
      <c r="W250" s="304">
        <f>$M250*'CFL Impact Forecast'!$H$32+$D250*'CFL Impact Forecast'!$J$32</f>
        <v>393511.32784438779</v>
      </c>
      <c r="X250" s="304">
        <f>$M250*'EISA Incand Impact Forecast'!$G$32+$D250*'EISA Incand Impact Forecast'!$I$32</f>
        <v>136303.16235529311</v>
      </c>
      <c r="Y250" s="85">
        <f t="shared" si="90"/>
        <v>1201020.2926060339</v>
      </c>
      <c r="Z250" s="81">
        <f t="shared" si="91"/>
        <v>2337423.4480891861</v>
      </c>
      <c r="AA250" s="81"/>
      <c r="AB250" s="262">
        <f>+'MWh by mo-WgtbyActulCDH&amp;Days'!AB250</f>
        <v>5431720.3103298927</v>
      </c>
      <c r="AC250" s="308">
        <f t="shared" si="99"/>
        <v>430.32838852986231</v>
      </c>
      <c r="AD250" s="309">
        <f t="shared" si="92"/>
        <v>209.21606610008479</v>
      </c>
      <c r="AE250" s="107">
        <f t="shared" si="93"/>
        <v>2.0511379029420081E-2</v>
      </c>
      <c r="AF250" s="309">
        <f t="shared" si="100"/>
        <v>221.11232242977741</v>
      </c>
      <c r="AG250" s="107">
        <f t="shared" si="94"/>
        <v>2.1677678669586021E-2</v>
      </c>
      <c r="AH250" s="119">
        <f t="shared" si="101"/>
        <v>4.2189057699006105E-2</v>
      </c>
      <c r="AI250" s="122">
        <f t="shared" si="95"/>
        <v>4.2189057699006112E-2</v>
      </c>
      <c r="AJ250" s="87" t="b">
        <f t="shared" si="102"/>
        <v>1</v>
      </c>
      <c r="AK250" s="88">
        <f t="shared" si="108"/>
        <v>9.771297560585146E-4</v>
      </c>
      <c r="AL250" s="312">
        <f>+AC250/'MWh by month-WgtbyCDH&amp;DayLtHrs'!AC250-1</f>
        <v>0.15240693033104247</v>
      </c>
      <c r="AM250" s="89">
        <f t="shared" si="96"/>
        <v>393511.32784438779</v>
      </c>
      <c r="AN250" s="90"/>
      <c r="AO250" s="96">
        <f t="shared" si="115"/>
        <v>72.44690546676695</v>
      </c>
      <c r="AP250" s="92">
        <f t="shared" si="114"/>
        <v>7.1026377908595057E-3</v>
      </c>
      <c r="AR250" s="94">
        <f t="shared" si="97"/>
        <v>4.2189057699006112E-2</v>
      </c>
      <c r="AS250" s="95"/>
    </row>
    <row r="251" spans="1:45">
      <c r="A251" s="78">
        <f t="shared" si="111"/>
        <v>2025</v>
      </c>
      <c r="B251" s="78">
        <f t="shared" si="112"/>
        <v>7</v>
      </c>
      <c r="C251" s="317">
        <f t="shared" si="105"/>
        <v>322.31916585708109</v>
      </c>
      <c r="D251" s="324">
        <f t="shared" si="109"/>
        <v>0.17928196984022934</v>
      </c>
      <c r="E251" s="321">
        <f>$D251*'MWh Impact Summary'!B$31</f>
        <v>619357.66470934986</v>
      </c>
      <c r="F251" s="321">
        <f>$D251*'MWh Impact Summary'!N$31</f>
        <v>115842.13516643527</v>
      </c>
      <c r="G251" s="321">
        <f>$D251*'MWh Impact Summary'!C$31</f>
        <v>450541.99875881412</v>
      </c>
      <c r="H251" s="321">
        <f>$D251*'MWh Impact Summary'!D$31</f>
        <v>2265.6046254450175</v>
      </c>
      <c r="I251" s="321">
        <f>$D251*'MWh Impact Summary'!E$31</f>
        <v>160296.10558103985</v>
      </c>
      <c r="J251" s="104">
        <f t="shared" si="98"/>
        <v>1348303.5088410841</v>
      </c>
      <c r="K251" s="298">
        <f t="shared" si="106"/>
        <v>10.366666666666667</v>
      </c>
      <c r="L251" s="300">
        <f t="shared" si="110"/>
        <v>7.2978998005397158E-2</v>
      </c>
      <c r="M251" s="297">
        <f t="shared" si="116"/>
        <v>8.4931506849315067E-2</v>
      </c>
      <c r="N251" s="304">
        <f>$M251*'MWh Impact Summary'!F$31</f>
        <v>189138.06382954202</v>
      </c>
      <c r="O251" s="304">
        <f>$M251*'MWh Impact Summary'!G$31</f>
        <v>34820.138053350252</v>
      </c>
      <c r="P251" s="304">
        <f>$M251*'MWh Impact Summary'!H$31</f>
        <v>11918.16314863661</v>
      </c>
      <c r="Q251" s="320">
        <f>$D251*'MWh Impact Summary'!I$31</f>
        <v>4158.1030712701559</v>
      </c>
      <c r="R251" s="304">
        <f>$M251*'MWh Impact Summary'!J$31</f>
        <v>50449.831017349366</v>
      </c>
      <c r="S251" s="304">
        <f>$M251*'MWh Impact Summary'!K$31</f>
        <v>38142.707657859886</v>
      </c>
      <c r="T251" s="304">
        <f>$M251*'MWh Impact Summary'!L$31</f>
        <v>13720.212941697286</v>
      </c>
      <c r="U251" s="304">
        <f>$M251*'MWh Impact Summary'!M$31</f>
        <v>42513.872742680498</v>
      </c>
      <c r="V251" s="304">
        <f>$M251*'LED Impact Forecast'!$H$32+$D251*'LED Impact Forecast'!$J$32</f>
        <v>320315.17794039228</v>
      </c>
      <c r="W251" s="304">
        <f>$M251*'CFL Impact Forecast'!$H$32+$D251*'CFL Impact Forecast'!$J$32</f>
        <v>421088.25969531597</v>
      </c>
      <c r="X251" s="304">
        <f>$M251*'EISA Incand Impact Forecast'!$G$32+$D251*'EISA Incand Impact Forecast'!$I$32</f>
        <v>146147.62158836346</v>
      </c>
      <c r="Y251" s="85">
        <f t="shared" si="90"/>
        <v>1272412.1516864579</v>
      </c>
      <c r="Z251" s="81">
        <f t="shared" si="91"/>
        <v>2620715.6605275422</v>
      </c>
      <c r="AA251" s="81"/>
      <c r="AB251" s="262">
        <f>+'MWh by mo-WgtbyActulCDH&amp;Days'!AB251</f>
        <v>5436311.5981648155</v>
      </c>
      <c r="AC251" s="308">
        <f t="shared" si="99"/>
        <v>482.0760571215676</v>
      </c>
      <c r="AD251" s="309">
        <f t="shared" si="92"/>
        <v>248.0180696956817</v>
      </c>
      <c r="AE251" s="107">
        <f t="shared" si="93"/>
        <v>2.3924572639454827E-2</v>
      </c>
      <c r="AF251" s="309">
        <f t="shared" si="100"/>
        <v>234.05798742588587</v>
      </c>
      <c r="AG251" s="107">
        <f t="shared" si="94"/>
        <v>2.2577940909249437E-2</v>
      </c>
      <c r="AH251" s="119">
        <f t="shared" si="101"/>
        <v>4.6502513548704265E-2</v>
      </c>
      <c r="AI251" s="122">
        <f t="shared" si="95"/>
        <v>4.6502513548704265E-2</v>
      </c>
      <c r="AJ251" s="87" t="b">
        <f t="shared" si="102"/>
        <v>1</v>
      </c>
      <c r="AK251" s="88">
        <f t="shared" si="108"/>
        <v>1.0273934941311333E-3</v>
      </c>
      <c r="AL251" s="312">
        <f>+AC251/'MWh by month-WgtbyCDH&amp;DayLtHrs'!AC251-1</f>
        <v>0.17222796014149799</v>
      </c>
      <c r="AM251" s="89">
        <f t="shared" si="96"/>
        <v>421088.25969531597</v>
      </c>
      <c r="AN251" s="90"/>
      <c r="AO251" s="96">
        <f t="shared" si="115"/>
        <v>77.458448084077176</v>
      </c>
      <c r="AP251" s="92">
        <f t="shared" si="114"/>
        <v>7.4718760209720745E-3</v>
      </c>
      <c r="AR251" s="94">
        <f t="shared" si="97"/>
        <v>4.6502513548704265E-2</v>
      </c>
      <c r="AS251" s="95"/>
    </row>
    <row r="252" spans="1:45">
      <c r="A252" s="78">
        <f t="shared" si="111"/>
        <v>2025</v>
      </c>
      <c r="B252" s="78">
        <f t="shared" si="112"/>
        <v>8</v>
      </c>
      <c r="C252" s="317">
        <f t="shared" si="105"/>
        <v>326.45437890907908</v>
      </c>
      <c r="D252" s="324">
        <f t="shared" si="109"/>
        <v>0.18158207861502046</v>
      </c>
      <c r="E252" s="321">
        <f>$D252*'MWh Impact Summary'!B$31</f>
        <v>627303.75098116882</v>
      </c>
      <c r="F252" s="321">
        <f>$D252*'MWh Impact Summary'!N$31</f>
        <v>117328.33878091088</v>
      </c>
      <c r="G252" s="321">
        <f>$D252*'MWh Impact Summary'!C$31</f>
        <v>456322.25432874454</v>
      </c>
      <c r="H252" s="321">
        <f>$D252*'MWh Impact Summary'!D$31</f>
        <v>2294.6713357440926</v>
      </c>
      <c r="I252" s="321">
        <f>$D252*'MWh Impact Summary'!E$31</f>
        <v>162352.63407266882</v>
      </c>
      <c r="J252" s="104">
        <f t="shared" si="98"/>
        <v>1365601.6494992373</v>
      </c>
      <c r="K252" s="298">
        <f t="shared" si="106"/>
        <v>10.933333333333334</v>
      </c>
      <c r="L252" s="300">
        <f t="shared" si="110"/>
        <v>7.6968203684148764E-2</v>
      </c>
      <c r="M252" s="297">
        <f t="shared" si="116"/>
        <v>8.4931506849315067E-2</v>
      </c>
      <c r="N252" s="304">
        <f>$M252*'MWh Impact Summary'!F$31</f>
        <v>189138.06382954202</v>
      </c>
      <c r="O252" s="304">
        <f>$M252*'MWh Impact Summary'!G$31</f>
        <v>34820.138053350252</v>
      </c>
      <c r="P252" s="304">
        <f>$M252*'MWh Impact Summary'!H$31</f>
        <v>11918.16314863661</v>
      </c>
      <c r="Q252" s="320">
        <f>$D252*'MWh Impact Summary'!I$31</f>
        <v>4211.4497037800375</v>
      </c>
      <c r="R252" s="304">
        <f>$M252*'MWh Impact Summary'!J$31</f>
        <v>50449.831017349366</v>
      </c>
      <c r="S252" s="304">
        <f>$M252*'MWh Impact Summary'!K$31</f>
        <v>38142.707657859886</v>
      </c>
      <c r="T252" s="304">
        <f>$M252*'MWh Impact Summary'!L$31</f>
        <v>13720.212941697286</v>
      </c>
      <c r="U252" s="304">
        <f>$M252*'MWh Impact Summary'!M$31</f>
        <v>42513.872742680498</v>
      </c>
      <c r="V252" s="304">
        <f>$M252*'LED Impact Forecast'!$H$32+$D252*'LED Impact Forecast'!$J$32</f>
        <v>321414.60245401406</v>
      </c>
      <c r="W252" s="304">
        <f>$M252*'CFL Impact Forecast'!$H$32+$D252*'CFL Impact Forecast'!$J$32</f>
        <v>422525.61639401229</v>
      </c>
      <c r="X252" s="304">
        <f>$M252*'EISA Incand Impact Forecast'!$G$32+$D252*'EISA Incand Impact Forecast'!$I$32</f>
        <v>146674.55910852514</v>
      </c>
      <c r="Y252" s="85">
        <f t="shared" si="90"/>
        <v>1275529.2170514474</v>
      </c>
      <c r="Z252" s="81">
        <f t="shared" si="91"/>
        <v>2641130.8665506849</v>
      </c>
      <c r="AA252" s="81"/>
      <c r="AB252" s="262">
        <f>+'MWh by mo-WgtbyActulCDH&amp;Days'!AB252</f>
        <v>5440926.2620600108</v>
      </c>
      <c r="AC252" s="308">
        <f t="shared" si="99"/>
        <v>485.41934577711328</v>
      </c>
      <c r="AD252" s="309">
        <f t="shared" si="92"/>
        <v>250.98697973940222</v>
      </c>
      <c r="AE252" s="107">
        <f t="shared" si="93"/>
        <v>2.2956126195677034E-2</v>
      </c>
      <c r="AF252" s="309">
        <f t="shared" si="100"/>
        <v>234.43236603771103</v>
      </c>
      <c r="AG252" s="107">
        <f t="shared" si="94"/>
        <v>2.1441984698571129E-2</v>
      </c>
      <c r="AH252" s="119">
        <f t="shared" si="101"/>
        <v>4.4398110894248166E-2</v>
      </c>
      <c r="AI252" s="122">
        <f t="shared" si="95"/>
        <v>4.4398110894248159E-2</v>
      </c>
      <c r="AJ252" s="87" t="b">
        <f t="shared" si="102"/>
        <v>1</v>
      </c>
      <c r="AK252" s="88">
        <f t="shared" si="108"/>
        <v>9.8246252294331704E-4</v>
      </c>
      <c r="AL252" s="312">
        <f>+AC252/'MWh by month-WgtbyCDH&amp;DayLtHrs'!AC252-1</f>
        <v>0.14942126325899086</v>
      </c>
      <c r="AM252" s="89">
        <f t="shared" si="96"/>
        <v>422525.61639401229</v>
      </c>
      <c r="AN252" s="90"/>
      <c r="AO252" s="96">
        <f t="shared" si="115"/>
        <v>77.656927523593779</v>
      </c>
      <c r="AP252" s="92">
        <f t="shared" si="114"/>
        <v>7.1027677613043089E-3</v>
      </c>
      <c r="AR252" s="94">
        <f t="shared" si="97"/>
        <v>4.4398110894248159E-2</v>
      </c>
      <c r="AS252" s="95"/>
    </row>
    <row r="253" spans="1:45">
      <c r="A253" s="78">
        <f t="shared" si="111"/>
        <v>2025</v>
      </c>
      <c r="B253" s="78">
        <f t="shared" si="112"/>
        <v>9</v>
      </c>
      <c r="C253" s="317">
        <f t="shared" si="105"/>
        <v>277.87653293728147</v>
      </c>
      <c r="D253" s="324">
        <f t="shared" si="109"/>
        <v>0.15456186747349368</v>
      </c>
      <c r="E253" s="321">
        <f>$D253*'MWh Impact Summary'!B$31</f>
        <v>533958.19655936351</v>
      </c>
      <c r="F253" s="321">
        <f>$D253*'MWh Impact Summary'!N$31</f>
        <v>99869.366447709734</v>
      </c>
      <c r="G253" s="321">
        <f>$D253*'MWh Impact Summary'!C$31</f>
        <v>388419.49787511159</v>
      </c>
      <c r="H253" s="321">
        <f>$D253*'MWh Impact Summary'!D$31</f>
        <v>1953.214158553888</v>
      </c>
      <c r="I253" s="321">
        <f>$D253*'MWh Impact Summary'!E$31</f>
        <v>138193.84877025368</v>
      </c>
      <c r="J253" s="104">
        <f t="shared" si="98"/>
        <v>1162394.1238109923</v>
      </c>
      <c r="K253" s="298">
        <f t="shared" si="106"/>
        <v>11.683333333333334</v>
      </c>
      <c r="L253" s="300">
        <f t="shared" si="110"/>
        <v>8.2248034729555317E-2</v>
      </c>
      <c r="M253" s="297">
        <f>(30/365)</f>
        <v>8.2191780821917804E-2</v>
      </c>
      <c r="N253" s="304">
        <f>$M253*'MWh Impact Summary'!F$31</f>
        <v>183036.8359640729</v>
      </c>
      <c r="O253" s="304">
        <f>$M253*'MWh Impact Summary'!G$31</f>
        <v>33696.907793564758</v>
      </c>
      <c r="P253" s="304">
        <f>$M253*'MWh Impact Summary'!H$31</f>
        <v>11533.706272874138</v>
      </c>
      <c r="Q253" s="320">
        <f>$D253*'MWh Impact Summary'!I$31</f>
        <v>3584.7674833979431</v>
      </c>
      <c r="R253" s="304">
        <f>$M253*'MWh Impact Summary'!J$31</f>
        <v>48822.417113563904</v>
      </c>
      <c r="S253" s="304">
        <f>$M253*'MWh Impact Summary'!K$31</f>
        <v>36912.297733412794</v>
      </c>
      <c r="T253" s="304">
        <f>$M253*'MWh Impact Summary'!L$31</f>
        <v>13277.625427448986</v>
      </c>
      <c r="U253" s="304">
        <f>$M253*'MWh Impact Summary'!M$31</f>
        <v>41142.457492916605</v>
      </c>
      <c r="V253" s="304">
        <f>$M253*'LED Impact Forecast'!$H$32+$D253*'LED Impact Forecast'!$J$32</f>
        <v>300930.85989179084</v>
      </c>
      <c r="W253" s="304">
        <f>$M253*'CFL Impact Forecast'!$H$32+$D253*'CFL Impact Forecast'!$J$32</f>
        <v>395670.99882694613</v>
      </c>
      <c r="X253" s="304">
        <f>$M253*'EISA Incand Impact Forecast'!$G$32+$D253*'EISA Incand Impact Forecast'!$I$32</f>
        <v>137094.90157559008</v>
      </c>
      <c r="Y253" s="85">
        <f t="shared" si="90"/>
        <v>1205703.7755755791</v>
      </c>
      <c r="Z253" s="81">
        <f t="shared" si="91"/>
        <v>2368097.8993865717</v>
      </c>
      <c r="AA253" s="81"/>
      <c r="AB253" s="262">
        <f>+'MWh by mo-WgtbyActulCDH&amp;Days'!AB253</f>
        <v>5445455.1194933662</v>
      </c>
      <c r="AC253" s="308">
        <f t="shared" si="99"/>
        <v>434.87602916960498</v>
      </c>
      <c r="AD253" s="309">
        <f t="shared" si="92"/>
        <v>213.46133579357073</v>
      </c>
      <c r="AE253" s="107">
        <f t="shared" si="93"/>
        <v>1.827058508932132E-2</v>
      </c>
      <c r="AF253" s="309">
        <f t="shared" si="100"/>
        <v>221.41469337603417</v>
      </c>
      <c r="AG253" s="107">
        <f t="shared" si="94"/>
        <v>1.8951328962285376E-2</v>
      </c>
      <c r="AH253" s="119">
        <f t="shared" si="101"/>
        <v>3.72219140516067E-2</v>
      </c>
      <c r="AI253" s="122">
        <f t="shared" si="95"/>
        <v>3.72219140516067E-2</v>
      </c>
      <c r="AJ253" s="87" t="b">
        <f t="shared" si="102"/>
        <v>1</v>
      </c>
      <c r="AK253" s="88">
        <f t="shared" si="108"/>
        <v>8.7046219942434055E-4</v>
      </c>
      <c r="AL253" s="312">
        <f>+AC253/'MWh by month-WgtbyCDH&amp;DayLtHrs'!AC253-1</f>
        <v>8.964697324157056E-2</v>
      </c>
      <c r="AM253" s="89">
        <f t="shared" si="96"/>
        <v>395670.99882694613</v>
      </c>
      <c r="AN253" s="90"/>
      <c r="AO253" s="96">
        <f t="shared" si="115"/>
        <v>72.660776766030637</v>
      </c>
      <c r="AP253" s="92">
        <f t="shared" si="114"/>
        <v>6.2191820341823655E-3</v>
      </c>
      <c r="AR253" s="94">
        <f t="shared" si="97"/>
        <v>3.72219140516067E-2</v>
      </c>
      <c r="AS253" s="95"/>
    </row>
    <row r="254" spans="1:45">
      <c r="A254" s="78">
        <f t="shared" si="111"/>
        <v>2025</v>
      </c>
      <c r="B254" s="78">
        <f t="shared" si="112"/>
        <v>10</v>
      </c>
      <c r="C254" s="317">
        <f t="shared" si="105"/>
        <v>198.89039579254836</v>
      </c>
      <c r="D254" s="324">
        <f t="shared" si="109"/>
        <v>0.11062780534683357</v>
      </c>
      <c r="E254" s="321">
        <f>$D254*'MWh Impact Summary'!B$31</f>
        <v>382181.09290408116</v>
      </c>
      <c r="F254" s="321">
        <f>$D254*'MWh Impact Summary'!N$31</f>
        <v>71481.595118430734</v>
      </c>
      <c r="G254" s="321">
        <f>$D254*'MWh Impact Summary'!C$31</f>
        <v>278011.62929926265</v>
      </c>
      <c r="H254" s="321">
        <f>$D254*'MWh Impact Summary'!D$31</f>
        <v>1398.0149131559574</v>
      </c>
      <c r="I254" s="321">
        <f>$D254*'MWh Impact Summary'!E$31</f>
        <v>98912.380212455595</v>
      </c>
      <c r="J254" s="104">
        <f t="shared" si="98"/>
        <v>831984.71244738612</v>
      </c>
      <c r="K254" s="298">
        <f t="shared" si="106"/>
        <v>12.466666666666667</v>
      </c>
      <c r="L254" s="300">
        <f t="shared" si="110"/>
        <v>8.7762524932535488E-2</v>
      </c>
      <c r="M254" s="297">
        <f t="shared" si="116"/>
        <v>8.4931506849315067E-2</v>
      </c>
      <c r="N254" s="304">
        <f>$M254*'MWh Impact Summary'!F$31</f>
        <v>189138.06382954202</v>
      </c>
      <c r="O254" s="304">
        <f>$M254*'MWh Impact Summary'!G$31</f>
        <v>34820.138053350252</v>
      </c>
      <c r="P254" s="304">
        <f>$M254*'MWh Impact Summary'!H$31</f>
        <v>11918.16314863661</v>
      </c>
      <c r="Q254" s="320">
        <f>$D254*'MWh Impact Summary'!I$31</f>
        <v>2565.800775116903</v>
      </c>
      <c r="R254" s="304">
        <f>$M254*'MWh Impact Summary'!J$31</f>
        <v>50449.831017349366</v>
      </c>
      <c r="S254" s="304">
        <f>$M254*'MWh Impact Summary'!K$31</f>
        <v>38142.707657859886</v>
      </c>
      <c r="T254" s="304">
        <f>$M254*'MWh Impact Summary'!L$31</f>
        <v>13720.212941697286</v>
      </c>
      <c r="U254" s="304">
        <f>$M254*'MWh Impact Summary'!M$31</f>
        <v>42513.872742680498</v>
      </c>
      <c r="V254" s="304">
        <f>$M254*'LED Impact Forecast'!$H$32+$D254*'LED Impact Forecast'!$J$32</f>
        <v>287499.3075635155</v>
      </c>
      <c r="W254" s="304">
        <f>$M254*'CFL Impact Forecast'!$H$32+$D254*'CFL Impact Forecast'!$J$32</f>
        <v>378185.71338554716</v>
      </c>
      <c r="X254" s="304">
        <f>$M254*'EISA Incand Impact Forecast'!$G$32+$D254*'EISA Incand Impact Forecast'!$I$32</f>
        <v>130419.47186631063</v>
      </c>
      <c r="Y254" s="85">
        <f t="shared" si="90"/>
        <v>1179373.2829816062</v>
      </c>
      <c r="Z254" s="81">
        <f t="shared" si="91"/>
        <v>2011357.9954289924</v>
      </c>
      <c r="AA254" s="81"/>
      <c r="AB254" s="262">
        <f>+'MWh by mo-WgtbyActulCDH&amp;Days'!AB254</f>
        <v>5450014.5728547378</v>
      </c>
      <c r="AC254" s="308">
        <f t="shared" si="99"/>
        <v>369.05552609842579</v>
      </c>
      <c r="AD254" s="309">
        <f t="shared" si="92"/>
        <v>152.65733720994245</v>
      </c>
      <c r="AE254" s="107">
        <f t="shared" si="93"/>
        <v>1.2245240952669181E-2</v>
      </c>
      <c r="AF254" s="309">
        <f t="shared" si="100"/>
        <v>216.3981888884833</v>
      </c>
      <c r="AG254" s="107">
        <f t="shared" si="94"/>
        <v>1.735814349372861E-2</v>
      </c>
      <c r="AH254" s="119">
        <f t="shared" si="101"/>
        <v>2.960338444639779E-2</v>
      </c>
      <c r="AI254" s="122">
        <f t="shared" si="95"/>
        <v>2.960338444639779E-2</v>
      </c>
      <c r="AJ254" s="87" t="b">
        <f t="shared" si="102"/>
        <v>1</v>
      </c>
      <c r="AK254" s="88">
        <f t="shared" si="108"/>
        <v>7.9414761476096635E-4</v>
      </c>
      <c r="AL254" s="312">
        <f>+AC254/'MWh by month-WgtbyCDH&amp;DayLtHrs'!AC254-1</f>
        <v>3.9373334535020232E-2</v>
      </c>
      <c r="AM254" s="89">
        <f t="shared" si="96"/>
        <v>378185.71338554716</v>
      </c>
      <c r="AN254" s="90"/>
      <c r="AO254" s="96">
        <f t="shared" si="115"/>
        <v>69.391688467991031</v>
      </c>
      <c r="AP254" s="92">
        <f t="shared" si="114"/>
        <v>5.5661782193575692E-3</v>
      </c>
      <c r="AR254" s="94">
        <f t="shared" si="97"/>
        <v>2.960338444639779E-2</v>
      </c>
      <c r="AS254" s="95"/>
    </row>
    <row r="255" spans="1:45">
      <c r="A255" s="78">
        <f t="shared" si="111"/>
        <v>2025</v>
      </c>
      <c r="B255" s="78">
        <f t="shared" si="112"/>
        <v>11</v>
      </c>
      <c r="C255" s="317">
        <f t="shared" si="105"/>
        <v>78.117279066674627</v>
      </c>
      <c r="D255" s="324">
        <f t="shared" si="109"/>
        <v>4.3450781564265642E-2</v>
      </c>
      <c r="E255" s="321">
        <f>$D255*'MWh Impact Summary'!B$31</f>
        <v>150107.53520514315</v>
      </c>
      <c r="F255" s="321">
        <f>$D255*'MWh Impact Summary'!N$31</f>
        <v>28075.50204597013</v>
      </c>
      <c r="G255" s="321">
        <f>$D255*'MWh Impact Summary'!C$31</f>
        <v>109193.36724737447</v>
      </c>
      <c r="H255" s="321">
        <f>$D255*'MWh Impact Summary'!D$31</f>
        <v>549.09197940501281</v>
      </c>
      <c r="I255" s="321">
        <f>$D255*'MWh Impact Summary'!E$31</f>
        <v>38849.367147244171</v>
      </c>
      <c r="J255" s="104">
        <f t="shared" si="98"/>
        <v>326774.8636251369</v>
      </c>
      <c r="K255" s="298">
        <f t="shared" si="106"/>
        <v>13.15</v>
      </c>
      <c r="L255" s="300">
        <f t="shared" si="110"/>
        <v>9.2573037662794788E-2</v>
      </c>
      <c r="M255" s="297">
        <f>(30/365)</f>
        <v>8.2191780821917804E-2</v>
      </c>
      <c r="N255" s="304">
        <f>$M255*'MWh Impact Summary'!F$31</f>
        <v>183036.8359640729</v>
      </c>
      <c r="O255" s="304">
        <f>$M255*'MWh Impact Summary'!G$31</f>
        <v>33696.907793564758</v>
      </c>
      <c r="P255" s="304">
        <f>$M255*'MWh Impact Summary'!H$31</f>
        <v>11533.706272874138</v>
      </c>
      <c r="Q255" s="320">
        <f>$D255*'MWh Impact Summary'!I$31</f>
        <v>1007.7579381377379</v>
      </c>
      <c r="R255" s="304">
        <f>$M255*'MWh Impact Summary'!J$31</f>
        <v>48822.417113563904</v>
      </c>
      <c r="S255" s="304">
        <f>$M255*'MWh Impact Summary'!K$31</f>
        <v>36912.297733412794</v>
      </c>
      <c r="T255" s="304">
        <f>$M255*'MWh Impact Summary'!L$31</f>
        <v>13277.625427448986</v>
      </c>
      <c r="U255" s="304">
        <f>$M255*'MWh Impact Summary'!M$31</f>
        <v>41142.457492916605</v>
      </c>
      <c r="V255" s="304">
        <f>$M255*'LED Impact Forecast'!$H$32+$D255*'LED Impact Forecast'!$J$32</f>
        <v>247821.08833551474</v>
      </c>
      <c r="W255" s="304">
        <f>$M255*'CFL Impact Forecast'!$H$32+$D255*'CFL Impact Forecast'!$J$32</f>
        <v>326236.77667997184</v>
      </c>
      <c r="X255" s="304">
        <f>$M255*'EISA Incand Impact Forecast'!$G$32+$D255*'EISA Incand Impact Forecast'!$I$32</f>
        <v>111640.19234045956</v>
      </c>
      <c r="Y255" s="85">
        <f t="shared" si="90"/>
        <v>1055128.0630919379</v>
      </c>
      <c r="Z255" s="81">
        <f t="shared" si="91"/>
        <v>1381902.9267170748</v>
      </c>
      <c r="AA255" s="81"/>
      <c r="AB255" s="262">
        <f>+'MWh by mo-WgtbyActulCDH&amp;Days'!AB255</f>
        <v>5454581.94816502</v>
      </c>
      <c r="AC255" s="308">
        <f t="shared" si="99"/>
        <v>253.34717487963709</v>
      </c>
      <c r="AD255" s="309">
        <f t="shared" si="92"/>
        <v>59.90832418148333</v>
      </c>
      <c r="AE255" s="107">
        <f t="shared" si="93"/>
        <v>4.5557660974512035E-3</v>
      </c>
      <c r="AF255" s="309">
        <f t="shared" si="100"/>
        <v>193.43885069815374</v>
      </c>
      <c r="AG255" s="107">
        <f t="shared" si="94"/>
        <v>1.4710178760315874E-2</v>
      </c>
      <c r="AH255" s="119">
        <f t="shared" si="101"/>
        <v>1.9265944857767076E-2</v>
      </c>
      <c r="AI255" s="122">
        <f t="shared" si="95"/>
        <v>1.926594485776708E-2</v>
      </c>
      <c r="AJ255" s="87" t="b">
        <f t="shared" si="102"/>
        <v>1</v>
      </c>
      <c r="AK255" s="88">
        <f t="shared" si="108"/>
        <v>6.6543830892286382E-4</v>
      </c>
      <c r="AL255" s="312">
        <f>+AC255/'MWh by month-WgtbyCDH&amp;DayLtHrs'!AC255-1</f>
        <v>-9.623686006220078E-2</v>
      </c>
      <c r="AM255" s="89">
        <f t="shared" si="96"/>
        <v>326236.77667997184</v>
      </c>
      <c r="AN255" s="90"/>
      <c r="AO255" s="96">
        <f t="shared" si="115"/>
        <v>59.809675568211304</v>
      </c>
      <c r="AP255" s="92">
        <f t="shared" si="114"/>
        <v>4.5482643017651179E-3</v>
      </c>
      <c r="AR255" s="94">
        <f t="shared" si="97"/>
        <v>1.926594485776708E-2</v>
      </c>
      <c r="AS255" s="95"/>
    </row>
    <row r="256" spans="1:45">
      <c r="A256" s="78">
        <f t="shared" si="111"/>
        <v>2025</v>
      </c>
      <c r="B256" s="78">
        <f t="shared" si="112"/>
        <v>12</v>
      </c>
      <c r="C256" s="317">
        <f t="shared" si="105"/>
        <v>0</v>
      </c>
      <c r="D256" s="324">
        <f t="shared" si="109"/>
        <v>0</v>
      </c>
      <c r="E256" s="321">
        <f>$D256*'MWh Impact Summary'!B$31</f>
        <v>0</v>
      </c>
      <c r="F256" s="321">
        <f>$D256*'MWh Impact Summary'!N$31</f>
        <v>0</v>
      </c>
      <c r="G256" s="321">
        <f>$D256*'MWh Impact Summary'!C$31</f>
        <v>0</v>
      </c>
      <c r="H256" s="321">
        <f>$D256*'MWh Impact Summary'!D$31</f>
        <v>0</v>
      </c>
      <c r="I256" s="321">
        <f>$D256*'MWh Impact Summary'!E$31</f>
        <v>0</v>
      </c>
      <c r="J256" s="104">
        <f t="shared" si="98"/>
        <v>0</v>
      </c>
      <c r="K256" s="298">
        <f t="shared" si="106"/>
        <v>13.483333333333333</v>
      </c>
      <c r="L256" s="300">
        <f t="shared" si="110"/>
        <v>9.491962923853102E-2</v>
      </c>
      <c r="M256" s="297">
        <f t="shared" si="116"/>
        <v>8.4931506849315067E-2</v>
      </c>
      <c r="N256" s="304">
        <f>$M256*'MWh Impact Summary'!F$31</f>
        <v>189138.06382954202</v>
      </c>
      <c r="O256" s="304">
        <f>$M256*'MWh Impact Summary'!G$31</f>
        <v>34820.138053350252</v>
      </c>
      <c r="P256" s="304">
        <f>$M256*'MWh Impact Summary'!H$31</f>
        <v>11918.16314863661</v>
      </c>
      <c r="Q256" s="320">
        <f>$D256*'MWh Impact Summary'!I$31</f>
        <v>0</v>
      </c>
      <c r="R256" s="304">
        <f>$M256*'MWh Impact Summary'!J$31</f>
        <v>50449.831017349366</v>
      </c>
      <c r="S256" s="304">
        <f>$M256*'MWh Impact Summary'!K$31</f>
        <v>38142.707657859886</v>
      </c>
      <c r="T256" s="304">
        <f>$M256*'MWh Impact Summary'!L$31</f>
        <v>13720.212941697286</v>
      </c>
      <c r="U256" s="304">
        <f>$M256*'MWh Impact Summary'!M$31</f>
        <v>42513.872742680498</v>
      </c>
      <c r="V256" s="304">
        <f>$M256*'LED Impact Forecast'!$H$32+$D256*'LED Impact Forecast'!$J$32</f>
        <v>234620.53834203188</v>
      </c>
      <c r="W256" s="304">
        <f>$M256*'CFL Impact Forecast'!$H$32+$D256*'CFL Impact Forecast'!$J$32</f>
        <v>309053.49719643046</v>
      </c>
      <c r="X256" s="304">
        <f>$M256*'EISA Incand Impact Forecast'!$G$32+$D256*'EISA Incand Impact Forecast'!$I$32</f>
        <v>105075.47855204505</v>
      </c>
      <c r="Y256" s="85">
        <f t="shared" si="90"/>
        <v>1029452.5034816234</v>
      </c>
      <c r="Z256" s="81">
        <f t="shared" si="91"/>
        <v>1029452.5034816234</v>
      </c>
      <c r="AA256" s="81">
        <f>SUM(Z245:Z256)</f>
        <v>20996729.792061802</v>
      </c>
      <c r="AB256" s="262">
        <f>+'MWh by mo-WgtbyActulCDH&amp;Days'!AB256</f>
        <v>5459151.0861720592</v>
      </c>
      <c r="AC256" s="308">
        <f t="shared" si="99"/>
        <v>188.57373376040275</v>
      </c>
      <c r="AD256" s="309">
        <f t="shared" si="92"/>
        <v>0</v>
      </c>
      <c r="AE256" s="107">
        <f t="shared" si="93"/>
        <v>0</v>
      </c>
      <c r="AF256" s="309">
        <f t="shared" si="100"/>
        <v>188.57373376040275</v>
      </c>
      <c r="AG256" s="107">
        <f t="shared" si="94"/>
        <v>1.3985691008188091E-2</v>
      </c>
      <c r="AH256" s="119">
        <f t="shared" si="101"/>
        <v>1.3985691008188091E-2</v>
      </c>
      <c r="AI256" s="122">
        <f t="shared" si="95"/>
        <v>1.3985691008188091E-2</v>
      </c>
      <c r="AJ256" s="87" t="b">
        <f t="shared" si="102"/>
        <v>1</v>
      </c>
      <c r="AK256" s="88">
        <f t="shared" si="108"/>
        <v>6.263519674502907E-4</v>
      </c>
      <c r="AL256" s="312">
        <f>+AC256/'MWh by month-WgtbyCDH&amp;DayLtHrs'!AC256-1</f>
        <v>-0.27532472394750251</v>
      </c>
      <c r="AM256" s="89">
        <f t="shared" si="96"/>
        <v>309053.49719643046</v>
      </c>
      <c r="AN256" s="90">
        <f>SUM(AM245:AM256)</f>
        <v>4263763.8338592071</v>
      </c>
      <c r="AO256" s="96">
        <f t="shared" si="115"/>
        <v>56.612006577223688</v>
      </c>
      <c r="AP256" s="92">
        <f t="shared" si="114"/>
        <v>4.1986655063453917E-3</v>
      </c>
      <c r="AR256" s="94">
        <f t="shared" si="97"/>
        <v>1.3985691008188091E-2</v>
      </c>
      <c r="AS256" s="95"/>
    </row>
    <row r="257" spans="1:45">
      <c r="A257" s="78">
        <f t="shared" si="111"/>
        <v>2026</v>
      </c>
      <c r="B257" s="78">
        <f t="shared" si="112"/>
        <v>1</v>
      </c>
      <c r="C257" s="317">
        <f t="shared" si="105"/>
        <v>0</v>
      </c>
      <c r="D257" s="324">
        <f t="shared" si="109"/>
        <v>0</v>
      </c>
      <c r="E257" s="321">
        <f>$D257*'MWh Impact Summary'!B$32</f>
        <v>0</v>
      </c>
      <c r="F257" s="321">
        <f>$D257*'MWh Impact Summary'!N$32</f>
        <v>0</v>
      </c>
      <c r="G257" s="321">
        <f>$D257*'MWh Impact Summary'!C$32</f>
        <v>0</v>
      </c>
      <c r="H257" s="321">
        <f>$D257*'MWh Impact Summary'!D$32</f>
        <v>0</v>
      </c>
      <c r="I257" s="321">
        <f>$D257*'MWh Impact Summary'!E$32</f>
        <v>0</v>
      </c>
      <c r="J257" s="104">
        <f t="shared" si="98"/>
        <v>0</v>
      </c>
      <c r="K257" s="298">
        <f t="shared" si="106"/>
        <v>13.3</v>
      </c>
      <c r="L257" s="300">
        <f t="shared" si="110"/>
        <v>9.3629003871876101E-2</v>
      </c>
      <c r="M257" s="297">
        <f>(31/365)</f>
        <v>8.4931506849315067E-2</v>
      </c>
      <c r="N257" s="304">
        <f>$M257*'MWh Impact Summary'!F$32</f>
        <v>199941.99910015031</v>
      </c>
      <c r="O257" s="304">
        <f>$M257*'MWh Impact Summary'!G$32</f>
        <v>40642.014969019139</v>
      </c>
      <c r="P257" s="304">
        <f>$M257*'MWh Impact Summary'!H$32</f>
        <v>12517.757415120317</v>
      </c>
      <c r="Q257" s="320">
        <f>$D257*'MWh Impact Summary'!I$32</f>
        <v>0</v>
      </c>
      <c r="R257" s="304">
        <f>$M257*'MWh Impact Summary'!J$32</f>
        <v>52011.23615889428</v>
      </c>
      <c r="S257" s="304">
        <f>$M257*'MWh Impact Summary'!K$32</f>
        <v>41738.545245949317</v>
      </c>
      <c r="T257" s="304">
        <f>$M257*'MWh Impact Summary'!L$32</f>
        <v>14991.085009939821</v>
      </c>
      <c r="U257" s="304">
        <f>$M257*'MWh Impact Summary'!M$32</f>
        <v>46643.890633818344</v>
      </c>
      <c r="V257" s="304">
        <f>$M257*'LED Impact Forecast'!$H$33+$D257*'LED Impact Forecast'!$J$33</f>
        <v>257032.87895252719</v>
      </c>
      <c r="W257" s="304">
        <f>$M257*'CFL Impact Forecast'!$H$33+$D257*'CFL Impact Forecast'!$J$33</f>
        <v>309781.5485891627</v>
      </c>
      <c r="X257" s="304">
        <f>$M257*'EISA Incand Impact Forecast'!$G$33+$D257*'EISA Incand Impact Forecast'!$I$33</f>
        <v>105075.47855204505</v>
      </c>
      <c r="Y257" s="85">
        <f t="shared" si="90"/>
        <v>1080376.4346266265</v>
      </c>
      <c r="Z257" s="81">
        <f t="shared" si="91"/>
        <v>1080376.4346266265</v>
      </c>
      <c r="AA257" s="81"/>
      <c r="AB257" s="262">
        <f>+'MWh by mo-WgtbyActulCDH&amp;Days'!AB257</f>
        <v>5463737.3974974714</v>
      </c>
      <c r="AC257" s="308">
        <f t="shared" si="99"/>
        <v>197.73579072842446</v>
      </c>
      <c r="AD257" s="309">
        <f t="shared" si="92"/>
        <v>0</v>
      </c>
      <c r="AE257" s="107">
        <f t="shared" si="93"/>
        <v>0</v>
      </c>
      <c r="AF257" s="309">
        <f t="shared" si="100"/>
        <v>197.73579072842446</v>
      </c>
      <c r="AG257" s="107">
        <f t="shared" si="94"/>
        <v>1.4867352686347703E-2</v>
      </c>
      <c r="AH257" s="119">
        <f t="shared" si="101"/>
        <v>1.4867352686347703E-2</v>
      </c>
      <c r="AI257" s="122">
        <f t="shared" si="95"/>
        <v>1.4867352686347703E-2</v>
      </c>
      <c r="AJ257" s="87" t="b">
        <f t="shared" si="102"/>
        <v>1</v>
      </c>
      <c r="AK257" s="88">
        <f t="shared" si="108"/>
        <v>5.5141468499283683E-4</v>
      </c>
      <c r="AL257" s="312">
        <f>+AC257/'MWh by month-WgtbyCDH&amp;DayLtHrs'!AC257-1</f>
        <v>-0.23015664766855448</v>
      </c>
      <c r="AM257" s="89">
        <f t="shared" si="96"/>
        <v>309781.5485891627</v>
      </c>
      <c r="AN257" s="93"/>
      <c r="AO257" s="96">
        <f t="shared" si="115"/>
        <v>56.697737473812417</v>
      </c>
      <c r="AP257" s="92">
        <f t="shared" si="114"/>
        <v>4.2629877799858964E-3</v>
      </c>
      <c r="AR257" s="94">
        <f t="shared" si="97"/>
        <v>1.4867352686347703E-2</v>
      </c>
      <c r="AS257" s="95"/>
    </row>
    <row r="258" spans="1:45">
      <c r="A258" s="78">
        <f t="shared" si="111"/>
        <v>2026</v>
      </c>
      <c r="B258" s="78">
        <f t="shared" si="112"/>
        <v>2</v>
      </c>
      <c r="C258" s="317">
        <f t="shared" si="105"/>
        <v>0</v>
      </c>
      <c r="D258" s="324">
        <f t="shared" si="109"/>
        <v>0</v>
      </c>
      <c r="E258" s="321">
        <f>$D258*'MWh Impact Summary'!B$32</f>
        <v>0</v>
      </c>
      <c r="F258" s="321">
        <f>$D258*'MWh Impact Summary'!N$32</f>
        <v>0</v>
      </c>
      <c r="G258" s="321">
        <f>$D258*'MWh Impact Summary'!C$32</f>
        <v>0</v>
      </c>
      <c r="H258" s="321">
        <f>$D258*'MWh Impact Summary'!D$32</f>
        <v>0</v>
      </c>
      <c r="I258" s="321">
        <f>$D258*'MWh Impact Summary'!E$32</f>
        <v>0</v>
      </c>
      <c r="J258" s="104">
        <f t="shared" si="98"/>
        <v>0</v>
      </c>
      <c r="K258" s="298">
        <f t="shared" si="106"/>
        <v>12.733333333333333</v>
      </c>
      <c r="L258" s="300">
        <f t="shared" si="110"/>
        <v>8.9639798193124468E-2</v>
      </c>
      <c r="M258" s="297">
        <f>(28/365)</f>
        <v>7.6712328767123292E-2</v>
      </c>
      <c r="N258" s="304">
        <f>$M258*'MWh Impact Summary'!F$32</f>
        <v>180592.77338078094</v>
      </c>
      <c r="O258" s="304">
        <f>$M258*'MWh Impact Summary'!G$32</f>
        <v>36708.916746210838</v>
      </c>
      <c r="P258" s="304">
        <f>$M258*'MWh Impact Summary'!H$32</f>
        <v>11306.361536237706</v>
      </c>
      <c r="Q258" s="320">
        <f>$D258*'MWh Impact Summary'!I$32</f>
        <v>0</v>
      </c>
      <c r="R258" s="304">
        <f>$M258*'MWh Impact Summary'!J$32</f>
        <v>46977.890724162578</v>
      </c>
      <c r="S258" s="304">
        <f>$M258*'MWh Impact Summary'!K$32</f>
        <v>37699.331189889708</v>
      </c>
      <c r="T258" s="304">
        <f>$M258*'MWh Impact Summary'!L$32</f>
        <v>13540.334847687582</v>
      </c>
      <c r="U258" s="304">
        <f>$M258*'MWh Impact Summary'!M$32</f>
        <v>42129.965733771416</v>
      </c>
      <c r="V258" s="304">
        <f>$M258*'LED Impact Forecast'!$H$33+$D258*'LED Impact Forecast'!$J$33</f>
        <v>232158.72937647617</v>
      </c>
      <c r="W258" s="304">
        <f>$M258*'CFL Impact Forecast'!$H$33+$D258*'CFL Impact Forecast'!$J$33</f>
        <v>279802.68904827599</v>
      </c>
      <c r="X258" s="304">
        <f>$M258*'EISA Incand Impact Forecast'!$G$33+$D258*'EISA Incand Impact Forecast'!$I$33</f>
        <v>94906.883853460051</v>
      </c>
      <c r="Y258" s="85">
        <f t="shared" si="90"/>
        <v>975823.87643695285</v>
      </c>
      <c r="Z258" s="81">
        <f t="shared" si="91"/>
        <v>975823.87643695285</v>
      </c>
      <c r="AA258" s="81"/>
      <c r="AB258" s="262">
        <f>+'MWh by mo-WgtbyActulCDH&amp;Days'!AB258</f>
        <v>5468304.7475988464</v>
      </c>
      <c r="AC258" s="308">
        <f t="shared" si="99"/>
        <v>178.4508950174075</v>
      </c>
      <c r="AD258" s="309">
        <f t="shared" si="92"/>
        <v>0</v>
      </c>
      <c r="AE258" s="107">
        <f t="shared" si="93"/>
        <v>0</v>
      </c>
      <c r="AF258" s="309">
        <f t="shared" si="100"/>
        <v>178.4508950174075</v>
      </c>
      <c r="AG258" s="107">
        <f t="shared" si="94"/>
        <v>1.4014468195084361E-2</v>
      </c>
      <c r="AH258" s="119">
        <f t="shared" si="101"/>
        <v>1.4014468195084361E-2</v>
      </c>
      <c r="AI258" s="122">
        <f t="shared" si="95"/>
        <v>1.4014468195084361E-2</v>
      </c>
      <c r="AJ258" s="87" t="b">
        <f t="shared" si="102"/>
        <v>1</v>
      </c>
      <c r="AK258" s="88">
        <f t="shared" si="108"/>
        <v>5.2170434570235E-4</v>
      </c>
      <c r="AL258" s="312">
        <f>+AC258/'MWh by month-WgtbyCDH&amp;DayLtHrs'!AC258-1</f>
        <v>-0.29778944418417641</v>
      </c>
      <c r="AM258" s="89">
        <f t="shared" si="96"/>
        <v>279802.68904827599</v>
      </c>
      <c r="AN258" s="93"/>
      <c r="AO258" s="96">
        <f t="shared" si="115"/>
        <v>51.168086264968764</v>
      </c>
      <c r="AP258" s="92">
        <f t="shared" si="114"/>
        <v>4.0184360941074946E-3</v>
      </c>
      <c r="AR258" s="94">
        <f t="shared" si="97"/>
        <v>1.4014468195084361E-2</v>
      </c>
      <c r="AS258" s="95"/>
    </row>
    <row r="259" spans="1:45">
      <c r="A259" s="78">
        <f t="shared" si="111"/>
        <v>2026</v>
      </c>
      <c r="B259" s="78">
        <f t="shared" si="112"/>
        <v>3</v>
      </c>
      <c r="C259" s="317">
        <f t="shared" si="105"/>
        <v>0</v>
      </c>
      <c r="D259" s="324">
        <f t="shared" si="109"/>
        <v>0</v>
      </c>
      <c r="E259" s="321">
        <f>$D259*'MWh Impact Summary'!B$32</f>
        <v>0</v>
      </c>
      <c r="F259" s="321">
        <f>$D259*'MWh Impact Summary'!N$32</f>
        <v>0</v>
      </c>
      <c r="G259" s="321">
        <f>$D259*'MWh Impact Summary'!C$32</f>
        <v>0</v>
      </c>
      <c r="H259" s="321">
        <f>$D259*'MWh Impact Summary'!D$32</f>
        <v>0</v>
      </c>
      <c r="I259" s="321">
        <f>$D259*'MWh Impact Summary'!E$32</f>
        <v>0</v>
      </c>
      <c r="J259" s="104">
        <f t="shared" si="98"/>
        <v>0</v>
      </c>
      <c r="K259" s="298">
        <f t="shared" si="106"/>
        <v>12</v>
      </c>
      <c r="L259" s="300">
        <f t="shared" si="110"/>
        <v>8.4477296726504739E-2</v>
      </c>
      <c r="M259" s="297">
        <f t="shared" ref="M259:M268" si="117">(31/365)</f>
        <v>8.4931506849315067E-2</v>
      </c>
      <c r="N259" s="304">
        <f>$M259*'MWh Impact Summary'!F$32</f>
        <v>199941.99910015031</v>
      </c>
      <c r="O259" s="304">
        <f>$M259*'MWh Impact Summary'!G$32</f>
        <v>40642.014969019139</v>
      </c>
      <c r="P259" s="304">
        <f>$M259*'MWh Impact Summary'!H$32</f>
        <v>12517.757415120317</v>
      </c>
      <c r="Q259" s="320">
        <f>$D259*'MWh Impact Summary'!I$32</f>
        <v>0</v>
      </c>
      <c r="R259" s="304">
        <f>$M259*'MWh Impact Summary'!J$32</f>
        <v>52011.23615889428</v>
      </c>
      <c r="S259" s="304">
        <f>$M259*'MWh Impact Summary'!K$32</f>
        <v>41738.545245949317</v>
      </c>
      <c r="T259" s="304">
        <f>$M259*'MWh Impact Summary'!L$32</f>
        <v>14991.085009939821</v>
      </c>
      <c r="U259" s="304">
        <f>$M259*'MWh Impact Summary'!M$32</f>
        <v>46643.890633818344</v>
      </c>
      <c r="V259" s="304">
        <f>$M259*'LED Impact Forecast'!$H$33+$D259*'LED Impact Forecast'!$J$33</f>
        <v>257032.87895252719</v>
      </c>
      <c r="W259" s="304">
        <f>$M259*'CFL Impact Forecast'!$H$33+$D259*'CFL Impact Forecast'!$J$33</f>
        <v>309781.5485891627</v>
      </c>
      <c r="X259" s="304">
        <f>$M259*'EISA Incand Impact Forecast'!$G$33+$D259*'EISA Incand Impact Forecast'!$I$33</f>
        <v>105075.47855204505</v>
      </c>
      <c r="Y259" s="85">
        <f t="shared" si="90"/>
        <v>1080376.4346266265</v>
      </c>
      <c r="Z259" s="81">
        <f t="shared" si="91"/>
        <v>1080376.4346266265</v>
      </c>
      <c r="AA259" s="81"/>
      <c r="AB259" s="262">
        <f>+'MWh by mo-WgtbyActulCDH&amp;Days'!AB259</f>
        <v>5472890.5962758642</v>
      </c>
      <c r="AC259" s="308">
        <f t="shared" si="99"/>
        <v>197.40508523261727</v>
      </c>
      <c r="AD259" s="309">
        <f t="shared" si="92"/>
        <v>0</v>
      </c>
      <c r="AE259" s="107">
        <f t="shared" si="93"/>
        <v>0</v>
      </c>
      <c r="AF259" s="309">
        <f t="shared" si="100"/>
        <v>197.40508523261727</v>
      </c>
      <c r="AG259" s="107">
        <f t="shared" si="94"/>
        <v>1.6450423769384773E-2</v>
      </c>
      <c r="AH259" s="119">
        <f t="shared" si="101"/>
        <v>1.6450423769384773E-2</v>
      </c>
      <c r="AI259" s="122">
        <f t="shared" si="95"/>
        <v>1.6450423769384773E-2</v>
      </c>
      <c r="AJ259" s="87" t="b">
        <f t="shared" si="102"/>
        <v>1</v>
      </c>
      <c r="AK259" s="88">
        <f t="shared" si="108"/>
        <v>6.146602264333681E-4</v>
      </c>
      <c r="AL259" s="312">
        <f>+AC259/'MWh by month-WgtbyCDH&amp;DayLtHrs'!AC259-1</f>
        <v>-0.25060237111794093</v>
      </c>
      <c r="AM259" s="89">
        <f t="shared" si="96"/>
        <v>309781.5485891627</v>
      </c>
      <c r="AN259" s="93"/>
      <c r="AO259" s="96">
        <f t="shared" si="115"/>
        <v>56.602912691139785</v>
      </c>
      <c r="AP259" s="92">
        <f t="shared" si="114"/>
        <v>4.7169093909283158E-3</v>
      </c>
      <c r="AR259" s="94">
        <f t="shared" si="97"/>
        <v>1.6450423769384773E-2</v>
      </c>
      <c r="AS259" s="95"/>
    </row>
    <row r="260" spans="1:45">
      <c r="A260" s="78">
        <f t="shared" si="111"/>
        <v>2026</v>
      </c>
      <c r="B260" s="78">
        <f t="shared" si="112"/>
        <v>4</v>
      </c>
      <c r="C260" s="317">
        <f t="shared" si="105"/>
        <v>114.03392869270741</v>
      </c>
      <c r="D260" s="324">
        <f t="shared" si="109"/>
        <v>6.3428519090031305E-2</v>
      </c>
      <c r="E260" s="321">
        <f>$D260*'MWh Impact Summary'!B$32</f>
        <v>220313.45674075061</v>
      </c>
      <c r="F260" s="321">
        <f>$D260*'MWh Impact Summary'!N$32</f>
        <v>43930.856027679045</v>
      </c>
      <c r="G260" s="321">
        <f>$D260*'MWh Impact Summary'!C$32</f>
        <v>161394.06787227455</v>
      </c>
      <c r="H260" s="321">
        <f>$D260*'MWh Impact Summary'!D$32</f>
        <v>811.59135577290556</v>
      </c>
      <c r="I260" s="321">
        <f>$D260*'MWh Impact Summary'!E$32</f>
        <v>57421.595800343988</v>
      </c>
      <c r="J260" s="104">
        <f t="shared" si="98"/>
        <v>483871.56779682112</v>
      </c>
      <c r="K260" s="298">
        <f t="shared" si="106"/>
        <v>11.2</v>
      </c>
      <c r="L260" s="300">
        <f t="shared" si="110"/>
        <v>7.8845476944737758E-2</v>
      </c>
      <c r="M260" s="297">
        <f>(30/365)</f>
        <v>8.2191780821917804E-2</v>
      </c>
      <c r="N260" s="304">
        <f>$M260*'MWh Impact Summary'!F$32</f>
        <v>193492.25719369383</v>
      </c>
      <c r="O260" s="304">
        <f>$M260*'MWh Impact Summary'!G$32</f>
        <v>39330.982228083041</v>
      </c>
      <c r="P260" s="304">
        <f>$M260*'MWh Impact Summary'!H$32</f>
        <v>12113.958788826112</v>
      </c>
      <c r="Q260" s="320">
        <f>$D260*'MWh Impact Summary'!I$32</f>
        <v>1540.2573687227939</v>
      </c>
      <c r="R260" s="304">
        <f>$M260*'MWh Impact Summary'!J$32</f>
        <v>50333.454347317042</v>
      </c>
      <c r="S260" s="304">
        <f>$M260*'MWh Impact Summary'!K$32</f>
        <v>40392.140560596112</v>
      </c>
      <c r="T260" s="304">
        <f>$M260*'MWh Impact Summary'!L$32</f>
        <v>14507.501622522408</v>
      </c>
      <c r="U260" s="304">
        <f>$M260*'MWh Impact Summary'!M$32</f>
        <v>45139.249000469368</v>
      </c>
      <c r="V260" s="304">
        <f>$M260*'LED Impact Forecast'!$H$33+$D260*'LED Impact Forecast'!$J$33</f>
        <v>282102.62510885904</v>
      </c>
      <c r="W260" s="304">
        <f>$M260*'CFL Impact Forecast'!$H$33+$D260*'CFL Impact Forecast'!$J$33</f>
        <v>339540.31893655244</v>
      </c>
      <c r="X260" s="304">
        <f>$M260*'EISA Incand Impact Forecast'!$G$33+$D260*'EISA Incand Impact Forecast'!$I$33</f>
        <v>116216.94087759078</v>
      </c>
      <c r="Y260" s="85">
        <f t="shared" si="90"/>
        <v>1134709.6860332331</v>
      </c>
      <c r="Z260" s="81">
        <f t="shared" si="91"/>
        <v>1618581.2538300543</v>
      </c>
      <c r="AA260" s="81"/>
      <c r="AB260" s="262">
        <f>+'MWh by mo-WgtbyActulCDH&amp;Days'!AB260</f>
        <v>5477458.5188071523</v>
      </c>
      <c r="AC260" s="308">
        <f t="shared" si="99"/>
        <v>295.4985872138634</v>
      </c>
      <c r="AD260" s="309">
        <f t="shared" si="92"/>
        <v>88.338700537013963</v>
      </c>
      <c r="AE260" s="107">
        <f t="shared" si="93"/>
        <v>7.8873839765191047E-3</v>
      </c>
      <c r="AF260" s="309">
        <f t="shared" si="100"/>
        <v>207.15988667684942</v>
      </c>
      <c r="AG260" s="107">
        <f t="shared" si="94"/>
        <v>1.8496418453290128E-2</v>
      </c>
      <c r="AH260" s="119">
        <f t="shared" si="101"/>
        <v>2.6383802429809235E-2</v>
      </c>
      <c r="AI260" s="122">
        <f t="shared" si="95"/>
        <v>2.6383802429809231E-2</v>
      </c>
      <c r="AJ260" s="87" t="b">
        <f t="shared" si="102"/>
        <v>1</v>
      </c>
      <c r="AK260" s="88">
        <f t="shared" si="108"/>
        <v>7.1062851870139221E-4</v>
      </c>
      <c r="AL260" s="312">
        <f>+AC260/'MWh by month-WgtbyCDH&amp;DayLtHrs'!AC260-1</f>
        <v>3.4080319271622805E-2</v>
      </c>
      <c r="AM260" s="89">
        <f t="shared" si="96"/>
        <v>339540.31893655244</v>
      </c>
      <c r="AN260" s="93"/>
      <c r="AO260" s="96">
        <f t="shared" si="115"/>
        <v>61.988660940237573</v>
      </c>
      <c r="AP260" s="92">
        <f t="shared" si="114"/>
        <v>5.5347018696640694E-3</v>
      </c>
      <c r="AR260" s="94">
        <f t="shared" si="97"/>
        <v>2.6383802429809231E-2</v>
      </c>
      <c r="AS260" s="95"/>
    </row>
    <row r="261" spans="1:45">
      <c r="A261" s="78">
        <f t="shared" si="111"/>
        <v>2026</v>
      </c>
      <c r="B261" s="78">
        <f t="shared" si="112"/>
        <v>5</v>
      </c>
      <c r="C261" s="317">
        <f t="shared" si="105"/>
        <v>208.47875842628665</v>
      </c>
      <c r="D261" s="324">
        <f t="shared" si="109"/>
        <v>0.11596109210918912</v>
      </c>
      <c r="E261" s="321">
        <f>$D261*'MWh Impact Summary'!B$32</f>
        <v>402780.79035307688</v>
      </c>
      <c r="F261" s="321">
        <f>$D261*'MWh Impact Summary'!N$32</f>
        <v>80315.134506456627</v>
      </c>
      <c r="G261" s="321">
        <f>$D261*'MWh Impact Summary'!C$32</f>
        <v>295063.36643062107</v>
      </c>
      <c r="H261" s="321">
        <f>$D261*'MWh Impact Summary'!D$32</f>
        <v>1483.7650525659958</v>
      </c>
      <c r="I261" s="321">
        <f>$D261*'MWh Impact Summary'!E$32</f>
        <v>104979.13328559521</v>
      </c>
      <c r="J261" s="104">
        <f t="shared" si="98"/>
        <v>884622.18962831574</v>
      </c>
      <c r="K261" s="298">
        <f t="shared" si="106"/>
        <v>10.533333333333333</v>
      </c>
      <c r="L261" s="300">
        <f t="shared" si="110"/>
        <v>7.4152293793265281E-2</v>
      </c>
      <c r="M261" s="297">
        <f t="shared" si="117"/>
        <v>8.4931506849315067E-2</v>
      </c>
      <c r="N261" s="304">
        <f>$M261*'MWh Impact Summary'!F$32</f>
        <v>199941.99910015031</v>
      </c>
      <c r="O261" s="304">
        <f>$M261*'MWh Impact Summary'!G$32</f>
        <v>40642.014969019139</v>
      </c>
      <c r="P261" s="304">
        <f>$M261*'MWh Impact Summary'!H$32</f>
        <v>12517.757415120317</v>
      </c>
      <c r="Q261" s="320">
        <f>$D261*'MWh Impact Summary'!I$32</f>
        <v>2815.9245898962231</v>
      </c>
      <c r="R261" s="304">
        <f>$M261*'MWh Impact Summary'!J$32</f>
        <v>52011.23615889428</v>
      </c>
      <c r="S261" s="304">
        <f>$M261*'MWh Impact Summary'!K$32</f>
        <v>41738.545245949317</v>
      </c>
      <c r="T261" s="304">
        <f>$M261*'MWh Impact Summary'!L$32</f>
        <v>14991.085009939821</v>
      </c>
      <c r="U261" s="304">
        <f>$M261*'MWh Impact Summary'!M$32</f>
        <v>46643.890633818344</v>
      </c>
      <c r="V261" s="304">
        <f>$M261*'LED Impact Forecast'!$H$33+$D261*'LED Impact Forecast'!$J$33</f>
        <v>318024.26025435649</v>
      </c>
      <c r="W261" s="304">
        <f>$M261*'CFL Impact Forecast'!$H$33+$D261*'CFL Impact Forecast'!$J$33</f>
        <v>382456.32232855796</v>
      </c>
      <c r="X261" s="304">
        <f>$M261*'EISA Incand Impact Forecast'!$G$33+$D261*'EISA Incand Impact Forecast'!$I$33</f>
        <v>131641.28751766912</v>
      </c>
      <c r="Y261" s="85">
        <f t="shared" ref="Y261:Y268" si="118">SUM(N261:X261)</f>
        <v>1243424.3232233713</v>
      </c>
      <c r="Z261" s="81">
        <f t="shared" ref="Z261:Z268" si="119">Y261+J261</f>
        <v>2128046.5128516871</v>
      </c>
      <c r="AA261" s="81"/>
      <c r="AB261" s="262">
        <f>+'MWh by mo-WgtbyActulCDH&amp;Days'!AB261</f>
        <v>5482057.5816175342</v>
      </c>
      <c r="AC261" s="308">
        <f t="shared" si="99"/>
        <v>388.18390379325172</v>
      </c>
      <c r="AD261" s="309">
        <f t="shared" ref="AD261:AD268" si="120">+J261*1000/AB261</f>
        <v>161.36681829002228</v>
      </c>
      <c r="AE261" s="107">
        <f t="shared" ref="AE261:AE268" si="121">+AD261/K261/1000</f>
        <v>1.5319634647786925E-2</v>
      </c>
      <c r="AF261" s="309">
        <f t="shared" si="100"/>
        <v>226.81708550322941</v>
      </c>
      <c r="AG261" s="107">
        <f t="shared" ref="AG261:AG268" si="122">+AF261/K261/1000</f>
        <v>2.1533267611066085E-2</v>
      </c>
      <c r="AH261" s="119">
        <f t="shared" si="101"/>
        <v>3.6852902258853008E-2</v>
      </c>
      <c r="AI261" s="122">
        <f t="shared" ref="AI261:AI268" si="123">+AC261/K261/1000</f>
        <v>3.6852902258853015E-2</v>
      </c>
      <c r="AJ261" s="87" t="b">
        <f t="shared" si="102"/>
        <v>1</v>
      </c>
      <c r="AK261" s="88">
        <f t="shared" si="108"/>
        <v>8.4049122916480395E-4</v>
      </c>
      <c r="AL261" s="312">
        <f>+AC261/'MWh by month-WgtbyCDH&amp;DayLtHrs'!AC261-1</f>
        <v>0.13510102019693404</v>
      </c>
      <c r="AM261" s="89">
        <f t="shared" ref="AM261:AM268" si="124">+W261</f>
        <v>382456.32232855796</v>
      </c>
      <c r="AN261" s="93"/>
      <c r="AO261" s="96">
        <f t="shared" si="115"/>
        <v>69.765104914441721</v>
      </c>
      <c r="AP261" s="92">
        <f t="shared" si="114"/>
        <v>6.6232694539026951E-3</v>
      </c>
      <c r="AR261" s="94">
        <f t="shared" ref="AR261:AR268" si="125">AI261</f>
        <v>3.6852902258853015E-2</v>
      </c>
      <c r="AS261" s="95"/>
    </row>
    <row r="262" spans="1:45">
      <c r="A262" s="78">
        <f t="shared" si="111"/>
        <v>2026</v>
      </c>
      <c r="B262" s="78">
        <f t="shared" si="112"/>
        <v>6</v>
      </c>
      <c r="C262" s="317">
        <f t="shared" si="105"/>
        <v>271.66325293295364</v>
      </c>
      <c r="D262" s="324">
        <f t="shared" si="109"/>
        <v>0.15110588596093688</v>
      </c>
      <c r="E262" s="321">
        <f>$D262*'MWh Impact Summary'!B$32</f>
        <v>524853.18193657405</v>
      </c>
      <c r="F262" s="321">
        <f>$D262*'MWh Impact Summary'!N$32</f>
        <v>104656.56484368553</v>
      </c>
      <c r="G262" s="321">
        <f>$D262*'MWh Impact Summary'!C$32</f>
        <v>384489.40578391158</v>
      </c>
      <c r="H262" s="321">
        <f>$D262*'MWh Impact Summary'!D$32</f>
        <v>1933.4556854185935</v>
      </c>
      <c r="I262" s="321">
        <f>$D262*'MWh Impact Summary'!E$32</f>
        <v>136795.58077630517</v>
      </c>
      <c r="J262" s="104">
        <f t="shared" ref="J262:J267" si="126">SUM(E262:I262)</f>
        <v>1152728.1890258947</v>
      </c>
      <c r="K262" s="298">
        <f t="shared" si="106"/>
        <v>10.199999999999999</v>
      </c>
      <c r="L262" s="300">
        <f t="shared" si="110"/>
        <v>7.1805702217529022E-2</v>
      </c>
      <c r="M262" s="297">
        <f>(30/365)</f>
        <v>8.2191780821917804E-2</v>
      </c>
      <c r="N262" s="304">
        <f>$M262*'MWh Impact Summary'!F$32</f>
        <v>193492.25719369383</v>
      </c>
      <c r="O262" s="304">
        <f>$M262*'MWh Impact Summary'!G$32</f>
        <v>39330.982228083041</v>
      </c>
      <c r="P262" s="304">
        <f>$M262*'MWh Impact Summary'!H$32</f>
        <v>12113.958788826112</v>
      </c>
      <c r="Q262" s="320">
        <f>$D262*'MWh Impact Summary'!I$32</f>
        <v>3669.3581632950013</v>
      </c>
      <c r="R262" s="304">
        <f>$M262*'MWh Impact Summary'!J$32</f>
        <v>50333.454347317042</v>
      </c>
      <c r="S262" s="304">
        <f>$M262*'MWh Impact Summary'!K$32</f>
        <v>40392.140560596112</v>
      </c>
      <c r="T262" s="304">
        <f>$M262*'MWh Impact Summary'!L$32</f>
        <v>14507.501622522408</v>
      </c>
      <c r="U262" s="304">
        <f>$M262*'MWh Impact Summary'!M$32</f>
        <v>45139.249000469368</v>
      </c>
      <c r="V262" s="304">
        <f>$M262*'LED Impact Forecast'!$H$33+$D262*'LED Impact Forecast'!$J$33</f>
        <v>328217.77991723653</v>
      </c>
      <c r="W262" s="304">
        <f>$M262*'CFL Impact Forecast'!$H$33+$D262*'CFL Impact Forecast'!$J$33</f>
        <v>394489.20466633834</v>
      </c>
      <c r="X262" s="304">
        <f>$M262*'EISA Incand Impact Forecast'!$G$33+$D262*'EISA Incand Impact Forecast'!$I$33</f>
        <v>136303.16235529311</v>
      </c>
      <c r="Y262" s="85">
        <f t="shared" si="118"/>
        <v>1257989.0488436709</v>
      </c>
      <c r="Z262" s="81">
        <f t="shared" si="119"/>
        <v>2410717.2378695654</v>
      </c>
      <c r="AA262" s="81"/>
      <c r="AB262" s="262">
        <f>+'MWh by mo-WgtbyActulCDH&amp;Days'!AB262</f>
        <v>5486653.8083125623</v>
      </c>
      <c r="AC262" s="308">
        <f t="shared" ref="AC262:AC268" si="127">+Z262*1000/AB262</f>
        <v>439.37841206915681</v>
      </c>
      <c r="AD262" s="309">
        <f t="shared" si="120"/>
        <v>210.09676011988441</v>
      </c>
      <c r="AE262" s="107">
        <f t="shared" si="121"/>
        <v>2.0597721580380823E-2</v>
      </c>
      <c r="AF262" s="309">
        <f t="shared" ref="AF262:AF268" si="128">+Y262*1000/AB262</f>
        <v>229.2816519492724</v>
      </c>
      <c r="AG262" s="107">
        <f t="shared" si="122"/>
        <v>2.2478593328360042E-2</v>
      </c>
      <c r="AH262" s="119">
        <f t="shared" ref="AH262:AH268" si="129">AE262+AG262</f>
        <v>4.3076314908740865E-2</v>
      </c>
      <c r="AI262" s="122">
        <f t="shared" si="123"/>
        <v>4.3076314908740872E-2</v>
      </c>
      <c r="AJ262" s="87" t="b">
        <f t="shared" ref="AJ262:AJ268" si="130">AH262=AI262</f>
        <v>1</v>
      </c>
      <c r="AK262" s="88">
        <f t="shared" si="108"/>
        <v>8.8725720973475974E-4</v>
      </c>
      <c r="AL262" s="312">
        <f>+AC262/'MWh by month-WgtbyCDH&amp;DayLtHrs'!AC262-1</f>
        <v>0.15264913463568042</v>
      </c>
      <c r="AM262" s="89">
        <f t="shared" si="124"/>
        <v>394489.20466633834</v>
      </c>
      <c r="AN262" s="93"/>
      <c r="AO262" s="96">
        <f t="shared" si="115"/>
        <v>71.899780530834093</v>
      </c>
      <c r="AP262" s="92">
        <f t="shared" si="114"/>
        <v>7.0489980912582448E-3</v>
      </c>
      <c r="AR262" s="94">
        <f t="shared" si="125"/>
        <v>4.3076314908740872E-2</v>
      </c>
      <c r="AS262" s="95"/>
    </row>
    <row r="263" spans="1:45">
      <c r="A263" s="78">
        <f t="shared" si="111"/>
        <v>2026</v>
      </c>
      <c r="B263" s="78">
        <f t="shared" si="112"/>
        <v>7</v>
      </c>
      <c r="C263" s="317">
        <f t="shared" si="105"/>
        <v>322.31916585708109</v>
      </c>
      <c r="D263" s="324">
        <f t="shared" si="109"/>
        <v>0.17928196984022934</v>
      </c>
      <c r="E263" s="321">
        <f>$D263*'MWh Impact Summary'!B$32</f>
        <v>622720.36417447485</v>
      </c>
      <c r="F263" s="321">
        <f>$D263*'MWh Impact Summary'!N$32</f>
        <v>124171.43768137635</v>
      </c>
      <c r="G263" s="321">
        <f>$D263*'MWh Impact Summary'!C$32</f>
        <v>456183.5405237549</v>
      </c>
      <c r="H263" s="321">
        <f>$D263*'MWh Impact Summary'!D$32</f>
        <v>2293.9790973479762</v>
      </c>
      <c r="I263" s="321">
        <f>$D263*'MWh Impact Summary'!E$32</f>
        <v>162303.28177523325</v>
      </c>
      <c r="J263" s="104">
        <f t="shared" si="126"/>
        <v>1367672.6032521874</v>
      </c>
      <c r="K263" s="298">
        <f t="shared" si="106"/>
        <v>10.366666666666667</v>
      </c>
      <c r="L263" s="300">
        <f t="shared" si="110"/>
        <v>7.2978998005397158E-2</v>
      </c>
      <c r="M263" s="297">
        <f t="shared" si="117"/>
        <v>8.4931506849315067E-2</v>
      </c>
      <c r="N263" s="304">
        <f>$M263*'MWh Impact Summary'!F$32</f>
        <v>199941.99910015031</v>
      </c>
      <c r="O263" s="304">
        <f>$M263*'MWh Impact Summary'!G$32</f>
        <v>40642.014969019139</v>
      </c>
      <c r="P263" s="304">
        <f>$M263*'MWh Impact Summary'!H$32</f>
        <v>12517.757415120317</v>
      </c>
      <c r="Q263" s="320">
        <f>$D263*'MWh Impact Summary'!I$32</f>
        <v>4353.5680650780059</v>
      </c>
      <c r="R263" s="304">
        <f>$M263*'MWh Impact Summary'!J$32</f>
        <v>52011.23615889428</v>
      </c>
      <c r="S263" s="304">
        <f>$M263*'MWh Impact Summary'!K$32</f>
        <v>41738.545245949317</v>
      </c>
      <c r="T263" s="304">
        <f>$M263*'MWh Impact Summary'!L$32</f>
        <v>14991.085009939821</v>
      </c>
      <c r="U263" s="304">
        <f>$M263*'MWh Impact Summary'!M$32</f>
        <v>46643.890633818344</v>
      </c>
      <c r="V263" s="304">
        <f>$M263*'LED Impact Forecast'!$H$33+$D263*'LED Impact Forecast'!$J$33</f>
        <v>351328.77410305233</v>
      </c>
      <c r="W263" s="304">
        <f>$M263*'CFL Impact Forecast'!$H$33+$D263*'CFL Impact Forecast'!$J$33</f>
        <v>422140.58519967832</v>
      </c>
      <c r="X263" s="304">
        <f>$M263*'EISA Incand Impact Forecast'!$G$33+$D263*'EISA Incand Impact Forecast'!$I$33</f>
        <v>146147.62158836346</v>
      </c>
      <c r="Y263" s="85">
        <f t="shared" si="118"/>
        <v>1332457.0774890636</v>
      </c>
      <c r="Z263" s="81">
        <f t="shared" si="119"/>
        <v>2700129.680741251</v>
      </c>
      <c r="AA263" s="81"/>
      <c r="AB263" s="262">
        <f>+'MWh by mo-WgtbyActulCDH&amp;Days'!AB263</f>
        <v>5491282.4171985919</v>
      </c>
      <c r="AC263" s="308">
        <f t="shared" si="127"/>
        <v>491.71204021204522</v>
      </c>
      <c r="AD263" s="309">
        <f t="shared" si="120"/>
        <v>249.06251387993862</v>
      </c>
      <c r="AE263" s="107">
        <f t="shared" si="121"/>
        <v>2.4025322882309189E-2</v>
      </c>
      <c r="AF263" s="309">
        <f t="shared" si="128"/>
        <v>242.64952633210657</v>
      </c>
      <c r="AG263" s="107">
        <f t="shared" si="122"/>
        <v>2.3406706720138896E-2</v>
      </c>
      <c r="AH263" s="119">
        <f t="shared" si="129"/>
        <v>4.7432029602448085E-2</v>
      </c>
      <c r="AI263" s="122">
        <f t="shared" si="123"/>
        <v>4.7432029602448092E-2</v>
      </c>
      <c r="AJ263" s="87" t="b">
        <f t="shared" si="130"/>
        <v>1</v>
      </c>
      <c r="AK263" s="88">
        <f t="shared" si="108"/>
        <v>9.2951605374382712E-4</v>
      </c>
      <c r="AL263" s="312">
        <f>+AC263/'MWh by month-WgtbyCDH&amp;DayLtHrs'!AC263-1</f>
        <v>0.17283592220200905</v>
      </c>
      <c r="AM263" s="89">
        <f t="shared" si="124"/>
        <v>422140.58519967832</v>
      </c>
      <c r="AN263" s="93"/>
      <c r="AO263" s="96">
        <f t="shared" si="115"/>
        <v>76.874681199703375</v>
      </c>
      <c r="AP263" s="92">
        <f t="shared" si="114"/>
        <v>7.4155641028652774E-3</v>
      </c>
      <c r="AR263" s="94">
        <f t="shared" si="125"/>
        <v>4.7432029602448092E-2</v>
      </c>
      <c r="AS263" s="95"/>
    </row>
    <row r="264" spans="1:45">
      <c r="A264" s="78">
        <f t="shared" si="111"/>
        <v>2026</v>
      </c>
      <c r="B264" s="78">
        <f t="shared" si="112"/>
        <v>8</v>
      </c>
      <c r="C264" s="317">
        <f t="shared" si="105"/>
        <v>326.45437890907908</v>
      </c>
      <c r="D264" s="324">
        <f t="shared" si="109"/>
        <v>0.18158207861502046</v>
      </c>
      <c r="E264" s="321">
        <f>$D264*'MWh Impact Summary'!B$32</f>
        <v>630709.59240057738</v>
      </c>
      <c r="F264" s="321">
        <f>$D264*'MWh Impact Summary'!N$32</f>
        <v>125764.50258156618</v>
      </c>
      <c r="G264" s="321">
        <f>$D264*'MWh Impact Summary'!C$32</f>
        <v>462036.17459180451</v>
      </c>
      <c r="H264" s="321">
        <f>$D264*'MWh Impact Summary'!D$32</f>
        <v>2323.4098396345521</v>
      </c>
      <c r="I264" s="321">
        <f>$D264*'MWh Impact Summary'!E$32</f>
        <v>164385.56145411727</v>
      </c>
      <c r="J264" s="104">
        <f t="shared" si="126"/>
        <v>1385219.2408677</v>
      </c>
      <c r="K264" s="298">
        <f t="shared" si="106"/>
        <v>10.933333333333334</v>
      </c>
      <c r="L264" s="300">
        <f t="shared" si="110"/>
        <v>7.6968203684148764E-2</v>
      </c>
      <c r="M264" s="297">
        <f t="shared" si="117"/>
        <v>8.4931506849315067E-2</v>
      </c>
      <c r="N264" s="304">
        <f>$M264*'MWh Impact Summary'!F$32</f>
        <v>199941.99910015031</v>
      </c>
      <c r="O264" s="304">
        <f>$M264*'MWh Impact Summary'!G$32</f>
        <v>40642.014969019139</v>
      </c>
      <c r="P264" s="304">
        <f>$M264*'MWh Impact Summary'!H$32</f>
        <v>12517.757415120317</v>
      </c>
      <c r="Q264" s="320">
        <f>$D264*'MWh Impact Summary'!I$32</f>
        <v>4409.4224274383714</v>
      </c>
      <c r="R264" s="304">
        <f>$M264*'MWh Impact Summary'!J$32</f>
        <v>52011.23615889428</v>
      </c>
      <c r="S264" s="304">
        <f>$M264*'MWh Impact Summary'!K$32</f>
        <v>41738.545245949317</v>
      </c>
      <c r="T264" s="304">
        <f>$M264*'MWh Impact Summary'!L$32</f>
        <v>14991.085009939821</v>
      </c>
      <c r="U264" s="304">
        <f>$M264*'MWh Impact Summary'!M$32</f>
        <v>46643.890633818344</v>
      </c>
      <c r="V264" s="304">
        <f>$M264*'LED Impact Forecast'!$H$33+$D264*'LED Impact Forecast'!$J$33</f>
        <v>352538.54894017504</v>
      </c>
      <c r="W264" s="304">
        <f>$M264*'CFL Impact Forecast'!$H$33+$D264*'CFL Impact Forecast'!$J$33</f>
        <v>423582.10219252057</v>
      </c>
      <c r="X264" s="304">
        <f>$M264*'EISA Incand Impact Forecast'!$G$33+$D264*'EISA Incand Impact Forecast'!$I$33</f>
        <v>146674.55910852514</v>
      </c>
      <c r="Y264" s="85">
        <f t="shared" si="118"/>
        <v>1335691.1612015506</v>
      </c>
      <c r="Z264" s="81">
        <f t="shared" si="119"/>
        <v>2720910.4020692506</v>
      </c>
      <c r="AA264" s="81"/>
      <c r="AB264" s="262">
        <f>+'MWh by mo-WgtbyActulCDH&amp;Days'!AB264</f>
        <v>5495927.0258769719</v>
      </c>
      <c r="AC264" s="308">
        <f t="shared" si="127"/>
        <v>495.07760733687718</v>
      </c>
      <c r="AD264" s="309">
        <f t="shared" si="120"/>
        <v>252.04469316014323</v>
      </c>
      <c r="AE264" s="107">
        <f t="shared" si="121"/>
        <v>2.3052868276842369E-2</v>
      </c>
      <c r="AF264" s="309">
        <f t="shared" si="128"/>
        <v>243.03291417673395</v>
      </c>
      <c r="AG264" s="107">
        <f t="shared" si="122"/>
        <v>2.2228620199091519E-2</v>
      </c>
      <c r="AH264" s="119">
        <f t="shared" si="129"/>
        <v>4.5281488475933884E-2</v>
      </c>
      <c r="AI264" s="122">
        <f t="shared" si="123"/>
        <v>4.5281488475933884E-2</v>
      </c>
      <c r="AJ264" s="87" t="b">
        <f t="shared" si="130"/>
        <v>1</v>
      </c>
      <c r="AK264" s="88">
        <f t="shared" si="108"/>
        <v>8.8337758168572506E-4</v>
      </c>
      <c r="AL264" s="312">
        <f>+AC264/'MWh by month-WgtbyCDH&amp;DayLtHrs'!AC264-1</f>
        <v>0.1496945089333106</v>
      </c>
      <c r="AM264" s="89">
        <f t="shared" si="124"/>
        <v>423582.10219252057</v>
      </c>
      <c r="AN264" s="93"/>
      <c r="AO264" s="96">
        <f t="shared" si="115"/>
        <v>77.072002629971337</v>
      </c>
      <c r="AP264" s="92">
        <f t="shared" si="114"/>
        <v>7.049268533229085E-3</v>
      </c>
      <c r="AR264" s="94">
        <f t="shared" si="125"/>
        <v>4.5281488475933884E-2</v>
      </c>
      <c r="AS264" s="95"/>
    </row>
    <row r="265" spans="1:45">
      <c r="A265" s="78">
        <f t="shared" si="111"/>
        <v>2026</v>
      </c>
      <c r="B265" s="78">
        <f t="shared" si="112"/>
        <v>9</v>
      </c>
      <c r="C265" s="317">
        <f t="shared" si="105"/>
        <v>277.87653293728147</v>
      </c>
      <c r="D265" s="324">
        <f t="shared" si="109"/>
        <v>0.15456186747349368</v>
      </c>
      <c r="E265" s="321">
        <f>$D265*'MWh Impact Summary'!B$32</f>
        <v>536857.23381082295</v>
      </c>
      <c r="F265" s="321">
        <f>$D265*'MWh Impact Summary'!N$32</f>
        <v>107050.1920076266</v>
      </c>
      <c r="G265" s="321">
        <f>$D265*'MWh Impact Summary'!C$32</f>
        <v>393283.16169694503</v>
      </c>
      <c r="H265" s="321">
        <f>$D265*'MWh Impact Summary'!D$32</f>
        <v>1977.6762467928995</v>
      </c>
      <c r="I265" s="321">
        <f>$D265*'MWh Impact Summary'!E$32</f>
        <v>139924.26762497364</v>
      </c>
      <c r="J265" s="104">
        <f t="shared" si="126"/>
        <v>1179092.5313871612</v>
      </c>
      <c r="K265" s="298">
        <f t="shared" si="106"/>
        <v>11.683333333333334</v>
      </c>
      <c r="L265" s="300">
        <f t="shared" si="110"/>
        <v>8.2248034729555317E-2</v>
      </c>
      <c r="M265" s="297">
        <f>(30/365)</f>
        <v>8.2191780821917804E-2</v>
      </c>
      <c r="N265" s="304">
        <f>$M265*'MWh Impact Summary'!F$32</f>
        <v>193492.25719369383</v>
      </c>
      <c r="O265" s="304">
        <f>$M265*'MWh Impact Summary'!G$32</f>
        <v>39330.982228083041</v>
      </c>
      <c r="P265" s="304">
        <f>$M265*'MWh Impact Summary'!H$32</f>
        <v>12113.958788826112</v>
      </c>
      <c r="Q265" s="320">
        <f>$D265*'MWh Impact Summary'!I$32</f>
        <v>3753.2809959143419</v>
      </c>
      <c r="R265" s="304">
        <f>$M265*'MWh Impact Summary'!J$32</f>
        <v>50333.454347317042</v>
      </c>
      <c r="S265" s="304">
        <f>$M265*'MWh Impact Summary'!K$32</f>
        <v>40392.140560596112</v>
      </c>
      <c r="T265" s="304">
        <f>$M265*'MWh Impact Summary'!L$32</f>
        <v>14507.501622522408</v>
      </c>
      <c r="U265" s="304">
        <f>$M265*'MWh Impact Summary'!M$32</f>
        <v>45139.249000469368</v>
      </c>
      <c r="V265" s="304">
        <f>$M265*'LED Impact Forecast'!$H$33+$D265*'LED Impact Forecast'!$J$33</f>
        <v>330035.50241683103</v>
      </c>
      <c r="W265" s="304">
        <f>$M265*'CFL Impact Forecast'!$H$33+$D265*'CFL Impact Forecast'!$J$33</f>
        <v>396655.12661398697</v>
      </c>
      <c r="X265" s="304">
        <f>$M265*'EISA Incand Impact Forecast'!$G$33+$D265*'EISA Incand Impact Forecast'!$I$33</f>
        <v>137094.90157559008</v>
      </c>
      <c r="Y265" s="85">
        <f t="shared" si="118"/>
        <v>1262848.3553438303</v>
      </c>
      <c r="Z265" s="81">
        <f t="shared" si="119"/>
        <v>2441940.8867309913</v>
      </c>
      <c r="AA265" s="81"/>
      <c r="AB265" s="262">
        <f>+'MWh by mo-WgtbyActulCDH&amp;Days'!AB265</f>
        <v>5500513.1358683985</v>
      </c>
      <c r="AC265" s="308">
        <f t="shared" si="127"/>
        <v>443.94783294076575</v>
      </c>
      <c r="AD265" s="309">
        <f t="shared" si="120"/>
        <v>214.36046097197638</v>
      </c>
      <c r="AE265" s="107">
        <f t="shared" si="121"/>
        <v>1.8347543021852469E-2</v>
      </c>
      <c r="AF265" s="309">
        <f t="shared" si="128"/>
        <v>229.58737196878943</v>
      </c>
      <c r="AG265" s="107">
        <f t="shared" si="122"/>
        <v>1.9650844961665286E-2</v>
      </c>
      <c r="AH265" s="119">
        <f t="shared" si="129"/>
        <v>3.7998387983517755E-2</v>
      </c>
      <c r="AI265" s="122">
        <f t="shared" si="123"/>
        <v>3.7998387983517755E-2</v>
      </c>
      <c r="AJ265" s="87" t="b">
        <f t="shared" si="130"/>
        <v>1</v>
      </c>
      <c r="AK265" s="88">
        <f t="shared" si="108"/>
        <v>7.7647393191105502E-4</v>
      </c>
      <c r="AL265" s="312">
        <f>+AC265/'MWh by month-WgtbyCDH&amp;DayLtHrs'!AC265-1</f>
        <v>8.9091129574722983E-2</v>
      </c>
      <c r="AM265" s="89">
        <f t="shared" si="124"/>
        <v>396655.12661398697</v>
      </c>
      <c r="AN265" s="93"/>
      <c r="AO265" s="96">
        <f t="shared" si="115"/>
        <v>72.112386029483531</v>
      </c>
      <c r="AP265" s="92">
        <f t="shared" si="114"/>
        <v>6.172244168001443E-3</v>
      </c>
      <c r="AR265" s="94">
        <f t="shared" si="125"/>
        <v>3.7998387983517755E-2</v>
      </c>
      <c r="AS265" s="95"/>
    </row>
    <row r="266" spans="1:45">
      <c r="A266" s="78">
        <f t="shared" si="111"/>
        <v>2026</v>
      </c>
      <c r="B266" s="78">
        <f t="shared" si="112"/>
        <v>10</v>
      </c>
      <c r="C266" s="317">
        <f t="shared" si="112"/>
        <v>198.89039579254836</v>
      </c>
      <c r="D266" s="324">
        <f t="shared" si="109"/>
        <v>0.11062780534683357</v>
      </c>
      <c r="E266" s="321">
        <f>$D266*'MWh Impact Summary'!B$32</f>
        <v>384256.0816059527</v>
      </c>
      <c r="F266" s="321">
        <f>$D266*'MWh Impact Summary'!N$32</f>
        <v>76621.277921553468</v>
      </c>
      <c r="G266" s="321">
        <f>$D266*'MWh Impact Summary'!C$32</f>
        <v>281492.80135903019</v>
      </c>
      <c r="H266" s="321">
        <f>$D266*'MWh Impact Summary'!D$32</f>
        <v>1415.5236763478003</v>
      </c>
      <c r="I266" s="321">
        <f>$D266*'MWh Impact Summary'!E$32</f>
        <v>100150.92917254291</v>
      </c>
      <c r="J266" s="104">
        <f t="shared" si="126"/>
        <v>843936.61373542703</v>
      </c>
      <c r="K266" s="298">
        <f t="shared" si="106"/>
        <v>12.466666666666667</v>
      </c>
      <c r="L266" s="300">
        <f t="shared" si="110"/>
        <v>8.7762524932535488E-2</v>
      </c>
      <c r="M266" s="297">
        <f t="shared" si="117"/>
        <v>8.4931506849315067E-2</v>
      </c>
      <c r="N266" s="304">
        <f>$M266*'MWh Impact Summary'!F$32</f>
        <v>199941.99910015031</v>
      </c>
      <c r="O266" s="304">
        <f>$M266*'MWh Impact Summary'!G$32</f>
        <v>40642.014969019139</v>
      </c>
      <c r="P266" s="304">
        <f>$M266*'MWh Impact Summary'!H$32</f>
        <v>12517.757415120317</v>
      </c>
      <c r="Q266" s="320">
        <f>$D266*'MWh Impact Summary'!I$32</f>
        <v>2686.4144838259567</v>
      </c>
      <c r="R266" s="304">
        <f>$M266*'MWh Impact Summary'!J$32</f>
        <v>52011.23615889428</v>
      </c>
      <c r="S266" s="304">
        <f>$M266*'MWh Impact Summary'!K$32</f>
        <v>41738.545245949317</v>
      </c>
      <c r="T266" s="304">
        <f>$M266*'MWh Impact Summary'!L$32</f>
        <v>14991.085009939821</v>
      </c>
      <c r="U266" s="304">
        <f>$M266*'MWh Impact Summary'!M$32</f>
        <v>46643.890633818344</v>
      </c>
      <c r="V266" s="304">
        <f>$M266*'LED Impact Forecast'!$H$33+$D266*'LED Impact Forecast'!$J$33</f>
        <v>315219.14242907299</v>
      </c>
      <c r="W266" s="304">
        <f>$M266*'CFL Impact Forecast'!$H$33+$D266*'CFL Impact Forecast'!$J$33</f>
        <v>379113.86149370705</v>
      </c>
      <c r="X266" s="304">
        <f>$M266*'EISA Incand Impact Forecast'!$G$33+$D266*'EISA Incand Impact Forecast'!$I$33</f>
        <v>130419.47186631063</v>
      </c>
      <c r="Y266" s="85">
        <f t="shared" si="118"/>
        <v>1235925.4188058081</v>
      </c>
      <c r="Z266" s="81">
        <f t="shared" si="119"/>
        <v>2079862.032541235</v>
      </c>
      <c r="AA266" s="81"/>
      <c r="AB266" s="262">
        <f>+'MWh by mo-WgtbyActulCDH&amp;Days'!AB266</f>
        <v>5505120.0001729308</v>
      </c>
      <c r="AC266" s="308">
        <f>+Z266*1000/AB266</f>
        <v>377.80503103945068</v>
      </c>
      <c r="AD266" s="309">
        <f t="shared" si="120"/>
        <v>153.30031202024963</v>
      </c>
      <c r="AE266" s="107">
        <f t="shared" si="121"/>
        <v>1.2296816472212537E-2</v>
      </c>
      <c r="AF266" s="309">
        <f t="shared" si="128"/>
        <v>224.50471901920108</v>
      </c>
      <c r="AG266" s="107">
        <f t="shared" si="122"/>
        <v>1.8008399921326291E-2</v>
      </c>
      <c r="AH266" s="119">
        <f t="shared" si="129"/>
        <v>3.0305216393538829E-2</v>
      </c>
      <c r="AI266" s="122">
        <f t="shared" si="123"/>
        <v>3.0305216393538826E-2</v>
      </c>
      <c r="AJ266" s="87" t="b">
        <f t="shared" si="130"/>
        <v>1</v>
      </c>
      <c r="AK266" s="88">
        <f t="shared" si="108"/>
        <v>7.0183194714103572E-4</v>
      </c>
      <c r="AL266" s="312">
        <f>+AC266/'MWh by month-WgtbyCDH&amp;DayLtHrs'!AC266-1</f>
        <v>3.8584926652724727E-2</v>
      </c>
      <c r="AM266" s="89">
        <f t="shared" si="124"/>
        <v>379113.86149370705</v>
      </c>
      <c r="AN266" s="93"/>
      <c r="AO266" s="96">
        <f t="shared" si="115"/>
        <v>68.865685304189199</v>
      </c>
      <c r="AP266" s="92">
        <f t="shared" si="114"/>
        <v>5.5239854522076901E-3</v>
      </c>
      <c r="AR266" s="94">
        <f t="shared" si="125"/>
        <v>3.0305216393538826E-2</v>
      </c>
      <c r="AS266" s="95"/>
    </row>
    <row r="267" spans="1:45">
      <c r="A267" s="78">
        <f t="shared" si="111"/>
        <v>2026</v>
      </c>
      <c r="B267" s="78">
        <f t="shared" ref="B267:C268" si="131">+B255</f>
        <v>11</v>
      </c>
      <c r="C267" s="317">
        <f t="shared" si="131"/>
        <v>78.117279066674627</v>
      </c>
      <c r="D267" s="324">
        <f t="shared" si="109"/>
        <v>4.3450781564265642E-2</v>
      </c>
      <c r="E267" s="321">
        <f>$D267*'MWh Impact Summary'!B$32</f>
        <v>150922.51911041612</v>
      </c>
      <c r="F267" s="321">
        <f>$D267*'MWh Impact Summary'!N$32</f>
        <v>30094.191959305648</v>
      </c>
      <c r="G267" s="321">
        <f>$D267*'MWh Impact Summary'!C$32</f>
        <v>110560.65141506057</v>
      </c>
      <c r="H267" s="321">
        <f>$D267*'MWh Impact Summary'!D$32</f>
        <v>555.96881694620879</v>
      </c>
      <c r="I267" s="321">
        <f>$D267*'MWh Impact Summary'!E$32</f>
        <v>39335.826407216671</v>
      </c>
      <c r="J267" s="104">
        <f t="shared" si="126"/>
        <v>331469.15770894522</v>
      </c>
      <c r="K267" s="298">
        <f t="shared" si="106"/>
        <v>13.15</v>
      </c>
      <c r="L267" s="300">
        <f t="shared" si="110"/>
        <v>9.2573037662794788E-2</v>
      </c>
      <c r="M267" s="297">
        <f>(30/365)</f>
        <v>8.2191780821917804E-2</v>
      </c>
      <c r="N267" s="304">
        <f>$M267*'MWh Impact Summary'!F$32</f>
        <v>193492.25719369383</v>
      </c>
      <c r="O267" s="304">
        <f>$M267*'MWh Impact Summary'!G$32</f>
        <v>39330.982228083041</v>
      </c>
      <c r="P267" s="304">
        <f>$M267*'MWh Impact Summary'!H$32</f>
        <v>12113.958788826112</v>
      </c>
      <c r="Q267" s="320">
        <f>$D267*'MWh Impact Summary'!I$32</f>
        <v>1055.1308376935283</v>
      </c>
      <c r="R267" s="304">
        <f>$M267*'MWh Impact Summary'!J$32</f>
        <v>50333.454347317042</v>
      </c>
      <c r="S267" s="304">
        <f>$M267*'MWh Impact Summary'!K$32</f>
        <v>40392.140560596112</v>
      </c>
      <c r="T267" s="304">
        <f>$M267*'MWh Impact Summary'!L$32</f>
        <v>14507.501622522408</v>
      </c>
      <c r="U267" s="304">
        <f>$M267*'MWh Impact Summary'!M$32</f>
        <v>45139.249000469368</v>
      </c>
      <c r="V267" s="304">
        <f>$M267*'LED Impact Forecast'!$H$33+$D267*'LED Impact Forecast'!$J$33</f>
        <v>271595.05067316361</v>
      </c>
      <c r="W267" s="304">
        <f>$M267*'CFL Impact Forecast'!$H$33+$D267*'CFL Impact Forecast'!$J$33</f>
        <v>327019.93362366699</v>
      </c>
      <c r="X267" s="304">
        <f>$M267*'EISA Incand Impact Forecast'!$G$33+$D267*'EISA Incand Impact Forecast'!$I$33</f>
        <v>111640.19234045956</v>
      </c>
      <c r="Y267" s="85">
        <f t="shared" si="118"/>
        <v>1106619.8512164918</v>
      </c>
      <c r="Z267" s="81">
        <f t="shared" si="119"/>
        <v>1438089.008925437</v>
      </c>
      <c r="AA267" s="81"/>
      <c r="AB267" s="262">
        <f>+'MWh by mo-WgtbyActulCDH&amp;Days'!AB267</f>
        <v>5509732.4814156815</v>
      </c>
      <c r="AC267" s="308">
        <f t="shared" si="127"/>
        <v>261.0088627308329</v>
      </c>
      <c r="AD267" s="309">
        <f t="shared" si="120"/>
        <v>60.160662759397148</v>
      </c>
      <c r="AE267" s="107">
        <f t="shared" si="121"/>
        <v>4.574955342919935E-3</v>
      </c>
      <c r="AF267" s="309">
        <f t="shared" si="128"/>
        <v>200.84819997143575</v>
      </c>
      <c r="AG267" s="107">
        <f t="shared" si="122"/>
        <v>1.5273627374253669E-2</v>
      </c>
      <c r="AH267" s="119">
        <f t="shared" si="129"/>
        <v>1.9848582717173605E-2</v>
      </c>
      <c r="AI267" s="122">
        <f t="shared" si="123"/>
        <v>1.9848582717173602E-2</v>
      </c>
      <c r="AJ267" s="87" t="b">
        <f t="shared" si="130"/>
        <v>1</v>
      </c>
      <c r="AK267" s="88">
        <f t="shared" si="108"/>
        <v>5.8263785940652207E-4</v>
      </c>
      <c r="AL267" s="312">
        <f>+AC267/'MWh by month-WgtbyCDH&amp;DayLtHrs'!AC267-1</f>
        <v>-9.6869541687735428E-2</v>
      </c>
      <c r="AM267" s="89">
        <f t="shared" si="124"/>
        <v>327019.93362366699</v>
      </c>
      <c r="AN267" s="93"/>
      <c r="AO267" s="96">
        <f t="shared" si="115"/>
        <v>59.353141867904604</v>
      </c>
      <c r="AP267" s="92">
        <f t="shared" si="114"/>
        <v>4.5135469101068139E-3</v>
      </c>
      <c r="AR267" s="94">
        <f t="shared" si="125"/>
        <v>1.9848582717173602E-2</v>
      </c>
      <c r="AS267" s="95"/>
    </row>
    <row r="268" spans="1:45">
      <c r="A268" s="78">
        <f t="shared" si="111"/>
        <v>2026</v>
      </c>
      <c r="B268" s="78">
        <f t="shared" si="131"/>
        <v>12</v>
      </c>
      <c r="C268" s="317">
        <f>+C256</f>
        <v>0</v>
      </c>
      <c r="D268" s="324">
        <f>D256</f>
        <v>0</v>
      </c>
      <c r="E268" s="321">
        <f>$D268*'MWh Impact Summary'!B$32</f>
        <v>0</v>
      </c>
      <c r="F268" s="321">
        <f>$D268*'MWh Impact Summary'!N$32</f>
        <v>0</v>
      </c>
      <c r="G268" s="321">
        <f>$D268*'MWh Impact Summary'!C$32</f>
        <v>0</v>
      </c>
      <c r="H268" s="321">
        <f>$D268*'MWh Impact Summary'!D$32</f>
        <v>0</v>
      </c>
      <c r="I268" s="321">
        <f>$D268*'MWh Impact Summary'!E$32</f>
        <v>0</v>
      </c>
      <c r="J268" s="104">
        <f>SUM(E268:I268)</f>
        <v>0</v>
      </c>
      <c r="K268" s="298">
        <f t="shared" si="106"/>
        <v>13.483333333333333</v>
      </c>
      <c r="L268" s="300">
        <f>L256</f>
        <v>9.491962923853102E-2</v>
      </c>
      <c r="M268" s="297">
        <f t="shared" si="117"/>
        <v>8.4931506849315067E-2</v>
      </c>
      <c r="N268" s="304">
        <f>$M268*'MWh Impact Summary'!F$32</f>
        <v>199941.99910015031</v>
      </c>
      <c r="O268" s="304">
        <f>$M268*'MWh Impact Summary'!G$32</f>
        <v>40642.014969019139</v>
      </c>
      <c r="P268" s="304">
        <f>$M268*'MWh Impact Summary'!H$32</f>
        <v>12517.757415120317</v>
      </c>
      <c r="Q268" s="320">
        <f>$D268*'MWh Impact Summary'!I$32</f>
        <v>0</v>
      </c>
      <c r="R268" s="304">
        <f>$M268*'MWh Impact Summary'!J$32</f>
        <v>52011.23615889428</v>
      </c>
      <c r="S268" s="304">
        <f>$M268*'MWh Impact Summary'!K$32</f>
        <v>41738.545245949317</v>
      </c>
      <c r="T268" s="304">
        <f>$M268*'MWh Impact Summary'!L$32</f>
        <v>14991.085009939821</v>
      </c>
      <c r="U268" s="304">
        <f>$M268*'MWh Impact Summary'!M$32</f>
        <v>46643.890633818344</v>
      </c>
      <c r="V268" s="304">
        <f>$M268*'LED Impact Forecast'!$H$33+$D268*'LED Impact Forecast'!$J$33</f>
        <v>257032.87895252719</v>
      </c>
      <c r="W268" s="304">
        <f>$M268*'CFL Impact Forecast'!$H$33+$D268*'CFL Impact Forecast'!$J$33</f>
        <v>309781.5485891627</v>
      </c>
      <c r="X268" s="304">
        <f>$M268*'EISA Incand Impact Forecast'!$G$33+$D268*'EISA Incand Impact Forecast'!$I$33</f>
        <v>105075.47855204505</v>
      </c>
      <c r="Y268" s="85">
        <f t="shared" si="118"/>
        <v>1080376.4346266265</v>
      </c>
      <c r="Z268" s="81">
        <f t="shared" si="119"/>
        <v>1080376.4346266265</v>
      </c>
      <c r="AA268" s="81">
        <f>SUM(Z257:Z268)</f>
        <v>21755230.195876308</v>
      </c>
      <c r="AB268" s="262">
        <f>+'MWh by mo-WgtbyActulCDH&amp;Days'!AB268</f>
        <v>5514345.5968124717</v>
      </c>
      <c r="AC268" s="308">
        <f t="shared" si="127"/>
        <v>195.92106001682782</v>
      </c>
      <c r="AD268" s="309">
        <f t="shared" si="120"/>
        <v>0</v>
      </c>
      <c r="AE268" s="107">
        <f t="shared" si="121"/>
        <v>0</v>
      </c>
      <c r="AF268" s="309">
        <f t="shared" si="128"/>
        <v>195.92106001682782</v>
      </c>
      <c r="AG268" s="107">
        <f t="shared" si="122"/>
        <v>1.453061013721838E-2</v>
      </c>
      <c r="AH268" s="119">
        <f t="shared" si="129"/>
        <v>1.453061013721838E-2</v>
      </c>
      <c r="AI268" s="122">
        <f t="shared" si="123"/>
        <v>1.453061013721838E-2</v>
      </c>
      <c r="AJ268" s="87" t="b">
        <f t="shared" si="130"/>
        <v>1</v>
      </c>
      <c r="AK268" s="88">
        <f t="shared" si="108"/>
        <v>5.4491912903028954E-4</v>
      </c>
      <c r="AL268" s="312">
        <f>+AC268/'MWh by month-WgtbyCDH&amp;DayLtHrs'!AC268-1</f>
        <v>-0.27155173426009682</v>
      </c>
      <c r="AM268" s="89">
        <f t="shared" si="124"/>
        <v>309781.5485891627</v>
      </c>
      <c r="AN268" s="90">
        <f>SUM(AM257:AM268)</f>
        <v>4274144.7898707734</v>
      </c>
      <c r="AO268" s="96">
        <f t="shared" si="115"/>
        <v>56.17739097967123</v>
      </c>
      <c r="AP268" s="92">
        <f t="shared" si="114"/>
        <v>4.1664319638816732E-3</v>
      </c>
      <c r="AR268" s="94">
        <f t="shared" si="125"/>
        <v>1.453061013721838E-2</v>
      </c>
      <c r="AS268" s="95"/>
    </row>
    <row r="269" spans="1:45">
      <c r="C269" s="325"/>
      <c r="D269" s="324"/>
      <c r="E269" s="321"/>
      <c r="F269" s="319"/>
      <c r="G269" s="319"/>
      <c r="H269" s="319"/>
      <c r="I269" s="319"/>
      <c r="J269" s="104"/>
      <c r="K269" s="83"/>
      <c r="L269" s="84"/>
      <c r="M269" s="84"/>
      <c r="N269" s="85"/>
      <c r="O269" s="85"/>
      <c r="P269" s="85"/>
      <c r="Q269" s="320"/>
      <c r="R269" s="85"/>
      <c r="S269" s="85"/>
      <c r="T269" s="85"/>
      <c r="U269" s="85"/>
      <c r="V269" s="85"/>
      <c r="W269" s="85"/>
      <c r="X269" s="85"/>
      <c r="Y269" s="85"/>
      <c r="Z269" s="81"/>
      <c r="AA269" s="81"/>
      <c r="AB269" s="81"/>
      <c r="AC269" s="140"/>
      <c r="AD269" s="118"/>
      <c r="AE269" s="107"/>
      <c r="AF269" s="118"/>
      <c r="AG269" s="107"/>
      <c r="AH269" s="119"/>
      <c r="AI269" s="122"/>
      <c r="AJ269" s="87"/>
      <c r="AK269" s="88"/>
      <c r="AM269" s="89"/>
      <c r="AN269" s="90"/>
      <c r="AO269" s="96"/>
      <c r="AP269" s="92"/>
      <c r="AR269" s="94"/>
      <c r="AS269" s="95"/>
    </row>
    <row r="270" spans="1:45">
      <c r="C270" s="325"/>
      <c r="D270" s="324"/>
      <c r="E270" s="321"/>
      <c r="F270" s="319"/>
      <c r="G270" s="319"/>
      <c r="H270" s="319"/>
      <c r="I270" s="319"/>
      <c r="J270" s="104"/>
      <c r="K270" s="83"/>
      <c r="L270" s="84"/>
      <c r="M270" s="84"/>
      <c r="N270" s="85"/>
      <c r="O270" s="85"/>
      <c r="P270" s="85"/>
      <c r="Q270" s="320"/>
      <c r="R270" s="85"/>
      <c r="S270" s="85"/>
      <c r="T270" s="85"/>
      <c r="U270" s="85"/>
      <c r="V270" s="85"/>
      <c r="W270" s="85"/>
      <c r="X270" s="85"/>
      <c r="Y270" s="85"/>
      <c r="Z270" s="81"/>
      <c r="AA270" s="81"/>
      <c r="AB270" s="81"/>
      <c r="AC270" s="140"/>
      <c r="AD270" s="118"/>
      <c r="AE270" s="107"/>
      <c r="AF270" s="118"/>
      <c r="AG270" s="107"/>
      <c r="AH270" s="119"/>
      <c r="AI270" s="122"/>
      <c r="AJ270" s="87"/>
      <c r="AK270" s="88"/>
      <c r="AM270" s="89"/>
      <c r="AN270" s="90"/>
      <c r="AO270" s="96"/>
      <c r="AP270" s="92"/>
      <c r="AR270" s="94"/>
      <c r="AS270" s="95"/>
    </row>
    <row r="271" spans="1:45">
      <c r="F271" s="319"/>
      <c r="J271" s="321">
        <f>SUM(J5:J268)</f>
        <v>93951928.573862955</v>
      </c>
      <c r="L271" s="97"/>
      <c r="M271" s="97"/>
      <c r="N271" s="81"/>
      <c r="O271" s="81"/>
      <c r="P271" s="81"/>
      <c r="Q271" s="319"/>
      <c r="R271" s="81"/>
      <c r="S271" s="81"/>
      <c r="T271" s="81"/>
      <c r="U271" s="81"/>
      <c r="V271" s="81"/>
      <c r="W271" s="81"/>
      <c r="X271" s="81"/>
      <c r="Y271" s="81"/>
      <c r="Z271" s="81">
        <f>SUM(Z5:Z268)</f>
        <v>236435929.49524146</v>
      </c>
      <c r="AA271" s="81"/>
      <c r="AB271" s="81"/>
      <c r="AD271" s="102"/>
      <c r="AI271" s="78"/>
      <c r="AJ271" s="78"/>
      <c r="AK271" s="78"/>
      <c r="AL271" s="102"/>
      <c r="AM271" s="102"/>
    </row>
    <row r="272" spans="1:45">
      <c r="F272" s="319"/>
      <c r="L272" s="97"/>
      <c r="M272" s="97"/>
      <c r="N272" s="81"/>
      <c r="O272" s="81"/>
      <c r="P272" s="81"/>
      <c r="Q272" s="319"/>
      <c r="R272" s="81"/>
      <c r="S272" s="81"/>
      <c r="T272" s="81"/>
      <c r="U272" s="81"/>
      <c r="V272" s="81"/>
      <c r="W272" s="81"/>
      <c r="X272" s="81"/>
      <c r="Y272" s="81"/>
      <c r="Z272" s="81">
        <f>SUM('MWh Impact Summary'!R11:R32)</f>
        <v>236435929.49524158</v>
      </c>
      <c r="AA272" s="103"/>
      <c r="AB272" s="103"/>
      <c r="AC272" s="86">
        <f>SUM(AC5:AC271)</f>
        <v>46554.710450195911</v>
      </c>
      <c r="AD272" s="126">
        <f>SUM(AD5:AD271)</f>
        <v>18573.903730995036</v>
      </c>
      <c r="AF272" s="86">
        <f>SUM(AF5:AF271)</f>
        <v>27980.806719200889</v>
      </c>
      <c r="AG272" s="82"/>
      <c r="AI272" s="78"/>
      <c r="AJ272" s="82"/>
      <c r="AK272" s="124">
        <f>SUM(AK5:AK220)</f>
        <v>0.30889940090196266</v>
      </c>
      <c r="AL272" s="104"/>
      <c r="AP272" s="125">
        <f>SUM(AP5:AP220)</f>
        <v>0.84367419479868377</v>
      </c>
    </row>
    <row r="273" spans="1:39">
      <c r="F273" s="319"/>
      <c r="L273" s="97"/>
      <c r="M273" s="97"/>
      <c r="N273" s="81"/>
      <c r="O273" s="81"/>
      <c r="P273" s="81"/>
      <c r="Q273" s="319"/>
      <c r="R273" s="81"/>
      <c r="S273" s="81"/>
      <c r="T273" s="81"/>
      <c r="U273" s="81"/>
      <c r="V273" s="81"/>
      <c r="W273" s="81"/>
      <c r="X273" s="81"/>
      <c r="Y273" s="81"/>
      <c r="Z273" s="81">
        <f>+Z272-Z271</f>
        <v>0</v>
      </c>
      <c r="AA273" s="105"/>
      <c r="AB273" s="105"/>
      <c r="AD273" s="102"/>
      <c r="AI273" s="78"/>
      <c r="AJ273" s="78"/>
      <c r="AK273" s="78"/>
      <c r="AL273" s="102"/>
      <c r="AM273" s="102"/>
    </row>
    <row r="274" spans="1:39" ht="13.8" thickBot="1">
      <c r="L274" s="97"/>
      <c r="M274" s="97"/>
      <c r="AC274" s="86">
        <f>AF272+AD272</f>
        <v>46554.710450195926</v>
      </c>
      <c r="AD274" s="102"/>
      <c r="AI274" s="78"/>
      <c r="AJ274" s="78"/>
      <c r="AK274" s="78"/>
      <c r="AL274" s="102"/>
      <c r="AM274" s="102"/>
    </row>
    <row r="275" spans="1:39" ht="13.8" thickBot="1">
      <c r="A275" s="78">
        <v>2005</v>
      </c>
      <c r="J275" s="319">
        <f>SUM(J5:J16)</f>
        <v>104508.94023145309</v>
      </c>
      <c r="K275" s="81">
        <f>SUM('MWh Impact Summary'!B11:E11,'MWh Impact Summary'!N11)</f>
        <v>104508.94023145307</v>
      </c>
      <c r="L275" s="97"/>
      <c r="M275" s="97"/>
      <c r="W275" s="81"/>
      <c r="X275" s="81"/>
      <c r="Y275" s="81">
        <f>SUM(Y5:Y16)</f>
        <v>0</v>
      </c>
      <c r="Z275" s="81">
        <f>SUM(Z5:Z16)</f>
        <v>104508.94023145309</v>
      </c>
      <c r="AA275" s="81">
        <f>+Z275-'MWh by month- AllWgtbyCDH'!Y275</f>
        <v>0</v>
      </c>
      <c r="AB275" s="81">
        <f>AVERAGE(AB5:AB16)</f>
        <v>4321895.166666667</v>
      </c>
      <c r="AD275" s="102"/>
      <c r="AI275" s="127" t="s">
        <v>251</v>
      </c>
      <c r="AJ275" s="128">
        <f>SUM('MWh Impact Summary'!M11:M28)</f>
        <v>1635736.7688186388</v>
      </c>
      <c r="AK275" s="129"/>
      <c r="AL275" s="130"/>
      <c r="AM275" s="131">
        <f>SUM(AM5:AM271)</f>
        <v>64652532.055073403</v>
      </c>
    </row>
    <row r="276" spans="1:39">
      <c r="A276" s="78">
        <v>2006</v>
      </c>
      <c r="J276" s="319">
        <f>SUM(J17:J28)</f>
        <v>523995.00862670661</v>
      </c>
      <c r="K276" s="81">
        <f>SUM('MWh Impact Summary'!B12:E12,'MWh Impact Summary'!N12)</f>
        <v>523995.00862670649</v>
      </c>
      <c r="L276" s="97"/>
      <c r="M276" s="97"/>
      <c r="W276" s="81"/>
      <c r="X276" s="81"/>
      <c r="Y276" s="81">
        <f>SUM(Y17:Y28)</f>
        <v>1367.8209417769037</v>
      </c>
      <c r="Z276" s="81">
        <f>SUM(Z17:Z28)</f>
        <v>525362.82956848352</v>
      </c>
      <c r="AA276" s="81">
        <f>+Z276-'MWh by month- AllWgtbyCDH'!Y276</f>
        <v>0</v>
      </c>
      <c r="AB276" s="81">
        <f>AVERAGE(AB17:AB28)</f>
        <v>4409562.5</v>
      </c>
      <c r="AC276" s="86"/>
      <c r="AD276" s="102"/>
      <c r="AF276" s="106"/>
      <c r="AI276" s="78"/>
      <c r="AJ276" s="78"/>
      <c r="AK276" s="78"/>
      <c r="AL276" s="102"/>
      <c r="AM276" s="102"/>
    </row>
    <row r="277" spans="1:39">
      <c r="A277" s="78">
        <v>2007</v>
      </c>
      <c r="J277" s="319">
        <f>SUM(J29:J40)</f>
        <v>939574.41399289889</v>
      </c>
      <c r="K277" s="81">
        <f>SUM('MWh Impact Summary'!B13:E13,'MWh Impact Summary'!N13)</f>
        <v>939574.41399289877</v>
      </c>
      <c r="L277" s="97"/>
      <c r="M277" s="97"/>
      <c r="W277" s="81"/>
      <c r="X277" s="81"/>
      <c r="Y277" s="81">
        <f>SUM(Y29:Y40)</f>
        <v>136056.66988666813</v>
      </c>
      <c r="Z277" s="81">
        <f>SUM(Z29:Z40)</f>
        <v>1075631.083879567</v>
      </c>
      <c r="AA277" s="81">
        <f>+Z277-'MWh by month- AllWgtbyCDH'!Y277</f>
        <v>0</v>
      </c>
      <c r="AB277" s="81">
        <f>AVERAGE(AB29:AB40)</f>
        <v>4496589.333333333</v>
      </c>
      <c r="AD277" s="102"/>
    </row>
    <row r="278" spans="1:39">
      <c r="A278" s="78">
        <v>2008</v>
      </c>
      <c r="J278" s="319">
        <f>SUM(J41:J52)</f>
        <v>1258245.6704983779</v>
      </c>
      <c r="K278" s="81">
        <f>SUM('MWh Impact Summary'!B14:E14,'MWh Impact Summary'!N14)</f>
        <v>1258245.6704983781</v>
      </c>
      <c r="L278" s="97"/>
      <c r="M278" s="97"/>
      <c r="W278" s="81"/>
      <c r="X278" s="81"/>
      <c r="Y278" s="81">
        <f>SUM(Y41:Y52)</f>
        <v>1754902.8614681643</v>
      </c>
      <c r="Z278" s="81">
        <f>SUM(Z41:Z52)</f>
        <v>3013148.5319665433</v>
      </c>
      <c r="AA278" s="81">
        <f>+Z278-'MWh by month- AllWgtbyCDH'!Y278</f>
        <v>0</v>
      </c>
      <c r="AB278" s="81">
        <f>AVERAGE(AB41:AB52)</f>
        <v>4509730.166666667</v>
      </c>
    </row>
    <row r="279" spans="1:39">
      <c r="A279" s="78">
        <v>2009</v>
      </c>
      <c r="J279" s="319">
        <f>SUM(J53:J64)</f>
        <v>1548378.2378467503</v>
      </c>
      <c r="K279" s="81">
        <f>SUM('MWh Impact Summary'!B15:E15,'MWh Impact Summary'!N15)</f>
        <v>1548378.2378467503</v>
      </c>
      <c r="L279" s="97"/>
      <c r="M279" s="97"/>
      <c r="W279" s="81"/>
      <c r="X279" s="81"/>
      <c r="Y279" s="81">
        <f>SUM(Y53:Y64)</f>
        <v>2178220.0368855582</v>
      </c>
      <c r="Z279" s="81">
        <f>SUM(Z53:Z64)</f>
        <v>3726598.2747323085</v>
      </c>
      <c r="AA279" s="81">
        <f>+Z279-'MWh by month- AllWgtbyCDH'!Y279</f>
        <v>0</v>
      </c>
      <c r="AB279" s="81">
        <f>AVERAGE(AB53:AB64)</f>
        <v>4499066.75</v>
      </c>
    </row>
    <row r="280" spans="1:39">
      <c r="A280" s="78">
        <v>2010</v>
      </c>
      <c r="J280" s="319">
        <f>SUM(J65:J76)</f>
        <v>1882877.3064484617</v>
      </c>
      <c r="K280" s="81">
        <f>SUM('MWh Impact Summary'!B16:E16,'MWh Impact Summary'!N16)</f>
        <v>1882877.306448462</v>
      </c>
      <c r="L280" s="97"/>
      <c r="M280" s="97"/>
      <c r="W280" s="81"/>
      <c r="X280" s="81"/>
      <c r="Y280" s="81">
        <f>SUM(Y65:Y76)</f>
        <v>2611128.6782838129</v>
      </c>
      <c r="Z280" s="81">
        <f>SUM(Z65:Z76)</f>
        <v>4494005.9847322749</v>
      </c>
      <c r="AA280" s="81">
        <f>+Z280-'MWh by month- AllWgtbyCDH'!Y280</f>
        <v>0</v>
      </c>
      <c r="AB280" s="81">
        <f>AVERAGE(AB65:AB76)</f>
        <v>4520327.666666667</v>
      </c>
    </row>
    <row r="281" spans="1:39">
      <c r="A281" s="78">
        <v>2011</v>
      </c>
      <c r="J281" s="319">
        <f>SUM(J77:J88)</f>
        <v>2255529.3516428825</v>
      </c>
      <c r="K281" s="81">
        <f>SUM('MWh Impact Summary'!B17:E17,'MWh Impact Summary'!N17)</f>
        <v>2255529.3516428825</v>
      </c>
      <c r="L281" s="97"/>
      <c r="M281" s="97"/>
      <c r="W281" s="81"/>
      <c r="X281" s="81"/>
      <c r="Y281" s="81">
        <f>SUM(Y77:Y88)</f>
        <v>3035487.0522158351</v>
      </c>
      <c r="Z281" s="81">
        <f>SUM(Z77:Z88)</f>
        <v>5291016.4038587166</v>
      </c>
      <c r="AA281" s="81">
        <f>+Z281-'MWh by month- AllWgtbyCDH'!Y281</f>
        <v>0</v>
      </c>
      <c r="AB281" s="81">
        <f>AVERAGE(AB77:AB88)</f>
        <v>4547050.833333333</v>
      </c>
    </row>
    <row r="282" spans="1:39">
      <c r="A282" s="78">
        <v>2012</v>
      </c>
      <c r="J282" s="319">
        <f>SUM(J89:J100)</f>
        <v>2633605.7732989891</v>
      </c>
      <c r="K282" s="81">
        <f>SUM('MWh Impact Summary'!B18:E18,'MWh Impact Summary'!N18)</f>
        <v>2633605.77329899</v>
      </c>
      <c r="L282" s="97"/>
      <c r="M282" s="97"/>
      <c r="W282" s="81"/>
      <c r="X282" s="81"/>
      <c r="Y282" s="81">
        <f>SUM(Y89:Y100)</f>
        <v>3434526.8863944178</v>
      </c>
      <c r="Z282" s="81">
        <f>SUM(Z89:Z100)</f>
        <v>6068132.6596934069</v>
      </c>
      <c r="AA282" s="81">
        <f>+Z282-'MWh by month- AllWgtbyCDH'!Y282</f>
        <v>0</v>
      </c>
      <c r="AB282" s="81">
        <f>AVERAGE(AB89:AB100)</f>
        <v>4576448.666666667</v>
      </c>
    </row>
    <row r="283" spans="1:39">
      <c r="A283" s="78">
        <v>2013</v>
      </c>
      <c r="J283" s="319">
        <f>SUM(J101:J112)</f>
        <v>3036742.4276550994</v>
      </c>
      <c r="K283" s="81">
        <f>SUM('MWh Impact Summary'!B19:E19,'MWh Impact Summary'!N19)</f>
        <v>3036742.4276550999</v>
      </c>
      <c r="W283" s="81"/>
      <c r="X283" s="81"/>
      <c r="Y283" s="81">
        <f>SUM(Y101:Y112)</f>
        <v>4155744.3509899336</v>
      </c>
      <c r="Z283" s="81">
        <f>SUM(Z101:Z112)</f>
        <v>7192486.778645033</v>
      </c>
      <c r="AA283" s="81">
        <f>+Z283-'MWh by month- AllWgtbyCDH'!Y283</f>
        <v>0</v>
      </c>
      <c r="AB283" s="81">
        <f>AVERAGE(AB101:AB112)</f>
        <v>4626934.333333333</v>
      </c>
    </row>
    <row r="284" spans="1:39">
      <c r="A284" s="78">
        <v>2014</v>
      </c>
      <c r="J284" s="319">
        <f>SUM(J113:J124)</f>
        <v>3474083.7080153469</v>
      </c>
      <c r="K284" s="81">
        <f>SUM('MWh Impact Summary'!B20:E20,'MWh Impact Summary'!N20)</f>
        <v>3474083.7080153474</v>
      </c>
      <c r="W284" s="81"/>
      <c r="X284" s="81"/>
      <c r="Y284" s="81">
        <f>SUM(Y113:Y124)</f>
        <v>4910864.7329712622</v>
      </c>
      <c r="Z284" s="81">
        <f>SUM(Z113:Z124)</f>
        <v>8384948.4409866082</v>
      </c>
      <c r="AA284" s="81">
        <f>+Z284-'MWh by month- AllWgtbyCDH'!Y284</f>
        <v>0</v>
      </c>
      <c r="AB284" s="81">
        <f>AVERAGE(AB113:AB124)</f>
        <v>4708829.333333333</v>
      </c>
    </row>
    <row r="285" spans="1:39">
      <c r="A285" s="78">
        <v>2015</v>
      </c>
      <c r="J285" s="319">
        <f>SUM(J125:J136)</f>
        <v>4039997.9425893631</v>
      </c>
      <c r="K285" s="81">
        <f>SUM('MWh Impact Summary'!B21:E21,'MWh Impact Summary'!N21)</f>
        <v>4039997.9425893626</v>
      </c>
      <c r="W285" s="81"/>
      <c r="X285" s="81"/>
      <c r="Y285" s="81">
        <f>SUM(Y125:Y136)</f>
        <v>5800287.9445377765</v>
      </c>
      <c r="Z285" s="81">
        <f>SUM(Z125:Z136)</f>
        <v>9840285.8871271405</v>
      </c>
      <c r="AA285" s="81">
        <f>+Z285-'MWh by month- AllWgtbyCDH'!Y285</f>
        <v>0</v>
      </c>
      <c r="AB285" s="81">
        <f>AVERAGE(AB125:AB136)</f>
        <v>4780487.4751066575</v>
      </c>
    </row>
    <row r="286" spans="1:39">
      <c r="A286" s="78">
        <v>2016</v>
      </c>
      <c r="J286" s="319">
        <f>SUM(J137:J148)</f>
        <v>4575939.1961389175</v>
      </c>
      <c r="K286" s="81">
        <f>SUM('MWh Impact Summary'!B22:E22,'MWh Impact Summary'!N22)</f>
        <v>4575939.1961389165</v>
      </c>
      <c r="W286" s="81"/>
      <c r="X286" s="81"/>
      <c r="Y286" s="81">
        <f>SUM(Y137:Y148)</f>
        <v>6619830.477604825</v>
      </c>
      <c r="Z286" s="81">
        <f>SUM(Z137:Z148)</f>
        <v>11195769.673743742</v>
      </c>
      <c r="AA286" s="81">
        <f>+Z286-'MWh by month- AllWgtbyCDH'!Y286</f>
        <v>0</v>
      </c>
      <c r="AB286" s="81">
        <f>AVERAGE(AB137:AB148)</f>
        <v>4852827.4973874111</v>
      </c>
    </row>
    <row r="287" spans="1:39">
      <c r="A287" s="78">
        <v>2017</v>
      </c>
      <c r="J287" s="319">
        <f>SUM(J149:J160)</f>
        <v>5107282.6344742095</v>
      </c>
      <c r="K287" s="81">
        <f>SUM('MWh Impact Summary'!B23:E23,'MWh Impact Summary'!N23)</f>
        <v>5107282.6344742095</v>
      </c>
      <c r="W287" s="81"/>
      <c r="X287" s="81"/>
      <c r="Y287" s="81">
        <f>SUM(Y149:Y160)</f>
        <v>7476087.5976180397</v>
      </c>
      <c r="Z287" s="81">
        <f>SUM(Z149:Z160)</f>
        <v>12583370.232092248</v>
      </c>
      <c r="AA287" s="81">
        <f>+Z287-'MWh by month- AllWgtbyCDH'!Y287</f>
        <v>0</v>
      </c>
      <c r="AB287" s="81">
        <f>AVERAGE(AB149:AB160)</f>
        <v>4922917.6134850439</v>
      </c>
    </row>
    <row r="288" spans="1:39">
      <c r="A288" s="78">
        <v>2018</v>
      </c>
      <c r="J288" s="319">
        <f>SUM(J161:J172)</f>
        <v>5645813.9724402977</v>
      </c>
      <c r="K288" s="81">
        <f>SUM('MWh Impact Summary'!B24:E24,'MWh Impact Summary'!N24)</f>
        <v>5645813.9724402977</v>
      </c>
      <c r="W288" s="81"/>
      <c r="X288" s="81"/>
      <c r="Y288" s="81">
        <f>SUM(Y161:Y172)</f>
        <v>8121182.6862091804</v>
      </c>
      <c r="Z288" s="81">
        <f>SUM(Z161:Z172)</f>
        <v>13766996.65864948</v>
      </c>
      <c r="AA288" s="81">
        <f>+Z288-'MWh by month- AllWgtbyCDH'!Y288</f>
        <v>0</v>
      </c>
      <c r="AB288" s="81">
        <f>AVERAGE(AB161:AB172)</f>
        <v>4991658.9753791485</v>
      </c>
    </row>
    <row r="289" spans="1:28">
      <c r="A289" s="78">
        <v>2019</v>
      </c>
      <c r="J289" s="319">
        <f>SUM(J173:J184)</f>
        <v>6178818.5956216045</v>
      </c>
      <c r="K289" s="81">
        <f>SUM('MWh Impact Summary'!B25:E25,'MWh Impact Summary'!N25)</f>
        <v>6178818.5956216045</v>
      </c>
      <c r="W289" s="81"/>
      <c r="X289" s="81"/>
      <c r="Y289" s="81">
        <f>SUM(Y173:Y184)</f>
        <v>8825351.2505414505</v>
      </c>
      <c r="Z289" s="81">
        <f>SUM(Z173:Z184)</f>
        <v>15004169.846163055</v>
      </c>
      <c r="AA289" s="81">
        <f>+Z289-'MWh by month- AllWgtbyCDH'!Y289</f>
        <v>0</v>
      </c>
      <c r="AB289" s="81">
        <f>AVERAGE(AB173:AB184)</f>
        <v>5058945.3176616272</v>
      </c>
    </row>
    <row r="290" spans="1:28">
      <c r="A290" s="78">
        <v>2020</v>
      </c>
      <c r="J290" s="319">
        <f>SUM(J185:J196)</f>
        <v>6602699.0569757419</v>
      </c>
      <c r="K290" s="81">
        <f>SUM('MWh Impact Summary'!B26:E26,'MWh Impact Summary'!N26)</f>
        <v>6602699.0569757428</v>
      </c>
      <c r="W290" s="81"/>
      <c r="X290" s="81"/>
      <c r="Y290" s="81">
        <f>SUM(Y185:Y196)</f>
        <v>9551225.2281682678</v>
      </c>
      <c r="Z290" s="81">
        <f>SUM(Z185:Z196)</f>
        <v>16153924.285144012</v>
      </c>
      <c r="AA290" s="81">
        <f>+Z290-'MWh by month- AllWgtbyCDH'!Y290</f>
        <v>0</v>
      </c>
      <c r="AB290" s="81">
        <f>AVERAGE(AB185:AB196)</f>
        <v>5123908.5663745506</v>
      </c>
    </row>
    <row r="291" spans="1:28">
      <c r="A291" s="78">
        <v>2021</v>
      </c>
      <c r="J291" s="319">
        <f>SUM(J197:J208)</f>
        <v>6943997.2699917369</v>
      </c>
      <c r="K291" s="81">
        <f>SUM('MWh Impact Summary'!B27:E27,'MWh Impact Summary'!N27)</f>
        <v>6943997.2699917359</v>
      </c>
      <c r="W291" s="81"/>
      <c r="X291" s="81"/>
      <c r="Y291" s="81">
        <f>SUM(Y197:Y208)</f>
        <v>10259823.684878606</v>
      </c>
      <c r="Z291" s="81">
        <f>SUM(Z197:Z208)</f>
        <v>17203820.954870343</v>
      </c>
      <c r="AA291" s="81">
        <f>+Z291-'MWh by month- AllWgtbyCDH'!Y291</f>
        <v>0</v>
      </c>
      <c r="AB291" s="81">
        <f>AVERAGE(AB197:AB208)</f>
        <v>5185332.6771582505</v>
      </c>
    </row>
    <row r="292" spans="1:28">
      <c r="A292" s="78">
        <v>2022</v>
      </c>
      <c r="J292" s="319">
        <f>SUM(J209:J220)</f>
        <v>7269834.1270947875</v>
      </c>
      <c r="K292" s="81">
        <f>SUM('MWh Impact Summary'!B28:E28,'MWh Impact Summary'!N28)</f>
        <v>7269834.1270947866</v>
      </c>
      <c r="W292" s="81"/>
      <c r="X292" s="81"/>
      <c r="Y292" s="81">
        <f>SUM(Y209:Y220)</f>
        <v>11195704.039134976</v>
      </c>
      <c r="Z292" s="81">
        <f>SUM(Z209:Z220)</f>
        <v>18465538.166229766</v>
      </c>
      <c r="AA292" s="81">
        <f>+Z292-'MWh by month- AllWgtbyCDH'!Y292</f>
        <v>0</v>
      </c>
      <c r="AB292" s="81">
        <f>AVERAGE(AB209:AB220)</f>
        <v>5247054.0847409368</v>
      </c>
    </row>
    <row r="293" spans="1:28">
      <c r="A293" s="78">
        <v>2023</v>
      </c>
      <c r="J293" s="319">
        <f>SUM(J221:J232)</f>
        <v>7370166.7033470888</v>
      </c>
      <c r="K293" s="81">
        <f>SUM('MWh Impact Summary'!B29:E29,'MWh Impact Summary'!N29)</f>
        <v>7370166.7033470906</v>
      </c>
      <c r="W293" s="81"/>
      <c r="X293" s="81"/>
      <c r="Y293" s="81">
        <f>SUM(Y221:Y232)</f>
        <v>12030375.656389676</v>
      </c>
      <c r="Z293" s="81">
        <f>SUM(Z221:Z232)</f>
        <v>19400542.359736763</v>
      </c>
      <c r="AA293" s="81">
        <f>+Z293-'MWh by month- AllWgtbyCDH'!Y293</f>
        <v>0</v>
      </c>
      <c r="AB293" s="81">
        <f>AVERAGE(AB221:AB232)</f>
        <v>5309376.0310086822</v>
      </c>
    </row>
    <row r="294" spans="1:28">
      <c r="A294" s="78">
        <v>2024</v>
      </c>
      <c r="J294" s="319">
        <f>SUM(J233:J244)</f>
        <v>7410651.0960631929</v>
      </c>
      <c r="K294" s="81">
        <f>SUM('MWh Impact Summary'!B30:E30,'MWh Impact Summary'!N30)</f>
        <v>7410651.096063192</v>
      </c>
      <c r="W294" s="81"/>
      <c r="X294" s="81"/>
      <c r="Y294" s="81">
        <f>SUM(Y233:Y244)</f>
        <v>12783060.419189345</v>
      </c>
      <c r="Z294" s="81">
        <f>SUM(Z233:Z244)</f>
        <v>20193711.515252538</v>
      </c>
      <c r="AA294" s="81">
        <f>+Z294-'MWh by month- AllWgtbyCDH'!Y294</f>
        <v>0</v>
      </c>
      <c r="AB294" s="81">
        <f>AVERAGE(AB233:AB244)</f>
        <v>5372352.5973116057</v>
      </c>
    </row>
    <row r="295" spans="1:28">
      <c r="A295" s="78">
        <v>2025</v>
      </c>
      <c r="J295" s="319">
        <f>SUM(J245:J256)</f>
        <v>7520575.047466578</v>
      </c>
      <c r="K295" s="81">
        <f>SUM('MWh Impact Summary'!B31:E31,'MWh Impact Summary'!N31)</f>
        <v>7520575.0474665752</v>
      </c>
      <c r="W295" s="81"/>
      <c r="X295" s="81"/>
      <c r="Y295" s="81">
        <f>SUM(Y245:Y256)</f>
        <v>13476154.744595224</v>
      </c>
      <c r="Z295" s="81">
        <f>SUM(Z245:Z256)</f>
        <v>20996729.792061802</v>
      </c>
      <c r="AA295" s="81">
        <f>+Z295-'MWh by month- AllWgtbyCDH'!Y295</f>
        <v>0</v>
      </c>
      <c r="AB295" s="81">
        <f>AVERAGE(AB245:AB256)</f>
        <v>5433671.8395568365</v>
      </c>
    </row>
    <row r="296" spans="1:28">
      <c r="A296" s="78">
        <v>2026</v>
      </c>
      <c r="J296" s="319">
        <f>SUM(J257:J268)</f>
        <v>7628612.0934024528</v>
      </c>
      <c r="K296" s="81">
        <f>SUM('MWh Impact Summary'!B32:E32,'MWh Impact Summary'!N32)</f>
        <v>7628612.0934024528</v>
      </c>
      <c r="W296" s="81"/>
      <c r="X296" s="81"/>
      <c r="Y296" s="81">
        <f>SUM(Y257:Y268)</f>
        <v>14126618.102473849</v>
      </c>
      <c r="Z296" s="81">
        <f>SUM(Z257:Z268)</f>
        <v>21755230.195876308</v>
      </c>
      <c r="AA296" s="81">
        <f>+Z296-'MWh by month- AllWgtbyCDH'!Y296</f>
        <v>0</v>
      </c>
      <c r="AB296" s="81">
        <f>AVERAGE(AB257:AB268)</f>
        <v>5489001.9422878725</v>
      </c>
    </row>
    <row r="298" spans="1:28">
      <c r="J298" s="319">
        <f>SUM(J275:J296)</f>
        <v>93951928.57386294</v>
      </c>
      <c r="K298" s="81">
        <f>SUM(K275:K296)</f>
        <v>93951928.57386294</v>
      </c>
      <c r="L298" s="81">
        <f>+K298-J298</f>
        <v>0</v>
      </c>
      <c r="M298" s="81"/>
    </row>
  </sheetData>
  <pageMargins left="0.75" right="0.75" top="1" bottom="1" header="0.5" footer="0.5"/>
  <pageSetup orientation="portrait" r:id="rId1"/>
  <headerFooter alignWithMargins="0"/>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U298"/>
  <sheetViews>
    <sheetView zoomScale="75" zoomScaleNormal="75" workbookViewId="0">
      <pane xSplit="2" ySplit="4" topLeftCell="C5" activePane="bottomRight" state="frozen"/>
      <selection activeCell="AB18" sqref="AB18"/>
      <selection pane="topRight" activeCell="AB18" sqref="AB18"/>
      <selection pane="bottomLeft" activeCell="AB18" sqref="AB18"/>
      <selection pane="bottomRight" activeCell="A2" sqref="A1:A2"/>
    </sheetView>
  </sheetViews>
  <sheetFormatPr defaultColWidth="9.109375" defaultRowHeight="13.2"/>
  <cols>
    <col min="1" max="1" width="12.21875" style="78" customWidth="1"/>
    <col min="2" max="2" width="9.109375" style="78"/>
    <col min="3" max="3" width="18.109375" style="102" customWidth="1"/>
    <col min="4" max="4" width="10.6640625" style="102" customWidth="1"/>
    <col min="5" max="5" width="19.5546875" style="102" customWidth="1"/>
    <col min="6" max="6" width="19.6640625" style="102" customWidth="1"/>
    <col min="7" max="7" width="17.109375" style="102" customWidth="1"/>
    <col min="8" max="8" width="18" style="102" customWidth="1"/>
    <col min="9" max="9" width="19" style="102" bestFit="1" customWidth="1"/>
    <col min="10" max="10" width="19.5546875" style="102" customWidth="1"/>
    <col min="11" max="11" width="14.109375" style="78" customWidth="1"/>
    <col min="12" max="12" width="14.33203125" style="78" customWidth="1"/>
    <col min="13" max="13" width="19.44140625" style="78" customWidth="1"/>
    <col min="14" max="14" width="17.33203125" style="78" customWidth="1"/>
    <col min="15" max="15" width="19.6640625" style="78" customWidth="1"/>
    <col min="16" max="16" width="17.109375" style="78" customWidth="1"/>
    <col min="17" max="17" width="19" style="78" customWidth="1"/>
    <col min="18" max="20" width="15.6640625" style="78" customWidth="1"/>
    <col min="21" max="25" width="19.6640625" style="78" customWidth="1"/>
    <col min="26" max="26" width="13" style="78" customWidth="1"/>
    <col min="27" max="30" width="15.44140625" style="78" customWidth="1"/>
    <col min="31" max="31" width="17.6640625" style="78" customWidth="1"/>
    <col min="32" max="33" width="17.5546875" style="78" customWidth="1"/>
    <col min="34" max="34" width="19.33203125" style="78" customWidth="1"/>
    <col min="35" max="35" width="19.44140625" style="102" customWidth="1"/>
    <col min="36" max="37" width="17.88671875" style="102" customWidth="1"/>
    <col min="38" max="38" width="21" style="78" customWidth="1"/>
    <col min="39" max="39" width="12.88671875" style="78" customWidth="1"/>
    <col min="40" max="41" width="15.44140625" style="78" customWidth="1"/>
    <col min="42" max="42" width="17.5546875" style="78" customWidth="1"/>
    <col min="43" max="43" width="10.6640625" style="78" bestFit="1" customWidth="1"/>
    <col min="44" max="44" width="22.33203125" style="78" customWidth="1"/>
    <col min="45" max="45" width="20.6640625" style="78" customWidth="1"/>
    <col min="46" max="46" width="9.109375" style="78"/>
    <col min="47" max="47" width="15" style="141" customWidth="1"/>
    <col min="48" max="16384" width="9.109375" style="78"/>
  </cols>
  <sheetData>
    <row r="1" spans="1:47">
      <c r="A1" s="416" t="s">
        <v>386</v>
      </c>
    </row>
    <row r="2" spans="1:47">
      <c r="A2" s="416" t="s">
        <v>380</v>
      </c>
    </row>
    <row r="3" spans="1:47" s="62" customFormat="1" ht="52.8">
      <c r="C3" s="294" t="s">
        <v>248</v>
      </c>
      <c r="D3" s="314" t="s">
        <v>364</v>
      </c>
      <c r="E3" s="315" t="s">
        <v>23</v>
      </c>
      <c r="F3" s="316" t="s">
        <v>169</v>
      </c>
      <c r="G3" s="315" t="s">
        <v>43</v>
      </c>
      <c r="H3" s="315" t="s">
        <v>187</v>
      </c>
      <c r="I3" s="315" t="s">
        <v>95</v>
      </c>
      <c r="J3" s="294" t="s">
        <v>228</v>
      </c>
      <c r="K3" s="272" t="s">
        <v>363</v>
      </c>
      <c r="L3" s="273" t="s">
        <v>365</v>
      </c>
      <c r="M3" s="274" t="s">
        <v>367</v>
      </c>
      <c r="N3" s="276" t="s">
        <v>59</v>
      </c>
      <c r="O3" s="276" t="s">
        <v>353</v>
      </c>
      <c r="P3" s="276" t="s">
        <v>70</v>
      </c>
      <c r="Q3" s="277" t="s">
        <v>89</v>
      </c>
      <c r="R3" s="277" t="s">
        <v>129</v>
      </c>
      <c r="S3" s="277" t="s">
        <v>327</v>
      </c>
      <c r="T3" s="277" t="s">
        <v>146</v>
      </c>
      <c r="U3" s="277" t="s">
        <v>147</v>
      </c>
      <c r="V3" s="277" t="s">
        <v>261</v>
      </c>
      <c r="W3" s="277" t="s">
        <v>212</v>
      </c>
      <c r="X3" s="277" t="s">
        <v>214</v>
      </c>
      <c r="Y3" s="294" t="s">
        <v>229</v>
      </c>
      <c r="Z3" s="279" t="s">
        <v>230</v>
      </c>
      <c r="AA3" s="279" t="s">
        <v>230</v>
      </c>
      <c r="AB3" s="279"/>
      <c r="AC3" s="305" t="s">
        <v>256</v>
      </c>
      <c r="AD3" s="306" t="s">
        <v>228</v>
      </c>
      <c r="AE3" s="280" t="s">
        <v>228</v>
      </c>
      <c r="AF3" s="305" t="s">
        <v>229</v>
      </c>
      <c r="AG3" s="281" t="s">
        <v>229</v>
      </c>
      <c r="AH3" s="280" t="s">
        <v>230</v>
      </c>
      <c r="AI3" s="282" t="s">
        <v>230</v>
      </c>
      <c r="AJ3" s="282"/>
      <c r="AK3" s="283" t="s">
        <v>230</v>
      </c>
      <c r="AL3" s="311" t="s">
        <v>369</v>
      </c>
      <c r="AM3" s="285" t="s">
        <v>231</v>
      </c>
      <c r="AN3" s="286"/>
      <c r="AO3" s="285" t="s">
        <v>231</v>
      </c>
      <c r="AP3" s="287"/>
      <c r="AQ3" s="284"/>
      <c r="AR3" s="281" t="s">
        <v>250</v>
      </c>
      <c r="AS3" s="281" t="s">
        <v>232</v>
      </c>
      <c r="AT3" s="284"/>
      <c r="AU3" s="288" t="s">
        <v>259</v>
      </c>
    </row>
    <row r="4" spans="1:47" s="62" customFormat="1" ht="39.6">
      <c r="C4" s="283"/>
      <c r="D4" s="283" t="s">
        <v>233</v>
      </c>
      <c r="E4" s="283" t="s">
        <v>234</v>
      </c>
      <c r="F4" s="283" t="s">
        <v>234</v>
      </c>
      <c r="G4" s="283" t="s">
        <v>234</v>
      </c>
      <c r="H4" s="283" t="s">
        <v>235</v>
      </c>
      <c r="I4" s="283" t="s">
        <v>234</v>
      </c>
      <c r="J4" s="283" t="s">
        <v>234</v>
      </c>
      <c r="K4" s="289"/>
      <c r="L4" s="272" t="s">
        <v>233</v>
      </c>
      <c r="M4" s="290" t="s">
        <v>233</v>
      </c>
      <c r="N4" s="290" t="s">
        <v>234</v>
      </c>
      <c r="O4" s="290"/>
      <c r="P4" s="290" t="s">
        <v>234</v>
      </c>
      <c r="Q4" s="290" t="s">
        <v>234</v>
      </c>
      <c r="R4" s="290" t="s">
        <v>234</v>
      </c>
      <c r="S4" s="290"/>
      <c r="T4" s="290" t="s">
        <v>234</v>
      </c>
      <c r="U4" s="290" t="s">
        <v>234</v>
      </c>
      <c r="V4" s="290"/>
      <c r="W4" s="290" t="s">
        <v>234</v>
      </c>
      <c r="X4" s="290" t="s">
        <v>234</v>
      </c>
      <c r="Y4" s="291" t="s">
        <v>234</v>
      </c>
      <c r="Z4" s="292" t="s">
        <v>236</v>
      </c>
      <c r="AA4" s="292" t="s">
        <v>237</v>
      </c>
      <c r="AB4" s="292" t="s">
        <v>246</v>
      </c>
      <c r="AC4" s="307" t="s">
        <v>238</v>
      </c>
      <c r="AD4" s="307" t="s">
        <v>238</v>
      </c>
      <c r="AE4" s="281" t="s">
        <v>239</v>
      </c>
      <c r="AF4" s="307" t="s">
        <v>238</v>
      </c>
      <c r="AG4" s="281" t="s">
        <v>239</v>
      </c>
      <c r="AH4" s="281" t="s">
        <v>239</v>
      </c>
      <c r="AI4" s="293" t="s">
        <v>239</v>
      </c>
      <c r="AJ4" s="293"/>
      <c r="AK4" s="294" t="s">
        <v>240</v>
      </c>
      <c r="AL4" s="311" t="s">
        <v>368</v>
      </c>
      <c r="AM4" s="286" t="s">
        <v>241</v>
      </c>
      <c r="AN4" s="286" t="s">
        <v>104</v>
      </c>
      <c r="AO4" s="286" t="s">
        <v>238</v>
      </c>
      <c r="AP4" s="295" t="s">
        <v>239</v>
      </c>
      <c r="AQ4" s="284"/>
      <c r="AR4" s="281" t="s">
        <v>239</v>
      </c>
      <c r="AS4" s="281" t="s">
        <v>234</v>
      </c>
      <c r="AT4" s="284"/>
      <c r="AU4" s="296" t="s">
        <v>258</v>
      </c>
    </row>
    <row r="5" spans="1:47">
      <c r="A5" s="78">
        <v>2005</v>
      </c>
      <c r="B5" s="78">
        <v>1</v>
      </c>
      <c r="C5" s="317">
        <v>26.112829868525239</v>
      </c>
      <c r="D5" s="318">
        <f t="shared" ref="D5:D16" si="0">C5/(SUM(C$5:C$16))</f>
        <v>1.3280829182176284E-2</v>
      </c>
      <c r="E5" s="102">
        <f>$D5*'MWh Impact Summary'!B$11</f>
        <v>0</v>
      </c>
      <c r="F5" s="319">
        <f>$D5*'MWh Impact Summary'!N$11</f>
        <v>0</v>
      </c>
      <c r="G5" s="319">
        <f>$D5*'MWh Impact Summary'!C$11</f>
        <v>771.55365860638869</v>
      </c>
      <c r="H5" s="319">
        <f>$D5*'MWh Impact Summary'!D$11</f>
        <v>0</v>
      </c>
      <c r="I5" s="319">
        <f>$D5*'MWh Impact Summary'!E$11</f>
        <v>616.41172461781036</v>
      </c>
      <c r="J5" s="104">
        <f>SUM(E5:I5)</f>
        <v>1387.9653832241991</v>
      </c>
      <c r="K5" s="298">
        <v>13.3</v>
      </c>
      <c r="L5" s="299">
        <f t="shared" ref="L5:L14" si="1">K5/(SUM(K$5:K$16))</f>
        <v>9.3629003871876101E-2</v>
      </c>
      <c r="M5" s="297">
        <f>(31/365)</f>
        <v>8.4931506849315067E-2</v>
      </c>
      <c r="N5" s="303">
        <f>$M5*'MWh Impact Summary'!F$11</f>
        <v>0</v>
      </c>
      <c r="O5" s="303">
        <f>$M5*'MWh Impact Summary'!G$11</f>
        <v>0</v>
      </c>
      <c r="P5" s="303">
        <f>$M5*'MWh Impact Summary'!H$11</f>
        <v>0</v>
      </c>
      <c r="Q5" s="303">
        <f>$M5*'MWh Impact Summary'!I$11</f>
        <v>0</v>
      </c>
      <c r="R5" s="303">
        <f>$M5*'MWh Impact Summary'!J$11</f>
        <v>0</v>
      </c>
      <c r="S5" s="303">
        <f>$M5*'MWh Impact Summary'!K$11</f>
        <v>0</v>
      </c>
      <c r="T5" s="303">
        <f>$M5*'MWh Impact Summary'!L$11</f>
        <v>0</v>
      </c>
      <c r="U5" s="303">
        <f>$M5*'MWh Impact Summary'!M$11</f>
        <v>0</v>
      </c>
      <c r="V5" s="303">
        <f>$M5*'MWh Impact Summary'!O$11</f>
        <v>0</v>
      </c>
      <c r="W5" s="303">
        <f>$M5*'MWh Impact Summary'!P$11</f>
        <v>0</v>
      </c>
      <c r="X5" s="303">
        <f>$M5*'MWh Impact Summary'!Q$11</f>
        <v>0</v>
      </c>
      <c r="Y5" s="85">
        <f t="shared" ref="Y5:Y68" si="2">SUM(N5:X5)</f>
        <v>0</v>
      </c>
      <c r="Z5" s="81">
        <f t="shared" ref="Z5:Z68" si="3">Y5+J5</f>
        <v>1387.9653832241991</v>
      </c>
      <c r="AA5" s="81"/>
      <c r="AB5" s="81">
        <f>+'MWh by mo-WgtbyActulCDH&amp;Days'!AB5</f>
        <v>4272459</v>
      </c>
      <c r="AC5" s="308">
        <f>+Z5*1000/AB5</f>
        <v>0.32486335930296795</v>
      </c>
      <c r="AD5" s="309">
        <f t="shared" ref="AD5:AD68" si="4">+J5*1000/AB5</f>
        <v>0.32486335930296795</v>
      </c>
      <c r="AE5" s="107">
        <f t="shared" ref="AE5:AE68" si="5">+AD5/K5/1000</f>
        <v>2.4425816488944957E-5</v>
      </c>
      <c r="AF5" s="309">
        <f>+Y5*1000/AB5</f>
        <v>0</v>
      </c>
      <c r="AG5" s="107">
        <f t="shared" ref="AG5:AG68" si="6">+AF5/K5/1000</f>
        <v>0</v>
      </c>
      <c r="AH5" s="119">
        <f>AE5+AG5</f>
        <v>2.4425816488944957E-5</v>
      </c>
      <c r="AI5" s="122">
        <f t="shared" ref="AI5:AI68" si="7">+AC5/K5/1000</f>
        <v>2.4425816488944957E-5</v>
      </c>
      <c r="AJ5" s="87" t="b">
        <f>AH5=AI5</f>
        <v>1</v>
      </c>
      <c r="AK5" s="88">
        <f t="shared" ref="AK5:AK16" si="8">AI5</f>
        <v>2.4425816488944957E-5</v>
      </c>
      <c r="AL5" s="312">
        <f>+AC5/'MWh by month-WgtbyCDH&amp;DayLtHrs'!AC5-1</f>
        <v>0</v>
      </c>
      <c r="AM5" s="89">
        <f t="shared" ref="AM5:AM68" si="9">+W5</f>
        <v>0</v>
      </c>
      <c r="AN5" s="90"/>
      <c r="AO5" s="91"/>
      <c r="AP5" s="92"/>
      <c r="AR5" s="94">
        <f t="shared" ref="AR5:AR68" si="10">AI5</f>
        <v>2.4425816488944957E-5</v>
      </c>
      <c r="AS5" s="95">
        <v>1374.7828602320258</v>
      </c>
      <c r="AU5" s="141">
        <v>0.32486335930296795</v>
      </c>
    </row>
    <row r="6" spans="1:47">
      <c r="A6" s="78">
        <v>2005</v>
      </c>
      <c r="B6" s="78">
        <v>2</v>
      </c>
      <c r="C6" s="317">
        <v>35.042184420393127</v>
      </c>
      <c r="D6" s="318">
        <f t="shared" si="0"/>
        <v>1.7822245532205266E-2</v>
      </c>
      <c r="E6" s="102">
        <f>$D6*'MWh Impact Summary'!B$11</f>
        <v>0</v>
      </c>
      <c r="F6" s="319">
        <f>$D6*'MWh Impact Summary'!N$11</f>
        <v>0</v>
      </c>
      <c r="G6" s="319">
        <f>$D6*'MWh Impact Summary'!C$11</f>
        <v>1035.388570723341</v>
      </c>
      <c r="H6" s="319">
        <f>$D6*'MWh Impact Summary'!D$11</f>
        <v>0</v>
      </c>
      <c r="I6" s="319">
        <f>$D6*'MWh Impact Summary'!E$11</f>
        <v>827.19542239218094</v>
      </c>
      <c r="J6" s="104">
        <f t="shared" ref="J6:J69" si="11">SUM(E6:I6)</f>
        <v>1862.5839931155219</v>
      </c>
      <c r="K6" s="298">
        <v>12.733333333333333</v>
      </c>
      <c r="L6" s="299">
        <f t="shared" si="1"/>
        <v>8.9639798193124468E-2</v>
      </c>
      <c r="M6" s="297">
        <f>(28/365)</f>
        <v>7.6712328767123292E-2</v>
      </c>
      <c r="N6" s="303">
        <f>$M6*'MWh Impact Summary'!F$11</f>
        <v>0</v>
      </c>
      <c r="O6" s="303">
        <f>$M6*'MWh Impact Summary'!G$11</f>
        <v>0</v>
      </c>
      <c r="P6" s="303">
        <f>$M6*'MWh Impact Summary'!H$11</f>
        <v>0</v>
      </c>
      <c r="Q6" s="303">
        <f>$M6*'MWh Impact Summary'!I$11</f>
        <v>0</v>
      </c>
      <c r="R6" s="303">
        <f>$M6*'MWh Impact Summary'!J$11</f>
        <v>0</v>
      </c>
      <c r="S6" s="303">
        <f>$M6*'MWh Impact Summary'!K$11</f>
        <v>0</v>
      </c>
      <c r="T6" s="303">
        <f>$M6*'MWh Impact Summary'!L$11</f>
        <v>0</v>
      </c>
      <c r="U6" s="303">
        <f>$M6*'MWh Impact Summary'!M$11</f>
        <v>0</v>
      </c>
      <c r="V6" s="303">
        <f>$M6*'MWh Impact Summary'!O$11</f>
        <v>0</v>
      </c>
      <c r="W6" s="303">
        <f>$M6*'MWh Impact Summary'!P$11</f>
        <v>0</v>
      </c>
      <c r="X6" s="303">
        <f>$M6*'MWh Impact Summary'!Q$11</f>
        <v>0</v>
      </c>
      <c r="Y6" s="85">
        <f t="shared" si="2"/>
        <v>0</v>
      </c>
      <c r="Z6" s="81">
        <f t="shared" si="3"/>
        <v>1862.5839931155219</v>
      </c>
      <c r="AA6" s="81"/>
      <c r="AB6" s="81">
        <f>+'MWh by mo-WgtbyActulCDH&amp;Days'!AB6</f>
        <v>4287988</v>
      </c>
      <c r="AC6" s="308">
        <f t="shared" ref="AC6:AC69" si="12">+Z6*1000/AB6</f>
        <v>0.43437248264582878</v>
      </c>
      <c r="AD6" s="309">
        <f t="shared" si="4"/>
        <v>0.43437248264582878</v>
      </c>
      <c r="AE6" s="107">
        <f t="shared" si="5"/>
        <v>3.4113022197316397E-5</v>
      </c>
      <c r="AF6" s="309">
        <f t="shared" ref="AF6:AF69" si="13">+Y6*1000/AB6</f>
        <v>0</v>
      </c>
      <c r="AG6" s="107">
        <f t="shared" si="6"/>
        <v>0</v>
      </c>
      <c r="AH6" s="119">
        <f t="shared" ref="AH6:AH69" si="14">AE6+AG6</f>
        <v>3.4113022197316397E-5</v>
      </c>
      <c r="AI6" s="122">
        <f t="shared" si="7"/>
        <v>3.4113022197316397E-5</v>
      </c>
      <c r="AJ6" s="87" t="b">
        <f t="shared" ref="AJ6:AJ69" si="15">AH6=AI6</f>
        <v>1</v>
      </c>
      <c r="AK6" s="88">
        <f t="shared" si="8"/>
        <v>3.4113022197316397E-5</v>
      </c>
      <c r="AL6" s="312">
        <f>+AC6/'MWh by month-WgtbyCDH&amp;DayLtHrs'!AC6-1</f>
        <v>0</v>
      </c>
      <c r="AM6" s="89">
        <f t="shared" si="9"/>
        <v>0</v>
      </c>
      <c r="AN6" s="90"/>
      <c r="AO6" s="96"/>
      <c r="AP6" s="92"/>
      <c r="AR6" s="94">
        <f t="shared" si="10"/>
        <v>3.4113022197316397E-5</v>
      </c>
      <c r="AS6" s="95">
        <v>1609.5466669451559</v>
      </c>
      <c r="AU6" s="141">
        <v>0.43437248264582878</v>
      </c>
    </row>
    <row r="7" spans="1:47">
      <c r="A7" s="78">
        <v>2005</v>
      </c>
      <c r="B7" s="78">
        <v>3</v>
      </c>
      <c r="C7" s="317">
        <v>64.582270600115152</v>
      </c>
      <c r="D7" s="318">
        <f t="shared" si="0"/>
        <v>3.2846156787895278E-2</v>
      </c>
      <c r="E7" s="102">
        <f>$D7*'MWh Impact Summary'!B$11</f>
        <v>0</v>
      </c>
      <c r="F7" s="319">
        <f>$D7*'MWh Impact Summary'!N$11</f>
        <v>0</v>
      </c>
      <c r="G7" s="319">
        <f>$D7*'MWh Impact Summary'!C$11</f>
        <v>1908.2070925865844</v>
      </c>
      <c r="H7" s="319">
        <f>$D7*'MWh Impact Summary'!D$11</f>
        <v>0</v>
      </c>
      <c r="I7" s="319">
        <f>$D7*'MWh Impact Summary'!E$11</f>
        <v>1524.5099439925002</v>
      </c>
      <c r="J7" s="104">
        <f t="shared" si="11"/>
        <v>3432.7170365790844</v>
      </c>
      <c r="K7" s="298">
        <v>12</v>
      </c>
      <c r="L7" s="299">
        <f t="shared" si="1"/>
        <v>8.4477296726504739E-2</v>
      </c>
      <c r="M7" s="297">
        <f t="shared" ref="M7:M16" si="16">(31/365)</f>
        <v>8.4931506849315067E-2</v>
      </c>
      <c r="N7" s="303">
        <f>$M7*'MWh Impact Summary'!F$11</f>
        <v>0</v>
      </c>
      <c r="O7" s="303">
        <f>$M7*'MWh Impact Summary'!G$11</f>
        <v>0</v>
      </c>
      <c r="P7" s="303">
        <f>$M7*'MWh Impact Summary'!H$11</f>
        <v>0</v>
      </c>
      <c r="Q7" s="303">
        <f>$M7*'MWh Impact Summary'!I$11</f>
        <v>0</v>
      </c>
      <c r="R7" s="303">
        <f>$M7*'MWh Impact Summary'!J$11</f>
        <v>0</v>
      </c>
      <c r="S7" s="303">
        <f>$M7*'MWh Impact Summary'!K$11</f>
        <v>0</v>
      </c>
      <c r="T7" s="303">
        <f>$M7*'MWh Impact Summary'!L$11</f>
        <v>0</v>
      </c>
      <c r="U7" s="303">
        <f>$M7*'MWh Impact Summary'!M$11</f>
        <v>0</v>
      </c>
      <c r="V7" s="303">
        <f>$M7*'MWh Impact Summary'!O$11</f>
        <v>0</v>
      </c>
      <c r="W7" s="303">
        <f>$M7*'MWh Impact Summary'!P$11</f>
        <v>0</v>
      </c>
      <c r="X7" s="303">
        <f>$M7*'MWh Impact Summary'!Q$11</f>
        <v>0</v>
      </c>
      <c r="Y7" s="85">
        <f t="shared" si="2"/>
        <v>0</v>
      </c>
      <c r="Z7" s="81">
        <f t="shared" si="3"/>
        <v>3432.7170365790844</v>
      </c>
      <c r="AA7" s="81"/>
      <c r="AB7" s="81">
        <f>+'MWh by mo-WgtbyActulCDH&amp;Days'!AB7</f>
        <v>4299864</v>
      </c>
      <c r="AC7" s="308">
        <f t="shared" si="12"/>
        <v>0.79833153713212435</v>
      </c>
      <c r="AD7" s="309">
        <f t="shared" si="4"/>
        <v>0.79833153713212435</v>
      </c>
      <c r="AE7" s="107">
        <f t="shared" si="5"/>
        <v>6.6527628094343688E-5</v>
      </c>
      <c r="AF7" s="309">
        <f t="shared" si="13"/>
        <v>0</v>
      </c>
      <c r="AG7" s="107">
        <f t="shared" si="6"/>
        <v>0</v>
      </c>
      <c r="AH7" s="119">
        <f t="shared" si="14"/>
        <v>6.6527628094343688E-5</v>
      </c>
      <c r="AI7" s="122">
        <f t="shared" si="7"/>
        <v>6.6527628094343688E-5</v>
      </c>
      <c r="AJ7" s="87" t="b">
        <f t="shared" si="15"/>
        <v>1</v>
      </c>
      <c r="AK7" s="88">
        <f t="shared" si="8"/>
        <v>6.6527628094343688E-5</v>
      </c>
      <c r="AL7" s="312">
        <f>+AC7/'MWh by month-WgtbyCDH&amp;DayLtHrs'!AC7-1</f>
        <v>0</v>
      </c>
      <c r="AM7" s="89">
        <f t="shared" si="9"/>
        <v>0</v>
      </c>
      <c r="AN7" s="90"/>
      <c r="AO7" s="96"/>
      <c r="AP7" s="92"/>
      <c r="AR7" s="94">
        <f t="shared" si="10"/>
        <v>6.6527628094343688E-5</v>
      </c>
      <c r="AS7" s="95">
        <v>3159.7166533048885</v>
      </c>
      <c r="AU7" s="141">
        <v>0.79833153713212435</v>
      </c>
    </row>
    <row r="8" spans="1:47">
      <c r="A8" s="78">
        <v>2005</v>
      </c>
      <c r="B8" s="78">
        <v>4</v>
      </c>
      <c r="C8" s="317">
        <v>114.03392869270741</v>
      </c>
      <c r="D8" s="318">
        <f t="shared" si="0"/>
        <v>5.7996974497419709E-2</v>
      </c>
      <c r="E8" s="102">
        <f>$D8*'MWh Impact Summary'!B$11</f>
        <v>0</v>
      </c>
      <c r="F8" s="319">
        <f>$D8*'MWh Impact Summary'!N$11</f>
        <v>0</v>
      </c>
      <c r="G8" s="319">
        <f>$D8*'MWh Impact Summary'!C$11</f>
        <v>3369.3512090073382</v>
      </c>
      <c r="H8" s="319">
        <f>$D8*'MWh Impact Summary'!D$11</f>
        <v>0</v>
      </c>
      <c r="I8" s="319">
        <f>$D8*'MWh Impact Summary'!E$11</f>
        <v>2691.8511323486068</v>
      </c>
      <c r="J8" s="104">
        <f t="shared" si="11"/>
        <v>6061.2023413559455</v>
      </c>
      <c r="K8" s="298">
        <v>11.2</v>
      </c>
      <c r="L8" s="299">
        <f t="shared" si="1"/>
        <v>7.8845476944737758E-2</v>
      </c>
      <c r="M8" s="297">
        <f>(30/365)</f>
        <v>8.2191780821917804E-2</v>
      </c>
      <c r="N8" s="303">
        <f>$M8*'MWh Impact Summary'!F$11</f>
        <v>0</v>
      </c>
      <c r="O8" s="303">
        <f>$M8*'MWh Impact Summary'!G$11</f>
        <v>0</v>
      </c>
      <c r="P8" s="303">
        <f>$M8*'MWh Impact Summary'!H$11</f>
        <v>0</v>
      </c>
      <c r="Q8" s="303">
        <f>$M8*'MWh Impact Summary'!I$11</f>
        <v>0</v>
      </c>
      <c r="R8" s="303">
        <f>$M8*'MWh Impact Summary'!J$11</f>
        <v>0</v>
      </c>
      <c r="S8" s="303">
        <f>$M8*'MWh Impact Summary'!K$11</f>
        <v>0</v>
      </c>
      <c r="T8" s="303">
        <f>$M8*'MWh Impact Summary'!L$11</f>
        <v>0</v>
      </c>
      <c r="U8" s="303">
        <f>$M8*'MWh Impact Summary'!M$11</f>
        <v>0</v>
      </c>
      <c r="V8" s="303">
        <f>$M8*'MWh Impact Summary'!O$11</f>
        <v>0</v>
      </c>
      <c r="W8" s="303">
        <f>$M8*'MWh Impact Summary'!P$11</f>
        <v>0</v>
      </c>
      <c r="X8" s="303">
        <f>$M8*'MWh Impact Summary'!Q$11</f>
        <v>0</v>
      </c>
      <c r="Y8" s="85">
        <f t="shared" si="2"/>
        <v>0</v>
      </c>
      <c r="Z8" s="81">
        <f t="shared" si="3"/>
        <v>6061.2023413559455</v>
      </c>
      <c r="AA8" s="81"/>
      <c r="AB8" s="81">
        <f>+'MWh by mo-WgtbyActulCDH&amp;Days'!AB8</f>
        <v>4310180</v>
      </c>
      <c r="AC8" s="308">
        <f t="shared" si="12"/>
        <v>1.4062527182985272</v>
      </c>
      <c r="AD8" s="309">
        <f t="shared" si="4"/>
        <v>1.4062527182985272</v>
      </c>
      <c r="AE8" s="107">
        <f t="shared" si="5"/>
        <v>1.2555827841951136E-4</v>
      </c>
      <c r="AF8" s="309">
        <f t="shared" si="13"/>
        <v>0</v>
      </c>
      <c r="AG8" s="107">
        <f t="shared" si="6"/>
        <v>0</v>
      </c>
      <c r="AH8" s="119">
        <f t="shared" si="14"/>
        <v>1.2555827841951136E-4</v>
      </c>
      <c r="AI8" s="122">
        <f t="shared" si="7"/>
        <v>1.2555827841951136E-4</v>
      </c>
      <c r="AJ8" s="87" t="b">
        <f t="shared" si="15"/>
        <v>1</v>
      </c>
      <c r="AK8" s="88">
        <f t="shared" si="8"/>
        <v>1.2555827841951136E-4</v>
      </c>
      <c r="AL8" s="312">
        <f>+AC8/'MWh by month-WgtbyCDH&amp;DayLtHrs'!AC8-1</f>
        <v>0</v>
      </c>
      <c r="AM8" s="89">
        <f t="shared" si="9"/>
        <v>0</v>
      </c>
      <c r="AN8" s="90"/>
      <c r="AO8" s="96"/>
      <c r="AP8" s="92"/>
      <c r="AR8" s="94">
        <f t="shared" si="10"/>
        <v>1.2555827841951136E-4</v>
      </c>
      <c r="AS8" s="95">
        <v>5970.3384166432006</v>
      </c>
      <c r="AU8" s="141">
        <v>1.4062527182985272</v>
      </c>
    </row>
    <row r="9" spans="1:47">
      <c r="A9" s="78">
        <v>2005</v>
      </c>
      <c r="B9" s="78">
        <v>5</v>
      </c>
      <c r="C9" s="317">
        <v>208.47875842628665</v>
      </c>
      <c r="D9" s="318">
        <f t="shared" si="0"/>
        <v>0.10603105035770212</v>
      </c>
      <c r="E9" s="102">
        <f>$D9*'MWh Impact Summary'!B$11</f>
        <v>0</v>
      </c>
      <c r="F9" s="319">
        <f>$D9*'MWh Impact Summary'!N$11</f>
        <v>0</v>
      </c>
      <c r="G9" s="319">
        <f>$D9*'MWh Impact Summary'!C$11</f>
        <v>6159.9049055728929</v>
      </c>
      <c r="H9" s="319">
        <f>$D9*'MWh Impact Summary'!D$11</f>
        <v>0</v>
      </c>
      <c r="I9" s="319">
        <f>$D9*'MWh Impact Summary'!E$11</f>
        <v>4921.2877989383906</v>
      </c>
      <c r="J9" s="104">
        <f>SUM(E9:I9)</f>
        <v>11081.192704511282</v>
      </c>
      <c r="K9" s="298">
        <v>10.533333333333333</v>
      </c>
      <c r="L9" s="299">
        <f t="shared" si="1"/>
        <v>7.4152293793265281E-2</v>
      </c>
      <c r="M9" s="297">
        <f t="shared" si="16"/>
        <v>8.4931506849315067E-2</v>
      </c>
      <c r="N9" s="303">
        <f>$M9*'MWh Impact Summary'!F$11</f>
        <v>0</v>
      </c>
      <c r="O9" s="303">
        <f>$M9*'MWh Impact Summary'!G$11</f>
        <v>0</v>
      </c>
      <c r="P9" s="303">
        <f>$M9*'MWh Impact Summary'!H$11</f>
        <v>0</v>
      </c>
      <c r="Q9" s="303">
        <f>$M9*'MWh Impact Summary'!I$11</f>
        <v>0</v>
      </c>
      <c r="R9" s="303">
        <f>$M9*'MWh Impact Summary'!J$11</f>
        <v>0</v>
      </c>
      <c r="S9" s="303">
        <f>$M9*'MWh Impact Summary'!K$11</f>
        <v>0</v>
      </c>
      <c r="T9" s="303">
        <f>$M9*'MWh Impact Summary'!L$11</f>
        <v>0</v>
      </c>
      <c r="U9" s="303">
        <f>$M9*'MWh Impact Summary'!M$11</f>
        <v>0</v>
      </c>
      <c r="V9" s="303">
        <f>$M9*'MWh Impact Summary'!O$11</f>
        <v>0</v>
      </c>
      <c r="W9" s="303">
        <f>$M9*'MWh Impact Summary'!P$11</f>
        <v>0</v>
      </c>
      <c r="X9" s="303">
        <f>$M9*'MWh Impact Summary'!Q$11</f>
        <v>0</v>
      </c>
      <c r="Y9" s="85">
        <f t="shared" si="2"/>
        <v>0</v>
      </c>
      <c r="Z9" s="81">
        <f t="shared" si="3"/>
        <v>11081.192704511282</v>
      </c>
      <c r="AA9" s="81"/>
      <c r="AB9" s="81">
        <f>+'MWh by mo-WgtbyActulCDH&amp;Days'!AB9</f>
        <v>4313996</v>
      </c>
      <c r="AC9" s="308">
        <f t="shared" si="12"/>
        <v>2.5686608667488988</v>
      </c>
      <c r="AD9" s="309">
        <f t="shared" si="4"/>
        <v>2.5686608667488988</v>
      </c>
      <c r="AE9" s="107">
        <f t="shared" si="5"/>
        <v>2.4386020886856636E-4</v>
      </c>
      <c r="AF9" s="309">
        <f t="shared" si="13"/>
        <v>0</v>
      </c>
      <c r="AG9" s="107">
        <f t="shared" si="6"/>
        <v>0</v>
      </c>
      <c r="AH9" s="119">
        <f t="shared" si="14"/>
        <v>2.4386020886856636E-4</v>
      </c>
      <c r="AI9" s="122">
        <f t="shared" si="7"/>
        <v>2.4386020886856636E-4</v>
      </c>
      <c r="AJ9" s="87" t="b">
        <f t="shared" si="15"/>
        <v>1</v>
      </c>
      <c r="AK9" s="88">
        <f t="shared" si="8"/>
        <v>2.4386020886856636E-4</v>
      </c>
      <c r="AL9" s="312">
        <f>+AC9/'MWh by month-WgtbyCDH&amp;DayLtHrs'!AC9-1</f>
        <v>0</v>
      </c>
      <c r="AM9" s="89">
        <f t="shared" si="9"/>
        <v>0</v>
      </c>
      <c r="AN9" s="90"/>
      <c r="AO9" s="96"/>
      <c r="AP9" s="92"/>
      <c r="AR9" s="94">
        <f t="shared" si="10"/>
        <v>2.4386020886856636E-4</v>
      </c>
      <c r="AS9" s="95">
        <v>10211.168855045597</v>
      </c>
      <c r="AU9" s="141">
        <v>2.5686608667488988</v>
      </c>
    </row>
    <row r="10" spans="1:47">
      <c r="A10" s="78">
        <v>2005</v>
      </c>
      <c r="B10" s="78">
        <v>6</v>
      </c>
      <c r="C10" s="317">
        <v>271.66325293295364</v>
      </c>
      <c r="D10" s="318">
        <f t="shared" si="0"/>
        <v>0.13816630657965029</v>
      </c>
      <c r="E10" s="102">
        <f>$D10*'MWh Impact Summary'!B$11</f>
        <v>0</v>
      </c>
      <c r="F10" s="319">
        <f>$D10*'MWh Impact Summary'!N$11</f>
        <v>0</v>
      </c>
      <c r="G10" s="319">
        <f>$D10*'MWh Impact Summary'!C$11</f>
        <v>8026.812021701835</v>
      </c>
      <c r="H10" s="319">
        <f>$D10*'MWh Impact Summary'!D$11</f>
        <v>0</v>
      </c>
      <c r="I10" s="319">
        <f>$D10*'MWh Impact Summary'!E$11</f>
        <v>6412.8022546314596</v>
      </c>
      <c r="J10" s="104">
        <f>SUM(E10:I10)</f>
        <v>14439.614276333294</v>
      </c>
      <c r="K10" s="298">
        <v>10.199999999999999</v>
      </c>
      <c r="L10" s="299">
        <f t="shared" si="1"/>
        <v>7.1805702217529022E-2</v>
      </c>
      <c r="M10" s="297">
        <f>(30/365)</f>
        <v>8.2191780821917804E-2</v>
      </c>
      <c r="N10" s="303">
        <f>$M10*'MWh Impact Summary'!F$11</f>
        <v>0</v>
      </c>
      <c r="O10" s="303">
        <f>$M10*'MWh Impact Summary'!G$11</f>
        <v>0</v>
      </c>
      <c r="P10" s="303">
        <f>$M10*'MWh Impact Summary'!H$11</f>
        <v>0</v>
      </c>
      <c r="Q10" s="303">
        <f>$M10*'MWh Impact Summary'!I$11</f>
        <v>0</v>
      </c>
      <c r="R10" s="303">
        <f>$M10*'MWh Impact Summary'!J$11</f>
        <v>0</v>
      </c>
      <c r="S10" s="303">
        <f>$M10*'MWh Impact Summary'!K$11</f>
        <v>0</v>
      </c>
      <c r="T10" s="303">
        <f>$M10*'MWh Impact Summary'!L$11</f>
        <v>0</v>
      </c>
      <c r="U10" s="303">
        <f>$M10*'MWh Impact Summary'!M$11</f>
        <v>0</v>
      </c>
      <c r="V10" s="303">
        <f>$M10*'MWh Impact Summary'!O$11</f>
        <v>0</v>
      </c>
      <c r="W10" s="303">
        <f>$M10*'MWh Impact Summary'!P$11</f>
        <v>0</v>
      </c>
      <c r="X10" s="303">
        <f>$M10*'MWh Impact Summary'!Q$11</f>
        <v>0</v>
      </c>
      <c r="Y10" s="85">
        <f t="shared" si="2"/>
        <v>0</v>
      </c>
      <c r="Z10" s="81">
        <f t="shared" si="3"/>
        <v>14439.614276333294</v>
      </c>
      <c r="AA10" s="81"/>
      <c r="AB10" s="81">
        <f>+'MWh by mo-WgtbyActulCDH&amp;Days'!AB10</f>
        <v>4320906</v>
      </c>
      <c r="AC10" s="308">
        <f t="shared" si="12"/>
        <v>3.3418024544698017</v>
      </c>
      <c r="AD10" s="309">
        <f t="shared" si="4"/>
        <v>3.3418024544698017</v>
      </c>
      <c r="AE10" s="107">
        <f t="shared" si="5"/>
        <v>3.2762769161468646E-4</v>
      </c>
      <c r="AF10" s="309">
        <f t="shared" si="13"/>
        <v>0</v>
      </c>
      <c r="AG10" s="107">
        <f t="shared" si="6"/>
        <v>0</v>
      </c>
      <c r="AH10" s="119">
        <f t="shared" si="14"/>
        <v>3.2762769161468646E-4</v>
      </c>
      <c r="AI10" s="122">
        <f t="shared" si="7"/>
        <v>3.2762769161468646E-4</v>
      </c>
      <c r="AJ10" s="87" t="b">
        <f t="shared" si="15"/>
        <v>1</v>
      </c>
      <c r="AK10" s="88">
        <f t="shared" si="8"/>
        <v>3.2762769161468646E-4</v>
      </c>
      <c r="AL10" s="312">
        <f>+AC10/'MWh by month-WgtbyCDH&amp;DayLtHrs'!AC10-1</f>
        <v>0</v>
      </c>
      <c r="AM10" s="89">
        <f t="shared" si="9"/>
        <v>0</v>
      </c>
      <c r="AN10" s="90"/>
      <c r="AO10" s="96"/>
      <c r="AP10" s="92"/>
      <c r="AR10" s="94">
        <f t="shared" si="10"/>
        <v>3.2762769161468646E-4</v>
      </c>
      <c r="AS10" s="95">
        <v>14808.878014280665</v>
      </c>
      <c r="AU10" s="141">
        <v>3.3418024544698017</v>
      </c>
    </row>
    <row r="11" spans="1:47">
      <c r="A11" s="78">
        <v>2005</v>
      </c>
      <c r="B11" s="78">
        <v>7</v>
      </c>
      <c r="C11" s="317">
        <v>322.31916585708109</v>
      </c>
      <c r="D11" s="318">
        <f t="shared" si="0"/>
        <v>0.16392960109808263</v>
      </c>
      <c r="E11" s="102">
        <f>$D11*'MWh Impact Summary'!B$11</f>
        <v>0</v>
      </c>
      <c r="F11" s="319">
        <f>$D11*'MWh Impact Summary'!N$11</f>
        <v>0</v>
      </c>
      <c r="G11" s="319">
        <f>$D11*'MWh Impact Summary'!C$11</f>
        <v>9523.5381576066338</v>
      </c>
      <c r="H11" s="319">
        <f>$D11*'MWh Impact Summary'!D$11</f>
        <v>0</v>
      </c>
      <c r="I11" s="319">
        <f>$D11*'MWh Impact Summary'!E$11</f>
        <v>7608.5707257188296</v>
      </c>
      <c r="J11" s="104">
        <f t="shared" si="11"/>
        <v>17132.108883325462</v>
      </c>
      <c r="K11" s="298">
        <v>10.366666666666667</v>
      </c>
      <c r="L11" s="299">
        <f t="shared" si="1"/>
        <v>7.2978998005397158E-2</v>
      </c>
      <c r="M11" s="297">
        <f t="shared" si="16"/>
        <v>8.4931506849315067E-2</v>
      </c>
      <c r="N11" s="303">
        <f>$M11*'MWh Impact Summary'!F$11</f>
        <v>0</v>
      </c>
      <c r="O11" s="303">
        <f>$M11*'MWh Impact Summary'!G$11</f>
        <v>0</v>
      </c>
      <c r="P11" s="303">
        <f>$M11*'MWh Impact Summary'!H$11</f>
        <v>0</v>
      </c>
      <c r="Q11" s="303">
        <f>$M11*'MWh Impact Summary'!I$11</f>
        <v>0</v>
      </c>
      <c r="R11" s="303">
        <f>$M11*'MWh Impact Summary'!J$11</f>
        <v>0</v>
      </c>
      <c r="S11" s="303">
        <f>$M11*'MWh Impact Summary'!K$11</f>
        <v>0</v>
      </c>
      <c r="T11" s="303">
        <f>$M11*'MWh Impact Summary'!L$11</f>
        <v>0</v>
      </c>
      <c r="U11" s="303">
        <f>$M11*'MWh Impact Summary'!M$11</f>
        <v>0</v>
      </c>
      <c r="V11" s="303">
        <f>$M11*'MWh Impact Summary'!O$11</f>
        <v>0</v>
      </c>
      <c r="W11" s="303">
        <f>$M11*'MWh Impact Summary'!P$11</f>
        <v>0</v>
      </c>
      <c r="X11" s="303">
        <f>$M11*'MWh Impact Summary'!Q$11</f>
        <v>0</v>
      </c>
      <c r="Y11" s="85">
        <f t="shared" si="2"/>
        <v>0</v>
      </c>
      <c r="Z11" s="81">
        <f t="shared" si="3"/>
        <v>17132.108883325462</v>
      </c>
      <c r="AA11" s="81"/>
      <c r="AB11" s="81">
        <f>+'MWh by mo-WgtbyActulCDH&amp;Days'!AB11</f>
        <v>4327794</v>
      </c>
      <c r="AC11" s="308">
        <f t="shared" si="12"/>
        <v>3.9586239278776811</v>
      </c>
      <c r="AD11" s="309">
        <f t="shared" si="4"/>
        <v>3.9586239278776811</v>
      </c>
      <c r="AE11" s="107">
        <f t="shared" si="5"/>
        <v>3.8186082905572482E-4</v>
      </c>
      <c r="AF11" s="309">
        <f t="shared" si="13"/>
        <v>0</v>
      </c>
      <c r="AG11" s="107">
        <f t="shared" si="6"/>
        <v>0</v>
      </c>
      <c r="AH11" s="119">
        <f t="shared" si="14"/>
        <v>3.8186082905572482E-4</v>
      </c>
      <c r="AI11" s="122">
        <f t="shared" si="7"/>
        <v>3.8186082905572482E-4</v>
      </c>
      <c r="AJ11" s="87" t="b">
        <f t="shared" si="15"/>
        <v>1</v>
      </c>
      <c r="AK11" s="88">
        <f t="shared" si="8"/>
        <v>3.8186082905572482E-4</v>
      </c>
      <c r="AL11" s="312">
        <f>+AC11/'MWh by month-WgtbyCDH&amp;DayLtHrs'!AC11-1</f>
        <v>0</v>
      </c>
      <c r="AM11" s="89">
        <f t="shared" si="9"/>
        <v>0</v>
      </c>
      <c r="AN11" s="90"/>
      <c r="AO11" s="96"/>
      <c r="AP11" s="92"/>
      <c r="AR11" s="94">
        <f t="shared" si="10"/>
        <v>3.8186082905572482E-4</v>
      </c>
      <c r="AS11" s="95">
        <v>16664.117811051237</v>
      </c>
      <c r="AU11" s="141">
        <v>3.9586239278776811</v>
      </c>
    </row>
    <row r="12" spans="1:47">
      <c r="A12" s="78">
        <v>2005</v>
      </c>
      <c r="B12" s="78">
        <v>8</v>
      </c>
      <c r="C12" s="317">
        <v>326.45437890907908</v>
      </c>
      <c r="D12" s="318">
        <f t="shared" si="0"/>
        <v>0.16603274573816959</v>
      </c>
      <c r="E12" s="102">
        <f>$D12*'MWh Impact Summary'!B$11</f>
        <v>0</v>
      </c>
      <c r="F12" s="319">
        <f>$D12*'MWh Impact Summary'!N$11</f>
        <v>0</v>
      </c>
      <c r="G12" s="319">
        <f>$D12*'MWh Impact Summary'!C$11</f>
        <v>9645.7209610580376</v>
      </c>
      <c r="H12" s="319">
        <f>$D12*'MWh Impact Summary'!D$11</f>
        <v>0</v>
      </c>
      <c r="I12" s="319">
        <f>$D12*'MWh Impact Summary'!E$11</f>
        <v>7706.1853397563755</v>
      </c>
      <c r="J12" s="104">
        <f t="shared" si="11"/>
        <v>17351.906300814415</v>
      </c>
      <c r="K12" s="298">
        <v>10.933333333333334</v>
      </c>
      <c r="L12" s="299">
        <f t="shared" si="1"/>
        <v>7.6968203684148764E-2</v>
      </c>
      <c r="M12" s="297">
        <f t="shared" si="16"/>
        <v>8.4931506849315067E-2</v>
      </c>
      <c r="N12" s="303">
        <f>$M12*'MWh Impact Summary'!F$11</f>
        <v>0</v>
      </c>
      <c r="O12" s="303">
        <f>$M12*'MWh Impact Summary'!G$11</f>
        <v>0</v>
      </c>
      <c r="P12" s="303">
        <f>$M12*'MWh Impact Summary'!H$11</f>
        <v>0</v>
      </c>
      <c r="Q12" s="303">
        <f>$M12*'MWh Impact Summary'!I$11</f>
        <v>0</v>
      </c>
      <c r="R12" s="303">
        <f>$M12*'MWh Impact Summary'!J$11</f>
        <v>0</v>
      </c>
      <c r="S12" s="303">
        <f>$M12*'MWh Impact Summary'!K$11</f>
        <v>0</v>
      </c>
      <c r="T12" s="303">
        <f>$M12*'MWh Impact Summary'!L$11</f>
        <v>0</v>
      </c>
      <c r="U12" s="303">
        <f>$M12*'MWh Impact Summary'!M$11</f>
        <v>0</v>
      </c>
      <c r="V12" s="303">
        <f>$M12*'MWh Impact Summary'!O$11</f>
        <v>0</v>
      </c>
      <c r="W12" s="303">
        <f>$M12*'MWh Impact Summary'!P$11</f>
        <v>0</v>
      </c>
      <c r="X12" s="303">
        <f>$M12*'MWh Impact Summary'!Q$11</f>
        <v>0</v>
      </c>
      <c r="Y12" s="85">
        <f t="shared" si="2"/>
        <v>0</v>
      </c>
      <c r="Z12" s="81">
        <f t="shared" si="3"/>
        <v>17351.906300814415</v>
      </c>
      <c r="AA12" s="81"/>
      <c r="AB12" s="81">
        <f>+'MWh by mo-WgtbyActulCDH&amp;Days'!AB12</f>
        <v>4340306</v>
      </c>
      <c r="AC12" s="308">
        <f t="shared" si="12"/>
        <v>3.9978532160668894</v>
      </c>
      <c r="AD12" s="309">
        <f t="shared" si="4"/>
        <v>3.9978532160668894</v>
      </c>
      <c r="AE12" s="107">
        <f t="shared" si="5"/>
        <v>3.6565730634758133E-4</v>
      </c>
      <c r="AF12" s="309">
        <f t="shared" si="13"/>
        <v>0</v>
      </c>
      <c r="AG12" s="107">
        <f t="shared" si="6"/>
        <v>0</v>
      </c>
      <c r="AH12" s="119">
        <f t="shared" si="14"/>
        <v>3.6565730634758133E-4</v>
      </c>
      <c r="AI12" s="122">
        <f t="shared" si="7"/>
        <v>3.6565730634758133E-4</v>
      </c>
      <c r="AJ12" s="87" t="b">
        <f t="shared" si="15"/>
        <v>1</v>
      </c>
      <c r="AK12" s="88">
        <f t="shared" si="8"/>
        <v>3.6565730634758133E-4</v>
      </c>
      <c r="AL12" s="312">
        <f>+AC12/'MWh by month-WgtbyCDH&amp;DayLtHrs'!AC12-1</f>
        <v>0</v>
      </c>
      <c r="AM12" s="89">
        <f t="shared" si="9"/>
        <v>0</v>
      </c>
      <c r="AN12" s="90"/>
      <c r="AO12" s="96"/>
      <c r="AP12" s="92"/>
      <c r="AR12" s="94">
        <f t="shared" si="10"/>
        <v>3.6565730634758133E-4</v>
      </c>
      <c r="AS12" s="95">
        <v>17403.825127899949</v>
      </c>
      <c r="AU12" s="141">
        <v>3.9978532160668894</v>
      </c>
    </row>
    <row r="13" spans="1:47">
      <c r="A13" s="78">
        <v>2005</v>
      </c>
      <c r="B13" s="78">
        <v>9</v>
      </c>
      <c r="C13" s="317">
        <v>277.87653293728147</v>
      </c>
      <c r="D13" s="318">
        <f t="shared" si="0"/>
        <v>0.14132634365008559</v>
      </c>
      <c r="E13" s="102">
        <f>$D13*'MWh Impact Summary'!B$11</f>
        <v>0</v>
      </c>
      <c r="F13" s="319">
        <f>$D13*'MWh Impact Summary'!N$11</f>
        <v>0</v>
      </c>
      <c r="G13" s="319">
        <f>$D13*'MWh Impact Summary'!C$11</f>
        <v>8210.395300244285</v>
      </c>
      <c r="H13" s="319">
        <f>$D13*'MWh Impact Summary'!D$11</f>
        <v>0</v>
      </c>
      <c r="I13" s="319">
        <f>$D13*'MWh Impact Summary'!E$11</f>
        <v>6559.4711014123086</v>
      </c>
      <c r="J13" s="104">
        <f t="shared" si="11"/>
        <v>14769.866401656593</v>
      </c>
      <c r="K13" s="298">
        <v>11.683333333333334</v>
      </c>
      <c r="L13" s="299">
        <f t="shared" si="1"/>
        <v>8.2248034729555317E-2</v>
      </c>
      <c r="M13" s="297">
        <f>(30/365)</f>
        <v>8.2191780821917804E-2</v>
      </c>
      <c r="N13" s="303">
        <f>$M13*'MWh Impact Summary'!F$11</f>
        <v>0</v>
      </c>
      <c r="O13" s="303">
        <f>$M13*'MWh Impact Summary'!G$11</f>
        <v>0</v>
      </c>
      <c r="P13" s="303">
        <f>$M13*'MWh Impact Summary'!H$11</f>
        <v>0</v>
      </c>
      <c r="Q13" s="303">
        <f>$M13*'MWh Impact Summary'!I$11</f>
        <v>0</v>
      </c>
      <c r="R13" s="303">
        <f>$M13*'MWh Impact Summary'!J$11</f>
        <v>0</v>
      </c>
      <c r="S13" s="303">
        <f>$M13*'MWh Impact Summary'!K$11</f>
        <v>0</v>
      </c>
      <c r="T13" s="303">
        <f>$M13*'MWh Impact Summary'!L$11</f>
        <v>0</v>
      </c>
      <c r="U13" s="303">
        <f>$M13*'MWh Impact Summary'!M$11</f>
        <v>0</v>
      </c>
      <c r="V13" s="303">
        <f>$M13*'MWh Impact Summary'!O$11</f>
        <v>0</v>
      </c>
      <c r="W13" s="303">
        <f>$M13*'MWh Impact Summary'!P$11</f>
        <v>0</v>
      </c>
      <c r="X13" s="303">
        <f>$M13*'MWh Impact Summary'!Q$11</f>
        <v>0</v>
      </c>
      <c r="Y13" s="85">
        <f t="shared" si="2"/>
        <v>0</v>
      </c>
      <c r="Z13" s="81">
        <f t="shared" si="3"/>
        <v>14769.866401656593</v>
      </c>
      <c r="AA13" s="81"/>
      <c r="AB13" s="81">
        <f>+'MWh by mo-WgtbyActulCDH&amp;Days'!AB13</f>
        <v>4343095</v>
      </c>
      <c r="AC13" s="308">
        <f t="shared" si="12"/>
        <v>3.4007698200607153</v>
      </c>
      <c r="AD13" s="309">
        <f t="shared" si="4"/>
        <v>3.4007698200607153</v>
      </c>
      <c r="AE13" s="107">
        <f t="shared" si="5"/>
        <v>2.9107872924913396E-4</v>
      </c>
      <c r="AF13" s="309">
        <f t="shared" si="13"/>
        <v>0</v>
      </c>
      <c r="AG13" s="107">
        <f t="shared" si="6"/>
        <v>0</v>
      </c>
      <c r="AH13" s="119">
        <f t="shared" si="14"/>
        <v>2.9107872924913396E-4</v>
      </c>
      <c r="AI13" s="122">
        <f t="shared" si="7"/>
        <v>2.9107872924913396E-4</v>
      </c>
      <c r="AJ13" s="87" t="b">
        <f t="shared" si="15"/>
        <v>1</v>
      </c>
      <c r="AK13" s="88">
        <f t="shared" si="8"/>
        <v>2.9107872924913396E-4</v>
      </c>
      <c r="AL13" s="312">
        <f>+AC13/'MWh by month-WgtbyCDH&amp;DayLtHrs'!AC13-1</f>
        <v>0</v>
      </c>
      <c r="AM13" s="89">
        <f t="shared" si="9"/>
        <v>0</v>
      </c>
      <c r="AN13" s="90"/>
      <c r="AO13" s="96"/>
      <c r="AP13" s="92"/>
      <c r="AR13" s="94">
        <f t="shared" si="10"/>
        <v>2.9107872924913396E-4</v>
      </c>
      <c r="AS13" s="95">
        <v>15722.431837506771</v>
      </c>
      <c r="AU13" s="141">
        <v>3.4007698200607153</v>
      </c>
    </row>
    <row r="14" spans="1:47">
      <c r="A14" s="78">
        <v>2005</v>
      </c>
      <c r="B14" s="78">
        <v>10</v>
      </c>
      <c r="C14" s="317">
        <v>198.89039579254836</v>
      </c>
      <c r="D14" s="318">
        <f t="shared" si="0"/>
        <v>0.10115446643644242</v>
      </c>
      <c r="E14" s="102">
        <f>$D14*'MWh Impact Summary'!B$11</f>
        <v>0</v>
      </c>
      <c r="F14" s="319">
        <f>$D14*'MWh Impact Summary'!N$11</f>
        <v>0</v>
      </c>
      <c r="G14" s="319">
        <f>$D14*'MWh Impact Summary'!C$11</f>
        <v>5876.5983353025222</v>
      </c>
      <c r="H14" s="319">
        <f>$D14*'MWh Impact Summary'!D$11</f>
        <v>0</v>
      </c>
      <c r="I14" s="319">
        <f>$D14*'MWh Impact Summary'!E$11</f>
        <v>4694.9477516481656</v>
      </c>
      <c r="J14" s="104">
        <f t="shared" si="11"/>
        <v>10571.546086950688</v>
      </c>
      <c r="K14" s="298">
        <v>12.466666666666667</v>
      </c>
      <c r="L14" s="299">
        <f t="shared" si="1"/>
        <v>8.7762524932535488E-2</v>
      </c>
      <c r="M14" s="297">
        <f t="shared" si="16"/>
        <v>8.4931506849315067E-2</v>
      </c>
      <c r="N14" s="303">
        <f>$M14*'MWh Impact Summary'!F$11</f>
        <v>0</v>
      </c>
      <c r="O14" s="303">
        <f>$M14*'MWh Impact Summary'!G$11</f>
        <v>0</v>
      </c>
      <c r="P14" s="303">
        <f>$M14*'MWh Impact Summary'!H$11</f>
        <v>0</v>
      </c>
      <c r="Q14" s="303">
        <f>$M14*'MWh Impact Summary'!I$11</f>
        <v>0</v>
      </c>
      <c r="R14" s="303">
        <f>$M14*'MWh Impact Summary'!J$11</f>
        <v>0</v>
      </c>
      <c r="S14" s="303">
        <f>$M14*'MWh Impact Summary'!K$11</f>
        <v>0</v>
      </c>
      <c r="T14" s="303">
        <f>$M14*'MWh Impact Summary'!L$11</f>
        <v>0</v>
      </c>
      <c r="U14" s="303">
        <f>$M14*'MWh Impact Summary'!M$11</f>
        <v>0</v>
      </c>
      <c r="V14" s="303">
        <f>$M14*'MWh Impact Summary'!O$11</f>
        <v>0</v>
      </c>
      <c r="W14" s="303">
        <f>$M14*'MWh Impact Summary'!P$11</f>
        <v>0</v>
      </c>
      <c r="X14" s="303">
        <f>$M14*'MWh Impact Summary'!Q$11</f>
        <v>0</v>
      </c>
      <c r="Y14" s="85">
        <f t="shared" si="2"/>
        <v>0</v>
      </c>
      <c r="Z14" s="81">
        <f t="shared" si="3"/>
        <v>10571.546086950688</v>
      </c>
      <c r="AA14" s="81"/>
      <c r="AB14" s="81">
        <f>+'MWh by mo-WgtbyActulCDH&amp;Days'!AB14</f>
        <v>4344668</v>
      </c>
      <c r="AC14" s="308">
        <f t="shared" si="12"/>
        <v>2.4332229958539267</v>
      </c>
      <c r="AD14" s="309">
        <f t="shared" si="4"/>
        <v>2.4332229958539267</v>
      </c>
      <c r="AE14" s="107">
        <f t="shared" si="5"/>
        <v>1.9517831517544865E-4</v>
      </c>
      <c r="AF14" s="309">
        <f t="shared" si="13"/>
        <v>0</v>
      </c>
      <c r="AG14" s="107">
        <f t="shared" si="6"/>
        <v>0</v>
      </c>
      <c r="AH14" s="119">
        <f t="shared" si="14"/>
        <v>1.9517831517544865E-4</v>
      </c>
      <c r="AI14" s="122">
        <f t="shared" si="7"/>
        <v>1.9517831517544865E-4</v>
      </c>
      <c r="AJ14" s="87" t="b">
        <f t="shared" si="15"/>
        <v>1</v>
      </c>
      <c r="AK14" s="88">
        <f t="shared" si="8"/>
        <v>1.9517831517544865E-4</v>
      </c>
      <c r="AL14" s="312">
        <f>+AC14/'MWh by month-WgtbyCDH&amp;DayLtHrs'!AC14-1</f>
        <v>0</v>
      </c>
      <c r="AM14" s="89">
        <f t="shared" si="9"/>
        <v>0</v>
      </c>
      <c r="AN14" s="90"/>
      <c r="AO14" s="96"/>
      <c r="AP14" s="92"/>
      <c r="AR14" s="94">
        <f t="shared" si="10"/>
        <v>1.9517831517544865E-4</v>
      </c>
      <c r="AS14" s="95">
        <v>10562.607614854458</v>
      </c>
      <c r="AU14" s="141">
        <v>2.4332229958539267</v>
      </c>
    </row>
    <row r="15" spans="1:47">
      <c r="A15" s="78">
        <v>2005</v>
      </c>
      <c r="B15" s="78">
        <v>11</v>
      </c>
      <c r="C15" s="317">
        <v>78.117279066674627</v>
      </c>
      <c r="D15" s="318">
        <f t="shared" si="0"/>
        <v>3.9729981188725644E-2</v>
      </c>
      <c r="E15" s="102">
        <f>$D15*'MWh Impact Summary'!B$11</f>
        <v>0</v>
      </c>
      <c r="F15" s="319">
        <f>$D15*'MWh Impact Summary'!N$11</f>
        <v>0</v>
      </c>
      <c r="G15" s="319">
        <f>$D15*'MWh Impact Summary'!C$11</f>
        <v>2308.1248860322394</v>
      </c>
      <c r="H15" s="319">
        <f>$D15*'MWh Impact Summary'!D$11</f>
        <v>0</v>
      </c>
      <c r="I15" s="319">
        <f>$D15*'MWh Impact Summary'!E$11</f>
        <v>1844.0133434170443</v>
      </c>
      <c r="J15" s="104">
        <f t="shared" si="11"/>
        <v>4152.1382294492832</v>
      </c>
      <c r="K15" s="298">
        <v>13.15</v>
      </c>
      <c r="L15" s="299">
        <f>K15/(SUM(K$5:K$16))</f>
        <v>9.2573037662794788E-2</v>
      </c>
      <c r="M15" s="297">
        <f>(30/365)</f>
        <v>8.2191780821917804E-2</v>
      </c>
      <c r="N15" s="303">
        <f>$M15*'MWh Impact Summary'!F$11</f>
        <v>0</v>
      </c>
      <c r="O15" s="303">
        <f>$M15*'MWh Impact Summary'!G$11</f>
        <v>0</v>
      </c>
      <c r="P15" s="303">
        <f>$M15*'MWh Impact Summary'!H$11</f>
        <v>0</v>
      </c>
      <c r="Q15" s="303">
        <f>$M15*'MWh Impact Summary'!I$11</f>
        <v>0</v>
      </c>
      <c r="R15" s="303">
        <f>$M15*'MWh Impact Summary'!J$11</f>
        <v>0</v>
      </c>
      <c r="S15" s="303">
        <f>$M15*'MWh Impact Summary'!K$11</f>
        <v>0</v>
      </c>
      <c r="T15" s="303">
        <f>$M15*'MWh Impact Summary'!L$11</f>
        <v>0</v>
      </c>
      <c r="U15" s="303">
        <f>$M15*'MWh Impact Summary'!M$11</f>
        <v>0</v>
      </c>
      <c r="V15" s="303">
        <f>$M15*'MWh Impact Summary'!O$11</f>
        <v>0</v>
      </c>
      <c r="W15" s="303">
        <f>$M15*'MWh Impact Summary'!P$11</f>
        <v>0</v>
      </c>
      <c r="X15" s="303">
        <f>$M15*'MWh Impact Summary'!Q$11</f>
        <v>0</v>
      </c>
      <c r="Y15" s="85">
        <f t="shared" si="2"/>
        <v>0</v>
      </c>
      <c r="Z15" s="81">
        <f t="shared" si="3"/>
        <v>4152.1382294492832</v>
      </c>
      <c r="AA15" s="81"/>
      <c r="AB15" s="81">
        <f>+'MWh by mo-WgtbyActulCDH&amp;Days'!AB15</f>
        <v>4345746</v>
      </c>
      <c r="AC15" s="308">
        <f t="shared" si="12"/>
        <v>0.95544889863542037</v>
      </c>
      <c r="AD15" s="309">
        <f t="shared" si="4"/>
        <v>0.95544889863542037</v>
      </c>
      <c r="AE15" s="107">
        <f t="shared" si="5"/>
        <v>7.265771092284565E-5</v>
      </c>
      <c r="AF15" s="309">
        <f t="shared" si="13"/>
        <v>0</v>
      </c>
      <c r="AG15" s="107">
        <f t="shared" si="6"/>
        <v>0</v>
      </c>
      <c r="AH15" s="119">
        <f t="shared" si="14"/>
        <v>7.265771092284565E-5</v>
      </c>
      <c r="AI15" s="122">
        <f t="shared" si="7"/>
        <v>7.265771092284565E-5</v>
      </c>
      <c r="AJ15" s="87" t="b">
        <f t="shared" si="15"/>
        <v>1</v>
      </c>
      <c r="AK15" s="88">
        <f t="shared" si="8"/>
        <v>7.265771092284565E-5</v>
      </c>
      <c r="AL15" s="312">
        <f>+AC15/'MWh by month-WgtbyCDH&amp;DayLtHrs'!AC15-1</f>
        <v>0</v>
      </c>
      <c r="AM15" s="89">
        <f t="shared" si="9"/>
        <v>0</v>
      </c>
      <c r="AN15" s="90"/>
      <c r="AO15" s="96"/>
      <c r="AP15" s="92"/>
      <c r="AR15" s="94">
        <f t="shared" si="10"/>
        <v>7.265771092284565E-5</v>
      </c>
      <c r="AS15" s="95">
        <v>4865.4451527342171</v>
      </c>
      <c r="AU15" s="141">
        <v>0.95544889863542037</v>
      </c>
    </row>
    <row r="16" spans="1:47">
      <c r="A16" s="78">
        <v>2005</v>
      </c>
      <c r="B16" s="78">
        <v>12</v>
      </c>
      <c r="C16" s="317">
        <v>42.633806123140985</v>
      </c>
      <c r="D16" s="318">
        <f t="shared" si="0"/>
        <v>2.1683298951445065E-2</v>
      </c>
      <c r="E16" s="102">
        <f>$D16*'MWh Impact Summary'!B$11</f>
        <v>0</v>
      </c>
      <c r="F16" s="319">
        <f>$D16*'MWh Impact Summary'!N$11</f>
        <v>0</v>
      </c>
      <c r="G16" s="319">
        <f>$D16*'MWh Impact Summary'!C$11</f>
        <v>1259.6975992354458</v>
      </c>
      <c r="H16" s="319">
        <f>$D16*'MWh Impact Summary'!D$11</f>
        <v>0</v>
      </c>
      <c r="I16" s="319">
        <f>$D16*'MWh Impact Summary'!E$11</f>
        <v>1006.4009949018558</v>
      </c>
      <c r="J16" s="104">
        <f t="shared" si="11"/>
        <v>2266.0985941373015</v>
      </c>
      <c r="K16" s="298">
        <v>13.483333333333333</v>
      </c>
      <c r="L16" s="299">
        <f>K16/(SUM(K$5:K$16))</f>
        <v>9.491962923853102E-2</v>
      </c>
      <c r="M16" s="297">
        <f t="shared" si="16"/>
        <v>8.4931506849315067E-2</v>
      </c>
      <c r="N16" s="303">
        <f>$M16*'MWh Impact Summary'!F$11</f>
        <v>0</v>
      </c>
      <c r="O16" s="303">
        <f>$M16*'MWh Impact Summary'!G$11</f>
        <v>0</v>
      </c>
      <c r="P16" s="303">
        <f>$M16*'MWh Impact Summary'!H$11</f>
        <v>0</v>
      </c>
      <c r="Q16" s="303">
        <f>$M16*'MWh Impact Summary'!I$11</f>
        <v>0</v>
      </c>
      <c r="R16" s="303">
        <f>$M16*'MWh Impact Summary'!J$11</f>
        <v>0</v>
      </c>
      <c r="S16" s="303">
        <f>$M16*'MWh Impact Summary'!K$11</f>
        <v>0</v>
      </c>
      <c r="T16" s="303">
        <f>$M16*'MWh Impact Summary'!L$11</f>
        <v>0</v>
      </c>
      <c r="U16" s="303">
        <f>$M16*'MWh Impact Summary'!M$11</f>
        <v>0</v>
      </c>
      <c r="V16" s="303">
        <f>$M16*'MWh Impact Summary'!O$11</f>
        <v>0</v>
      </c>
      <c r="W16" s="303">
        <f>$M16*'MWh Impact Summary'!P$11</f>
        <v>0</v>
      </c>
      <c r="X16" s="303">
        <f>$M16*'MWh Impact Summary'!Q$11</f>
        <v>0</v>
      </c>
      <c r="Y16" s="85">
        <f t="shared" si="2"/>
        <v>0</v>
      </c>
      <c r="Z16" s="81">
        <f t="shared" si="3"/>
        <v>2266.0985941373015</v>
      </c>
      <c r="AA16" s="81">
        <f>SUM(Z5:Z16)</f>
        <v>104508.94023145307</v>
      </c>
      <c r="AB16" s="81">
        <f>+'MWh by mo-WgtbyActulCDH&amp;Days'!AB16</f>
        <v>4355740</v>
      </c>
      <c r="AC16" s="308">
        <f t="shared" si="12"/>
        <v>0.52025570721330971</v>
      </c>
      <c r="AD16" s="309">
        <f t="shared" si="4"/>
        <v>0.52025570721330971</v>
      </c>
      <c r="AE16" s="107">
        <f t="shared" si="5"/>
        <v>3.8585095714213333E-5</v>
      </c>
      <c r="AF16" s="309">
        <f t="shared" si="13"/>
        <v>0</v>
      </c>
      <c r="AG16" s="107">
        <f t="shared" si="6"/>
        <v>0</v>
      </c>
      <c r="AH16" s="119">
        <f t="shared" si="14"/>
        <v>3.8585095714213333E-5</v>
      </c>
      <c r="AI16" s="122">
        <f t="shared" si="7"/>
        <v>3.8585095714213333E-5</v>
      </c>
      <c r="AJ16" s="87" t="b">
        <f t="shared" si="15"/>
        <v>1</v>
      </c>
      <c r="AK16" s="88">
        <f t="shared" si="8"/>
        <v>3.8585095714213333E-5</v>
      </c>
      <c r="AL16" s="312">
        <f>+AC16/'MWh by month-WgtbyCDH&amp;DayLtHrs'!AC16-1</f>
        <v>0</v>
      </c>
      <c r="AM16" s="89">
        <f t="shared" si="9"/>
        <v>0</v>
      </c>
      <c r="AN16" s="90">
        <f>SUM(AM5:AM16)</f>
        <v>0</v>
      </c>
      <c r="AO16" s="96"/>
      <c r="AP16" s="92"/>
      <c r="AR16" s="94">
        <f t="shared" si="10"/>
        <v>3.8585095714213333E-5</v>
      </c>
      <c r="AS16" s="95">
        <v>2156.0812209549281</v>
      </c>
      <c r="AU16" s="141">
        <v>0.52025570721330971</v>
      </c>
    </row>
    <row r="17" spans="1:47">
      <c r="A17" s="78">
        <v>2006</v>
      </c>
      <c r="B17" s="78">
        <v>1</v>
      </c>
      <c r="C17" s="317">
        <f>+C5</f>
        <v>26.112829868525239</v>
      </c>
      <c r="D17" s="318">
        <f t="shared" ref="D17:D28" si="17">C17/(SUM(C$17:C$28))</f>
        <v>1.3280829182176284E-2</v>
      </c>
      <c r="E17" s="104">
        <f>$D17*'MWh Impact Summary'!B$12</f>
        <v>2904.9799644588265</v>
      </c>
      <c r="F17" s="320">
        <f>$D17*'MWh Impact Summary'!N$12</f>
        <v>0</v>
      </c>
      <c r="G17" s="320">
        <f>$D17*'MWh Impact Summary'!C$12</f>
        <v>2638.1203832080691</v>
      </c>
      <c r="H17" s="320">
        <f>$D17*'MWh Impact Summary'!D$12</f>
        <v>0</v>
      </c>
      <c r="I17" s="320">
        <f>$D17*'MWh Impact Summary'!E$12</f>
        <v>1415.9878542173815</v>
      </c>
      <c r="J17" s="104">
        <f t="shared" si="11"/>
        <v>6959.0882018842767</v>
      </c>
      <c r="K17" s="298">
        <f>+K5</f>
        <v>13.3</v>
      </c>
      <c r="L17" s="299">
        <f>K17/(SUM(K$17:K$28))</f>
        <v>9.3629003871876101E-2</v>
      </c>
      <c r="M17" s="297">
        <f>(31/365)</f>
        <v>8.4931506849315067E-2</v>
      </c>
      <c r="N17" s="304">
        <f>$M17*'MWh Impact Summary'!F$12</f>
        <v>0</v>
      </c>
      <c r="O17" s="304">
        <f>$M17*'MWh Impact Summary'!G$12</f>
        <v>0</v>
      </c>
      <c r="P17" s="304">
        <f>$M17*'MWh Impact Summary'!H$12</f>
        <v>0</v>
      </c>
      <c r="Q17" s="304">
        <f>$M17*'MWh Impact Summary'!I$12</f>
        <v>116.17109368516167</v>
      </c>
      <c r="R17" s="304">
        <f>$M17*'MWh Impact Summary'!J$12</f>
        <v>0</v>
      </c>
      <c r="S17" s="304">
        <f>$M17*'MWh Impact Summary'!K$12</f>
        <v>0</v>
      </c>
      <c r="T17" s="304">
        <f>$M17*'MWh Impact Summary'!L$12</f>
        <v>0</v>
      </c>
      <c r="U17" s="304">
        <f>$M17*'MWh Impact Summary'!M$12</f>
        <v>0</v>
      </c>
      <c r="V17" s="304">
        <f>$M17*'MWh Impact Summary'!O$12</f>
        <v>0</v>
      </c>
      <c r="W17" s="304">
        <f>$M17*'MWh Impact Summary'!P$12</f>
        <v>0</v>
      </c>
      <c r="X17" s="304">
        <f>$M17*'MWh Impact Summary'!Q$12</f>
        <v>0</v>
      </c>
      <c r="Y17" s="85">
        <f t="shared" si="2"/>
        <v>116.17109368516167</v>
      </c>
      <c r="Z17" s="81">
        <f t="shared" si="3"/>
        <v>7075.2592955694381</v>
      </c>
      <c r="AA17" s="81"/>
      <c r="AB17" s="81">
        <f>+'MWh by mo-WgtbyActulCDH&amp;Days'!AB17</f>
        <v>4369236</v>
      </c>
      <c r="AC17" s="308">
        <f t="shared" si="12"/>
        <v>1.6193355761898507</v>
      </c>
      <c r="AD17" s="309">
        <f t="shared" si="4"/>
        <v>1.5927471534804432</v>
      </c>
      <c r="AE17" s="107">
        <f t="shared" si="5"/>
        <v>1.1975542507371753E-4</v>
      </c>
      <c r="AF17" s="309">
        <f t="shared" si="13"/>
        <v>2.6588422709407703E-2</v>
      </c>
      <c r="AG17" s="107">
        <f t="shared" si="6"/>
        <v>1.9991295270231351E-6</v>
      </c>
      <c r="AH17" s="119">
        <f t="shared" si="14"/>
        <v>1.2175455460074066E-4</v>
      </c>
      <c r="AI17" s="122">
        <f t="shared" si="7"/>
        <v>1.2175455460074066E-4</v>
      </c>
      <c r="AJ17" s="87" t="b">
        <f t="shared" si="15"/>
        <v>1</v>
      </c>
      <c r="AK17" s="88">
        <f>AI17-AI5</f>
        <v>9.7328738111795697E-5</v>
      </c>
      <c r="AL17" s="312">
        <f>+AC17/'MWh by month-WgtbyCDH&amp;DayLtHrs'!AC17-1</f>
        <v>3.0906158003785045E-4</v>
      </c>
      <c r="AM17" s="89">
        <f t="shared" si="9"/>
        <v>0</v>
      </c>
      <c r="AN17" s="90"/>
      <c r="AO17" s="96"/>
      <c r="AP17" s="92"/>
      <c r="AR17" s="94">
        <f t="shared" si="10"/>
        <v>1.2175455460074066E-4</v>
      </c>
      <c r="AS17" s="95">
        <v>7009.1637420817888</v>
      </c>
      <c r="AU17" s="141">
        <v>1.6193355761898507</v>
      </c>
    </row>
    <row r="18" spans="1:47">
      <c r="A18" s="78">
        <v>2006</v>
      </c>
      <c r="B18" s="78">
        <v>2</v>
      </c>
      <c r="C18" s="317">
        <f t="shared" ref="C18:C81" si="18">+C6</f>
        <v>35.042184420393127</v>
      </c>
      <c r="D18" s="318">
        <f t="shared" si="17"/>
        <v>1.7822245532205266E-2</v>
      </c>
      <c r="E18" s="104">
        <f>$D18*'MWh Impact Summary'!B$12</f>
        <v>3898.345915193695</v>
      </c>
      <c r="F18" s="320">
        <f>$D18*'MWh Impact Summary'!N$12</f>
        <v>0</v>
      </c>
      <c r="G18" s="320">
        <f>$D18*'MWh Impact Summary'!C$12</f>
        <v>3540.2329604652823</v>
      </c>
      <c r="H18" s="320">
        <f>$D18*'MWh Impact Summary'!D$12</f>
        <v>0</v>
      </c>
      <c r="I18" s="320">
        <f>$D18*'MWh Impact Summary'!E$12</f>
        <v>1900.1888257362029</v>
      </c>
      <c r="J18" s="104">
        <f t="shared" si="11"/>
        <v>9338.7677013951798</v>
      </c>
      <c r="K18" s="298">
        <f t="shared" ref="K18:K81" si="19">+K6</f>
        <v>12.733333333333333</v>
      </c>
      <c r="L18" s="299">
        <f>K18/(SUM(K$17:K$28))</f>
        <v>8.9639798193124468E-2</v>
      </c>
      <c r="M18" s="297">
        <f>(28/365)</f>
        <v>7.6712328767123292E-2</v>
      </c>
      <c r="N18" s="304">
        <f>$M18*'MWh Impact Summary'!F$12</f>
        <v>0</v>
      </c>
      <c r="O18" s="304">
        <f>$M18*'MWh Impact Summary'!G$12</f>
        <v>0</v>
      </c>
      <c r="P18" s="304">
        <f>$M18*'MWh Impact Summary'!H$12</f>
        <v>0</v>
      </c>
      <c r="Q18" s="304">
        <f>$M18*'MWh Impact Summary'!I$12</f>
        <v>104.92872978014603</v>
      </c>
      <c r="R18" s="304">
        <f>$M18*'MWh Impact Summary'!J$12</f>
        <v>0</v>
      </c>
      <c r="S18" s="304">
        <f>$M18*'MWh Impact Summary'!K$12</f>
        <v>0</v>
      </c>
      <c r="T18" s="304">
        <f>$M18*'MWh Impact Summary'!L$12</f>
        <v>0</v>
      </c>
      <c r="U18" s="304">
        <f>$M18*'MWh Impact Summary'!M$12</f>
        <v>0</v>
      </c>
      <c r="V18" s="304">
        <f>$M18*'MWh Impact Summary'!O$12</f>
        <v>0</v>
      </c>
      <c r="W18" s="304">
        <f>$M18*'MWh Impact Summary'!P$12</f>
        <v>0</v>
      </c>
      <c r="X18" s="304">
        <f>$M18*'MWh Impact Summary'!Q$12</f>
        <v>0</v>
      </c>
      <c r="Y18" s="85">
        <f t="shared" si="2"/>
        <v>104.92872978014603</v>
      </c>
      <c r="Z18" s="81">
        <f t="shared" si="3"/>
        <v>9443.6964311753254</v>
      </c>
      <c r="AA18" s="81"/>
      <c r="AB18" s="81">
        <f>+'MWh by mo-WgtbyActulCDH&amp;Days'!AB18</f>
        <v>4377958</v>
      </c>
      <c r="AC18" s="308">
        <f t="shared" si="12"/>
        <v>2.1571007376441997</v>
      </c>
      <c r="AD18" s="309">
        <f t="shared" si="4"/>
        <v>2.1331332327526167</v>
      </c>
      <c r="AE18" s="107">
        <f t="shared" si="5"/>
        <v>1.6752355231041495E-4</v>
      </c>
      <c r="AF18" s="309">
        <f t="shared" si="13"/>
        <v>2.3967504891583249E-2</v>
      </c>
      <c r="AG18" s="107">
        <f t="shared" si="6"/>
        <v>1.8822647820615116E-6</v>
      </c>
      <c r="AH18" s="119">
        <f t="shared" si="14"/>
        <v>1.6940581709247647E-4</v>
      </c>
      <c r="AI18" s="122">
        <f t="shared" si="7"/>
        <v>1.6940581709247644E-4</v>
      </c>
      <c r="AJ18" s="87" t="b">
        <f t="shared" si="15"/>
        <v>1</v>
      </c>
      <c r="AK18" s="88">
        <f>AI18-AI6</f>
        <v>1.3529279489516005E-4</v>
      </c>
      <c r="AL18" s="312">
        <f>+AC18/'MWh by month-WgtbyCDH&amp;DayLtHrs'!AC18-1</f>
        <v>-9.5806469418535656E-4</v>
      </c>
      <c r="AM18" s="89">
        <f t="shared" si="9"/>
        <v>0</v>
      </c>
      <c r="AN18" s="90"/>
      <c r="AO18" s="96"/>
      <c r="AP18" s="92"/>
      <c r="AR18" s="94">
        <f t="shared" si="10"/>
        <v>1.6940581709247644E-4</v>
      </c>
      <c r="AS18" s="95">
        <v>8174.9983119916897</v>
      </c>
      <c r="AU18" s="141">
        <v>2.1571007376441997</v>
      </c>
    </row>
    <row r="19" spans="1:47">
      <c r="A19" s="78">
        <v>2006</v>
      </c>
      <c r="B19" s="78">
        <v>3</v>
      </c>
      <c r="C19" s="317">
        <f t="shared" si="18"/>
        <v>64.582270600115152</v>
      </c>
      <c r="D19" s="318">
        <f t="shared" si="17"/>
        <v>3.2846156787895278E-2</v>
      </c>
      <c r="E19" s="104">
        <f>$D19*'MWh Impact Summary'!B$12</f>
        <v>7184.5986473770272</v>
      </c>
      <c r="F19" s="320">
        <f>$D19*'MWh Impact Summary'!N$12</f>
        <v>0</v>
      </c>
      <c r="G19" s="320">
        <f>$D19*'MWh Impact Summary'!C$12</f>
        <v>6524.6013289958782</v>
      </c>
      <c r="H19" s="320">
        <f>$D19*'MWh Impact Summary'!D$12</f>
        <v>0</v>
      </c>
      <c r="I19" s="320">
        <f>$D19*'MWh Impact Summary'!E$12</f>
        <v>3502.0222330544366</v>
      </c>
      <c r="J19" s="104">
        <f t="shared" si="11"/>
        <v>17211.222209427342</v>
      </c>
      <c r="K19" s="298">
        <f t="shared" si="19"/>
        <v>12</v>
      </c>
      <c r="L19" s="299">
        <f>K19/(SUM(K$17:K$28))</f>
        <v>8.4477296726504739E-2</v>
      </c>
      <c r="M19" s="297">
        <f t="shared" ref="M19:M28" si="20">(31/365)</f>
        <v>8.4931506849315067E-2</v>
      </c>
      <c r="N19" s="304">
        <f>$M19*'MWh Impact Summary'!F$12</f>
        <v>0</v>
      </c>
      <c r="O19" s="304">
        <f>$M19*'MWh Impact Summary'!G$12</f>
        <v>0</v>
      </c>
      <c r="P19" s="304">
        <f>$M19*'MWh Impact Summary'!H$12</f>
        <v>0</v>
      </c>
      <c r="Q19" s="304">
        <f>$M19*'MWh Impact Summary'!I$12</f>
        <v>116.17109368516167</v>
      </c>
      <c r="R19" s="304">
        <f>$M19*'MWh Impact Summary'!J$12</f>
        <v>0</v>
      </c>
      <c r="S19" s="304">
        <f>$M19*'MWh Impact Summary'!K$12</f>
        <v>0</v>
      </c>
      <c r="T19" s="304">
        <f>$M19*'MWh Impact Summary'!L$12</f>
        <v>0</v>
      </c>
      <c r="U19" s="304">
        <f>$M19*'MWh Impact Summary'!M$12</f>
        <v>0</v>
      </c>
      <c r="V19" s="304">
        <f>$M19*'MWh Impact Summary'!O$12</f>
        <v>0</v>
      </c>
      <c r="W19" s="304">
        <f>$M19*'MWh Impact Summary'!P$12</f>
        <v>0</v>
      </c>
      <c r="X19" s="304">
        <f>$M19*'MWh Impact Summary'!Q$12</f>
        <v>0</v>
      </c>
      <c r="Y19" s="85">
        <f t="shared" si="2"/>
        <v>116.17109368516167</v>
      </c>
      <c r="Z19" s="81">
        <f t="shared" si="3"/>
        <v>17327.393303112505</v>
      </c>
      <c r="AA19" s="81"/>
      <c r="AB19" s="81">
        <f>+'MWh by mo-WgtbyActulCDH&amp;Days'!AB19</f>
        <v>4390093</v>
      </c>
      <c r="AC19" s="308">
        <f t="shared" si="12"/>
        <v>3.9469308060472765</v>
      </c>
      <c r="AD19" s="309">
        <f t="shared" si="4"/>
        <v>3.9204687029243668</v>
      </c>
      <c r="AE19" s="107">
        <f t="shared" si="5"/>
        <v>3.2670572524369723E-4</v>
      </c>
      <c r="AF19" s="309">
        <f t="shared" si="13"/>
        <v>2.6462103122909166E-2</v>
      </c>
      <c r="AG19" s="107">
        <f t="shared" si="6"/>
        <v>2.2051752602424307E-6</v>
      </c>
      <c r="AH19" s="119">
        <f t="shared" si="14"/>
        <v>3.2891090050393967E-4</v>
      </c>
      <c r="AI19" s="122">
        <f t="shared" si="7"/>
        <v>3.2891090050393972E-4</v>
      </c>
      <c r="AJ19" s="87" t="b">
        <f t="shared" si="15"/>
        <v>1</v>
      </c>
      <c r="AK19" s="88">
        <f>AI19-AI7</f>
        <v>2.62383272409596E-4</v>
      </c>
      <c r="AL19" s="312">
        <f>+AC19/'MWh by month-WgtbyCDH&amp;DayLtHrs'!AC19-1</f>
        <v>1.2617541409043476E-4</v>
      </c>
      <c r="AM19" s="89">
        <f t="shared" si="9"/>
        <v>0</v>
      </c>
      <c r="AN19" s="90"/>
      <c r="AO19" s="96"/>
      <c r="AP19" s="92"/>
      <c r="AR19" s="94">
        <f t="shared" si="10"/>
        <v>3.2891090050393972E-4</v>
      </c>
      <c r="AS19" s="95">
        <v>15958.602864016615</v>
      </c>
      <c r="AU19" s="141">
        <v>3.9469308060472765</v>
      </c>
    </row>
    <row r="20" spans="1:47">
      <c r="A20" s="78">
        <v>2006</v>
      </c>
      <c r="B20" s="78">
        <v>4</v>
      </c>
      <c r="C20" s="317">
        <f t="shared" si="18"/>
        <v>114.03392869270741</v>
      </c>
      <c r="D20" s="318">
        <f t="shared" si="17"/>
        <v>5.7996974497419709E-2</v>
      </c>
      <c r="E20" s="104">
        <f>$D20*'MWh Impact Summary'!B$12</f>
        <v>12685.958580082086</v>
      </c>
      <c r="F20" s="320">
        <f>$D20*'MWh Impact Summary'!N$12</f>
        <v>0</v>
      </c>
      <c r="G20" s="320">
        <f>$D20*'MWh Impact Summary'!C$12</f>
        <v>11520.590957632468</v>
      </c>
      <c r="H20" s="320">
        <f>$D20*'MWh Impact Summary'!D$12</f>
        <v>0</v>
      </c>
      <c r="I20" s="320">
        <f>$D20*'MWh Impact Summary'!E$12</f>
        <v>6183.5756143837634</v>
      </c>
      <c r="J20" s="104">
        <f t="shared" si="11"/>
        <v>30390.125152098321</v>
      </c>
      <c r="K20" s="298">
        <f t="shared" si="19"/>
        <v>11.2</v>
      </c>
      <c r="L20" s="299">
        <f>K20/(SUM(K$17:K$28))</f>
        <v>7.8845476944737758E-2</v>
      </c>
      <c r="M20" s="297">
        <f>(30/365)</f>
        <v>8.2191780821917804E-2</v>
      </c>
      <c r="N20" s="304">
        <f>$M20*'MWh Impact Summary'!F$12</f>
        <v>0</v>
      </c>
      <c r="O20" s="304">
        <f>$M20*'MWh Impact Summary'!G$12</f>
        <v>0</v>
      </c>
      <c r="P20" s="304">
        <f>$M20*'MWh Impact Summary'!H$12</f>
        <v>0</v>
      </c>
      <c r="Q20" s="304">
        <f>$M20*'MWh Impact Summary'!I$12</f>
        <v>112.42363905015645</v>
      </c>
      <c r="R20" s="304">
        <f>$M20*'MWh Impact Summary'!J$12</f>
        <v>0</v>
      </c>
      <c r="S20" s="304">
        <f>$M20*'MWh Impact Summary'!K$12</f>
        <v>0</v>
      </c>
      <c r="T20" s="304">
        <f>$M20*'MWh Impact Summary'!L$12</f>
        <v>0</v>
      </c>
      <c r="U20" s="304">
        <f>$M20*'MWh Impact Summary'!M$12</f>
        <v>0</v>
      </c>
      <c r="V20" s="304">
        <f>$M20*'MWh Impact Summary'!O$12</f>
        <v>0</v>
      </c>
      <c r="W20" s="304">
        <f>$M20*'MWh Impact Summary'!P$12</f>
        <v>0</v>
      </c>
      <c r="X20" s="304">
        <f>$M20*'MWh Impact Summary'!Q$12</f>
        <v>0</v>
      </c>
      <c r="Y20" s="85">
        <f t="shared" si="2"/>
        <v>112.42363905015645</v>
      </c>
      <c r="Z20" s="81">
        <f t="shared" si="3"/>
        <v>30502.548791148478</v>
      </c>
      <c r="AA20" s="81"/>
      <c r="AB20" s="81">
        <f>+'MWh by mo-WgtbyActulCDH&amp;Days'!AB20</f>
        <v>4398215</v>
      </c>
      <c r="AC20" s="308">
        <f t="shared" si="12"/>
        <v>6.9352109415179743</v>
      </c>
      <c r="AD20" s="309">
        <f t="shared" si="4"/>
        <v>6.9096497447483403</v>
      </c>
      <c r="AE20" s="107">
        <f t="shared" si="5"/>
        <v>6.1693301292395895E-4</v>
      </c>
      <c r="AF20" s="309">
        <f t="shared" si="13"/>
        <v>2.5561196769634149E-2</v>
      </c>
      <c r="AG20" s="107">
        <f t="shared" si="6"/>
        <v>2.2822497115744776E-6</v>
      </c>
      <c r="AH20" s="119">
        <f t="shared" si="14"/>
        <v>6.1921526263553344E-4</v>
      </c>
      <c r="AI20" s="122">
        <f t="shared" si="7"/>
        <v>6.1921526263553355E-4</v>
      </c>
      <c r="AJ20" s="87" t="b">
        <f t="shared" si="15"/>
        <v>0</v>
      </c>
      <c r="AK20" s="88">
        <f>AI20-AI8</f>
        <v>4.9365698421602214E-4</v>
      </c>
      <c r="AL20" s="312">
        <f>+AC20/'MWh by month-WgtbyCDH&amp;DayLtHrs'!AC20-1</f>
        <v>-5.1187837293076299E-5</v>
      </c>
      <c r="AM20" s="89">
        <f t="shared" si="9"/>
        <v>0</v>
      </c>
      <c r="AN20" s="90"/>
      <c r="AO20" s="96"/>
      <c r="AP20" s="92"/>
      <c r="AR20" s="94">
        <f t="shared" si="10"/>
        <v>6.1921526263553355E-4</v>
      </c>
      <c r="AS20" s="95">
        <v>30050.715671449223</v>
      </c>
      <c r="AU20" s="141">
        <v>6.9352109415179743</v>
      </c>
    </row>
    <row r="21" spans="1:47">
      <c r="A21" s="78">
        <v>2006</v>
      </c>
      <c r="B21" s="78">
        <v>5</v>
      </c>
      <c r="C21" s="317">
        <f t="shared" si="18"/>
        <v>208.47875842628665</v>
      </c>
      <c r="D21" s="318">
        <f t="shared" si="17"/>
        <v>0.10603105035770212</v>
      </c>
      <c r="E21" s="104">
        <f>$D21*'MWh Impact Summary'!B$12</f>
        <v>23192.684182176621</v>
      </c>
      <c r="F21" s="320">
        <f>$D21*'MWh Impact Summary'!N$12</f>
        <v>0</v>
      </c>
      <c r="G21" s="320">
        <f>$D21*'MWh Impact Summary'!C$12</f>
        <v>21062.139371314315</v>
      </c>
      <c r="H21" s="320">
        <f>$D21*'MWh Impact Summary'!D$12</f>
        <v>0</v>
      </c>
      <c r="I21" s="320">
        <f>$D21*'MWh Impact Summary'!E$12</f>
        <v>11304.91759339194</v>
      </c>
      <c r="J21" s="104">
        <f t="shared" si="11"/>
        <v>55559.741146882872</v>
      </c>
      <c r="K21" s="298">
        <f t="shared" si="19"/>
        <v>10.533333333333333</v>
      </c>
      <c r="L21" s="299">
        <f>K21/(SUM(K$17:K$28))</f>
        <v>7.4152293793265281E-2</v>
      </c>
      <c r="M21" s="297">
        <f t="shared" si="20"/>
        <v>8.4931506849315067E-2</v>
      </c>
      <c r="N21" s="304">
        <f>$M21*'MWh Impact Summary'!F$12</f>
        <v>0</v>
      </c>
      <c r="O21" s="304">
        <f>$M21*'MWh Impact Summary'!G$12</f>
        <v>0</v>
      </c>
      <c r="P21" s="304">
        <f>$M21*'MWh Impact Summary'!H$12</f>
        <v>0</v>
      </c>
      <c r="Q21" s="304">
        <f>$M21*'MWh Impact Summary'!I$12</f>
        <v>116.17109368516167</v>
      </c>
      <c r="R21" s="304">
        <f>$M21*'MWh Impact Summary'!J$12</f>
        <v>0</v>
      </c>
      <c r="S21" s="304">
        <f>$M21*'MWh Impact Summary'!K$12</f>
        <v>0</v>
      </c>
      <c r="T21" s="304">
        <f>$M21*'MWh Impact Summary'!L$12</f>
        <v>0</v>
      </c>
      <c r="U21" s="304">
        <f>$M21*'MWh Impact Summary'!M$12</f>
        <v>0</v>
      </c>
      <c r="V21" s="304">
        <f>$M21*'MWh Impact Summary'!O$12</f>
        <v>0</v>
      </c>
      <c r="W21" s="304">
        <f>$M21*'MWh Impact Summary'!P$12</f>
        <v>0</v>
      </c>
      <c r="X21" s="304">
        <f>$M21*'MWh Impact Summary'!Q$12</f>
        <v>0</v>
      </c>
      <c r="Y21" s="85">
        <f t="shared" si="2"/>
        <v>116.17109368516167</v>
      </c>
      <c r="Z21" s="81">
        <f t="shared" si="3"/>
        <v>55675.912240568032</v>
      </c>
      <c r="AA21" s="81"/>
      <c r="AB21" s="81">
        <f>+'MWh by mo-WgtbyActulCDH&amp;Days'!AB21</f>
        <v>4397210</v>
      </c>
      <c r="AC21" s="308">
        <f t="shared" si="12"/>
        <v>12.661645052332737</v>
      </c>
      <c r="AD21" s="309">
        <f t="shared" si="4"/>
        <v>12.635225778819494</v>
      </c>
      <c r="AE21" s="107">
        <f t="shared" si="5"/>
        <v>1.1995467511537493E-3</v>
      </c>
      <c r="AF21" s="309">
        <f t="shared" si="13"/>
        <v>2.641927351324173E-2</v>
      </c>
      <c r="AG21" s="107">
        <f t="shared" si="6"/>
        <v>2.5081588778394048E-6</v>
      </c>
      <c r="AH21" s="119">
        <f t="shared" si="14"/>
        <v>1.2020549100315889E-3</v>
      </c>
      <c r="AI21" s="122">
        <f t="shared" si="7"/>
        <v>1.2020549100315889E-3</v>
      </c>
      <c r="AJ21" s="87" t="b">
        <f t="shared" si="15"/>
        <v>1</v>
      </c>
      <c r="AK21" s="88">
        <f>AI21-AI9</f>
        <v>9.5819470116302249E-4</v>
      </c>
      <c r="AL21" s="312">
        <f>+AC21/'MWh by month-WgtbyCDH&amp;DayLtHrs'!AC21-1</f>
        <v>3.9264754705170546E-5</v>
      </c>
      <c r="AM21" s="89">
        <f t="shared" si="9"/>
        <v>0</v>
      </c>
      <c r="AN21" s="90"/>
      <c r="AO21" s="96"/>
      <c r="AP21" s="92"/>
      <c r="AR21" s="94">
        <f t="shared" si="10"/>
        <v>1.2020549100315889E-3</v>
      </c>
      <c r="AS21" s="95">
        <v>51309.971910408989</v>
      </c>
      <c r="AU21" s="141">
        <v>12.661645052332737</v>
      </c>
    </row>
    <row r="22" spans="1:47">
      <c r="A22" s="78">
        <v>2006</v>
      </c>
      <c r="B22" s="78">
        <v>6</v>
      </c>
      <c r="C22" s="317">
        <f t="shared" si="18"/>
        <v>271.66325293295364</v>
      </c>
      <c r="D22" s="318">
        <f t="shared" si="17"/>
        <v>0.13816630657965029</v>
      </c>
      <c r="E22" s="104">
        <f>$D22*'MWh Impact Summary'!B$12</f>
        <v>30221.784112382407</v>
      </c>
      <c r="F22" s="320">
        <f>$D22*'MWh Impact Summary'!N$12</f>
        <v>0</v>
      </c>
      <c r="G22" s="320">
        <f>$D22*'MWh Impact Summary'!C$12</f>
        <v>27445.526530040148</v>
      </c>
      <c r="H22" s="320">
        <f>$D22*'MWh Impact Summary'!D$12</f>
        <v>0</v>
      </c>
      <c r="I22" s="320">
        <f>$D22*'MWh Impact Summary'!E$12</f>
        <v>14731.144365701475</v>
      </c>
      <c r="J22" s="104">
        <f t="shared" si="11"/>
        <v>72398.45500812403</v>
      </c>
      <c r="K22" s="298">
        <f t="shared" si="19"/>
        <v>10.199999999999999</v>
      </c>
      <c r="L22" s="299">
        <f t="shared" ref="L22:L28" si="21">K22/(SUM(K$17:K$28))</f>
        <v>7.1805702217529022E-2</v>
      </c>
      <c r="M22" s="297">
        <f>(30/365)</f>
        <v>8.2191780821917804E-2</v>
      </c>
      <c r="N22" s="304">
        <f>$M22*'MWh Impact Summary'!F$12</f>
        <v>0</v>
      </c>
      <c r="O22" s="304">
        <f>$M22*'MWh Impact Summary'!G$12</f>
        <v>0</v>
      </c>
      <c r="P22" s="304">
        <f>$M22*'MWh Impact Summary'!H$12</f>
        <v>0</v>
      </c>
      <c r="Q22" s="304">
        <f>$M22*'MWh Impact Summary'!I$12</f>
        <v>112.42363905015645</v>
      </c>
      <c r="R22" s="304">
        <f>$M22*'MWh Impact Summary'!J$12</f>
        <v>0</v>
      </c>
      <c r="S22" s="304">
        <f>$M22*'MWh Impact Summary'!K$12</f>
        <v>0</v>
      </c>
      <c r="T22" s="304">
        <f>$M22*'MWh Impact Summary'!L$12</f>
        <v>0</v>
      </c>
      <c r="U22" s="304">
        <f>$M22*'MWh Impact Summary'!M$12</f>
        <v>0</v>
      </c>
      <c r="V22" s="304">
        <f>$M22*'MWh Impact Summary'!O$12</f>
        <v>0</v>
      </c>
      <c r="W22" s="304">
        <f>$M22*'MWh Impact Summary'!P$12</f>
        <v>0</v>
      </c>
      <c r="X22" s="304">
        <f>$M22*'MWh Impact Summary'!Q$12</f>
        <v>0</v>
      </c>
      <c r="Y22" s="85">
        <f t="shared" si="2"/>
        <v>112.42363905015645</v>
      </c>
      <c r="Z22" s="81">
        <f t="shared" si="3"/>
        <v>72510.878647174191</v>
      </c>
      <c r="AA22" s="81"/>
      <c r="AB22" s="81">
        <f>+'MWh by mo-WgtbyActulCDH&amp;Days'!AB22</f>
        <v>4403628</v>
      </c>
      <c r="AC22" s="308">
        <f t="shared" si="12"/>
        <v>16.466168043071349</v>
      </c>
      <c r="AD22" s="309">
        <f t="shared" si="4"/>
        <v>16.440638266475737</v>
      </c>
      <c r="AE22" s="107">
        <f t="shared" si="5"/>
        <v>1.6118272810270332E-3</v>
      </c>
      <c r="AF22" s="309">
        <f t="shared" si="13"/>
        <v>2.5529776595606273E-2</v>
      </c>
      <c r="AG22" s="107">
        <f t="shared" si="6"/>
        <v>2.5029192740790464E-6</v>
      </c>
      <c r="AH22" s="119">
        <f t="shared" si="14"/>
        <v>1.6143302003011123E-3</v>
      </c>
      <c r="AI22" s="122">
        <f t="shared" si="7"/>
        <v>1.6143302003011129E-3</v>
      </c>
      <c r="AJ22" s="87" t="b">
        <f t="shared" si="15"/>
        <v>1</v>
      </c>
      <c r="AK22" s="88">
        <f t="shared" ref="AK22:AK85" si="22">AI22-AI10</f>
        <v>1.2867025086864266E-3</v>
      </c>
      <c r="AL22" s="312">
        <f>+AC22/'MWh by month-WgtbyCDH&amp;DayLtHrs'!AC22-1</f>
        <v>-2.1533400742845821E-5</v>
      </c>
      <c r="AM22" s="89">
        <f t="shared" si="9"/>
        <v>0</v>
      </c>
      <c r="AN22" s="90"/>
      <c r="AO22" s="96"/>
      <c r="AP22" s="92"/>
      <c r="AR22" s="94">
        <f t="shared" si="10"/>
        <v>1.6143302003011129E-3</v>
      </c>
      <c r="AS22" s="95">
        <v>74366.069194837764</v>
      </c>
      <c r="AU22" s="141">
        <v>16.466168043071349</v>
      </c>
    </row>
    <row r="23" spans="1:47">
      <c r="A23" s="78">
        <v>2006</v>
      </c>
      <c r="B23" s="78">
        <v>7</v>
      </c>
      <c r="C23" s="317">
        <f t="shared" si="18"/>
        <v>322.31916585708109</v>
      </c>
      <c r="D23" s="318">
        <f t="shared" si="17"/>
        <v>0.16392960109808263</v>
      </c>
      <c r="E23" s="104">
        <f>$D23*'MWh Impact Summary'!B$12</f>
        <v>35857.114058116545</v>
      </c>
      <c r="F23" s="320">
        <f>$D23*'MWh Impact Summary'!N$12</f>
        <v>0</v>
      </c>
      <c r="G23" s="320">
        <f>$D23*'MWh Impact Summary'!C$12</f>
        <v>32563.17931175687</v>
      </c>
      <c r="H23" s="320">
        <f>$D23*'MWh Impact Summary'!D$12</f>
        <v>0</v>
      </c>
      <c r="I23" s="320">
        <f>$D23*'MWh Impact Summary'!E$12</f>
        <v>17477.999371688948</v>
      </c>
      <c r="J23" s="104">
        <f t="shared" si="11"/>
        <v>85898.292741562356</v>
      </c>
      <c r="K23" s="298">
        <f t="shared" si="19"/>
        <v>10.366666666666667</v>
      </c>
      <c r="L23" s="299">
        <f t="shared" si="21"/>
        <v>7.2978998005397158E-2</v>
      </c>
      <c r="M23" s="297">
        <f t="shared" si="20"/>
        <v>8.4931506849315067E-2</v>
      </c>
      <c r="N23" s="304">
        <f>$M23*'MWh Impact Summary'!F$12</f>
        <v>0</v>
      </c>
      <c r="O23" s="304">
        <f>$M23*'MWh Impact Summary'!G$12</f>
        <v>0</v>
      </c>
      <c r="P23" s="304">
        <f>$M23*'MWh Impact Summary'!H$12</f>
        <v>0</v>
      </c>
      <c r="Q23" s="304">
        <f>$M23*'MWh Impact Summary'!I$12</f>
        <v>116.17109368516167</v>
      </c>
      <c r="R23" s="304">
        <f>$M23*'MWh Impact Summary'!J$12</f>
        <v>0</v>
      </c>
      <c r="S23" s="304">
        <f>$M23*'MWh Impact Summary'!K$12</f>
        <v>0</v>
      </c>
      <c r="T23" s="304">
        <f>$M23*'MWh Impact Summary'!L$12</f>
        <v>0</v>
      </c>
      <c r="U23" s="304">
        <f>$M23*'MWh Impact Summary'!M$12</f>
        <v>0</v>
      </c>
      <c r="V23" s="304">
        <f>$M23*'MWh Impact Summary'!O$12</f>
        <v>0</v>
      </c>
      <c r="W23" s="304">
        <f>$M23*'MWh Impact Summary'!P$12</f>
        <v>0</v>
      </c>
      <c r="X23" s="304">
        <f>$M23*'MWh Impact Summary'!Q$12</f>
        <v>0</v>
      </c>
      <c r="Y23" s="85">
        <f t="shared" si="2"/>
        <v>116.17109368516167</v>
      </c>
      <c r="Z23" s="81">
        <f t="shared" si="3"/>
        <v>86014.463835247516</v>
      </c>
      <c r="AA23" s="81"/>
      <c r="AB23" s="81">
        <f>+'MWh by mo-WgtbyActulCDH&amp;Days'!AB23</f>
        <v>4406505</v>
      </c>
      <c r="AC23" s="308">
        <f t="shared" si="12"/>
        <v>19.51988340765471</v>
      </c>
      <c r="AD23" s="309">
        <f t="shared" si="4"/>
        <v>19.493519862467501</v>
      </c>
      <c r="AE23" s="107">
        <f t="shared" si="5"/>
        <v>1.8804038452540997E-3</v>
      </c>
      <c r="AF23" s="309">
        <f t="shared" si="13"/>
        <v>2.6363545187208837E-2</v>
      </c>
      <c r="AG23" s="107">
        <f t="shared" si="6"/>
        <v>2.5431072527854184E-6</v>
      </c>
      <c r="AH23" s="119">
        <f t="shared" si="14"/>
        <v>1.8829469525068851E-3</v>
      </c>
      <c r="AI23" s="122">
        <f t="shared" si="7"/>
        <v>1.8829469525068851E-3</v>
      </c>
      <c r="AJ23" s="87" t="b">
        <f t="shared" si="15"/>
        <v>1</v>
      </c>
      <c r="AK23" s="88">
        <f t="shared" si="22"/>
        <v>1.5010861234511603E-3</v>
      </c>
      <c r="AL23" s="312">
        <f>+AC23/'MWh by month-WgtbyCDH&amp;DayLtHrs'!AC23-1</f>
        <v>2.541515303589037E-5</v>
      </c>
      <c r="AM23" s="89">
        <f t="shared" si="9"/>
        <v>0</v>
      </c>
      <c r="AN23" s="90"/>
      <c r="AO23" s="96"/>
      <c r="AP23" s="92"/>
      <c r="AR23" s="94">
        <f t="shared" si="10"/>
        <v>1.8829469525068851E-3</v>
      </c>
      <c r="AS23" s="95">
        <v>83664.266541867051</v>
      </c>
      <c r="AU23" s="141">
        <v>19.51988340765471</v>
      </c>
    </row>
    <row r="24" spans="1:47">
      <c r="A24" s="78">
        <v>2006</v>
      </c>
      <c r="B24" s="78">
        <v>8</v>
      </c>
      <c r="C24" s="317">
        <f t="shared" si="18"/>
        <v>326.45437890907908</v>
      </c>
      <c r="D24" s="318">
        <f t="shared" si="17"/>
        <v>0.16603274573816959</v>
      </c>
      <c r="E24" s="104">
        <f>$D24*'MWh Impact Summary'!B$12</f>
        <v>36317.145051513486</v>
      </c>
      <c r="F24" s="320">
        <f>$D24*'MWh Impact Summary'!N$12</f>
        <v>0</v>
      </c>
      <c r="G24" s="320">
        <f>$D24*'MWh Impact Summary'!C$12</f>
        <v>32980.950571950059</v>
      </c>
      <c r="H24" s="320">
        <f>$D24*'MWh Impact Summary'!D$12</f>
        <v>0</v>
      </c>
      <c r="I24" s="320">
        <f>$D24*'MWh Impact Summary'!E$12</f>
        <v>17702.234411924404</v>
      </c>
      <c r="J24" s="104">
        <f t="shared" si="11"/>
        <v>87000.330035387946</v>
      </c>
      <c r="K24" s="298">
        <f t="shared" si="19"/>
        <v>10.933333333333334</v>
      </c>
      <c r="L24" s="299">
        <f t="shared" si="21"/>
        <v>7.6968203684148764E-2</v>
      </c>
      <c r="M24" s="297">
        <f t="shared" si="20"/>
        <v>8.4931506849315067E-2</v>
      </c>
      <c r="N24" s="304">
        <f>$M24*'MWh Impact Summary'!F$12</f>
        <v>0</v>
      </c>
      <c r="O24" s="304">
        <f>$M24*'MWh Impact Summary'!G$12</f>
        <v>0</v>
      </c>
      <c r="P24" s="304">
        <f>$M24*'MWh Impact Summary'!H$12</f>
        <v>0</v>
      </c>
      <c r="Q24" s="304">
        <f>$M24*'MWh Impact Summary'!I$12</f>
        <v>116.17109368516167</v>
      </c>
      <c r="R24" s="304">
        <f>$M24*'MWh Impact Summary'!J$12</f>
        <v>0</v>
      </c>
      <c r="S24" s="304">
        <f>$M24*'MWh Impact Summary'!K$12</f>
        <v>0</v>
      </c>
      <c r="T24" s="304">
        <f>$M24*'MWh Impact Summary'!L$12</f>
        <v>0</v>
      </c>
      <c r="U24" s="304">
        <f>$M24*'MWh Impact Summary'!M$12</f>
        <v>0</v>
      </c>
      <c r="V24" s="304">
        <f>$M24*'MWh Impact Summary'!O$12</f>
        <v>0</v>
      </c>
      <c r="W24" s="304">
        <f>$M24*'MWh Impact Summary'!P$12</f>
        <v>0</v>
      </c>
      <c r="X24" s="304">
        <f>$M24*'MWh Impact Summary'!Q$12</f>
        <v>0</v>
      </c>
      <c r="Y24" s="85">
        <f t="shared" si="2"/>
        <v>116.17109368516167</v>
      </c>
      <c r="Z24" s="81">
        <f t="shared" si="3"/>
        <v>87116.501129073105</v>
      </c>
      <c r="AA24" s="81"/>
      <c r="AB24" s="81">
        <f>+'MWh by mo-WgtbyActulCDH&amp;Days'!AB24</f>
        <v>4416127</v>
      </c>
      <c r="AC24" s="308">
        <f t="shared" si="12"/>
        <v>19.726901225683296</v>
      </c>
      <c r="AD24" s="309">
        <f t="shared" si="4"/>
        <v>19.700595122239001</v>
      </c>
      <c r="AE24" s="107">
        <f t="shared" si="5"/>
        <v>1.8018837002047867E-3</v>
      </c>
      <c r="AF24" s="309">
        <f t="shared" si="13"/>
        <v>2.630610344429897E-2</v>
      </c>
      <c r="AG24" s="107">
        <f t="shared" si="6"/>
        <v>2.406046046734662E-6</v>
      </c>
      <c r="AH24" s="119">
        <f t="shared" si="14"/>
        <v>1.8042897462515215E-3</v>
      </c>
      <c r="AI24" s="122">
        <f t="shared" si="7"/>
        <v>1.8042897462515208E-3</v>
      </c>
      <c r="AJ24" s="87" t="b">
        <f t="shared" si="15"/>
        <v>1</v>
      </c>
      <c r="AK24" s="88">
        <f t="shared" si="22"/>
        <v>1.4386324399039395E-3</v>
      </c>
      <c r="AL24" s="312">
        <f>+AC24/'MWh by month-WgtbyCDH&amp;DayLtHrs'!AC24-1</f>
        <v>2.5093639327788964E-5</v>
      </c>
      <c r="AM24" s="89">
        <f t="shared" si="9"/>
        <v>0</v>
      </c>
      <c r="AN24" s="90"/>
      <c r="AO24" s="96"/>
      <c r="AP24" s="92"/>
      <c r="AR24" s="94">
        <f t="shared" si="10"/>
        <v>1.8042897462515208E-3</v>
      </c>
      <c r="AS24" s="95">
        <v>87376.815760398633</v>
      </c>
      <c r="AU24" s="141">
        <v>19.726901225683296</v>
      </c>
    </row>
    <row r="25" spans="1:47">
      <c r="A25" s="78">
        <v>2006</v>
      </c>
      <c r="B25" s="78">
        <v>9</v>
      </c>
      <c r="C25" s="317">
        <f t="shared" si="18"/>
        <v>277.87653293728147</v>
      </c>
      <c r="D25" s="318">
        <f t="shared" si="17"/>
        <v>0.14132634365008559</v>
      </c>
      <c r="E25" s="104">
        <f>$D25*'MWh Impact Summary'!B$12</f>
        <v>30912.994295921373</v>
      </c>
      <c r="F25" s="320">
        <f>$D25*'MWh Impact Summary'!N$12</f>
        <v>0</v>
      </c>
      <c r="G25" s="320">
        <f>$D25*'MWh Impact Summary'!C$12</f>
        <v>28073.240213640318</v>
      </c>
      <c r="H25" s="320">
        <f>$D25*'MWh Impact Summary'!D$12</f>
        <v>0</v>
      </c>
      <c r="I25" s="320">
        <f>$D25*'MWh Impact Summary'!E$12</f>
        <v>15068.064150545801</v>
      </c>
      <c r="J25" s="104">
        <f t="shared" si="11"/>
        <v>74054.298660107495</v>
      </c>
      <c r="K25" s="298">
        <f t="shared" si="19"/>
        <v>11.683333333333334</v>
      </c>
      <c r="L25" s="299">
        <f t="shared" si="21"/>
        <v>8.2248034729555317E-2</v>
      </c>
      <c r="M25" s="297">
        <f>(30/365)</f>
        <v>8.2191780821917804E-2</v>
      </c>
      <c r="N25" s="304">
        <f>$M25*'MWh Impact Summary'!F$12</f>
        <v>0</v>
      </c>
      <c r="O25" s="304">
        <f>$M25*'MWh Impact Summary'!G$12</f>
        <v>0</v>
      </c>
      <c r="P25" s="304">
        <f>$M25*'MWh Impact Summary'!H$12</f>
        <v>0</v>
      </c>
      <c r="Q25" s="304">
        <f>$M25*'MWh Impact Summary'!I$12</f>
        <v>112.42363905015645</v>
      </c>
      <c r="R25" s="304">
        <f>$M25*'MWh Impact Summary'!J$12</f>
        <v>0</v>
      </c>
      <c r="S25" s="304">
        <f>$M25*'MWh Impact Summary'!K$12</f>
        <v>0</v>
      </c>
      <c r="T25" s="304">
        <f>$M25*'MWh Impact Summary'!L$12</f>
        <v>0</v>
      </c>
      <c r="U25" s="304">
        <f>$M25*'MWh Impact Summary'!M$12</f>
        <v>0</v>
      </c>
      <c r="V25" s="304">
        <f>$M25*'MWh Impact Summary'!O$12</f>
        <v>0</v>
      </c>
      <c r="W25" s="304">
        <f>$M25*'MWh Impact Summary'!P$12</f>
        <v>0</v>
      </c>
      <c r="X25" s="304">
        <f>$M25*'MWh Impact Summary'!Q$12</f>
        <v>0</v>
      </c>
      <c r="Y25" s="85">
        <f t="shared" si="2"/>
        <v>112.42363905015645</v>
      </c>
      <c r="Z25" s="81">
        <f t="shared" si="3"/>
        <v>74166.722299157656</v>
      </c>
      <c r="AA25" s="81"/>
      <c r="AB25" s="81">
        <f>+'MWh by mo-WgtbyActulCDH&amp;Days'!AB25</f>
        <v>4425222</v>
      </c>
      <c r="AC25" s="308">
        <f t="shared" si="12"/>
        <v>16.760000356853883</v>
      </c>
      <c r="AD25" s="309">
        <f t="shared" si="4"/>
        <v>16.734595159317994</v>
      </c>
      <c r="AE25" s="107">
        <f t="shared" si="5"/>
        <v>1.4323476598560336E-3</v>
      </c>
      <c r="AF25" s="309">
        <f t="shared" si="13"/>
        <v>2.5405197535887793E-2</v>
      </c>
      <c r="AG25" s="107">
        <f t="shared" si="6"/>
        <v>2.1744819574226357E-6</v>
      </c>
      <c r="AH25" s="119">
        <f t="shared" si="14"/>
        <v>1.4345221418134563E-3</v>
      </c>
      <c r="AI25" s="122">
        <f t="shared" si="7"/>
        <v>1.4345221418134563E-3</v>
      </c>
      <c r="AJ25" s="87" t="b">
        <f t="shared" si="15"/>
        <v>1</v>
      </c>
      <c r="AK25" s="88">
        <f t="shared" si="22"/>
        <v>1.1434434125643224E-3</v>
      </c>
      <c r="AL25" s="312">
        <f>+AC25/'MWh by month-WgtbyCDH&amp;DayLtHrs'!AC25-1</f>
        <v>-2.1052656911324519E-5</v>
      </c>
      <c r="AM25" s="89">
        <f t="shared" si="9"/>
        <v>0</v>
      </c>
      <c r="AN25" s="90"/>
      <c r="AO25" s="96"/>
      <c r="AP25" s="92"/>
      <c r="AR25" s="94">
        <f t="shared" si="10"/>
        <v>1.4345221418134563E-3</v>
      </c>
      <c r="AS25" s="95">
        <v>78946.516019981806</v>
      </c>
      <c r="AU25" s="141">
        <v>16.760000356853883</v>
      </c>
    </row>
    <row r="26" spans="1:47">
      <c r="A26" s="78">
        <v>2006</v>
      </c>
      <c r="B26" s="78">
        <v>10</v>
      </c>
      <c r="C26" s="317">
        <f t="shared" si="18"/>
        <v>198.89039579254836</v>
      </c>
      <c r="D26" s="318">
        <f t="shared" si="17"/>
        <v>0.10115446643644242</v>
      </c>
      <c r="E26" s="104">
        <f>$D26*'MWh Impact Summary'!B$12</f>
        <v>22126.005408439083</v>
      </c>
      <c r="F26" s="320">
        <f>$D26*'MWh Impact Summary'!N$12</f>
        <v>0</v>
      </c>
      <c r="G26" s="320">
        <f>$D26*'MWh Impact Summary'!C$12</f>
        <v>20093.448691942758</v>
      </c>
      <c r="H26" s="320">
        <f>$D26*'MWh Impact Summary'!D$12</f>
        <v>0</v>
      </c>
      <c r="I26" s="320">
        <f>$D26*'MWh Impact Summary'!E$12</f>
        <v>10784.981412611698</v>
      </c>
      <c r="J26" s="104">
        <f t="shared" si="11"/>
        <v>53004.435512993543</v>
      </c>
      <c r="K26" s="298">
        <f t="shared" si="19"/>
        <v>12.466666666666667</v>
      </c>
      <c r="L26" s="299">
        <f t="shared" si="21"/>
        <v>8.7762524932535488E-2</v>
      </c>
      <c r="M26" s="297">
        <f t="shared" si="20"/>
        <v>8.4931506849315067E-2</v>
      </c>
      <c r="N26" s="304">
        <f>$M26*'MWh Impact Summary'!F$12</f>
        <v>0</v>
      </c>
      <c r="O26" s="304">
        <f>$M26*'MWh Impact Summary'!G$12</f>
        <v>0</v>
      </c>
      <c r="P26" s="304">
        <f>$M26*'MWh Impact Summary'!H$12</f>
        <v>0</v>
      </c>
      <c r="Q26" s="304">
        <f>$M26*'MWh Impact Summary'!I$12</f>
        <v>116.17109368516167</v>
      </c>
      <c r="R26" s="304">
        <f>$M26*'MWh Impact Summary'!J$12</f>
        <v>0</v>
      </c>
      <c r="S26" s="304">
        <f>$M26*'MWh Impact Summary'!K$12</f>
        <v>0</v>
      </c>
      <c r="T26" s="304">
        <f>$M26*'MWh Impact Summary'!L$12</f>
        <v>0</v>
      </c>
      <c r="U26" s="304">
        <f>$M26*'MWh Impact Summary'!M$12</f>
        <v>0</v>
      </c>
      <c r="V26" s="304">
        <f>$M26*'MWh Impact Summary'!O$12</f>
        <v>0</v>
      </c>
      <c r="W26" s="304">
        <f>$M26*'MWh Impact Summary'!P$12</f>
        <v>0</v>
      </c>
      <c r="X26" s="304">
        <f>$M26*'MWh Impact Summary'!Q$12</f>
        <v>0</v>
      </c>
      <c r="Y26" s="85">
        <f t="shared" si="2"/>
        <v>116.17109368516167</v>
      </c>
      <c r="Z26" s="81">
        <f t="shared" si="3"/>
        <v>53120.606606678703</v>
      </c>
      <c r="AA26" s="81"/>
      <c r="AB26" s="81">
        <f>+'MWh by mo-WgtbyActulCDH&amp;Days'!AB26</f>
        <v>4429977</v>
      </c>
      <c r="AC26" s="308">
        <f t="shared" si="12"/>
        <v>11.991169842795731</v>
      </c>
      <c r="AD26" s="309">
        <f t="shared" si="4"/>
        <v>11.964945983465274</v>
      </c>
      <c r="AE26" s="107">
        <f t="shared" si="5"/>
        <v>9.5975502541165289E-4</v>
      </c>
      <c r="AF26" s="309">
        <f t="shared" si="13"/>
        <v>2.6223859330457396E-2</v>
      </c>
      <c r="AG26" s="107">
        <f t="shared" si="6"/>
        <v>2.1035181281115555E-6</v>
      </c>
      <c r="AH26" s="119">
        <f t="shared" si="14"/>
        <v>9.6185854353976442E-4</v>
      </c>
      <c r="AI26" s="122">
        <f t="shared" si="7"/>
        <v>9.6185854353976453E-4</v>
      </c>
      <c r="AJ26" s="87" t="b">
        <f t="shared" si="15"/>
        <v>0</v>
      </c>
      <c r="AK26" s="88">
        <f t="shared" si="22"/>
        <v>7.666802283643159E-4</v>
      </c>
      <c r="AL26" s="312">
        <f>+AC26/'MWh by month-WgtbyCDH&amp;DayLtHrs'!AC26-1</f>
        <v>4.1153618262734781E-5</v>
      </c>
      <c r="AM26" s="89">
        <f t="shared" si="9"/>
        <v>0</v>
      </c>
      <c r="AN26" s="90"/>
      <c r="AO26" s="96"/>
      <c r="AP26" s="92"/>
      <c r="AR26" s="94">
        <f t="shared" si="10"/>
        <v>9.6185854353976453E-4</v>
      </c>
      <c r="AS26" s="95">
        <v>53072.042749228778</v>
      </c>
      <c r="AU26" s="141">
        <v>11.991169842795731</v>
      </c>
    </row>
    <row r="27" spans="1:47">
      <c r="A27" s="78">
        <v>2006</v>
      </c>
      <c r="B27" s="78">
        <v>11</v>
      </c>
      <c r="C27" s="317">
        <f t="shared" si="18"/>
        <v>78.117279066674627</v>
      </c>
      <c r="D27" s="318">
        <f t="shared" si="17"/>
        <v>3.9729981188725644E-2</v>
      </c>
      <c r="E27" s="104">
        <f>$D27*'MWh Impact Summary'!B$12</f>
        <v>8690.3308338961288</v>
      </c>
      <c r="F27" s="320">
        <f>$D27*'MWh Impact Summary'!N$12</f>
        <v>0</v>
      </c>
      <c r="G27" s="320">
        <f>$D27*'MWh Impact Summary'!C$12</f>
        <v>7892.0127471494989</v>
      </c>
      <c r="H27" s="320">
        <f>$D27*'MWh Impact Summary'!D$12</f>
        <v>0</v>
      </c>
      <c r="I27" s="320">
        <f>$D27*'MWh Impact Summary'!E$12</f>
        <v>4235.9682546795539</v>
      </c>
      <c r="J27" s="104">
        <f t="shared" si="11"/>
        <v>20818.311835725181</v>
      </c>
      <c r="K27" s="298">
        <f t="shared" si="19"/>
        <v>13.15</v>
      </c>
      <c r="L27" s="299">
        <f t="shared" si="21"/>
        <v>9.2573037662794788E-2</v>
      </c>
      <c r="M27" s="297">
        <f>(30/365)</f>
        <v>8.2191780821917804E-2</v>
      </c>
      <c r="N27" s="304">
        <f>$M27*'MWh Impact Summary'!F$12</f>
        <v>0</v>
      </c>
      <c r="O27" s="304">
        <f>$M27*'MWh Impact Summary'!G$12</f>
        <v>0</v>
      </c>
      <c r="P27" s="304">
        <f>$M27*'MWh Impact Summary'!H$12</f>
        <v>0</v>
      </c>
      <c r="Q27" s="304">
        <f>$M27*'MWh Impact Summary'!I$12</f>
        <v>112.42363905015645</v>
      </c>
      <c r="R27" s="304">
        <f>$M27*'MWh Impact Summary'!J$12</f>
        <v>0</v>
      </c>
      <c r="S27" s="304">
        <f>$M27*'MWh Impact Summary'!K$12</f>
        <v>0</v>
      </c>
      <c r="T27" s="304">
        <f>$M27*'MWh Impact Summary'!L$12</f>
        <v>0</v>
      </c>
      <c r="U27" s="304">
        <f>$M27*'MWh Impact Summary'!M$12</f>
        <v>0</v>
      </c>
      <c r="V27" s="304">
        <f>$M27*'MWh Impact Summary'!O$12</f>
        <v>0</v>
      </c>
      <c r="W27" s="304">
        <f>$M27*'MWh Impact Summary'!P$12</f>
        <v>0</v>
      </c>
      <c r="X27" s="304">
        <f>$M27*'MWh Impact Summary'!Q$12</f>
        <v>0</v>
      </c>
      <c r="Y27" s="85">
        <f t="shared" si="2"/>
        <v>112.42363905015645</v>
      </c>
      <c r="Z27" s="81">
        <f t="shared" si="3"/>
        <v>20930.735474775338</v>
      </c>
      <c r="AA27" s="81"/>
      <c r="AB27" s="81">
        <f>+'MWh by mo-WgtbyActulCDH&amp;Days'!AB27</f>
        <v>4443418</v>
      </c>
      <c r="AC27" s="308">
        <f t="shared" si="12"/>
        <v>4.7105033725783478</v>
      </c>
      <c r="AD27" s="309">
        <f t="shared" si="4"/>
        <v>4.6852022104886784</v>
      </c>
      <c r="AE27" s="107">
        <f t="shared" si="5"/>
        <v>3.5628914148202876E-4</v>
      </c>
      <c r="AF27" s="309">
        <f t="shared" si="13"/>
        <v>2.5301162089669812E-2</v>
      </c>
      <c r="AG27" s="107">
        <f t="shared" si="6"/>
        <v>1.9240427444615827E-6</v>
      </c>
      <c r="AH27" s="119">
        <f t="shared" si="14"/>
        <v>3.5821318422649037E-4</v>
      </c>
      <c r="AI27" s="122">
        <f t="shared" si="7"/>
        <v>3.5821318422649037E-4</v>
      </c>
      <c r="AJ27" s="87" t="b">
        <f t="shared" si="15"/>
        <v>1</v>
      </c>
      <c r="AK27" s="88">
        <f t="shared" si="22"/>
        <v>2.855554733036447E-4</v>
      </c>
      <c r="AL27" s="312">
        <f>+AC27/'MWh by month-WgtbyCDH&amp;DayLtHrs'!AC27-1</f>
        <v>-7.4594748853962223E-5</v>
      </c>
      <c r="AM27" s="89">
        <f t="shared" si="9"/>
        <v>0</v>
      </c>
      <c r="AN27" s="90"/>
      <c r="AO27" s="96"/>
      <c r="AP27" s="92"/>
      <c r="AR27" s="94">
        <f t="shared" si="10"/>
        <v>3.5821318422649037E-4</v>
      </c>
      <c r="AS27" s="95">
        <v>24510.91635790365</v>
      </c>
      <c r="AU27" s="141">
        <v>4.7105033725783478</v>
      </c>
    </row>
    <row r="28" spans="1:47">
      <c r="A28" s="78">
        <v>2006</v>
      </c>
      <c r="B28" s="78">
        <v>12</v>
      </c>
      <c r="C28" s="317">
        <f t="shared" si="18"/>
        <v>42.633806123140985</v>
      </c>
      <c r="D28" s="318">
        <f t="shared" si="17"/>
        <v>2.1683298951445065E-2</v>
      </c>
      <c r="E28" s="104">
        <f>$D28*'MWh Impact Summary'!B$12</f>
        <v>4742.8927933095456</v>
      </c>
      <c r="F28" s="320">
        <f>$D28*'MWh Impact Summary'!N$12</f>
        <v>0</v>
      </c>
      <c r="G28" s="320">
        <f>$D28*'MWh Impact Summary'!C$12</f>
        <v>4307.197401181219</v>
      </c>
      <c r="H28" s="320">
        <f>$D28*'MWh Impact Summary'!D$12</f>
        <v>0</v>
      </c>
      <c r="I28" s="320">
        <f>$D28*'MWh Impact Summary'!E$12</f>
        <v>2311.8502266271489</v>
      </c>
      <c r="J28" s="104">
        <f t="shared" si="11"/>
        <v>11361.940421117914</v>
      </c>
      <c r="K28" s="298">
        <f t="shared" si="19"/>
        <v>13.483333333333333</v>
      </c>
      <c r="L28" s="299">
        <f t="shared" si="21"/>
        <v>9.491962923853102E-2</v>
      </c>
      <c r="M28" s="297">
        <f t="shared" si="20"/>
        <v>8.4931506849315067E-2</v>
      </c>
      <c r="N28" s="304">
        <f>$M28*'MWh Impact Summary'!F$12</f>
        <v>0</v>
      </c>
      <c r="O28" s="304">
        <f>$M28*'MWh Impact Summary'!G$12</f>
        <v>0</v>
      </c>
      <c r="P28" s="304">
        <f>$M28*'MWh Impact Summary'!H$12</f>
        <v>0</v>
      </c>
      <c r="Q28" s="304">
        <f>$M28*'MWh Impact Summary'!I$12</f>
        <v>116.17109368516167</v>
      </c>
      <c r="R28" s="304">
        <f>$M28*'MWh Impact Summary'!J$12</f>
        <v>0</v>
      </c>
      <c r="S28" s="304">
        <f>$M28*'MWh Impact Summary'!K$12</f>
        <v>0</v>
      </c>
      <c r="T28" s="304">
        <f>$M28*'MWh Impact Summary'!L$12</f>
        <v>0</v>
      </c>
      <c r="U28" s="304">
        <f>$M28*'MWh Impact Summary'!M$12</f>
        <v>0</v>
      </c>
      <c r="V28" s="304">
        <f>$M28*'MWh Impact Summary'!O$12</f>
        <v>0</v>
      </c>
      <c r="W28" s="304">
        <f>$M28*'MWh Impact Summary'!P$12</f>
        <v>0</v>
      </c>
      <c r="X28" s="304">
        <f>$M28*'MWh Impact Summary'!Q$12</f>
        <v>0</v>
      </c>
      <c r="Y28" s="85">
        <f t="shared" si="2"/>
        <v>116.17109368516167</v>
      </c>
      <c r="Z28" s="81">
        <f t="shared" si="3"/>
        <v>11478.111514803075</v>
      </c>
      <c r="AA28" s="81">
        <f>SUM(Z17:Z28)</f>
        <v>525362.82956848328</v>
      </c>
      <c r="AB28" s="81">
        <f>+'MWh by mo-WgtbyActulCDH&amp;Days'!AB28</f>
        <v>4457161</v>
      </c>
      <c r="AC28" s="308">
        <f t="shared" si="12"/>
        <v>2.5752068446266749</v>
      </c>
      <c r="AD28" s="309">
        <f t="shared" si="4"/>
        <v>2.5491429232908378</v>
      </c>
      <c r="AE28" s="107">
        <f t="shared" si="5"/>
        <v>1.8905880766063074E-4</v>
      </c>
      <c r="AF28" s="309">
        <f t="shared" si="13"/>
        <v>2.6063921335837244E-2</v>
      </c>
      <c r="AG28" s="107">
        <f t="shared" si="6"/>
        <v>1.9330473178618475E-6</v>
      </c>
      <c r="AH28" s="119">
        <f t="shared" si="14"/>
        <v>1.9099185497849257E-4</v>
      </c>
      <c r="AI28" s="122">
        <f t="shared" si="7"/>
        <v>1.9099185497849257E-4</v>
      </c>
      <c r="AJ28" s="87" t="b">
        <f t="shared" si="15"/>
        <v>1</v>
      </c>
      <c r="AK28" s="88">
        <f t="shared" si="22"/>
        <v>1.5240675926427925E-4</v>
      </c>
      <c r="AL28" s="312">
        <f>+AC28/'MWh by month-WgtbyCDH&amp;DayLtHrs'!AC28-1</f>
        <v>1.9048705081159412E-4</v>
      </c>
      <c r="AM28" s="89">
        <f t="shared" si="9"/>
        <v>0</v>
      </c>
      <c r="AN28" s="90">
        <f>SUM(AM17:AM28)</f>
        <v>0</v>
      </c>
      <c r="AO28" s="96"/>
      <c r="AP28" s="92"/>
      <c r="AR28" s="94">
        <f t="shared" si="10"/>
        <v>1.9099185497849257E-4</v>
      </c>
      <c r="AS28" s="95">
        <v>10922.750444317473</v>
      </c>
      <c r="AU28" s="141">
        <v>2.5752068446266749</v>
      </c>
    </row>
    <row r="29" spans="1:47">
      <c r="A29" s="78">
        <v>2007</v>
      </c>
      <c r="B29" s="78">
        <v>1</v>
      </c>
      <c r="C29" s="317">
        <f t="shared" si="18"/>
        <v>26.112829868525239</v>
      </c>
      <c r="D29" s="318">
        <f t="shared" ref="D29:D40" si="23">C29/(SUM(C$29:C$40))</f>
        <v>1.3280829182176284E-2</v>
      </c>
      <c r="E29" s="104">
        <f>$D29*'MWh Impact Summary'!B$13</f>
        <v>5627.9493354226015</v>
      </c>
      <c r="F29" s="320">
        <f>$D29*'MWh Impact Summary'!N$13</f>
        <v>0</v>
      </c>
      <c r="G29" s="320">
        <f>$D29*'MWh Impact Summary'!C$13</f>
        <v>4595.7889343750658</v>
      </c>
      <c r="H29" s="320">
        <f>$D29*'MWh Impact Summary'!D$13</f>
        <v>0</v>
      </c>
      <c r="I29" s="320">
        <f>$D29*'MWh Impact Summary'!E$13</f>
        <v>2254.5890263854044</v>
      </c>
      <c r="J29" s="104">
        <f t="shared" si="11"/>
        <v>12478.327296183073</v>
      </c>
      <c r="K29" s="298">
        <f t="shared" si="19"/>
        <v>13.3</v>
      </c>
      <c r="L29" s="299">
        <f t="shared" ref="L29:L40" si="24">K29/(SUM(K$29:K$40))</f>
        <v>9.3629003871876101E-2</v>
      </c>
      <c r="M29" s="297">
        <f>(31/365)</f>
        <v>8.4931506849315067E-2</v>
      </c>
      <c r="N29" s="304">
        <f>$M29*'MWh Impact Summary'!F$13</f>
        <v>11323.155803004232</v>
      </c>
      <c r="O29" s="304">
        <f>$M29*'MWh Impact Summary'!G$13</f>
        <v>0</v>
      </c>
      <c r="P29" s="304">
        <f>$M29*'MWh Impact Summary'!H$13</f>
        <v>0</v>
      </c>
      <c r="Q29" s="304">
        <f>$M29*'MWh Impact Summary'!I$13</f>
        <v>232.34218737032333</v>
      </c>
      <c r="R29" s="304">
        <f>$M29*'MWh Impact Summary'!J$13</f>
        <v>0</v>
      </c>
      <c r="S29" s="304">
        <f>$M29*'MWh Impact Summary'!K$13</f>
        <v>0</v>
      </c>
      <c r="T29" s="304">
        <f>$M29*'MWh Impact Summary'!L$13</f>
        <v>0</v>
      </c>
      <c r="U29" s="304">
        <f>$M29*'MWh Impact Summary'!M$13</f>
        <v>0</v>
      </c>
      <c r="V29" s="304">
        <f>$M29*'MWh Impact Summary'!O$13</f>
        <v>0</v>
      </c>
      <c r="W29" s="304">
        <f>$M29*'MWh Impact Summary'!P$13</f>
        <v>0</v>
      </c>
      <c r="X29" s="304">
        <f>$M29*'MWh Impact Summary'!Q$13</f>
        <v>0</v>
      </c>
      <c r="Y29" s="85">
        <f t="shared" si="2"/>
        <v>11555.497990374555</v>
      </c>
      <c r="Z29" s="81">
        <f t="shared" si="3"/>
        <v>24033.825286557629</v>
      </c>
      <c r="AA29" s="81"/>
      <c r="AB29" s="81">
        <f>+'MWh by mo-WgtbyActulCDH&amp;Days'!AB29</f>
        <v>4465732</v>
      </c>
      <c r="AC29" s="308">
        <f>+Z29*1000/AB29</f>
        <v>5.3818333224111141</v>
      </c>
      <c r="AD29" s="309">
        <f t="shared" si="4"/>
        <v>2.7942400699780179</v>
      </c>
      <c r="AE29" s="107">
        <f t="shared" si="5"/>
        <v>2.1009323834421186E-4</v>
      </c>
      <c r="AF29" s="309">
        <f t="shared" si="13"/>
        <v>2.5875932524330962</v>
      </c>
      <c r="AG29" s="107">
        <f t="shared" si="6"/>
        <v>1.9455588364158618E-4</v>
      </c>
      <c r="AH29" s="119">
        <f t="shared" si="14"/>
        <v>4.0464912198579807E-4</v>
      </c>
      <c r="AI29" s="122">
        <f t="shared" si="7"/>
        <v>4.0464912198579807E-4</v>
      </c>
      <c r="AJ29" s="87" t="b">
        <f t="shared" si="15"/>
        <v>1</v>
      </c>
      <c r="AK29" s="88">
        <f t="shared" si="22"/>
        <v>2.828945673850574E-4</v>
      </c>
      <c r="AL29" s="312">
        <f>+AC29/'MWh by month-WgtbyCDH&amp;DayLtHrs'!AC29-1</f>
        <v>-4.5860758284303693E-2</v>
      </c>
      <c r="AM29" s="89">
        <f t="shared" si="9"/>
        <v>0</v>
      </c>
      <c r="AN29" s="90"/>
      <c r="AO29" s="96"/>
      <c r="AP29" s="92"/>
      <c r="AR29" s="94">
        <f t="shared" si="10"/>
        <v>4.0464912198579807E-4</v>
      </c>
      <c r="AS29" s="95">
        <v>23915.309480274562</v>
      </c>
      <c r="AU29" s="141">
        <v>5.3818333224111141</v>
      </c>
    </row>
    <row r="30" spans="1:47">
      <c r="A30" s="78">
        <v>2007</v>
      </c>
      <c r="B30" s="78">
        <v>2</v>
      </c>
      <c r="C30" s="317">
        <f t="shared" si="18"/>
        <v>35.042184420393127</v>
      </c>
      <c r="D30" s="318">
        <f t="shared" si="23"/>
        <v>1.7822245532205266E-2</v>
      </c>
      <c r="E30" s="104">
        <f>$D30*'MWh Impact Summary'!B$13</f>
        <v>7552.4422099582198</v>
      </c>
      <c r="F30" s="320">
        <f>$D30*'MWh Impact Summary'!N$13</f>
        <v>0</v>
      </c>
      <c r="G30" s="320">
        <f>$D30*'MWh Impact Summary'!C$13</f>
        <v>6167.3316988783499</v>
      </c>
      <c r="H30" s="320">
        <f>$D30*'MWh Impact Summary'!D$13</f>
        <v>0</v>
      </c>
      <c r="I30" s="320">
        <f>$D30*'MWh Impact Summary'!E$13</f>
        <v>3025.5519931227541</v>
      </c>
      <c r="J30" s="104">
        <f t="shared" si="11"/>
        <v>16745.325901959324</v>
      </c>
      <c r="K30" s="298">
        <f t="shared" si="19"/>
        <v>12.733333333333333</v>
      </c>
      <c r="L30" s="299">
        <f t="shared" si="24"/>
        <v>8.9639798193124468E-2</v>
      </c>
      <c r="M30" s="297">
        <f>(28/365)</f>
        <v>7.6712328767123292E-2</v>
      </c>
      <c r="N30" s="304">
        <f>$M30*'MWh Impact Summary'!F$13</f>
        <v>10227.36653174576</v>
      </c>
      <c r="O30" s="304">
        <f>$M30*'MWh Impact Summary'!G$13</f>
        <v>0</v>
      </c>
      <c r="P30" s="304">
        <f>$M30*'MWh Impact Summary'!H$13</f>
        <v>0</v>
      </c>
      <c r="Q30" s="304">
        <f>$M30*'MWh Impact Summary'!I$13</f>
        <v>209.85745956029206</v>
      </c>
      <c r="R30" s="304">
        <f>$M30*'MWh Impact Summary'!J$13</f>
        <v>0</v>
      </c>
      <c r="S30" s="304">
        <f>$M30*'MWh Impact Summary'!K$13</f>
        <v>0</v>
      </c>
      <c r="T30" s="304">
        <f>$M30*'MWh Impact Summary'!L$13</f>
        <v>0</v>
      </c>
      <c r="U30" s="304">
        <f>$M30*'MWh Impact Summary'!M$13</f>
        <v>0</v>
      </c>
      <c r="V30" s="304">
        <f>$M30*'MWh Impact Summary'!O$13</f>
        <v>0</v>
      </c>
      <c r="W30" s="304">
        <f>$M30*'MWh Impact Summary'!P$13</f>
        <v>0</v>
      </c>
      <c r="X30" s="304">
        <f>$M30*'MWh Impact Summary'!Q$13</f>
        <v>0</v>
      </c>
      <c r="Y30" s="85">
        <f t="shared" si="2"/>
        <v>10437.223991306051</v>
      </c>
      <c r="Z30" s="81">
        <f t="shared" si="3"/>
        <v>27182.549893265375</v>
      </c>
      <c r="AA30" s="81"/>
      <c r="AB30" s="81">
        <f>+'MWh by mo-WgtbyActulCDH&amp;Days'!AB30</f>
        <v>4476835</v>
      </c>
      <c r="AC30" s="308">
        <f t="shared" si="12"/>
        <v>6.0718230386568575</v>
      </c>
      <c r="AD30" s="309">
        <f t="shared" si="4"/>
        <v>3.7404384798544785</v>
      </c>
      <c r="AE30" s="107">
        <f t="shared" si="5"/>
        <v>2.9375171307757689E-4</v>
      </c>
      <c r="AF30" s="309">
        <f t="shared" si="13"/>
        <v>2.3313845588023798</v>
      </c>
      <c r="AG30" s="107">
        <f t="shared" si="6"/>
        <v>1.8309302817819738E-4</v>
      </c>
      <c r="AH30" s="119">
        <f t="shared" si="14"/>
        <v>4.7684474125577424E-4</v>
      </c>
      <c r="AI30" s="122">
        <f t="shared" si="7"/>
        <v>4.7684474125577419E-4</v>
      </c>
      <c r="AJ30" s="87" t="b">
        <f t="shared" si="15"/>
        <v>1</v>
      </c>
      <c r="AK30" s="88">
        <f t="shared" si="22"/>
        <v>3.0743892416329775E-4</v>
      </c>
      <c r="AL30" s="312">
        <f>+AC30/'MWh by month-WgtbyCDH&amp;DayLtHrs'!AC30-1</f>
        <v>-6.0213186596024593E-2</v>
      </c>
      <c r="AM30" s="89">
        <f t="shared" si="9"/>
        <v>0</v>
      </c>
      <c r="AN30" s="90"/>
      <c r="AO30" s="96"/>
      <c r="AP30" s="92"/>
      <c r="AR30" s="94">
        <f t="shared" si="10"/>
        <v>4.7684474125577419E-4</v>
      </c>
      <c r="AS30" s="95">
        <v>24907.649804064211</v>
      </c>
      <c r="AU30" s="141">
        <v>6.0718230386568575</v>
      </c>
    </row>
    <row r="31" spans="1:47">
      <c r="A31" s="78">
        <v>2007</v>
      </c>
      <c r="B31" s="78">
        <v>3</v>
      </c>
      <c r="C31" s="317">
        <f t="shared" si="18"/>
        <v>64.582270600115152</v>
      </c>
      <c r="D31" s="318">
        <f t="shared" si="23"/>
        <v>3.2846156787895278E-2</v>
      </c>
      <c r="E31" s="104">
        <f>$D31*'MWh Impact Summary'!B$13</f>
        <v>13919.048557127064</v>
      </c>
      <c r="F31" s="320">
        <f>$D31*'MWh Impact Summary'!N$13</f>
        <v>0</v>
      </c>
      <c r="G31" s="320">
        <f>$D31*'MWh Impact Summary'!C$13</f>
        <v>11366.308671837105</v>
      </c>
      <c r="H31" s="320">
        <f>$D31*'MWh Impact Summary'!D$13</f>
        <v>0</v>
      </c>
      <c r="I31" s="320">
        <f>$D31*'MWh Impact Summary'!E$13</f>
        <v>5576.0512869414142</v>
      </c>
      <c r="J31" s="104">
        <f t="shared" si="11"/>
        <v>30861.408515905583</v>
      </c>
      <c r="K31" s="298">
        <f t="shared" si="19"/>
        <v>12</v>
      </c>
      <c r="L31" s="299">
        <f t="shared" si="24"/>
        <v>8.4477296726504739E-2</v>
      </c>
      <c r="M31" s="297">
        <f t="shared" ref="M31:M40" si="25">(31/365)</f>
        <v>8.4931506849315067E-2</v>
      </c>
      <c r="N31" s="304">
        <f>$M31*'MWh Impact Summary'!F$13</f>
        <v>11323.155803004232</v>
      </c>
      <c r="O31" s="304">
        <f>$M31*'MWh Impact Summary'!G$13</f>
        <v>0</v>
      </c>
      <c r="P31" s="304">
        <f>$M31*'MWh Impact Summary'!H$13</f>
        <v>0</v>
      </c>
      <c r="Q31" s="304">
        <f>$M31*'MWh Impact Summary'!I$13</f>
        <v>232.34218737032333</v>
      </c>
      <c r="R31" s="304">
        <f>$M31*'MWh Impact Summary'!J$13</f>
        <v>0</v>
      </c>
      <c r="S31" s="304">
        <f>$M31*'MWh Impact Summary'!K$13</f>
        <v>0</v>
      </c>
      <c r="T31" s="304">
        <f>$M31*'MWh Impact Summary'!L$13</f>
        <v>0</v>
      </c>
      <c r="U31" s="304">
        <f>$M31*'MWh Impact Summary'!M$13</f>
        <v>0</v>
      </c>
      <c r="V31" s="304">
        <f>$M31*'MWh Impact Summary'!O$13</f>
        <v>0</v>
      </c>
      <c r="W31" s="304">
        <f>$M31*'MWh Impact Summary'!P$13</f>
        <v>0</v>
      </c>
      <c r="X31" s="304">
        <f>$M31*'MWh Impact Summary'!Q$13</f>
        <v>0</v>
      </c>
      <c r="Y31" s="85">
        <f t="shared" si="2"/>
        <v>11555.497990374555</v>
      </c>
      <c r="Z31" s="81">
        <f t="shared" si="3"/>
        <v>42416.906506280138</v>
      </c>
      <c r="AA31" s="81"/>
      <c r="AB31" s="81">
        <f>+'MWh by mo-WgtbyActulCDH&amp;Days'!AB31</f>
        <v>4488392</v>
      </c>
      <c r="AC31" s="308">
        <f t="shared" si="12"/>
        <v>9.4503569443756561</v>
      </c>
      <c r="AD31" s="309">
        <f t="shared" si="4"/>
        <v>6.8758273599778228</v>
      </c>
      <c r="AE31" s="107">
        <f t="shared" si="5"/>
        <v>5.7298561333148524E-4</v>
      </c>
      <c r="AF31" s="309">
        <f t="shared" si="13"/>
        <v>2.5745295843978324</v>
      </c>
      <c r="AG31" s="107">
        <f t="shared" si="6"/>
        <v>2.1454413203315269E-4</v>
      </c>
      <c r="AH31" s="119">
        <f t="shared" si="14"/>
        <v>7.8752974536463799E-4</v>
      </c>
      <c r="AI31" s="122">
        <f t="shared" si="7"/>
        <v>7.8752974536463809E-4</v>
      </c>
      <c r="AJ31" s="87" t="b">
        <f t="shared" si="15"/>
        <v>1</v>
      </c>
      <c r="AK31" s="88">
        <f t="shared" si="22"/>
        <v>4.5861884486069837E-4</v>
      </c>
      <c r="AL31" s="312">
        <f>+AC31/'MWh by month-WgtbyCDH&amp;DayLtHrs'!AC31-1</f>
        <v>1.5330521236409655E-3</v>
      </c>
      <c r="AM31" s="89">
        <f t="shared" si="9"/>
        <v>0</v>
      </c>
      <c r="AN31" s="90"/>
      <c r="AO31" s="96"/>
      <c r="AP31" s="92"/>
      <c r="AR31" s="94">
        <f t="shared" si="10"/>
        <v>7.8752974536463809E-4</v>
      </c>
      <c r="AS31" s="95">
        <v>39962.531076133993</v>
      </c>
      <c r="AU31" s="141">
        <v>9.4503569443756561</v>
      </c>
    </row>
    <row r="32" spans="1:47">
      <c r="A32" s="78">
        <v>2007</v>
      </c>
      <c r="B32" s="78">
        <v>4</v>
      </c>
      <c r="C32" s="317">
        <f t="shared" si="18"/>
        <v>114.03392869270741</v>
      </c>
      <c r="D32" s="318">
        <f t="shared" si="23"/>
        <v>5.7996974497419709E-2</v>
      </c>
      <c r="E32" s="104">
        <f>$D32*'MWh Impact Summary'!B$13</f>
        <v>24577.082469920613</v>
      </c>
      <c r="F32" s="320">
        <f>$D32*'MWh Impact Summary'!N$13</f>
        <v>0</v>
      </c>
      <c r="G32" s="320">
        <f>$D32*'MWh Impact Summary'!C$13</f>
        <v>20069.669594138784</v>
      </c>
      <c r="H32" s="320">
        <f>$D32*'MWh Impact Summary'!D$13</f>
        <v>0</v>
      </c>
      <c r="I32" s="320">
        <f>$D32*'MWh Impact Summary'!E$13</f>
        <v>9845.7212627148292</v>
      </c>
      <c r="J32" s="104">
        <f t="shared" si="11"/>
        <v>54492.473326774227</v>
      </c>
      <c r="K32" s="298">
        <f t="shared" si="19"/>
        <v>11.2</v>
      </c>
      <c r="L32" s="299">
        <f t="shared" si="24"/>
        <v>7.8845476944737758E-2</v>
      </c>
      <c r="M32" s="297">
        <f>(30/365)</f>
        <v>8.2191780821917804E-2</v>
      </c>
      <c r="N32" s="304">
        <f>$M32*'MWh Impact Summary'!F$13</f>
        <v>10957.892712584742</v>
      </c>
      <c r="O32" s="304">
        <f>$M32*'MWh Impact Summary'!G$13</f>
        <v>0</v>
      </c>
      <c r="P32" s="304">
        <f>$M32*'MWh Impact Summary'!H$13</f>
        <v>0</v>
      </c>
      <c r="Q32" s="304">
        <f>$M32*'MWh Impact Summary'!I$13</f>
        <v>224.84727810031291</v>
      </c>
      <c r="R32" s="304">
        <f>$M32*'MWh Impact Summary'!J$13</f>
        <v>0</v>
      </c>
      <c r="S32" s="304">
        <f>$M32*'MWh Impact Summary'!K$13</f>
        <v>0</v>
      </c>
      <c r="T32" s="304">
        <f>$M32*'MWh Impact Summary'!L$13</f>
        <v>0</v>
      </c>
      <c r="U32" s="304">
        <f>$M32*'MWh Impact Summary'!M$13</f>
        <v>0</v>
      </c>
      <c r="V32" s="304">
        <f>$M32*'MWh Impact Summary'!O$13</f>
        <v>0</v>
      </c>
      <c r="W32" s="304">
        <f>$M32*'MWh Impact Summary'!P$13</f>
        <v>0</v>
      </c>
      <c r="X32" s="304">
        <f>$M32*'MWh Impact Summary'!Q$13</f>
        <v>0</v>
      </c>
      <c r="Y32" s="85">
        <f t="shared" si="2"/>
        <v>11182.739990685055</v>
      </c>
      <c r="Z32" s="81">
        <f t="shared" si="3"/>
        <v>65675.213317459275</v>
      </c>
      <c r="AA32" s="81"/>
      <c r="AB32" s="81">
        <f>+'MWh by mo-WgtbyActulCDH&amp;Days'!AB32</f>
        <v>4493310</v>
      </c>
      <c r="AC32" s="308">
        <f t="shared" si="12"/>
        <v>14.616221297319633</v>
      </c>
      <c r="AD32" s="309">
        <f t="shared" si="4"/>
        <v>12.12746801951662</v>
      </c>
      <c r="AE32" s="107">
        <f t="shared" si="5"/>
        <v>1.0828096445996982E-3</v>
      </c>
      <c r="AF32" s="309">
        <f t="shared" si="13"/>
        <v>2.4887532778030126</v>
      </c>
      <c r="AG32" s="107">
        <f t="shared" si="6"/>
        <v>2.222101140895547E-4</v>
      </c>
      <c r="AH32" s="119">
        <f t="shared" si="14"/>
        <v>1.3050197586892528E-3</v>
      </c>
      <c r="AI32" s="122">
        <f t="shared" si="7"/>
        <v>1.3050197586892531E-3</v>
      </c>
      <c r="AJ32" s="87" t="b">
        <f t="shared" si="15"/>
        <v>1</v>
      </c>
      <c r="AK32" s="88">
        <f t="shared" si="22"/>
        <v>6.8580449605371951E-4</v>
      </c>
      <c r="AL32" s="312">
        <f>+AC32/'MWh by month-WgtbyCDH&amp;DayLtHrs'!AC32-1</f>
        <v>6.7912744032170291E-3</v>
      </c>
      <c r="AM32" s="89">
        <f t="shared" si="9"/>
        <v>0</v>
      </c>
      <c r="AN32" s="90"/>
      <c r="AO32" s="96"/>
      <c r="AP32" s="92"/>
      <c r="AR32" s="94">
        <f t="shared" si="10"/>
        <v>1.3050197586892531E-3</v>
      </c>
      <c r="AS32" s="95">
        <v>65231.07069002543</v>
      </c>
      <c r="AU32" s="141">
        <v>14.616221297319633</v>
      </c>
    </row>
    <row r="33" spans="1:47">
      <c r="A33" s="78">
        <v>2007</v>
      </c>
      <c r="B33" s="78">
        <v>5</v>
      </c>
      <c r="C33" s="317">
        <f t="shared" si="18"/>
        <v>208.47875842628665</v>
      </c>
      <c r="D33" s="318">
        <f t="shared" si="23"/>
        <v>0.10603105035770212</v>
      </c>
      <c r="E33" s="104">
        <f>$D33*'MWh Impact Summary'!B$13</f>
        <v>44932.238131309568</v>
      </c>
      <c r="F33" s="320">
        <f>$D33*'MWh Impact Summary'!N$13</f>
        <v>0</v>
      </c>
      <c r="G33" s="320">
        <f>$D33*'MWh Impact Summary'!C$13</f>
        <v>36691.709625184805</v>
      </c>
      <c r="H33" s="320">
        <f>$D33*'MWh Impact Summary'!D$13</f>
        <v>0</v>
      </c>
      <c r="I33" s="320">
        <f>$D33*'MWh Impact Summary'!E$13</f>
        <v>18000.114248395148</v>
      </c>
      <c r="J33" s="104">
        <f t="shared" si="11"/>
        <v>99624.062004889507</v>
      </c>
      <c r="K33" s="298">
        <f t="shared" si="19"/>
        <v>10.533333333333333</v>
      </c>
      <c r="L33" s="299">
        <f t="shared" si="24"/>
        <v>7.4152293793265281E-2</v>
      </c>
      <c r="M33" s="297">
        <f t="shared" si="25"/>
        <v>8.4931506849315067E-2</v>
      </c>
      <c r="N33" s="304">
        <f>$M33*'MWh Impact Summary'!F$13</f>
        <v>11323.155803004232</v>
      </c>
      <c r="O33" s="304">
        <f>$M33*'MWh Impact Summary'!G$13</f>
        <v>0</v>
      </c>
      <c r="P33" s="304">
        <f>$M33*'MWh Impact Summary'!H$13</f>
        <v>0</v>
      </c>
      <c r="Q33" s="304">
        <f>$M33*'MWh Impact Summary'!I$13</f>
        <v>232.34218737032333</v>
      </c>
      <c r="R33" s="304">
        <f>$M33*'MWh Impact Summary'!J$13</f>
        <v>0</v>
      </c>
      <c r="S33" s="304">
        <f>$M33*'MWh Impact Summary'!K$13</f>
        <v>0</v>
      </c>
      <c r="T33" s="304">
        <f>$M33*'MWh Impact Summary'!L$13</f>
        <v>0</v>
      </c>
      <c r="U33" s="304">
        <f>$M33*'MWh Impact Summary'!M$13</f>
        <v>0</v>
      </c>
      <c r="V33" s="304">
        <f>$M33*'MWh Impact Summary'!O$13</f>
        <v>0</v>
      </c>
      <c r="W33" s="304">
        <f>$M33*'MWh Impact Summary'!P$13</f>
        <v>0</v>
      </c>
      <c r="X33" s="304">
        <f>$M33*'MWh Impact Summary'!Q$13</f>
        <v>0</v>
      </c>
      <c r="Y33" s="85">
        <f t="shared" si="2"/>
        <v>11555.497990374555</v>
      </c>
      <c r="Z33" s="81">
        <f t="shared" si="3"/>
        <v>111179.55999526406</v>
      </c>
      <c r="AA33" s="81"/>
      <c r="AB33" s="81">
        <f>+'MWh by mo-WgtbyActulCDH&amp;Days'!AB33</f>
        <v>4494060</v>
      </c>
      <c r="AC33" s="308">
        <f t="shared" si="12"/>
        <v>24.739224664393458</v>
      </c>
      <c r="AD33" s="309">
        <f t="shared" si="4"/>
        <v>22.167942129141469</v>
      </c>
      <c r="AE33" s="107">
        <f t="shared" si="5"/>
        <v>2.1045514679564684E-3</v>
      </c>
      <c r="AF33" s="309">
        <f t="shared" si="13"/>
        <v>2.5712825352519895</v>
      </c>
      <c r="AG33" s="107">
        <f t="shared" si="6"/>
        <v>2.4410910144797367E-4</v>
      </c>
      <c r="AH33" s="119">
        <f t="shared" si="14"/>
        <v>2.3486605694044418E-3</v>
      </c>
      <c r="AI33" s="122">
        <f t="shared" si="7"/>
        <v>2.3486605694044418E-3</v>
      </c>
      <c r="AJ33" s="87" t="b">
        <f t="shared" si="15"/>
        <v>1</v>
      </c>
      <c r="AK33" s="88">
        <f t="shared" si="22"/>
        <v>1.146605659372853E-3</v>
      </c>
      <c r="AL33" s="312">
        <f>+AC33/'MWh by month-WgtbyCDH&amp;DayLtHrs'!AC33-1</f>
        <v>1.313552812170804E-2</v>
      </c>
      <c r="AM33" s="89">
        <f t="shared" si="9"/>
        <v>0</v>
      </c>
      <c r="AN33" s="90"/>
      <c r="AO33" s="96"/>
      <c r="AP33" s="92"/>
      <c r="AR33" s="94">
        <f t="shared" si="10"/>
        <v>2.3486605694044418E-3</v>
      </c>
      <c r="AS33" s="95">
        <v>102984.96257484006</v>
      </c>
      <c r="AU33" s="141">
        <v>24.739224664393458</v>
      </c>
    </row>
    <row r="34" spans="1:47">
      <c r="A34" s="78">
        <v>2007</v>
      </c>
      <c r="B34" s="78">
        <v>6</v>
      </c>
      <c r="C34" s="317">
        <f t="shared" si="18"/>
        <v>271.66325293295364</v>
      </c>
      <c r="D34" s="318">
        <f t="shared" si="23"/>
        <v>0.13816630657965029</v>
      </c>
      <c r="E34" s="104">
        <f>$D34*'MWh Impact Summary'!B$13</f>
        <v>58550.031976641752</v>
      </c>
      <c r="F34" s="320">
        <f>$D34*'MWh Impact Summary'!N$13</f>
        <v>0</v>
      </c>
      <c r="G34" s="320">
        <f>$D34*'MWh Impact Summary'!C$13</f>
        <v>47812.013404586025</v>
      </c>
      <c r="H34" s="320">
        <f>$D34*'MWh Impact Summary'!D$13</f>
        <v>0</v>
      </c>
      <c r="I34" s="320">
        <f>$D34*'MWh Impact Summary'!E$13</f>
        <v>23455.481156910359</v>
      </c>
      <c r="J34" s="104">
        <f t="shared" si="11"/>
        <v>129817.52653813813</v>
      </c>
      <c r="K34" s="298">
        <f t="shared" si="19"/>
        <v>10.199999999999999</v>
      </c>
      <c r="L34" s="299">
        <f t="shared" si="24"/>
        <v>7.1805702217529022E-2</v>
      </c>
      <c r="M34" s="297">
        <f>(30/365)</f>
        <v>8.2191780821917804E-2</v>
      </c>
      <c r="N34" s="304">
        <f>$M34*'MWh Impact Summary'!F$13</f>
        <v>10957.892712584742</v>
      </c>
      <c r="O34" s="304">
        <f>$M34*'MWh Impact Summary'!G$13</f>
        <v>0</v>
      </c>
      <c r="P34" s="304">
        <f>$M34*'MWh Impact Summary'!H$13</f>
        <v>0</v>
      </c>
      <c r="Q34" s="304">
        <f>$M34*'MWh Impact Summary'!I$13</f>
        <v>224.84727810031291</v>
      </c>
      <c r="R34" s="304">
        <f>$M34*'MWh Impact Summary'!J$13</f>
        <v>0</v>
      </c>
      <c r="S34" s="304">
        <f>$M34*'MWh Impact Summary'!K$13</f>
        <v>0</v>
      </c>
      <c r="T34" s="304">
        <f>$M34*'MWh Impact Summary'!L$13</f>
        <v>0</v>
      </c>
      <c r="U34" s="304">
        <f>$M34*'MWh Impact Summary'!M$13</f>
        <v>0</v>
      </c>
      <c r="V34" s="304">
        <f>$M34*'MWh Impact Summary'!O$13</f>
        <v>0</v>
      </c>
      <c r="W34" s="304">
        <f>$M34*'MWh Impact Summary'!P$13</f>
        <v>0</v>
      </c>
      <c r="X34" s="304">
        <f>$M34*'MWh Impact Summary'!Q$13</f>
        <v>0</v>
      </c>
      <c r="Y34" s="85">
        <f t="shared" si="2"/>
        <v>11182.739990685055</v>
      </c>
      <c r="Z34" s="81">
        <f t="shared" si="3"/>
        <v>141000.26652882318</v>
      </c>
      <c r="AA34" s="81"/>
      <c r="AB34" s="81">
        <f>+'MWh by mo-WgtbyActulCDH&amp;Days'!AB34</f>
        <v>4497400</v>
      </c>
      <c r="AC34" s="308">
        <f t="shared" si="12"/>
        <v>31.351506765869875</v>
      </c>
      <c r="AD34" s="309">
        <f t="shared" si="4"/>
        <v>28.865016795957249</v>
      </c>
      <c r="AE34" s="107">
        <f t="shared" si="5"/>
        <v>2.829903607446789E-3</v>
      </c>
      <c r="AF34" s="309">
        <f t="shared" si="13"/>
        <v>2.4864899699126286</v>
      </c>
      <c r="AG34" s="107">
        <f t="shared" si="6"/>
        <v>2.4377352646202244E-4</v>
      </c>
      <c r="AH34" s="119">
        <f t="shared" si="14"/>
        <v>3.0736771339088115E-3</v>
      </c>
      <c r="AI34" s="122">
        <f t="shared" si="7"/>
        <v>3.0736771339088115E-3</v>
      </c>
      <c r="AJ34" s="87" t="b">
        <f t="shared" si="15"/>
        <v>1</v>
      </c>
      <c r="AK34" s="88">
        <f t="shared" si="22"/>
        <v>1.4593469336076986E-3</v>
      </c>
      <c r="AL34" s="312">
        <f>+AC34/'MWh by month-WgtbyCDH&amp;DayLtHrs'!AC34-1</f>
        <v>9.8952341698403945E-3</v>
      </c>
      <c r="AM34" s="89">
        <f t="shared" si="9"/>
        <v>0</v>
      </c>
      <c r="AN34" s="90"/>
      <c r="AO34" s="96"/>
      <c r="AP34" s="92"/>
      <c r="AR34" s="94">
        <f t="shared" si="10"/>
        <v>3.0736771339088115E-3</v>
      </c>
      <c r="AS34" s="95">
        <v>144692.84347818667</v>
      </c>
      <c r="AU34" s="141">
        <v>31.351506765869875</v>
      </c>
    </row>
    <row r="35" spans="1:47">
      <c r="A35" s="78">
        <v>2007</v>
      </c>
      <c r="B35" s="78">
        <v>7</v>
      </c>
      <c r="C35" s="317">
        <f t="shared" si="18"/>
        <v>322.31916585708109</v>
      </c>
      <c r="D35" s="318">
        <f t="shared" si="23"/>
        <v>0.16392960109808263</v>
      </c>
      <c r="E35" s="104">
        <f>$D35*'MWh Impact Summary'!B$13</f>
        <v>69467.612067040012</v>
      </c>
      <c r="F35" s="320">
        <f>$D35*'MWh Impact Summary'!N$13</f>
        <v>0</v>
      </c>
      <c r="G35" s="320">
        <f>$D35*'MWh Impact Summary'!C$13</f>
        <v>56727.31998949121</v>
      </c>
      <c r="H35" s="320">
        <f>$D35*'MWh Impact Summary'!D$13</f>
        <v>0</v>
      </c>
      <c r="I35" s="320">
        <f>$D35*'MWh Impact Summary'!E$13</f>
        <v>27829.126831289443</v>
      </c>
      <c r="J35" s="104">
        <f t="shared" si="11"/>
        <v>154024.05888782066</v>
      </c>
      <c r="K35" s="298">
        <f t="shared" si="19"/>
        <v>10.366666666666667</v>
      </c>
      <c r="L35" s="299">
        <f t="shared" si="24"/>
        <v>7.2978998005397158E-2</v>
      </c>
      <c r="M35" s="297">
        <f t="shared" si="25"/>
        <v>8.4931506849315067E-2</v>
      </c>
      <c r="N35" s="304">
        <f>$M35*'MWh Impact Summary'!F$13</f>
        <v>11323.155803004232</v>
      </c>
      <c r="O35" s="304">
        <f>$M35*'MWh Impact Summary'!G$13</f>
        <v>0</v>
      </c>
      <c r="P35" s="304">
        <f>$M35*'MWh Impact Summary'!H$13</f>
        <v>0</v>
      </c>
      <c r="Q35" s="304">
        <f>$M35*'MWh Impact Summary'!I$13</f>
        <v>232.34218737032333</v>
      </c>
      <c r="R35" s="304">
        <f>$M35*'MWh Impact Summary'!J$13</f>
        <v>0</v>
      </c>
      <c r="S35" s="304">
        <f>$M35*'MWh Impact Summary'!K$13</f>
        <v>0</v>
      </c>
      <c r="T35" s="304">
        <f>$M35*'MWh Impact Summary'!L$13</f>
        <v>0</v>
      </c>
      <c r="U35" s="304">
        <f>$M35*'MWh Impact Summary'!M$13</f>
        <v>0</v>
      </c>
      <c r="V35" s="304">
        <f>$M35*'MWh Impact Summary'!O$13</f>
        <v>0</v>
      </c>
      <c r="W35" s="304">
        <f>$M35*'MWh Impact Summary'!P$13</f>
        <v>0</v>
      </c>
      <c r="X35" s="304">
        <f>$M35*'MWh Impact Summary'!Q$13</f>
        <v>0</v>
      </c>
      <c r="Y35" s="85">
        <f t="shared" si="2"/>
        <v>11555.497990374555</v>
      </c>
      <c r="Z35" s="81">
        <f t="shared" si="3"/>
        <v>165579.5568781952</v>
      </c>
      <c r="AA35" s="81"/>
      <c r="AB35" s="81">
        <f>+'MWh by mo-WgtbyActulCDH&amp;Days'!AB35</f>
        <v>4502735</v>
      </c>
      <c r="AC35" s="308">
        <f t="shared" si="12"/>
        <v>36.773107206663326</v>
      </c>
      <c r="AD35" s="309">
        <f t="shared" si="4"/>
        <v>34.206778521902947</v>
      </c>
      <c r="AE35" s="107">
        <f t="shared" si="5"/>
        <v>3.2996892464858146E-3</v>
      </c>
      <c r="AF35" s="309">
        <f t="shared" si="13"/>
        <v>2.5663286847603857</v>
      </c>
      <c r="AG35" s="107">
        <f t="shared" si="6"/>
        <v>2.4755582168106612E-4</v>
      </c>
      <c r="AH35" s="119">
        <f t="shared" si="14"/>
        <v>3.5472450681668806E-3</v>
      </c>
      <c r="AI35" s="122">
        <f t="shared" si="7"/>
        <v>3.5472450681668802E-3</v>
      </c>
      <c r="AJ35" s="87" t="b">
        <f t="shared" si="15"/>
        <v>1</v>
      </c>
      <c r="AK35" s="88">
        <f t="shared" si="22"/>
        <v>1.6642981156599951E-3</v>
      </c>
      <c r="AL35" s="312">
        <f>+AC35/'MWh by month-WgtbyCDH&amp;DayLtHrs'!AC35-1</f>
        <v>9.7443382200388395E-3</v>
      </c>
      <c r="AM35" s="89">
        <f t="shared" si="9"/>
        <v>0</v>
      </c>
      <c r="AN35" s="90"/>
      <c r="AO35" s="96"/>
      <c r="AP35" s="92"/>
      <c r="AR35" s="94">
        <f t="shared" si="10"/>
        <v>3.5472450681668802E-3</v>
      </c>
      <c r="AS35" s="95">
        <v>160999.38431175053</v>
      </c>
      <c r="AU35" s="141">
        <v>36.773107206663326</v>
      </c>
    </row>
    <row r="36" spans="1:47">
      <c r="A36" s="78">
        <v>2007</v>
      </c>
      <c r="B36" s="78">
        <v>8</v>
      </c>
      <c r="C36" s="317">
        <f t="shared" si="18"/>
        <v>326.45437890907908</v>
      </c>
      <c r="D36" s="318">
        <f t="shared" si="23"/>
        <v>0.16603274573816959</v>
      </c>
      <c r="E36" s="104">
        <f>$D36*'MWh Impact Summary'!B$13</f>
        <v>70358.850958611642</v>
      </c>
      <c r="F36" s="320">
        <f>$D36*'MWh Impact Summary'!N$13</f>
        <v>0</v>
      </c>
      <c r="G36" s="320">
        <f>$D36*'MWh Impact Summary'!C$13</f>
        <v>57455.106540444947</v>
      </c>
      <c r="H36" s="320">
        <f>$D36*'MWh Impact Summary'!D$13</f>
        <v>0</v>
      </c>
      <c r="I36" s="320">
        <f>$D36*'MWh Impact Summary'!E$13</f>
        <v>28186.162281516077</v>
      </c>
      <c r="J36" s="104">
        <f t="shared" si="11"/>
        <v>156000.11978057266</v>
      </c>
      <c r="K36" s="298">
        <f t="shared" si="19"/>
        <v>10.933333333333334</v>
      </c>
      <c r="L36" s="299">
        <f t="shared" si="24"/>
        <v>7.6968203684148764E-2</v>
      </c>
      <c r="M36" s="297">
        <f t="shared" si="25"/>
        <v>8.4931506849315067E-2</v>
      </c>
      <c r="N36" s="304">
        <f>$M36*'MWh Impact Summary'!F$13</f>
        <v>11323.155803004232</v>
      </c>
      <c r="O36" s="304">
        <f>$M36*'MWh Impact Summary'!G$13</f>
        <v>0</v>
      </c>
      <c r="P36" s="304">
        <f>$M36*'MWh Impact Summary'!H$13</f>
        <v>0</v>
      </c>
      <c r="Q36" s="304">
        <f>$M36*'MWh Impact Summary'!I$13</f>
        <v>232.34218737032333</v>
      </c>
      <c r="R36" s="304">
        <f>$M36*'MWh Impact Summary'!J$13</f>
        <v>0</v>
      </c>
      <c r="S36" s="304">
        <f>$M36*'MWh Impact Summary'!K$13</f>
        <v>0</v>
      </c>
      <c r="T36" s="304">
        <f>$M36*'MWh Impact Summary'!L$13</f>
        <v>0</v>
      </c>
      <c r="U36" s="304">
        <f>$M36*'MWh Impact Summary'!M$13</f>
        <v>0</v>
      </c>
      <c r="V36" s="304">
        <f>$M36*'MWh Impact Summary'!O$13</f>
        <v>0</v>
      </c>
      <c r="W36" s="304">
        <f>$M36*'MWh Impact Summary'!P$13</f>
        <v>0</v>
      </c>
      <c r="X36" s="304">
        <f>$M36*'MWh Impact Summary'!Q$13</f>
        <v>0</v>
      </c>
      <c r="Y36" s="85">
        <f t="shared" si="2"/>
        <v>11555.497990374555</v>
      </c>
      <c r="Z36" s="81">
        <f t="shared" si="3"/>
        <v>167555.61777094722</v>
      </c>
      <c r="AA36" s="81"/>
      <c r="AB36" s="81">
        <f>+'MWh by mo-WgtbyActulCDH&amp;Days'!AB36</f>
        <v>4508215</v>
      </c>
      <c r="AC36" s="308">
        <f t="shared" si="12"/>
        <v>37.166731793170293</v>
      </c>
      <c r="AD36" s="309">
        <f t="shared" si="4"/>
        <v>34.603522631589811</v>
      </c>
      <c r="AE36" s="107">
        <f t="shared" si="5"/>
        <v>3.1649563382551656E-3</v>
      </c>
      <c r="AF36" s="309">
        <f t="shared" si="13"/>
        <v>2.5632091615804828</v>
      </c>
      <c r="AG36" s="107">
        <f t="shared" si="6"/>
        <v>2.3443986233967831E-4</v>
      </c>
      <c r="AH36" s="119">
        <f t="shared" si="14"/>
        <v>3.399396200594844E-3</v>
      </c>
      <c r="AI36" s="122">
        <f t="shared" si="7"/>
        <v>3.3993962005948435E-3</v>
      </c>
      <c r="AJ36" s="87" t="b">
        <f t="shared" si="15"/>
        <v>1</v>
      </c>
      <c r="AK36" s="88">
        <f t="shared" si="22"/>
        <v>1.5951064543433227E-3</v>
      </c>
      <c r="AL36" s="312">
        <f>+AC36/'MWh by month-WgtbyCDH&amp;DayLtHrs'!AC36-1</f>
        <v>6.4030905650120928E-3</v>
      </c>
      <c r="AM36" s="89">
        <f t="shared" si="9"/>
        <v>0</v>
      </c>
      <c r="AN36" s="90"/>
      <c r="AO36" s="96"/>
      <c r="AP36" s="92"/>
      <c r="AR36" s="94">
        <f t="shared" si="10"/>
        <v>3.3993962005948435E-3</v>
      </c>
      <c r="AS36" s="95">
        <v>168022.38742171641</v>
      </c>
      <c r="AU36" s="141">
        <v>37.166731793170293</v>
      </c>
    </row>
    <row r="37" spans="1:47">
      <c r="A37" s="78">
        <v>2007</v>
      </c>
      <c r="B37" s="78">
        <v>9</v>
      </c>
      <c r="C37" s="317">
        <f t="shared" si="18"/>
        <v>277.87653293728147</v>
      </c>
      <c r="D37" s="318">
        <f t="shared" si="23"/>
        <v>0.14132634365008559</v>
      </c>
      <c r="E37" s="104">
        <f>$D37*'MWh Impact Summary'!B$13</f>
        <v>59889.144790044629</v>
      </c>
      <c r="F37" s="320">
        <f>$D37*'MWh Impact Summary'!N$13</f>
        <v>0</v>
      </c>
      <c r="G37" s="320">
        <f>$D37*'MWh Impact Summary'!C$13</f>
        <v>48905.534238361382</v>
      </c>
      <c r="H37" s="320">
        <f>$D37*'MWh Impact Summary'!D$13</f>
        <v>0</v>
      </c>
      <c r="I37" s="320">
        <f>$D37*'MWh Impact Summary'!E$13</f>
        <v>23991.937488382202</v>
      </c>
      <c r="J37" s="104">
        <f t="shared" si="11"/>
        <v>132786.6165167882</v>
      </c>
      <c r="K37" s="298">
        <f t="shared" si="19"/>
        <v>11.683333333333334</v>
      </c>
      <c r="L37" s="299">
        <f t="shared" si="24"/>
        <v>8.2248034729555317E-2</v>
      </c>
      <c r="M37" s="297">
        <f>(30/365)</f>
        <v>8.2191780821917804E-2</v>
      </c>
      <c r="N37" s="304">
        <f>$M37*'MWh Impact Summary'!F$13</f>
        <v>10957.892712584742</v>
      </c>
      <c r="O37" s="304">
        <f>$M37*'MWh Impact Summary'!G$13</f>
        <v>0</v>
      </c>
      <c r="P37" s="304">
        <f>$M37*'MWh Impact Summary'!H$13</f>
        <v>0</v>
      </c>
      <c r="Q37" s="304">
        <f>$M37*'MWh Impact Summary'!I$13</f>
        <v>224.84727810031291</v>
      </c>
      <c r="R37" s="304">
        <f>$M37*'MWh Impact Summary'!J$13</f>
        <v>0</v>
      </c>
      <c r="S37" s="304">
        <f>$M37*'MWh Impact Summary'!K$13</f>
        <v>0</v>
      </c>
      <c r="T37" s="304">
        <f>$M37*'MWh Impact Summary'!L$13</f>
        <v>0</v>
      </c>
      <c r="U37" s="304">
        <f>$M37*'MWh Impact Summary'!M$13</f>
        <v>0</v>
      </c>
      <c r="V37" s="304">
        <f>$M37*'MWh Impact Summary'!O$13</f>
        <v>0</v>
      </c>
      <c r="W37" s="304">
        <f>$M37*'MWh Impact Summary'!P$13</f>
        <v>0</v>
      </c>
      <c r="X37" s="304">
        <f>$M37*'MWh Impact Summary'!Q$13</f>
        <v>0</v>
      </c>
      <c r="Y37" s="85">
        <f t="shared" si="2"/>
        <v>11182.739990685055</v>
      </c>
      <c r="Z37" s="81">
        <f t="shared" si="3"/>
        <v>143969.35650747325</v>
      </c>
      <c r="AA37" s="81"/>
      <c r="AB37" s="81">
        <f>+'MWh by mo-WgtbyActulCDH&amp;Days'!AB37</f>
        <v>4507674</v>
      </c>
      <c r="AC37" s="308">
        <f t="shared" si="12"/>
        <v>31.93872416405296</v>
      </c>
      <c r="AD37" s="309">
        <f t="shared" si="4"/>
        <v>29.457901462436769</v>
      </c>
      <c r="AE37" s="107">
        <f t="shared" si="5"/>
        <v>2.5213610381543601E-3</v>
      </c>
      <c r="AF37" s="309">
        <f t="shared" si="13"/>
        <v>2.4808227016161895</v>
      </c>
      <c r="AG37" s="107">
        <f t="shared" si="6"/>
        <v>2.1233860498854688E-4</v>
      </c>
      <c r="AH37" s="119">
        <f t="shared" si="14"/>
        <v>2.733699643142907E-3</v>
      </c>
      <c r="AI37" s="122">
        <f t="shared" si="7"/>
        <v>2.7336996431429066E-3</v>
      </c>
      <c r="AJ37" s="87" t="b">
        <f t="shared" si="15"/>
        <v>1</v>
      </c>
      <c r="AK37" s="88">
        <f t="shared" si="22"/>
        <v>1.2991775013294503E-3</v>
      </c>
      <c r="AL37" s="312">
        <f>+AC37/'MWh by month-WgtbyCDH&amp;DayLtHrs'!AC37-1</f>
        <v>-7.3779060920875494E-5</v>
      </c>
      <c r="AM37" s="89">
        <f t="shared" si="9"/>
        <v>0</v>
      </c>
      <c r="AN37" s="90"/>
      <c r="AO37" s="96"/>
      <c r="AP37" s="92"/>
      <c r="AR37" s="94">
        <f t="shared" si="10"/>
        <v>2.7336996431429066E-3</v>
      </c>
      <c r="AS37" s="95">
        <v>152906.03362448115</v>
      </c>
      <c r="AU37" s="141">
        <v>31.93872416405296</v>
      </c>
    </row>
    <row r="38" spans="1:47">
      <c r="A38" s="78">
        <v>2007</v>
      </c>
      <c r="B38" s="78">
        <v>10</v>
      </c>
      <c r="C38" s="317">
        <f t="shared" si="18"/>
        <v>198.89039579254836</v>
      </c>
      <c r="D38" s="318">
        <f t="shared" si="23"/>
        <v>0.10115446643644242</v>
      </c>
      <c r="E38" s="104">
        <f>$D38*'MWh Impact Summary'!B$13</f>
        <v>42865.713002319942</v>
      </c>
      <c r="F38" s="320">
        <f>$D38*'MWh Impact Summary'!N$13</f>
        <v>0</v>
      </c>
      <c r="G38" s="320">
        <f>$D38*'MWh Impact Summary'!C$13</f>
        <v>35004.183182712775</v>
      </c>
      <c r="H38" s="320">
        <f>$D38*'MWh Impact Summary'!D$13</f>
        <v>0</v>
      </c>
      <c r="I38" s="320">
        <f>$D38*'MWh Impact Summary'!E$13</f>
        <v>17172.252339752034</v>
      </c>
      <c r="J38" s="104">
        <f t="shared" si="11"/>
        <v>95042.148524784745</v>
      </c>
      <c r="K38" s="298">
        <f t="shared" si="19"/>
        <v>12.466666666666667</v>
      </c>
      <c r="L38" s="299">
        <f t="shared" si="24"/>
        <v>8.7762524932535488E-2</v>
      </c>
      <c r="M38" s="297">
        <f t="shared" si="25"/>
        <v>8.4931506849315067E-2</v>
      </c>
      <c r="N38" s="304">
        <f>$M38*'MWh Impact Summary'!F$13</f>
        <v>11323.155803004232</v>
      </c>
      <c r="O38" s="304">
        <f>$M38*'MWh Impact Summary'!G$13</f>
        <v>0</v>
      </c>
      <c r="P38" s="304">
        <f>$M38*'MWh Impact Summary'!H$13</f>
        <v>0</v>
      </c>
      <c r="Q38" s="304">
        <f>$M38*'MWh Impact Summary'!I$13</f>
        <v>232.34218737032333</v>
      </c>
      <c r="R38" s="304">
        <f>$M38*'MWh Impact Summary'!J$13</f>
        <v>0</v>
      </c>
      <c r="S38" s="304">
        <f>$M38*'MWh Impact Summary'!K$13</f>
        <v>0</v>
      </c>
      <c r="T38" s="304">
        <f>$M38*'MWh Impact Summary'!L$13</f>
        <v>0</v>
      </c>
      <c r="U38" s="304">
        <f>$M38*'MWh Impact Summary'!M$13</f>
        <v>0</v>
      </c>
      <c r="V38" s="304">
        <f>$M38*'MWh Impact Summary'!O$13</f>
        <v>0</v>
      </c>
      <c r="W38" s="304">
        <f>$M38*'MWh Impact Summary'!P$13</f>
        <v>0</v>
      </c>
      <c r="X38" s="304">
        <f>$M38*'MWh Impact Summary'!Q$13</f>
        <v>0</v>
      </c>
      <c r="Y38" s="85">
        <f t="shared" si="2"/>
        <v>11555.497990374555</v>
      </c>
      <c r="Z38" s="81">
        <f t="shared" si="3"/>
        <v>106597.6465151593</v>
      </c>
      <c r="AA38" s="81"/>
      <c r="AB38" s="81">
        <f>+'MWh by mo-WgtbyActulCDH&amp;Days'!AB38</f>
        <v>4507737</v>
      </c>
      <c r="AC38" s="308">
        <f t="shared" si="12"/>
        <v>23.647707600323464</v>
      </c>
      <c r="AD38" s="309">
        <f t="shared" si="4"/>
        <v>21.08422663628884</v>
      </c>
      <c r="AE38" s="107">
        <f t="shared" si="5"/>
        <v>1.6912481259055219E-3</v>
      </c>
      <c r="AF38" s="309">
        <f t="shared" si="13"/>
        <v>2.5634809640346266</v>
      </c>
      <c r="AG38" s="107">
        <f t="shared" si="6"/>
        <v>2.0562681529689517E-4</v>
      </c>
      <c r="AH38" s="119">
        <f t="shared" si="14"/>
        <v>1.896874941202417E-3</v>
      </c>
      <c r="AI38" s="122">
        <f t="shared" si="7"/>
        <v>1.8968749412024168E-3</v>
      </c>
      <c r="AJ38" s="87" t="b">
        <f t="shared" si="15"/>
        <v>1</v>
      </c>
      <c r="AK38" s="88">
        <f t="shared" si="22"/>
        <v>9.3501639766265226E-4</v>
      </c>
      <c r="AL38" s="312">
        <f>+AC38/'MWh by month-WgtbyCDH&amp;DayLtHrs'!AC38-1</f>
        <v>-3.4875174259038078E-3</v>
      </c>
      <c r="AM38" s="89">
        <f t="shared" si="9"/>
        <v>0</v>
      </c>
      <c r="AN38" s="90"/>
      <c r="AO38" s="96"/>
      <c r="AP38" s="92"/>
      <c r="AR38" s="94">
        <f t="shared" si="10"/>
        <v>1.8968749412024168E-3</v>
      </c>
      <c r="AS38" s="95">
        <v>106144.52831218758</v>
      </c>
      <c r="AU38" s="141">
        <v>23.647707600323464</v>
      </c>
    </row>
    <row r="39" spans="1:47">
      <c r="A39" s="78">
        <v>2007</v>
      </c>
      <c r="B39" s="78">
        <v>11</v>
      </c>
      <c r="C39" s="317">
        <f t="shared" si="18"/>
        <v>78.117279066674627</v>
      </c>
      <c r="D39" s="318">
        <f t="shared" si="23"/>
        <v>3.9729981188725644E-2</v>
      </c>
      <c r="E39" s="104">
        <f>$D39*'MWh Impact Summary'!B$13</f>
        <v>16836.171760082882</v>
      </c>
      <c r="F39" s="320">
        <f>$D39*'MWh Impact Summary'!N$13</f>
        <v>0</v>
      </c>
      <c r="G39" s="320">
        <f>$D39*'MWh Impact Summary'!C$13</f>
        <v>13748.434333838361</v>
      </c>
      <c r="H39" s="320">
        <f>$D39*'MWh Impact Summary'!D$13</f>
        <v>0</v>
      </c>
      <c r="I39" s="320">
        <f>$D39*'MWh Impact Summary'!E$13</f>
        <v>6744.6676994245527</v>
      </c>
      <c r="J39" s="104">
        <f t="shared" si="11"/>
        <v>37329.27379334579</v>
      </c>
      <c r="K39" s="298">
        <f t="shared" si="19"/>
        <v>13.15</v>
      </c>
      <c r="L39" s="299">
        <f t="shared" si="24"/>
        <v>9.2573037662794788E-2</v>
      </c>
      <c r="M39" s="297">
        <f>(30/365)</f>
        <v>8.2191780821917804E-2</v>
      </c>
      <c r="N39" s="304">
        <f>$M39*'MWh Impact Summary'!F$13</f>
        <v>10957.892712584742</v>
      </c>
      <c r="O39" s="304">
        <f>$M39*'MWh Impact Summary'!G$13</f>
        <v>0</v>
      </c>
      <c r="P39" s="304">
        <f>$M39*'MWh Impact Summary'!H$13</f>
        <v>0</v>
      </c>
      <c r="Q39" s="304">
        <f>$M39*'MWh Impact Summary'!I$13</f>
        <v>224.84727810031291</v>
      </c>
      <c r="R39" s="304">
        <f>$M39*'MWh Impact Summary'!J$13</f>
        <v>0</v>
      </c>
      <c r="S39" s="304">
        <f>$M39*'MWh Impact Summary'!K$13</f>
        <v>0</v>
      </c>
      <c r="T39" s="304">
        <f>$M39*'MWh Impact Summary'!L$13</f>
        <v>0</v>
      </c>
      <c r="U39" s="304">
        <f>$M39*'MWh Impact Summary'!M$13</f>
        <v>0</v>
      </c>
      <c r="V39" s="304">
        <f>$M39*'MWh Impact Summary'!O$13</f>
        <v>0</v>
      </c>
      <c r="W39" s="304">
        <f>$M39*'MWh Impact Summary'!P$13</f>
        <v>0</v>
      </c>
      <c r="X39" s="304">
        <f>$M39*'MWh Impact Summary'!Q$13</f>
        <v>0</v>
      </c>
      <c r="Y39" s="85">
        <f t="shared" si="2"/>
        <v>11182.739990685055</v>
      </c>
      <c r="Z39" s="81">
        <f t="shared" si="3"/>
        <v>48512.013784030845</v>
      </c>
      <c r="AA39" s="81"/>
      <c r="AB39" s="81">
        <f>+'MWh by mo-WgtbyActulCDH&amp;Days'!AB39</f>
        <v>4507950</v>
      </c>
      <c r="AC39" s="308">
        <f t="shared" si="12"/>
        <v>10.761435637935392</v>
      </c>
      <c r="AD39" s="309">
        <f t="shared" si="4"/>
        <v>8.2807648251080401</v>
      </c>
      <c r="AE39" s="107">
        <f t="shared" si="5"/>
        <v>6.2971595628198024E-4</v>
      </c>
      <c r="AF39" s="309">
        <f t="shared" si="13"/>
        <v>2.4806708128273507</v>
      </c>
      <c r="AG39" s="107">
        <f t="shared" si="6"/>
        <v>1.8864416827584415E-4</v>
      </c>
      <c r="AH39" s="119">
        <f t="shared" si="14"/>
        <v>8.1836012455782441E-4</v>
      </c>
      <c r="AI39" s="122">
        <f t="shared" si="7"/>
        <v>8.1836012455782452E-4</v>
      </c>
      <c r="AJ39" s="87" t="b">
        <f t="shared" si="15"/>
        <v>0</v>
      </c>
      <c r="AK39" s="88">
        <f t="shared" si="22"/>
        <v>4.6014694033133416E-4</v>
      </c>
      <c r="AL39" s="312">
        <f>+AC39/'MWh by month-WgtbyCDH&amp;DayLtHrs'!AC39-1</f>
        <v>-2.7799310734901939E-2</v>
      </c>
      <c r="AM39" s="89">
        <f t="shared" si="9"/>
        <v>0</v>
      </c>
      <c r="AN39" s="90"/>
      <c r="AO39" s="96"/>
      <c r="AP39" s="92"/>
      <c r="AR39" s="94">
        <f t="shared" si="10"/>
        <v>8.1836012455782452E-4</v>
      </c>
      <c r="AS39" s="95">
        <v>55297.667493486748</v>
      </c>
      <c r="AU39" s="141">
        <v>10.761435637935392</v>
      </c>
    </row>
    <row r="40" spans="1:47">
      <c r="A40" s="78">
        <v>2007</v>
      </c>
      <c r="B40" s="78">
        <v>12</v>
      </c>
      <c r="C40" s="317">
        <f t="shared" si="18"/>
        <v>42.633806123140985</v>
      </c>
      <c r="D40" s="318">
        <f t="shared" si="23"/>
        <v>2.1683298951445065E-2</v>
      </c>
      <c r="E40" s="104">
        <f>$D40*'MWh Impact Summary'!B$13</f>
        <v>9188.621150803614</v>
      </c>
      <c r="F40" s="320">
        <f>$D40*'MWh Impact Summary'!N$13</f>
        <v>0</v>
      </c>
      <c r="G40" s="320">
        <f>$D40*'MWh Impact Summary'!C$13</f>
        <v>7503.4370230088371</v>
      </c>
      <c r="H40" s="320">
        <f>$D40*'MWh Impact Summary'!D$13</f>
        <v>0</v>
      </c>
      <c r="I40" s="320">
        <f>$D40*'MWh Impact Summary'!E$13</f>
        <v>3681.0147319243856</v>
      </c>
      <c r="J40" s="104">
        <f t="shared" si="11"/>
        <v>20373.072905736837</v>
      </c>
      <c r="K40" s="298">
        <f t="shared" si="19"/>
        <v>13.483333333333333</v>
      </c>
      <c r="L40" s="299">
        <f t="shared" si="24"/>
        <v>9.491962923853102E-2</v>
      </c>
      <c r="M40" s="297">
        <f t="shared" si="25"/>
        <v>8.4931506849315067E-2</v>
      </c>
      <c r="N40" s="304">
        <f>$M40*'MWh Impact Summary'!F$13</f>
        <v>11323.155803004232</v>
      </c>
      <c r="O40" s="304">
        <f>$M40*'MWh Impact Summary'!G$13</f>
        <v>0</v>
      </c>
      <c r="P40" s="304">
        <f>$M40*'MWh Impact Summary'!H$13</f>
        <v>0</v>
      </c>
      <c r="Q40" s="304">
        <f>$M40*'MWh Impact Summary'!I$13</f>
        <v>232.34218737032333</v>
      </c>
      <c r="R40" s="304">
        <f>$M40*'MWh Impact Summary'!J$13</f>
        <v>0</v>
      </c>
      <c r="S40" s="304">
        <f>$M40*'MWh Impact Summary'!K$13</f>
        <v>0</v>
      </c>
      <c r="T40" s="304">
        <f>$M40*'MWh Impact Summary'!L$13</f>
        <v>0</v>
      </c>
      <c r="U40" s="304">
        <f>$M40*'MWh Impact Summary'!M$13</f>
        <v>0</v>
      </c>
      <c r="V40" s="304">
        <f>$M40*'MWh Impact Summary'!O$13</f>
        <v>0</v>
      </c>
      <c r="W40" s="304">
        <f>$M40*'MWh Impact Summary'!P$13</f>
        <v>0</v>
      </c>
      <c r="X40" s="304">
        <f>$M40*'MWh Impact Summary'!Q$13</f>
        <v>0</v>
      </c>
      <c r="Y40" s="85">
        <f t="shared" si="2"/>
        <v>11555.497990374555</v>
      </c>
      <c r="Z40" s="81">
        <f t="shared" si="3"/>
        <v>31928.570896111392</v>
      </c>
      <c r="AA40" s="81">
        <f>SUM(Z29:Z40)</f>
        <v>1075631.0838795668</v>
      </c>
      <c r="AB40" s="81">
        <f>+'MWh by mo-WgtbyActulCDH&amp;Days'!AB40</f>
        <v>4509032</v>
      </c>
      <c r="AC40" s="308">
        <f t="shared" si="12"/>
        <v>7.0810255718104003</v>
      </c>
      <c r="AD40" s="309">
        <f t="shared" si="4"/>
        <v>4.5182808429252308</v>
      </c>
      <c r="AE40" s="107">
        <f t="shared" si="5"/>
        <v>3.3510117500063516E-4</v>
      </c>
      <c r="AF40" s="309">
        <f t="shared" si="13"/>
        <v>2.5627447288851699</v>
      </c>
      <c r="AG40" s="107">
        <f t="shared" si="6"/>
        <v>1.900675942312858E-4</v>
      </c>
      <c r="AH40" s="119">
        <f t="shared" si="14"/>
        <v>5.251687692319209E-4</v>
      </c>
      <c r="AI40" s="122">
        <f t="shared" si="7"/>
        <v>5.251687692319209E-4</v>
      </c>
      <c r="AJ40" s="87" t="b">
        <f t="shared" si="15"/>
        <v>1</v>
      </c>
      <c r="AK40" s="88">
        <f t="shared" si="22"/>
        <v>3.3417691425342833E-4</v>
      </c>
      <c r="AL40" s="312">
        <f>+AC40/'MWh by month-WgtbyCDH&amp;DayLtHrs'!AC40-1</f>
        <v>-3.9910442455724837E-2</v>
      </c>
      <c r="AM40" s="89">
        <f t="shared" si="9"/>
        <v>0</v>
      </c>
      <c r="AN40" s="90">
        <f>SUM(AM29:AM40)</f>
        <v>0</v>
      </c>
      <c r="AO40" s="96"/>
      <c r="AP40" s="92"/>
      <c r="AR40" s="94">
        <f t="shared" si="10"/>
        <v>5.251687692319209E-4</v>
      </c>
      <c r="AS40" s="95">
        <v>30566.715612419801</v>
      </c>
      <c r="AU40" s="141">
        <v>7.0810255718104003</v>
      </c>
    </row>
    <row r="41" spans="1:47">
      <c r="A41" s="78">
        <v>2008</v>
      </c>
      <c r="B41" s="78">
        <v>1</v>
      </c>
      <c r="C41" s="317">
        <f t="shared" si="18"/>
        <v>26.112829868525239</v>
      </c>
      <c r="D41" s="318">
        <f t="shared" ref="D41:D52" si="26">C41/(SUM(C$41:C$52))</f>
        <v>1.3280829182176284E-2</v>
      </c>
      <c r="E41" s="104">
        <f>$D41*'MWh Impact Summary'!B$14</f>
        <v>7662.515265473231</v>
      </c>
      <c r="F41" s="320">
        <f>$D41*'MWh Impact Summary'!N$14</f>
        <v>0</v>
      </c>
      <c r="G41" s="320">
        <f>$D41*'MWh Impact Summary'!C$14</f>
        <v>6134.3656072710173</v>
      </c>
      <c r="H41" s="320">
        <f>$D41*'MWh Impact Summary'!D$14</f>
        <v>0</v>
      </c>
      <c r="I41" s="320">
        <f>$D41*'MWh Impact Summary'!E$14</f>
        <v>2913.664946357575</v>
      </c>
      <c r="J41" s="104">
        <f t="shared" si="11"/>
        <v>16710.545819101822</v>
      </c>
      <c r="K41" s="298">
        <f t="shared" si="19"/>
        <v>13.3</v>
      </c>
      <c r="L41" s="299">
        <f t="shared" ref="L41:L52" si="27">K41/(SUM(K$41:K$52))</f>
        <v>9.3629003871876101E-2</v>
      </c>
      <c r="M41" s="297">
        <f>(31/366)</f>
        <v>8.4699453551912565E-2</v>
      </c>
      <c r="N41" s="304">
        <f>$M41*'MWh Impact Summary'!F$14</f>
        <v>19160.258394397697</v>
      </c>
      <c r="O41" s="304">
        <f>$M41*'MWh Impact Summary'!G$14</f>
        <v>0</v>
      </c>
      <c r="P41" s="304">
        <f>$M41*'MWh Impact Summary'!H$14</f>
        <v>0</v>
      </c>
      <c r="Q41" s="304">
        <f>$M41*'MWh Impact Summary'!I$14</f>
        <v>347.56105897609848</v>
      </c>
      <c r="R41" s="304">
        <f>$M41*'MWh Impact Summary'!J$14</f>
        <v>0</v>
      </c>
      <c r="S41" s="304">
        <f>$M41*'MWh Impact Summary'!K$14</f>
        <v>0</v>
      </c>
      <c r="T41" s="304">
        <f>$M41*'MWh Impact Summary'!L$14</f>
        <v>0</v>
      </c>
      <c r="U41" s="304">
        <f>$M41*'MWh Impact Summary'!M$14</f>
        <v>0</v>
      </c>
      <c r="V41" s="304">
        <f>$M41*'LED Impact Forecast'!$H$15+$D41*'LED Impact Forecast'!$J$15</f>
        <v>0</v>
      </c>
      <c r="W41" s="304">
        <f>$M41*'CFL Impact Forecast'!$H$15+$D41*'CFL Impact Forecast'!$J$15</f>
        <v>113558.76041269196</v>
      </c>
      <c r="X41" s="304">
        <f>$M41*'EISA Incand Impact Forecast'!$G$15+$D41*'EISA Incand Impact Forecast'!$I$15</f>
        <v>0</v>
      </c>
      <c r="Y41" s="85">
        <f t="shared" si="2"/>
        <v>133066.57986606576</v>
      </c>
      <c r="Z41" s="81">
        <f t="shared" si="3"/>
        <v>149777.12568516759</v>
      </c>
      <c r="AA41" s="81"/>
      <c r="AB41" s="81">
        <f>+'MWh by mo-WgtbyActulCDH&amp;Days'!AB41</f>
        <v>4512537</v>
      </c>
      <c r="AC41" s="308">
        <f t="shared" si="12"/>
        <v>33.191334649481561</v>
      </c>
      <c r="AD41" s="309">
        <f t="shared" si="4"/>
        <v>3.7031376848770043</v>
      </c>
      <c r="AE41" s="107">
        <f t="shared" si="5"/>
        <v>2.7843140487797023E-4</v>
      </c>
      <c r="AF41" s="309">
        <f t="shared" si="13"/>
        <v>29.488196964604558</v>
      </c>
      <c r="AG41" s="107">
        <f t="shared" si="6"/>
        <v>2.2171576665116206E-3</v>
      </c>
      <c r="AH41" s="119">
        <f t="shared" si="14"/>
        <v>2.4955890713895907E-3</v>
      </c>
      <c r="AI41" s="122">
        <f t="shared" si="7"/>
        <v>2.4955890713895912E-3</v>
      </c>
      <c r="AJ41" s="87" t="b">
        <f t="shared" si="15"/>
        <v>1</v>
      </c>
      <c r="AK41" s="88">
        <f t="shared" si="22"/>
        <v>2.090939949403793E-3</v>
      </c>
      <c r="AL41" s="312">
        <f>+AC41/'MWh by month-WgtbyCDH&amp;DayLtHrs'!AC41-1</f>
        <v>-0.17240195486915666</v>
      </c>
      <c r="AM41" s="89">
        <f t="shared" si="9"/>
        <v>113558.76041269196</v>
      </c>
      <c r="AN41" s="93"/>
      <c r="AO41" s="96">
        <f>+AM41*1000/AB41</f>
        <v>25.165169928289114</v>
      </c>
      <c r="AP41" s="92">
        <f t="shared" ref="AP41:AP104" si="28">+AO41/K41/1000</f>
        <v>1.8921180397209858E-3</v>
      </c>
      <c r="AQ41" s="98"/>
      <c r="AR41" s="94">
        <f t="shared" si="10"/>
        <v>2.4955890713895912E-3</v>
      </c>
      <c r="AS41" s="95">
        <v>166053.03297524751</v>
      </c>
      <c r="AU41" s="141">
        <v>33.191334649481561</v>
      </c>
    </row>
    <row r="42" spans="1:47">
      <c r="A42" s="78">
        <v>2008</v>
      </c>
      <c r="B42" s="78">
        <v>2</v>
      </c>
      <c r="C42" s="317">
        <f t="shared" si="18"/>
        <v>35.042184420393127</v>
      </c>
      <c r="D42" s="318">
        <f t="shared" si="26"/>
        <v>1.7822245532205266E-2</v>
      </c>
      <c r="E42" s="104">
        <f>$D42*'MWh Impact Summary'!B$14</f>
        <v>10282.733599104751</v>
      </c>
      <c r="F42" s="320">
        <f>$D42*'MWh Impact Summary'!N$14</f>
        <v>0</v>
      </c>
      <c r="G42" s="320">
        <f>$D42*'MWh Impact Summary'!C$14</f>
        <v>8232.0289296262381</v>
      </c>
      <c r="H42" s="320">
        <f>$D42*'MWh Impact Summary'!D$14</f>
        <v>0</v>
      </c>
      <c r="I42" s="320">
        <f>$D42*'MWh Impact Summary'!E$14</f>
        <v>3910.0007507253486</v>
      </c>
      <c r="J42" s="104">
        <f t="shared" si="11"/>
        <v>22424.76327945634</v>
      </c>
      <c r="K42" s="298">
        <f t="shared" si="19"/>
        <v>12.733333333333333</v>
      </c>
      <c r="L42" s="299">
        <f t="shared" si="27"/>
        <v>8.9639798193124468E-2</v>
      </c>
      <c r="M42" s="297">
        <f>(29/366)</f>
        <v>7.9234972677595633E-2</v>
      </c>
      <c r="N42" s="304">
        <f>$M42*'MWh Impact Summary'!F$14</f>
        <v>17924.11269153333</v>
      </c>
      <c r="O42" s="304">
        <f>$M42*'MWh Impact Summary'!G$14</f>
        <v>0</v>
      </c>
      <c r="P42" s="304">
        <f>$M42*'MWh Impact Summary'!H$14</f>
        <v>0</v>
      </c>
      <c r="Q42" s="304">
        <f>$M42*'MWh Impact Summary'!I$14</f>
        <v>325.13776484860824</v>
      </c>
      <c r="R42" s="304">
        <f>$M42*'MWh Impact Summary'!J$14</f>
        <v>0</v>
      </c>
      <c r="S42" s="304">
        <f>$M42*'MWh Impact Summary'!K$14</f>
        <v>0</v>
      </c>
      <c r="T42" s="304">
        <f>$M42*'MWh Impact Summary'!L$14</f>
        <v>0</v>
      </c>
      <c r="U42" s="304">
        <f>$M42*'MWh Impact Summary'!M$14</f>
        <v>0</v>
      </c>
      <c r="V42" s="304">
        <f>$M42*'LED Impact Forecast'!$H$15+$D42*'LED Impact Forecast'!$J$15</f>
        <v>0</v>
      </c>
      <c r="W42" s="304">
        <f>$M42*'CFL Impact Forecast'!$H$15+$D42*'CFL Impact Forecast'!$J$15</f>
        <v>107409.46851576454</v>
      </c>
      <c r="X42" s="304">
        <f>$M42*'EISA Incand Impact Forecast'!$G$15+$D42*'EISA Incand Impact Forecast'!$I$15</f>
        <v>0</v>
      </c>
      <c r="Y42" s="85">
        <f t="shared" si="2"/>
        <v>125658.71897214648</v>
      </c>
      <c r="Z42" s="81">
        <f t="shared" si="3"/>
        <v>148083.48225160281</v>
      </c>
      <c r="AA42" s="81"/>
      <c r="AB42" s="81">
        <f>+'MWh by mo-WgtbyActulCDH&amp;Days'!AB42</f>
        <v>4519123</v>
      </c>
      <c r="AC42" s="308">
        <f t="shared" si="12"/>
        <v>32.768190255410794</v>
      </c>
      <c r="AD42" s="309">
        <f t="shared" si="4"/>
        <v>4.9621936113392664</v>
      </c>
      <c r="AE42" s="107">
        <f t="shared" si="5"/>
        <v>3.8970106895334553E-4</v>
      </c>
      <c r="AF42" s="309">
        <f t="shared" si="13"/>
        <v>27.805996644071534</v>
      </c>
      <c r="AG42" s="107">
        <f t="shared" si="6"/>
        <v>2.1837170139323192E-3</v>
      </c>
      <c r="AH42" s="119">
        <f t="shared" si="14"/>
        <v>2.5734180828856645E-3</v>
      </c>
      <c r="AI42" s="122">
        <f t="shared" si="7"/>
        <v>2.573418082885665E-3</v>
      </c>
      <c r="AJ42" s="87" t="b">
        <f t="shared" si="15"/>
        <v>1</v>
      </c>
      <c r="AK42" s="88">
        <f t="shared" si="22"/>
        <v>2.0965733416298906E-3</v>
      </c>
      <c r="AL42" s="312">
        <f>+AC42/'MWh by month-WgtbyCDH&amp;DayLtHrs'!AC42-1</f>
        <v>-0.17597734623108763</v>
      </c>
      <c r="AM42" s="89">
        <f t="shared" si="9"/>
        <v>107409.46851576454</v>
      </c>
      <c r="AN42" s="93"/>
      <c r="AO42" s="96">
        <f>+AM42*1000/AB42</f>
        <v>23.767768329333933</v>
      </c>
      <c r="AP42" s="92">
        <f t="shared" si="28"/>
        <v>1.866578664607377E-3</v>
      </c>
      <c r="AQ42" s="98"/>
      <c r="AR42" s="94">
        <f t="shared" si="10"/>
        <v>2.573418082885665E-3</v>
      </c>
      <c r="AS42" s="95">
        <v>159234.2562554724</v>
      </c>
      <c r="AU42" s="141">
        <v>32.768190255410794</v>
      </c>
    </row>
    <row r="43" spans="1:47">
      <c r="A43" s="78">
        <v>2008</v>
      </c>
      <c r="B43" s="78">
        <v>3</v>
      </c>
      <c r="C43" s="317">
        <f t="shared" si="18"/>
        <v>64.582270600115152</v>
      </c>
      <c r="D43" s="318">
        <f t="shared" si="26"/>
        <v>3.2846156787895278E-2</v>
      </c>
      <c r="E43" s="104">
        <f>$D43*'MWh Impact Summary'!B$14</f>
        <v>18950.938555640103</v>
      </c>
      <c r="F43" s="320">
        <f>$D43*'MWh Impact Summary'!N$14</f>
        <v>0</v>
      </c>
      <c r="G43" s="320">
        <f>$D43*'MWh Impact Summary'!C$14</f>
        <v>15171.517664055877</v>
      </c>
      <c r="H43" s="320">
        <f>$D43*'MWh Impact Summary'!D$14</f>
        <v>0</v>
      </c>
      <c r="I43" s="320">
        <f>$D43*'MWh Impact Summary'!E$14</f>
        <v>7206.0783511841628</v>
      </c>
      <c r="J43" s="104">
        <f t="shared" si="11"/>
        <v>41328.534570880147</v>
      </c>
      <c r="K43" s="298">
        <f t="shared" si="19"/>
        <v>12</v>
      </c>
      <c r="L43" s="299">
        <f t="shared" si="27"/>
        <v>8.4477296726504739E-2</v>
      </c>
      <c r="M43" s="297">
        <f>(31/366)</f>
        <v>8.4699453551912565E-2</v>
      </c>
      <c r="N43" s="304">
        <f>$M43*'MWh Impact Summary'!F$14</f>
        <v>19160.258394397697</v>
      </c>
      <c r="O43" s="304">
        <f>$M43*'MWh Impact Summary'!G$14</f>
        <v>0</v>
      </c>
      <c r="P43" s="304">
        <f>$M43*'MWh Impact Summary'!H$14</f>
        <v>0</v>
      </c>
      <c r="Q43" s="304">
        <f>$M43*'MWh Impact Summary'!I$14</f>
        <v>347.56105897609848</v>
      </c>
      <c r="R43" s="304">
        <f>$M43*'MWh Impact Summary'!J$14</f>
        <v>0</v>
      </c>
      <c r="S43" s="304">
        <f>$M43*'MWh Impact Summary'!K$14</f>
        <v>0</v>
      </c>
      <c r="T43" s="304">
        <f>$M43*'MWh Impact Summary'!L$14</f>
        <v>0</v>
      </c>
      <c r="U43" s="304">
        <f>$M43*'MWh Impact Summary'!M$14</f>
        <v>0</v>
      </c>
      <c r="V43" s="304">
        <f>$M43*'LED Impact Forecast'!$H$15+$D43*'LED Impact Forecast'!$J$15</f>
        <v>0</v>
      </c>
      <c r="W43" s="304">
        <f>$M43*'CFL Impact Forecast'!$H$15+$D43*'CFL Impact Forecast'!$J$15</f>
        <v>117824.95338485179</v>
      </c>
      <c r="X43" s="304">
        <f>$M43*'EISA Incand Impact Forecast'!$G$15+$D43*'EISA Incand Impact Forecast'!$I$15</f>
        <v>0</v>
      </c>
      <c r="Y43" s="85">
        <f t="shared" si="2"/>
        <v>137332.77283822559</v>
      </c>
      <c r="Z43" s="81">
        <f t="shared" si="3"/>
        <v>178661.30740910574</v>
      </c>
      <c r="AA43" s="81"/>
      <c r="AB43" s="81">
        <f>+'MWh by mo-WgtbyActulCDH&amp;Days'!AB43</f>
        <v>4519652</v>
      </c>
      <c r="AC43" s="308">
        <f t="shared" si="12"/>
        <v>39.529881373412323</v>
      </c>
      <c r="AD43" s="309">
        <f t="shared" si="4"/>
        <v>9.1441851210845755</v>
      </c>
      <c r="AE43" s="107">
        <f t="shared" si="5"/>
        <v>7.6201542675704789E-4</v>
      </c>
      <c r="AF43" s="309">
        <f t="shared" si="13"/>
        <v>30.385696252327747</v>
      </c>
      <c r="AG43" s="107">
        <f t="shared" si="6"/>
        <v>2.5321413543606453E-3</v>
      </c>
      <c r="AH43" s="119">
        <f t="shared" si="14"/>
        <v>3.2941567811176934E-3</v>
      </c>
      <c r="AI43" s="122">
        <f t="shared" si="7"/>
        <v>3.2941567811176939E-3</v>
      </c>
      <c r="AJ43" s="87" t="b">
        <f t="shared" si="15"/>
        <v>1</v>
      </c>
      <c r="AK43" s="88">
        <f t="shared" si="22"/>
        <v>2.5066270357530559E-3</v>
      </c>
      <c r="AL43" s="312">
        <f>+AC43/'MWh by month-WgtbyCDH&amp;DayLtHrs'!AC43-1</f>
        <v>-5.7560760265277344E-2</v>
      </c>
      <c r="AM43" s="89">
        <f t="shared" si="9"/>
        <v>117824.95338485179</v>
      </c>
      <c r="AN43" s="93"/>
      <c r="AO43" s="96">
        <f t="shared" ref="AO43:AO106" si="29">+AM43*1000/AB43</f>
        <v>26.069474681867494</v>
      </c>
      <c r="AP43" s="92">
        <f t="shared" si="28"/>
        <v>2.1724562234889579E-3</v>
      </c>
      <c r="AQ43" s="98"/>
      <c r="AR43" s="94">
        <f t="shared" si="10"/>
        <v>3.2941567811176939E-3</v>
      </c>
      <c r="AS43" s="95">
        <v>187542.91902984036</v>
      </c>
      <c r="AU43" s="141">
        <v>39.529881373412323</v>
      </c>
    </row>
    <row r="44" spans="1:47">
      <c r="A44" s="78">
        <v>2008</v>
      </c>
      <c r="B44" s="78">
        <v>4</v>
      </c>
      <c r="C44" s="317">
        <f t="shared" si="18"/>
        <v>114.03392869270741</v>
      </c>
      <c r="D44" s="318">
        <f t="shared" si="26"/>
        <v>5.7996974497419709E-2</v>
      </c>
      <c r="E44" s="104">
        <f>$D44*'MWh Impact Summary'!B$14</f>
        <v>33461.969606096347</v>
      </c>
      <c r="F44" s="320">
        <f>$D44*'MWh Impact Summary'!N$14</f>
        <v>0</v>
      </c>
      <c r="G44" s="320">
        <f>$D44*'MWh Impact Summary'!C$14</f>
        <v>26788.586827110008</v>
      </c>
      <c r="H44" s="320">
        <f>$D44*'MWh Impact Summary'!D$14</f>
        <v>0</v>
      </c>
      <c r="I44" s="320">
        <f>$D44*'MWh Impact Summary'!E$14</f>
        <v>12723.885630176839</v>
      </c>
      <c r="J44" s="104">
        <f t="shared" si="11"/>
        <v>72974.442063383191</v>
      </c>
      <c r="K44" s="298">
        <f t="shared" si="19"/>
        <v>11.2</v>
      </c>
      <c r="L44" s="299">
        <f t="shared" si="27"/>
        <v>7.8845476944737758E-2</v>
      </c>
      <c r="M44" s="297">
        <f>(30/366)</f>
        <v>8.1967213114754092E-2</v>
      </c>
      <c r="N44" s="304">
        <f>$M44*'MWh Impact Summary'!F$14</f>
        <v>18542.185542965512</v>
      </c>
      <c r="O44" s="304">
        <f>$M44*'MWh Impact Summary'!G$14</f>
        <v>0</v>
      </c>
      <c r="P44" s="304">
        <f>$M44*'MWh Impact Summary'!H$14</f>
        <v>0</v>
      </c>
      <c r="Q44" s="304">
        <f>$M44*'MWh Impact Summary'!I$14</f>
        <v>336.34941191235333</v>
      </c>
      <c r="R44" s="304">
        <f>$M44*'MWh Impact Summary'!J$14</f>
        <v>0</v>
      </c>
      <c r="S44" s="304">
        <f>$M44*'MWh Impact Summary'!K$14</f>
        <v>0</v>
      </c>
      <c r="T44" s="304">
        <f>$M44*'MWh Impact Summary'!L$14</f>
        <v>0</v>
      </c>
      <c r="U44" s="304">
        <f>$M44*'MWh Impact Summary'!M$14</f>
        <v>0</v>
      </c>
      <c r="V44" s="304">
        <f>$M44*'LED Impact Forecast'!$H$15+$D44*'LED Impact Forecast'!$J$15</f>
        <v>0</v>
      </c>
      <c r="W44" s="304">
        <f>$M44*'CFL Impact Forecast'!$H$15+$D44*'CFL Impact Forecast'!$J$15</f>
        <v>119739.28408249555</v>
      </c>
      <c r="X44" s="304">
        <f>$M44*'EISA Incand Impact Forecast'!$G$15+$D44*'EISA Incand Impact Forecast'!$I$15</f>
        <v>0</v>
      </c>
      <c r="Y44" s="85">
        <f t="shared" si="2"/>
        <v>138617.81903737341</v>
      </c>
      <c r="Z44" s="81">
        <f t="shared" si="3"/>
        <v>211592.26110075659</v>
      </c>
      <c r="AA44" s="81"/>
      <c r="AB44" s="81">
        <f>+'MWh by mo-WgtbyActulCDH&amp;Days'!AB44</f>
        <v>4518324</v>
      </c>
      <c r="AC44" s="308">
        <f t="shared" si="12"/>
        <v>46.829811474510592</v>
      </c>
      <c r="AD44" s="309">
        <f t="shared" si="4"/>
        <v>16.150776717956301</v>
      </c>
      <c r="AE44" s="107">
        <f t="shared" si="5"/>
        <v>1.4420336355318126E-3</v>
      </c>
      <c r="AF44" s="309">
        <f t="shared" si="13"/>
        <v>30.679034756554294</v>
      </c>
      <c r="AG44" s="107">
        <f t="shared" si="6"/>
        <v>2.7391995318352051E-3</v>
      </c>
      <c r="AH44" s="119">
        <f t="shared" si="14"/>
        <v>4.1812331673670173E-3</v>
      </c>
      <c r="AI44" s="122">
        <f t="shared" si="7"/>
        <v>4.1812331673670182E-3</v>
      </c>
      <c r="AJ44" s="87" t="b">
        <f t="shared" si="15"/>
        <v>1</v>
      </c>
      <c r="AK44" s="88">
        <f t="shared" si="22"/>
        <v>2.8762134086777651E-3</v>
      </c>
      <c r="AL44" s="312">
        <f>+AC44/'MWh by month-WgtbyCDH&amp;DayLtHrs'!AC44-1</f>
        <v>1.1035733956186178E-3</v>
      </c>
      <c r="AM44" s="89">
        <f t="shared" si="9"/>
        <v>119739.28408249555</v>
      </c>
      <c r="AN44" s="93"/>
      <c r="AO44" s="96">
        <f t="shared" si="29"/>
        <v>26.500818463327455</v>
      </c>
      <c r="AP44" s="92">
        <f t="shared" si="28"/>
        <v>2.3661445056542374E-3</v>
      </c>
      <c r="AQ44" s="98"/>
      <c r="AR44" s="94">
        <f t="shared" si="10"/>
        <v>4.1812331673670182E-3</v>
      </c>
      <c r="AS44" s="95">
        <v>221381.67633899365</v>
      </c>
      <c r="AU44" s="141">
        <v>46.829811474510592</v>
      </c>
    </row>
    <row r="45" spans="1:47">
      <c r="A45" s="78">
        <v>2008</v>
      </c>
      <c r="B45" s="78">
        <v>5</v>
      </c>
      <c r="C45" s="317">
        <f t="shared" si="18"/>
        <v>208.47875842628665</v>
      </c>
      <c r="D45" s="318">
        <f t="shared" si="26"/>
        <v>0.10603105035770212</v>
      </c>
      <c r="E45" s="104">
        <f>$D45*'MWh Impact Summary'!B$14</f>
        <v>61175.739167734529</v>
      </c>
      <c r="F45" s="320">
        <f>$D45*'MWh Impact Summary'!N$14</f>
        <v>0</v>
      </c>
      <c r="G45" s="320">
        <f>$D45*'MWh Impact Summary'!C$14</f>
        <v>48975.347826175785</v>
      </c>
      <c r="H45" s="320">
        <f>$D45*'MWh Impact Summary'!D$14</f>
        <v>0</v>
      </c>
      <c r="I45" s="320">
        <f>$D45*'MWh Impact Summary'!E$14</f>
        <v>23262.023057063874</v>
      </c>
      <c r="J45" s="104">
        <f t="shared" si="11"/>
        <v>133413.11005097418</v>
      </c>
      <c r="K45" s="298">
        <f t="shared" si="19"/>
        <v>10.533333333333333</v>
      </c>
      <c r="L45" s="299">
        <f t="shared" si="27"/>
        <v>7.4152293793265281E-2</v>
      </c>
      <c r="M45" s="297">
        <f>(31/366)</f>
        <v>8.4699453551912565E-2</v>
      </c>
      <c r="N45" s="304">
        <f>$M45*'MWh Impact Summary'!F$14</f>
        <v>19160.258394397697</v>
      </c>
      <c r="O45" s="304">
        <f>$M45*'MWh Impact Summary'!G$14</f>
        <v>0</v>
      </c>
      <c r="P45" s="304">
        <f>$M45*'MWh Impact Summary'!H$14</f>
        <v>0</v>
      </c>
      <c r="Q45" s="304">
        <f>$M45*'MWh Impact Summary'!I$14</f>
        <v>347.56105897609848</v>
      </c>
      <c r="R45" s="304">
        <f>$M45*'MWh Impact Summary'!J$14</f>
        <v>0</v>
      </c>
      <c r="S45" s="304">
        <f>$M45*'MWh Impact Summary'!K$14</f>
        <v>0</v>
      </c>
      <c r="T45" s="304">
        <f>$M45*'MWh Impact Summary'!L$14</f>
        <v>0</v>
      </c>
      <c r="U45" s="304">
        <f>$M45*'MWh Impact Summary'!M$14</f>
        <v>0</v>
      </c>
      <c r="V45" s="304">
        <f>$M45*'LED Impact Forecast'!$H$15+$D45*'LED Impact Forecast'!$J$15</f>
        <v>0</v>
      </c>
      <c r="W45" s="304">
        <f>$M45*'CFL Impact Forecast'!$H$15+$D45*'CFL Impact Forecast'!$J$15</f>
        <v>133782.8195094401</v>
      </c>
      <c r="X45" s="304">
        <f>$M45*'EISA Incand Impact Forecast'!$G$15+$D45*'EISA Incand Impact Forecast'!$I$15</f>
        <v>0</v>
      </c>
      <c r="Y45" s="85">
        <f t="shared" si="2"/>
        <v>153290.63896281389</v>
      </c>
      <c r="Z45" s="81">
        <f t="shared" si="3"/>
        <v>286703.74901378807</v>
      </c>
      <c r="AA45" s="81"/>
      <c r="AB45" s="81">
        <f>+'MWh by mo-WgtbyActulCDH&amp;Days'!AB45</f>
        <v>4514164</v>
      </c>
      <c r="AC45" s="308">
        <f t="shared" si="12"/>
        <v>63.512036561761612</v>
      </c>
      <c r="AD45" s="309">
        <f t="shared" si="4"/>
        <v>29.554333881306523</v>
      </c>
      <c r="AE45" s="107">
        <f t="shared" si="5"/>
        <v>2.8057911912632775E-3</v>
      </c>
      <c r="AF45" s="309">
        <f t="shared" si="13"/>
        <v>33.957702680455093</v>
      </c>
      <c r="AG45" s="107">
        <f t="shared" si="6"/>
        <v>3.2238325329545974E-3</v>
      </c>
      <c r="AH45" s="119">
        <f t="shared" si="14"/>
        <v>6.0296237242178745E-3</v>
      </c>
      <c r="AI45" s="122">
        <f t="shared" si="7"/>
        <v>6.0296237242178754E-3</v>
      </c>
      <c r="AJ45" s="87" t="b">
        <f t="shared" si="15"/>
        <v>0</v>
      </c>
      <c r="AK45" s="88">
        <f t="shared" si="22"/>
        <v>3.6809631548134335E-3</v>
      </c>
      <c r="AL45" s="312">
        <f>+AC45/'MWh by month-WgtbyCDH&amp;DayLtHrs'!AC45-1</f>
        <v>8.7725992845107958E-2</v>
      </c>
      <c r="AM45" s="89">
        <f t="shared" si="9"/>
        <v>133782.8195094401</v>
      </c>
      <c r="AN45" s="93"/>
      <c r="AO45" s="96">
        <f t="shared" si="29"/>
        <v>29.636233754343017</v>
      </c>
      <c r="AP45" s="92">
        <f t="shared" si="28"/>
        <v>2.8135664956654765E-3</v>
      </c>
      <c r="AQ45" s="98"/>
      <c r="AR45" s="94">
        <f t="shared" si="10"/>
        <v>6.0296237242178754E-3</v>
      </c>
      <c r="AS45" s="95">
        <v>267616.95239971823</v>
      </c>
      <c r="AU45" s="141">
        <v>63.512036561761612</v>
      </c>
    </row>
    <row r="46" spans="1:47">
      <c r="A46" s="78">
        <v>2008</v>
      </c>
      <c r="B46" s="78">
        <v>6</v>
      </c>
      <c r="C46" s="317">
        <f t="shared" si="18"/>
        <v>271.66325293295364</v>
      </c>
      <c r="D46" s="318">
        <f t="shared" si="26"/>
        <v>0.13816630657965029</v>
      </c>
      <c r="E46" s="104">
        <f>$D46*'MWh Impact Summary'!B$14</f>
        <v>79716.516101379384</v>
      </c>
      <c r="F46" s="320">
        <f>$D46*'MWh Impact Summary'!N$14</f>
        <v>0</v>
      </c>
      <c r="G46" s="320">
        <f>$D46*'MWh Impact Summary'!C$14</f>
        <v>63818.50316269054</v>
      </c>
      <c r="H46" s="320">
        <f>$D46*'MWh Impact Summary'!D$14</f>
        <v>0</v>
      </c>
      <c r="I46" s="320">
        <f>$D46*'MWh Impact Summary'!E$14</f>
        <v>30312.137798526612</v>
      </c>
      <c r="J46" s="104">
        <f t="shared" si="11"/>
        <v>173847.15706259653</v>
      </c>
      <c r="K46" s="298">
        <f t="shared" si="19"/>
        <v>10.199999999999999</v>
      </c>
      <c r="L46" s="299">
        <f t="shared" si="27"/>
        <v>7.1805702217529022E-2</v>
      </c>
      <c r="M46" s="297">
        <f>(30/366)</f>
        <v>8.1967213114754092E-2</v>
      </c>
      <c r="N46" s="304">
        <f>$M46*'MWh Impact Summary'!F$14</f>
        <v>18542.185542965512</v>
      </c>
      <c r="O46" s="304">
        <f>$M46*'MWh Impact Summary'!G$14</f>
        <v>0</v>
      </c>
      <c r="P46" s="304">
        <f>$M46*'MWh Impact Summary'!H$14</f>
        <v>0</v>
      </c>
      <c r="Q46" s="304">
        <f>$M46*'MWh Impact Summary'!I$14</f>
        <v>336.34941191235333</v>
      </c>
      <c r="R46" s="304">
        <f>$M46*'MWh Impact Summary'!J$14</f>
        <v>0</v>
      </c>
      <c r="S46" s="304">
        <f>$M46*'MWh Impact Summary'!K$14</f>
        <v>0</v>
      </c>
      <c r="T46" s="304">
        <f>$M46*'MWh Impact Summary'!L$14</f>
        <v>0</v>
      </c>
      <c r="U46" s="304">
        <f>$M46*'MWh Impact Summary'!M$14</f>
        <v>0</v>
      </c>
      <c r="V46" s="304">
        <f>$M46*'LED Impact Forecast'!$H$15+$D46*'LED Impact Forecast'!$J$15</f>
        <v>0</v>
      </c>
      <c r="W46" s="304">
        <f>$M46*'CFL Impact Forecast'!$H$15+$D46*'CFL Impact Forecast'!$J$15</f>
        <v>137220.097488962</v>
      </c>
      <c r="X46" s="304">
        <f>$M46*'EISA Incand Impact Forecast'!$G$15+$D46*'EISA Incand Impact Forecast'!$I$15</f>
        <v>0</v>
      </c>
      <c r="Y46" s="85">
        <f t="shared" si="2"/>
        <v>156098.63244383986</v>
      </c>
      <c r="Z46" s="81">
        <f t="shared" si="3"/>
        <v>329945.78950643638</v>
      </c>
      <c r="AA46" s="81"/>
      <c r="AB46" s="81">
        <f>+'MWh by mo-WgtbyActulCDH&amp;Days'!AB46</f>
        <v>4514262</v>
      </c>
      <c r="AC46" s="308">
        <f t="shared" si="12"/>
        <v>73.089641121059529</v>
      </c>
      <c r="AD46" s="309">
        <f t="shared" si="4"/>
        <v>38.510648487526097</v>
      </c>
      <c r="AE46" s="107">
        <f t="shared" si="5"/>
        <v>3.7755537732868725E-3</v>
      </c>
      <c r="AF46" s="309">
        <f t="shared" si="13"/>
        <v>34.578992633533424</v>
      </c>
      <c r="AG46" s="107">
        <f t="shared" si="6"/>
        <v>3.3900973170130811E-3</v>
      </c>
      <c r="AH46" s="119">
        <f t="shared" si="14"/>
        <v>7.1656510902999536E-3</v>
      </c>
      <c r="AI46" s="122">
        <f t="shared" si="7"/>
        <v>7.1656510902999545E-3</v>
      </c>
      <c r="AJ46" s="87" t="b">
        <f t="shared" si="15"/>
        <v>1</v>
      </c>
      <c r="AK46" s="88">
        <f t="shared" si="22"/>
        <v>4.091973956391143E-3</v>
      </c>
      <c r="AL46" s="312">
        <f>+AC46/'MWh by month-WgtbyCDH&amp;DayLtHrs'!AC46-1</f>
        <v>0.10016220952885235</v>
      </c>
      <c r="AM46" s="89">
        <f t="shared" si="9"/>
        <v>137220.097488962</v>
      </c>
      <c r="AN46" s="93"/>
      <c r="AO46" s="96">
        <f t="shared" si="29"/>
        <v>30.397016719224979</v>
      </c>
      <c r="AP46" s="92">
        <f t="shared" si="28"/>
        <v>2.98009967835539E-3</v>
      </c>
      <c r="AQ46" s="98"/>
      <c r="AR46" s="94">
        <f t="shared" si="10"/>
        <v>7.1656510902999545E-3</v>
      </c>
      <c r="AS46" s="95">
        <v>327794.14361333713</v>
      </c>
      <c r="AU46" s="141">
        <v>73.089641121059529</v>
      </c>
    </row>
    <row r="47" spans="1:47">
      <c r="A47" s="78">
        <v>2008</v>
      </c>
      <c r="B47" s="78">
        <v>7</v>
      </c>
      <c r="C47" s="317">
        <f t="shared" si="18"/>
        <v>322.31916585708109</v>
      </c>
      <c r="D47" s="318">
        <f t="shared" si="26"/>
        <v>0.16392960109808263</v>
      </c>
      <c r="E47" s="104">
        <f>$D47*'MWh Impact Summary'!B$14</f>
        <v>94580.922143233271</v>
      </c>
      <c r="F47" s="320">
        <f>$D47*'MWh Impact Summary'!N$14</f>
        <v>0</v>
      </c>
      <c r="G47" s="320">
        <f>$D47*'MWh Impact Summary'!C$14</f>
        <v>75718.473085951584</v>
      </c>
      <c r="H47" s="320">
        <f>$D47*'MWh Impact Summary'!D$14</f>
        <v>0</v>
      </c>
      <c r="I47" s="320">
        <f>$D47*'MWh Impact Summary'!E$14</f>
        <v>35964.31561900377</v>
      </c>
      <c r="J47" s="104">
        <f t="shared" si="11"/>
        <v>206263.71084818861</v>
      </c>
      <c r="K47" s="298">
        <f t="shared" si="19"/>
        <v>10.366666666666667</v>
      </c>
      <c r="L47" s="299">
        <f t="shared" si="27"/>
        <v>7.2978998005397158E-2</v>
      </c>
      <c r="M47" s="297">
        <f>(31/366)</f>
        <v>8.4699453551912565E-2</v>
      </c>
      <c r="N47" s="304">
        <f>$M47*'MWh Impact Summary'!F$14</f>
        <v>19160.258394397697</v>
      </c>
      <c r="O47" s="304">
        <f>$M47*'MWh Impact Summary'!G$14</f>
        <v>0</v>
      </c>
      <c r="P47" s="304">
        <f>$M47*'MWh Impact Summary'!H$14</f>
        <v>0</v>
      </c>
      <c r="Q47" s="304">
        <f>$M47*'MWh Impact Summary'!I$14</f>
        <v>347.56105897609848</v>
      </c>
      <c r="R47" s="304">
        <f>$M47*'MWh Impact Summary'!J$14</f>
        <v>0</v>
      </c>
      <c r="S47" s="304">
        <f>$M47*'MWh Impact Summary'!K$14</f>
        <v>0</v>
      </c>
      <c r="T47" s="304">
        <f>$M47*'MWh Impact Summary'!L$14</f>
        <v>0</v>
      </c>
      <c r="U47" s="304">
        <f>$M47*'MWh Impact Summary'!M$14</f>
        <v>0</v>
      </c>
      <c r="V47" s="304">
        <f>$M47*'LED Impact Forecast'!$H$15+$D47*'LED Impact Forecast'!$J$15</f>
        <v>0</v>
      </c>
      <c r="W47" s="304">
        <f>$M47*'CFL Impact Forecast'!$H$15+$D47*'CFL Impact Forecast'!$J$15</f>
        <v>146407.51945030136</v>
      </c>
      <c r="X47" s="304">
        <f>$M47*'EISA Incand Impact Forecast'!$G$15+$D47*'EISA Incand Impact Forecast'!$I$15</f>
        <v>0</v>
      </c>
      <c r="Y47" s="85">
        <f t="shared" si="2"/>
        <v>165915.33890367515</v>
      </c>
      <c r="Z47" s="81">
        <f t="shared" si="3"/>
        <v>372179.04975186376</v>
      </c>
      <c r="AA47" s="81"/>
      <c r="AB47" s="81">
        <f>+'MWh by mo-WgtbyActulCDH&amp;Days'!AB47</f>
        <v>4509574</v>
      </c>
      <c r="AC47" s="308">
        <f t="shared" si="12"/>
        <v>82.530866496893893</v>
      </c>
      <c r="AD47" s="309">
        <f t="shared" si="4"/>
        <v>45.739067780723545</v>
      </c>
      <c r="AE47" s="107">
        <f t="shared" si="5"/>
        <v>4.4121287248286368E-3</v>
      </c>
      <c r="AF47" s="309">
        <f t="shared" si="13"/>
        <v>36.791798716170341</v>
      </c>
      <c r="AG47" s="107">
        <f t="shared" si="6"/>
        <v>3.5490481076691648E-3</v>
      </c>
      <c r="AH47" s="119">
        <f t="shared" si="14"/>
        <v>7.961176832497802E-3</v>
      </c>
      <c r="AI47" s="122">
        <f t="shared" si="7"/>
        <v>7.9611768324978037E-3</v>
      </c>
      <c r="AJ47" s="87" t="b">
        <f t="shared" si="15"/>
        <v>1</v>
      </c>
      <c r="AK47" s="88">
        <f t="shared" si="22"/>
        <v>4.4139317643309235E-3</v>
      </c>
      <c r="AL47" s="312">
        <f>+AC47/'MWh by month-WgtbyCDH&amp;DayLtHrs'!AC47-1</f>
        <v>0.11305134434671582</v>
      </c>
      <c r="AM47" s="89">
        <f t="shared" si="9"/>
        <v>146407.51945030136</v>
      </c>
      <c r="AN47" s="93"/>
      <c r="AO47" s="96">
        <f t="shared" si="29"/>
        <v>32.465931249892193</v>
      </c>
      <c r="AP47" s="92">
        <f t="shared" si="28"/>
        <v>3.1317618569027838E-3</v>
      </c>
      <c r="AQ47" s="98"/>
      <c r="AR47" s="94">
        <f t="shared" si="10"/>
        <v>7.9611768324978037E-3</v>
      </c>
      <c r="AS47" s="95">
        <v>345307.86638142471</v>
      </c>
      <c r="AU47" s="141">
        <v>82.530866496893893</v>
      </c>
    </row>
    <row r="48" spans="1:47">
      <c r="A48" s="78">
        <v>2008</v>
      </c>
      <c r="B48" s="78">
        <v>8</v>
      </c>
      <c r="C48" s="317">
        <f t="shared" si="18"/>
        <v>326.45437890907908</v>
      </c>
      <c r="D48" s="318">
        <f t="shared" si="26"/>
        <v>0.16603274573816959</v>
      </c>
      <c r="E48" s="104">
        <f>$D48*'MWh Impact Summary'!B$14</f>
        <v>95794.353751238028</v>
      </c>
      <c r="F48" s="320">
        <f>$D48*'MWh Impact Summary'!N$14</f>
        <v>0</v>
      </c>
      <c r="G48" s="320">
        <f>$D48*'MWh Impact Summary'!C$14</f>
        <v>76689.907773522165</v>
      </c>
      <c r="H48" s="320">
        <f>$D48*'MWh Impact Summary'!D$14</f>
        <v>0</v>
      </c>
      <c r="I48" s="320">
        <f>$D48*'MWh Impact Summary'!E$14</f>
        <v>36425.721961249721</v>
      </c>
      <c r="J48" s="104">
        <f t="shared" si="11"/>
        <v>208909.98348600991</v>
      </c>
      <c r="K48" s="298">
        <f t="shared" si="19"/>
        <v>10.933333333333334</v>
      </c>
      <c r="L48" s="299">
        <f t="shared" si="27"/>
        <v>7.6968203684148764E-2</v>
      </c>
      <c r="M48" s="297">
        <f>(31/366)</f>
        <v>8.4699453551912565E-2</v>
      </c>
      <c r="N48" s="304">
        <f>$M48*'MWh Impact Summary'!F$14</f>
        <v>19160.258394397697</v>
      </c>
      <c r="O48" s="304">
        <f>$M48*'MWh Impact Summary'!G$14</f>
        <v>0</v>
      </c>
      <c r="P48" s="304">
        <f>$M48*'MWh Impact Summary'!H$14</f>
        <v>0</v>
      </c>
      <c r="Q48" s="304">
        <f>$M48*'MWh Impact Summary'!I$14</f>
        <v>347.56105897609848</v>
      </c>
      <c r="R48" s="304">
        <f>$M48*'MWh Impact Summary'!J$14</f>
        <v>0</v>
      </c>
      <c r="S48" s="304">
        <f>$M48*'MWh Impact Summary'!K$14</f>
        <v>0</v>
      </c>
      <c r="T48" s="304">
        <f>$M48*'MWh Impact Summary'!L$14</f>
        <v>0</v>
      </c>
      <c r="U48" s="304">
        <f>$M48*'MWh Impact Summary'!M$14</f>
        <v>0</v>
      </c>
      <c r="V48" s="304">
        <f>$M48*'LED Impact Forecast'!$H$15+$D48*'LED Impact Forecast'!$J$15</f>
        <v>0</v>
      </c>
      <c r="W48" s="304">
        <f>$M48*'CFL Impact Forecast'!$H$15+$D48*'CFL Impact Forecast'!$J$15</f>
        <v>146866.10726767845</v>
      </c>
      <c r="X48" s="304">
        <f>$M48*'EISA Incand Impact Forecast'!$G$15+$D48*'EISA Incand Impact Forecast'!$I$15</f>
        <v>0</v>
      </c>
      <c r="Y48" s="85">
        <f t="shared" si="2"/>
        <v>166373.92672105224</v>
      </c>
      <c r="Z48" s="81">
        <f t="shared" si="3"/>
        <v>375283.91020706214</v>
      </c>
      <c r="AA48" s="81"/>
      <c r="AB48" s="81">
        <f>+'MWh by mo-WgtbyActulCDH&amp;Days'!AB48</f>
        <v>4507318</v>
      </c>
      <c r="AC48" s="308">
        <f t="shared" si="12"/>
        <v>83.261023563693996</v>
      </c>
      <c r="AD48" s="309">
        <f t="shared" si="4"/>
        <v>46.349066892109654</v>
      </c>
      <c r="AE48" s="107">
        <f t="shared" si="5"/>
        <v>4.2392439230588101E-3</v>
      </c>
      <c r="AF48" s="309">
        <f t="shared" si="13"/>
        <v>36.911956671584349</v>
      </c>
      <c r="AG48" s="107">
        <f t="shared" si="6"/>
        <v>3.3760935980107635E-3</v>
      </c>
      <c r="AH48" s="119">
        <f t="shared" si="14"/>
        <v>7.6153375210695736E-3</v>
      </c>
      <c r="AI48" s="122">
        <f t="shared" si="7"/>
        <v>7.6153375210695727E-3</v>
      </c>
      <c r="AJ48" s="87" t="b">
        <f t="shared" si="15"/>
        <v>1</v>
      </c>
      <c r="AK48" s="88">
        <f t="shared" si="22"/>
        <v>4.2159413204747292E-3</v>
      </c>
      <c r="AL48" s="312">
        <f>+AC48/'MWh by month-WgtbyCDH&amp;DayLtHrs'!AC48-1</f>
        <v>9.091678918071211E-2</v>
      </c>
      <c r="AM48" s="89">
        <f t="shared" si="9"/>
        <v>146866.10726767845</v>
      </c>
      <c r="AN48" s="93"/>
      <c r="AO48" s="96">
        <f t="shared" si="29"/>
        <v>32.583924024814408</v>
      </c>
      <c r="AP48" s="92">
        <f t="shared" si="28"/>
        <v>2.9802369534891225E-3</v>
      </c>
      <c r="AQ48" s="98"/>
      <c r="AR48" s="94">
        <f t="shared" si="10"/>
        <v>7.6153375210695727E-3</v>
      </c>
      <c r="AS48" s="95">
        <v>359036.26475295093</v>
      </c>
      <c r="AU48" s="141">
        <v>83.261023563693996</v>
      </c>
    </row>
    <row r="49" spans="1:47">
      <c r="A49" s="78">
        <v>2008</v>
      </c>
      <c r="B49" s="78">
        <v>9</v>
      </c>
      <c r="C49" s="317">
        <f t="shared" si="18"/>
        <v>277.87653293728147</v>
      </c>
      <c r="D49" s="318">
        <f t="shared" si="26"/>
        <v>0.14132634365008559</v>
      </c>
      <c r="E49" s="104">
        <f>$D49*'MWh Impact Summary'!B$14</f>
        <v>81539.733007456933</v>
      </c>
      <c r="F49" s="320">
        <f>$D49*'MWh Impact Summary'!N$14</f>
        <v>0</v>
      </c>
      <c r="G49" s="320">
        <f>$D49*'MWh Impact Summary'!C$14</f>
        <v>65278.112533210522</v>
      </c>
      <c r="H49" s="320">
        <f>$D49*'MWh Impact Summary'!D$14</f>
        <v>0</v>
      </c>
      <c r="I49" s="320">
        <f>$D49*'MWh Impact Summary'!E$14</f>
        <v>31005.414484418681</v>
      </c>
      <c r="J49" s="104">
        <f t="shared" si="11"/>
        <v>177823.26002508611</v>
      </c>
      <c r="K49" s="298">
        <f t="shared" si="19"/>
        <v>11.683333333333334</v>
      </c>
      <c r="L49" s="299">
        <f t="shared" si="27"/>
        <v>8.2248034729555317E-2</v>
      </c>
      <c r="M49" s="297">
        <f>(30/366)</f>
        <v>8.1967213114754092E-2</v>
      </c>
      <c r="N49" s="304">
        <f>$M49*'MWh Impact Summary'!F$14</f>
        <v>18542.185542965512</v>
      </c>
      <c r="O49" s="304">
        <f>$M49*'MWh Impact Summary'!G$14</f>
        <v>0</v>
      </c>
      <c r="P49" s="304">
        <f>$M49*'MWh Impact Summary'!H$14</f>
        <v>0</v>
      </c>
      <c r="Q49" s="304">
        <f>$M49*'MWh Impact Summary'!I$14</f>
        <v>336.34941191235333</v>
      </c>
      <c r="R49" s="304">
        <f>$M49*'MWh Impact Summary'!J$14</f>
        <v>0</v>
      </c>
      <c r="S49" s="304">
        <f>$M49*'MWh Impact Summary'!K$14</f>
        <v>0</v>
      </c>
      <c r="T49" s="304">
        <f>$M49*'MWh Impact Summary'!L$14</f>
        <v>0</v>
      </c>
      <c r="U49" s="304">
        <f>$M49*'MWh Impact Summary'!M$14</f>
        <v>0</v>
      </c>
      <c r="V49" s="304">
        <f>$M49*'LED Impact Forecast'!$H$15+$D49*'LED Impact Forecast'!$J$15</f>
        <v>0</v>
      </c>
      <c r="W49" s="304">
        <f>$M49*'CFL Impact Forecast'!$H$15+$D49*'CFL Impact Forecast'!$J$15</f>
        <v>137909.13925781613</v>
      </c>
      <c r="X49" s="304">
        <f>$M49*'EISA Incand Impact Forecast'!$G$15+$D49*'EISA Incand Impact Forecast'!$I$15</f>
        <v>0</v>
      </c>
      <c r="Y49" s="85">
        <f t="shared" si="2"/>
        <v>156787.67421269399</v>
      </c>
      <c r="Z49" s="81">
        <f t="shared" si="3"/>
        <v>334610.93423778011</v>
      </c>
      <c r="AA49" s="81"/>
      <c r="AB49" s="81">
        <f>+'MWh by mo-WgtbyActulCDH&amp;Days'!AB49</f>
        <v>4503137</v>
      </c>
      <c r="AC49" s="308">
        <f t="shared" si="12"/>
        <v>74.306185718484713</v>
      </c>
      <c r="AD49" s="309">
        <f t="shared" si="4"/>
        <v>39.48875195782098</v>
      </c>
      <c r="AE49" s="107">
        <f t="shared" si="5"/>
        <v>3.3799217082300412E-3</v>
      </c>
      <c r="AF49" s="309">
        <f t="shared" si="13"/>
        <v>34.817433760663732</v>
      </c>
      <c r="AG49" s="107">
        <f t="shared" si="6"/>
        <v>2.9800941877886219E-3</v>
      </c>
      <c r="AH49" s="119">
        <f t="shared" si="14"/>
        <v>6.360015896018663E-3</v>
      </c>
      <c r="AI49" s="122">
        <f t="shared" si="7"/>
        <v>6.3600158960186622E-3</v>
      </c>
      <c r="AJ49" s="87" t="b">
        <f t="shared" si="15"/>
        <v>1</v>
      </c>
      <c r="AK49" s="88">
        <f t="shared" si="22"/>
        <v>3.6263162528757556E-3</v>
      </c>
      <c r="AL49" s="312">
        <f>+AC49/'MWh by month-WgtbyCDH&amp;DayLtHrs'!AC49-1</f>
        <v>3.8632093080284147E-2</v>
      </c>
      <c r="AM49" s="89">
        <f t="shared" si="9"/>
        <v>137909.13925781613</v>
      </c>
      <c r="AN49" s="93"/>
      <c r="AO49" s="96">
        <f t="shared" si="29"/>
        <v>30.625126274820449</v>
      </c>
      <c r="AP49" s="92">
        <f t="shared" si="28"/>
        <v>2.6212661576165861E-3</v>
      </c>
      <c r="AR49" s="94">
        <f t="shared" si="10"/>
        <v>6.3600158960186622E-3</v>
      </c>
      <c r="AS49" s="95">
        <v>338792.96476964944</v>
      </c>
      <c r="AU49" s="141">
        <v>74.306185718484713</v>
      </c>
    </row>
    <row r="50" spans="1:47">
      <c r="A50" s="78">
        <v>2008</v>
      </c>
      <c r="B50" s="78">
        <v>10</v>
      </c>
      <c r="C50" s="317">
        <f t="shared" si="18"/>
        <v>198.89039579254836</v>
      </c>
      <c r="D50" s="318">
        <f t="shared" si="26"/>
        <v>0.10115446643644242</v>
      </c>
      <c r="E50" s="104">
        <f>$D50*'MWh Impact Summary'!B$14</f>
        <v>58362.142348782705</v>
      </c>
      <c r="F50" s="320">
        <f>$D50*'MWh Impact Summary'!N$14</f>
        <v>0</v>
      </c>
      <c r="G50" s="320">
        <f>$D50*'MWh Impact Summary'!C$14</f>
        <v>46722.871849171745</v>
      </c>
      <c r="H50" s="320">
        <f>$D50*'MWh Impact Summary'!D$14</f>
        <v>0</v>
      </c>
      <c r="I50" s="320">
        <f>$D50*'MWh Impact Summary'!E$14</f>
        <v>22192.155247272723</v>
      </c>
      <c r="J50" s="104">
        <f t="shared" si="11"/>
        <v>127277.16944522716</v>
      </c>
      <c r="K50" s="298">
        <f t="shared" si="19"/>
        <v>12.466666666666667</v>
      </c>
      <c r="L50" s="299">
        <f t="shared" si="27"/>
        <v>8.7762524932535488E-2</v>
      </c>
      <c r="M50" s="297">
        <f>(31/366)</f>
        <v>8.4699453551912565E-2</v>
      </c>
      <c r="N50" s="304">
        <f>$M50*'MWh Impact Summary'!F$14</f>
        <v>19160.258394397697</v>
      </c>
      <c r="O50" s="304">
        <f>$M50*'MWh Impact Summary'!G$14</f>
        <v>0</v>
      </c>
      <c r="P50" s="304">
        <f>$M50*'MWh Impact Summary'!H$14</f>
        <v>0</v>
      </c>
      <c r="Q50" s="304">
        <f>$M50*'MWh Impact Summary'!I$14</f>
        <v>347.56105897609848</v>
      </c>
      <c r="R50" s="304">
        <f>$M50*'MWh Impact Summary'!J$14</f>
        <v>0</v>
      </c>
      <c r="S50" s="304">
        <f>$M50*'MWh Impact Summary'!K$14</f>
        <v>0</v>
      </c>
      <c r="T50" s="304">
        <f>$M50*'MWh Impact Summary'!L$14</f>
        <v>0</v>
      </c>
      <c r="U50" s="304">
        <f>$M50*'MWh Impact Summary'!M$14</f>
        <v>0</v>
      </c>
      <c r="V50" s="304">
        <f>$M50*'LED Impact Forecast'!$H$15+$D50*'LED Impact Forecast'!$J$15</f>
        <v>0</v>
      </c>
      <c r="W50" s="304">
        <f>$M50*'CFL Impact Forecast'!$H$15+$D50*'CFL Impact Forecast'!$J$15</f>
        <v>132719.48704334104</v>
      </c>
      <c r="X50" s="304">
        <f>$M50*'EISA Incand Impact Forecast'!$G$15+$D50*'EISA Incand Impact Forecast'!$I$15</f>
        <v>0</v>
      </c>
      <c r="Y50" s="85">
        <f t="shared" si="2"/>
        <v>152227.30649671482</v>
      </c>
      <c r="Z50" s="81">
        <f t="shared" si="3"/>
        <v>279504.47594194196</v>
      </c>
      <c r="AA50" s="81"/>
      <c r="AB50" s="81">
        <f>+'MWh by mo-WgtbyActulCDH&amp;Days'!AB50</f>
        <v>4501918</v>
      </c>
      <c r="AC50" s="308">
        <f t="shared" si="12"/>
        <v>62.085643483942171</v>
      </c>
      <c r="AD50" s="309">
        <f t="shared" si="4"/>
        <v>28.271765377607313</v>
      </c>
      <c r="AE50" s="107">
        <f t="shared" si="5"/>
        <v>2.267788666652993E-3</v>
      </c>
      <c r="AF50" s="309">
        <f t="shared" si="13"/>
        <v>33.813878106334862</v>
      </c>
      <c r="AG50" s="107">
        <f t="shared" si="6"/>
        <v>2.712343163609748E-3</v>
      </c>
      <c r="AH50" s="119">
        <f t="shared" si="14"/>
        <v>4.980131830262741E-3</v>
      </c>
      <c r="AI50" s="122">
        <f t="shared" si="7"/>
        <v>4.980131830262741E-3</v>
      </c>
      <c r="AJ50" s="87" t="b">
        <f t="shared" si="15"/>
        <v>1</v>
      </c>
      <c r="AK50" s="88">
        <f t="shared" si="22"/>
        <v>3.083256889060324E-3</v>
      </c>
      <c r="AL50" s="312">
        <f>+AC50/'MWh by month-WgtbyCDH&amp;DayLtHrs'!AC50-1</f>
        <v>-6.290046351622669E-3</v>
      </c>
      <c r="AM50" s="89">
        <f t="shared" si="9"/>
        <v>132719.48704334104</v>
      </c>
      <c r="AN50" s="93"/>
      <c r="AO50" s="96">
        <f t="shared" si="29"/>
        <v>29.480654033090129</v>
      </c>
      <c r="AP50" s="92">
        <f t="shared" si="28"/>
        <v>2.3647583449002778E-3</v>
      </c>
      <c r="AR50" s="94">
        <f t="shared" si="10"/>
        <v>4.980131830262741E-3</v>
      </c>
      <c r="AS50" s="95">
        <v>271848.13393304445</v>
      </c>
      <c r="AU50" s="141">
        <v>62.085643483942171</v>
      </c>
    </row>
    <row r="51" spans="1:47">
      <c r="A51" s="78">
        <v>2008</v>
      </c>
      <c r="B51" s="78">
        <v>11</v>
      </c>
      <c r="C51" s="317">
        <f t="shared" si="18"/>
        <v>78.117279066674627</v>
      </c>
      <c r="D51" s="318">
        <f t="shared" si="26"/>
        <v>3.9729981188725644E-2</v>
      </c>
      <c r="E51" s="104">
        <f>$D51*'MWh Impact Summary'!B$14</f>
        <v>22922.634059938147</v>
      </c>
      <c r="F51" s="320">
        <f>$D51*'MWh Impact Summary'!N$14</f>
        <v>0</v>
      </c>
      <c r="G51" s="320">
        <f>$D51*'MWh Impact Summary'!C$14</f>
        <v>18351.130553559746</v>
      </c>
      <c r="H51" s="320">
        <f>$D51*'MWh Impact Summary'!D$14</f>
        <v>0</v>
      </c>
      <c r="I51" s="320">
        <f>$D51*'MWh Impact Summary'!E$14</f>
        <v>8716.3122061981521</v>
      </c>
      <c r="J51" s="104">
        <f t="shared" si="11"/>
        <v>49990.076819696042</v>
      </c>
      <c r="K51" s="298">
        <f t="shared" si="19"/>
        <v>13.15</v>
      </c>
      <c r="L51" s="299">
        <f t="shared" si="27"/>
        <v>9.2573037662794788E-2</v>
      </c>
      <c r="M51" s="297">
        <f>(30/366)</f>
        <v>8.1967213114754092E-2</v>
      </c>
      <c r="N51" s="304">
        <f>$M51*'MWh Impact Summary'!F$14</f>
        <v>18542.185542965512</v>
      </c>
      <c r="O51" s="304">
        <f>$M51*'MWh Impact Summary'!G$14</f>
        <v>0</v>
      </c>
      <c r="P51" s="304">
        <f>$M51*'MWh Impact Summary'!H$14</f>
        <v>0</v>
      </c>
      <c r="Q51" s="304">
        <f>$M51*'MWh Impact Summary'!I$14</f>
        <v>336.34941191235333</v>
      </c>
      <c r="R51" s="304">
        <f>$M51*'MWh Impact Summary'!J$14</f>
        <v>0</v>
      </c>
      <c r="S51" s="304">
        <f>$M51*'MWh Impact Summary'!K$14</f>
        <v>0</v>
      </c>
      <c r="T51" s="304">
        <f>$M51*'MWh Impact Summary'!L$14</f>
        <v>0</v>
      </c>
      <c r="U51" s="304">
        <f>$M51*'MWh Impact Summary'!M$14</f>
        <v>0</v>
      </c>
      <c r="V51" s="304">
        <f>$M51*'LED Impact Forecast'!$H$15+$D51*'LED Impact Forecast'!$J$15</f>
        <v>0</v>
      </c>
      <c r="W51" s="304">
        <f>$M51*'CFL Impact Forecast'!$H$15+$D51*'CFL Impact Forecast'!$J$15</f>
        <v>115756.1911312044</v>
      </c>
      <c r="X51" s="304">
        <f>$M51*'EISA Incand Impact Forecast'!$G$15+$D51*'EISA Incand Impact Forecast'!$I$15</f>
        <v>0</v>
      </c>
      <c r="Y51" s="85">
        <f t="shared" si="2"/>
        <v>134634.72608608226</v>
      </c>
      <c r="Z51" s="81">
        <f t="shared" si="3"/>
        <v>184624.80290577828</v>
      </c>
      <c r="AA51" s="81"/>
      <c r="AB51" s="81">
        <f>+'MWh by mo-WgtbyActulCDH&amp;Days'!AB51</f>
        <v>4498960</v>
      </c>
      <c r="AC51" s="308">
        <f t="shared" si="12"/>
        <v>41.037218136142194</v>
      </c>
      <c r="AD51" s="309">
        <f t="shared" si="4"/>
        <v>11.11147394502197</v>
      </c>
      <c r="AE51" s="107">
        <f t="shared" si="5"/>
        <v>8.4497900722600532E-4</v>
      </c>
      <c r="AF51" s="309">
        <f t="shared" si="13"/>
        <v>29.925744191120227</v>
      </c>
      <c r="AG51" s="107">
        <f t="shared" si="6"/>
        <v>2.2757219917201696E-3</v>
      </c>
      <c r="AH51" s="119">
        <f t="shared" si="14"/>
        <v>3.120700998946175E-3</v>
      </c>
      <c r="AI51" s="122">
        <f t="shared" si="7"/>
        <v>3.1207009989461746E-3</v>
      </c>
      <c r="AJ51" s="87" t="b">
        <f t="shared" si="15"/>
        <v>0</v>
      </c>
      <c r="AK51" s="88">
        <f t="shared" si="22"/>
        <v>2.3023408743883499E-3</v>
      </c>
      <c r="AL51" s="312">
        <f>+AC51/'MWh by month-WgtbyCDH&amp;DayLtHrs'!AC51-1</f>
        <v>-0.13080456734735102</v>
      </c>
      <c r="AM51" s="89">
        <f t="shared" si="9"/>
        <v>115756.1911312044</v>
      </c>
      <c r="AN51" s="93"/>
      <c r="AO51" s="96">
        <f t="shared" si="29"/>
        <v>25.729544412754148</v>
      </c>
      <c r="AP51" s="92">
        <f t="shared" si="28"/>
        <v>1.9566193469775016E-3</v>
      </c>
      <c r="AR51" s="94">
        <f t="shared" si="10"/>
        <v>3.1207009989461746E-3</v>
      </c>
      <c r="AS51" s="95">
        <v>208079.20515712729</v>
      </c>
      <c r="AU51" s="141">
        <v>41.037218136142194</v>
      </c>
    </row>
    <row r="52" spans="1:47">
      <c r="A52" s="78">
        <v>2008</v>
      </c>
      <c r="B52" s="78">
        <v>12</v>
      </c>
      <c r="C52" s="317">
        <f t="shared" si="18"/>
        <v>42.633806123140985</v>
      </c>
      <c r="D52" s="318">
        <f t="shared" si="26"/>
        <v>2.1683298951445065E-2</v>
      </c>
      <c r="E52" s="104">
        <f>$D52*'MWh Impact Summary'!B$14</f>
        <v>12510.409323255924</v>
      </c>
      <c r="F52" s="320">
        <f>$D52*'MWh Impact Summary'!N$14</f>
        <v>0</v>
      </c>
      <c r="G52" s="320">
        <f>$D52*'MWh Impact Summary'!C$14</f>
        <v>10015.435144549001</v>
      </c>
      <c r="H52" s="320">
        <f>$D52*'MWh Impact Summary'!D$14</f>
        <v>0</v>
      </c>
      <c r="I52" s="320">
        <f>$D52*'MWh Impact Summary'!E$14</f>
        <v>4757.0725599728485</v>
      </c>
      <c r="J52" s="104">
        <f t="shared" si="11"/>
        <v>27282.917027777774</v>
      </c>
      <c r="K52" s="298">
        <f t="shared" si="19"/>
        <v>13.483333333333333</v>
      </c>
      <c r="L52" s="299">
        <f t="shared" si="27"/>
        <v>9.491962923853102E-2</v>
      </c>
      <c r="M52" s="297">
        <f>(31/366)</f>
        <v>8.4699453551912565E-2</v>
      </c>
      <c r="N52" s="304">
        <f>$M52*'MWh Impact Summary'!F$14</f>
        <v>19160.258394397697</v>
      </c>
      <c r="O52" s="304">
        <f>$M52*'MWh Impact Summary'!G$14</f>
        <v>0</v>
      </c>
      <c r="P52" s="304">
        <f>$M52*'MWh Impact Summary'!H$14</f>
        <v>0</v>
      </c>
      <c r="Q52" s="304">
        <f>$M52*'MWh Impact Summary'!I$14</f>
        <v>347.56105897609848</v>
      </c>
      <c r="R52" s="304">
        <f>$M52*'MWh Impact Summary'!J$14</f>
        <v>0</v>
      </c>
      <c r="S52" s="304">
        <f>$M52*'MWh Impact Summary'!K$14</f>
        <v>0</v>
      </c>
      <c r="T52" s="304">
        <f>$M52*'MWh Impact Summary'!L$14</f>
        <v>0</v>
      </c>
      <c r="U52" s="304">
        <f>$M52*'MWh Impact Summary'!M$14</f>
        <v>0</v>
      </c>
      <c r="V52" s="304">
        <f>$M52*'LED Impact Forecast'!$H$15+$D52*'LED Impact Forecast'!$J$15</f>
        <v>0</v>
      </c>
      <c r="W52" s="304">
        <f>$M52*'CFL Impact Forecast'!$H$15+$D52*'CFL Impact Forecast'!$J$15</f>
        <v>115390.90747410696</v>
      </c>
      <c r="X52" s="304">
        <f>$M52*'EISA Incand Impact Forecast'!$G$15+$D52*'EISA Incand Impact Forecast'!$I$15</f>
        <v>0</v>
      </c>
      <c r="Y52" s="85">
        <f t="shared" si="2"/>
        <v>134898.72692748075</v>
      </c>
      <c r="Z52" s="81">
        <f t="shared" si="3"/>
        <v>162181.64395525854</v>
      </c>
      <c r="AA52" s="81">
        <f>SUM(Z41:Z52)</f>
        <v>3013148.5319665424</v>
      </c>
      <c r="AB52" s="81">
        <f>+'MWh by mo-WgtbyActulCDH&amp;Days'!AB52</f>
        <v>4497793</v>
      </c>
      <c r="AC52" s="308">
        <f t="shared" si="12"/>
        <v>36.058049793589554</v>
      </c>
      <c r="AD52" s="309">
        <f t="shared" si="4"/>
        <v>6.0658454107998683</v>
      </c>
      <c r="AE52" s="107">
        <f t="shared" si="5"/>
        <v>4.4987728633868004E-4</v>
      </c>
      <c r="AF52" s="309">
        <f t="shared" si="13"/>
        <v>29.992204382789684</v>
      </c>
      <c r="AG52" s="107">
        <f t="shared" si="6"/>
        <v>2.2243909307384192E-3</v>
      </c>
      <c r="AH52" s="119">
        <f t="shared" si="14"/>
        <v>2.6742682170770994E-3</v>
      </c>
      <c r="AI52" s="122">
        <f t="shared" si="7"/>
        <v>2.6742682170770994E-3</v>
      </c>
      <c r="AJ52" s="87" t="b">
        <f t="shared" si="15"/>
        <v>1</v>
      </c>
      <c r="AK52" s="88">
        <f t="shared" si="22"/>
        <v>2.1490994478451783E-3</v>
      </c>
      <c r="AL52" s="312">
        <f>+AC52/'MWh by month-WgtbyCDH&amp;DayLtHrs'!AC52-1</f>
        <v>-0.16319303154519171</v>
      </c>
      <c r="AM52" s="89">
        <f t="shared" si="9"/>
        <v>115390.90747410696</v>
      </c>
      <c r="AN52" s="90">
        <f>SUM(AM41:AM52)</f>
        <v>1524584.735018654</v>
      </c>
      <c r="AO52" s="96">
        <f t="shared" si="29"/>
        <v>25.6550062384167</v>
      </c>
      <c r="AP52" s="92">
        <f t="shared" si="28"/>
        <v>1.9027198693510531E-3</v>
      </c>
      <c r="AR52" s="94">
        <f t="shared" si="10"/>
        <v>2.6742682170770994E-3</v>
      </c>
      <c r="AS52" s="95">
        <v>170636.93213893208</v>
      </c>
      <c r="AU52" s="141">
        <v>36.058049793589554</v>
      </c>
    </row>
    <row r="53" spans="1:47">
      <c r="A53" s="78">
        <v>2009</v>
      </c>
      <c r="B53" s="78">
        <v>1</v>
      </c>
      <c r="C53" s="317">
        <f t="shared" si="18"/>
        <v>26.112829868525239</v>
      </c>
      <c r="D53" s="318">
        <f t="shared" ref="D53:D64" si="30">C53/(SUM(C$53:C$64))</f>
        <v>1.3280829182176284E-2</v>
      </c>
      <c r="E53" s="104">
        <f>$D53*'MWh Impact Summary'!B$15</f>
        <v>9421.4074064152974</v>
      </c>
      <c r="F53" s="320">
        <f>$D53*'MWh Impact Summary'!N$15</f>
        <v>226.7047254762337</v>
      </c>
      <c r="G53" s="320">
        <f>$D53*'MWh Impact Summary'!C$15</f>
        <v>7441.8753869140264</v>
      </c>
      <c r="H53" s="320">
        <f>$D53*'MWh Impact Summary'!D$15</f>
        <v>0</v>
      </c>
      <c r="I53" s="320">
        <f>$D53*'MWh Impact Summary'!E$15</f>
        <v>3473.7593674362515</v>
      </c>
      <c r="J53" s="104">
        <f t="shared" si="11"/>
        <v>20563.746886241806</v>
      </c>
      <c r="K53" s="298">
        <f t="shared" si="19"/>
        <v>13.3</v>
      </c>
      <c r="L53" s="299">
        <f t="shared" ref="L53:L64" si="31">K53/(SUM(K$53:K$64))</f>
        <v>9.3629003871876101E-2</v>
      </c>
      <c r="M53" s="297">
        <f>(31/365)</f>
        <v>8.4931506849315067E-2</v>
      </c>
      <c r="N53" s="304">
        <f>$M53*'MWh Impact Summary'!F$15</f>
        <v>25209.25095135537</v>
      </c>
      <c r="O53" s="304">
        <f>$M53*'MWh Impact Summary'!G$15</f>
        <v>0</v>
      </c>
      <c r="P53" s="304">
        <f>$M53*'MWh Impact Summary'!H$15</f>
        <v>0</v>
      </c>
      <c r="Q53" s="304">
        <f>$M53*'MWh Impact Summary'!I$15</f>
        <v>464.68437474064666</v>
      </c>
      <c r="R53" s="304">
        <f>$M53*'MWh Impact Summary'!J$15</f>
        <v>2901.5041676750739</v>
      </c>
      <c r="S53" s="304">
        <f>$M53*'MWh Impact Summary'!K$15</f>
        <v>0</v>
      </c>
      <c r="T53" s="304">
        <f>$M53*'MWh Impact Summary'!L$15</f>
        <v>0</v>
      </c>
      <c r="U53" s="304">
        <f>$M53*'MWh Impact Summary'!M$15</f>
        <v>0</v>
      </c>
      <c r="V53" s="304">
        <f>$M53*'LED Impact Forecast'!$H$16+$D53*'LED Impact Forecast'!$J$16</f>
        <v>0</v>
      </c>
      <c r="W53" s="304">
        <f>$M53*'CFL Impact Forecast'!$H$16+$D53*'CFL Impact Forecast'!$J$16</f>
        <v>137515.1596017562</v>
      </c>
      <c r="X53" s="304">
        <f>$M53*'EISA Incand Impact Forecast'!$G$16+$D53*'EISA Incand Impact Forecast'!$I$16</f>
        <v>0</v>
      </c>
      <c r="Y53" s="85">
        <f t="shared" si="2"/>
        <v>166090.59909552729</v>
      </c>
      <c r="Z53" s="81">
        <f t="shared" si="3"/>
        <v>186654.34598176909</v>
      </c>
      <c r="AA53" s="81"/>
      <c r="AB53" s="81">
        <f>+'MWh by mo-WgtbyActulCDH&amp;Days'!AB53</f>
        <v>4497781</v>
      </c>
      <c r="AC53" s="308">
        <f t="shared" si="12"/>
        <v>41.499207271712223</v>
      </c>
      <c r="AD53" s="309">
        <f t="shared" si="4"/>
        <v>4.5719760224523611</v>
      </c>
      <c r="AE53" s="107">
        <f t="shared" si="5"/>
        <v>3.4375759567310983E-4</v>
      </c>
      <c r="AF53" s="309">
        <f t="shared" si="13"/>
        <v>36.927231249259869</v>
      </c>
      <c r="AG53" s="107">
        <f t="shared" si="6"/>
        <v>2.7764835525759296E-3</v>
      </c>
      <c r="AH53" s="119">
        <f t="shared" si="14"/>
        <v>3.1202411482490395E-3</v>
      </c>
      <c r="AI53" s="122">
        <f t="shared" si="7"/>
        <v>3.1202411482490395E-3</v>
      </c>
      <c r="AJ53" s="87" t="b">
        <f t="shared" si="15"/>
        <v>1</v>
      </c>
      <c r="AK53" s="88">
        <f t="shared" si="22"/>
        <v>6.2465207685944834E-4</v>
      </c>
      <c r="AL53" s="312">
        <f>+AC53/'MWh by month-WgtbyCDH&amp;DayLtHrs'!AC53-1</f>
        <v>-0.16709446540338069</v>
      </c>
      <c r="AM53" s="89">
        <f t="shared" si="9"/>
        <v>137515.1596017562</v>
      </c>
      <c r="AN53" s="90"/>
      <c r="AO53" s="96">
        <f t="shared" si="29"/>
        <v>30.574000735419574</v>
      </c>
      <c r="AP53" s="92">
        <f t="shared" si="28"/>
        <v>2.2987970477759078E-3</v>
      </c>
      <c r="AR53" s="94">
        <f t="shared" si="10"/>
        <v>3.1202411482490395E-3</v>
      </c>
      <c r="AS53" s="95">
        <v>211653.90202135124</v>
      </c>
      <c r="AU53" s="141">
        <v>41.499207271712223</v>
      </c>
    </row>
    <row r="54" spans="1:47">
      <c r="A54" s="78">
        <v>2009</v>
      </c>
      <c r="B54" s="78">
        <v>2</v>
      </c>
      <c r="C54" s="317">
        <f t="shared" si="18"/>
        <v>35.042184420393127</v>
      </c>
      <c r="D54" s="318">
        <f t="shared" si="30"/>
        <v>1.7822245532205266E-2</v>
      </c>
      <c r="E54" s="104">
        <f>$D54*'MWh Impact Summary'!B$15</f>
        <v>12643.083782857277</v>
      </c>
      <c r="F54" s="320">
        <f>$D54*'MWh Impact Summary'!N$15</f>
        <v>304.22703472243165</v>
      </c>
      <c r="G54" s="320">
        <f>$D54*'MWh Impact Summary'!C$15</f>
        <v>9986.6453025128867</v>
      </c>
      <c r="H54" s="320">
        <f>$D54*'MWh Impact Summary'!D$15</f>
        <v>0</v>
      </c>
      <c r="I54" s="320">
        <f>$D54*'MWh Impact Summary'!E$15</f>
        <v>4661.6210115355098</v>
      </c>
      <c r="J54" s="104">
        <f t="shared" si="11"/>
        <v>27595.577131628106</v>
      </c>
      <c r="K54" s="298">
        <f t="shared" si="19"/>
        <v>12.733333333333333</v>
      </c>
      <c r="L54" s="299">
        <f t="shared" si="31"/>
        <v>8.9639798193124468E-2</v>
      </c>
      <c r="M54" s="297">
        <f>(28/365)</f>
        <v>7.6712328767123292E-2</v>
      </c>
      <c r="N54" s="304">
        <f>$M54*'MWh Impact Summary'!F$15</f>
        <v>22769.646020579046</v>
      </c>
      <c r="O54" s="304">
        <f>$M54*'MWh Impact Summary'!G$15</f>
        <v>0</v>
      </c>
      <c r="P54" s="304">
        <f>$M54*'MWh Impact Summary'!H$15</f>
        <v>0</v>
      </c>
      <c r="Q54" s="304">
        <f>$M54*'MWh Impact Summary'!I$15</f>
        <v>419.71491912058411</v>
      </c>
      <c r="R54" s="304">
        <f>$M54*'MWh Impact Summary'!J$15</f>
        <v>2620.7134417710345</v>
      </c>
      <c r="S54" s="304">
        <f>$M54*'MWh Impact Summary'!K$15</f>
        <v>0</v>
      </c>
      <c r="T54" s="304">
        <f>$M54*'MWh Impact Summary'!L$15</f>
        <v>0</v>
      </c>
      <c r="U54" s="304">
        <f>$M54*'MWh Impact Summary'!M$15</f>
        <v>0</v>
      </c>
      <c r="V54" s="304">
        <f>$M54*'LED Impact Forecast'!$H$16+$D54*'LED Impact Forecast'!$J$16</f>
        <v>0</v>
      </c>
      <c r="W54" s="304">
        <f>$M54*'CFL Impact Forecast'!$H$16+$D54*'CFL Impact Forecast'!$J$16</f>
        <v>125744.92010237317</v>
      </c>
      <c r="X54" s="304">
        <f>$M54*'EISA Incand Impact Forecast'!$G$16+$D54*'EISA Incand Impact Forecast'!$I$16</f>
        <v>0</v>
      </c>
      <c r="Y54" s="85">
        <f t="shared" si="2"/>
        <v>151554.99448384382</v>
      </c>
      <c r="Z54" s="81">
        <f t="shared" si="3"/>
        <v>179150.57161547194</v>
      </c>
      <c r="AA54" s="81"/>
      <c r="AB54" s="81">
        <f>+'MWh by mo-WgtbyActulCDH&amp;Days'!AB54</f>
        <v>4502684</v>
      </c>
      <c r="AC54" s="308">
        <f t="shared" si="12"/>
        <v>39.787507099203928</v>
      </c>
      <c r="AD54" s="309">
        <f t="shared" si="4"/>
        <v>6.1286950475823101</v>
      </c>
      <c r="AE54" s="107">
        <f t="shared" si="5"/>
        <v>4.8131112939128095E-4</v>
      </c>
      <c r="AF54" s="309">
        <f t="shared" si="13"/>
        <v>33.658812051621616</v>
      </c>
      <c r="AG54" s="107">
        <f t="shared" si="6"/>
        <v>2.6433622030069331E-3</v>
      </c>
      <c r="AH54" s="119">
        <f t="shared" si="14"/>
        <v>3.1246733323982141E-3</v>
      </c>
      <c r="AI54" s="122">
        <f t="shared" si="7"/>
        <v>3.1246733323982141E-3</v>
      </c>
      <c r="AJ54" s="87" t="b">
        <f t="shared" si="15"/>
        <v>1</v>
      </c>
      <c r="AK54" s="88">
        <f t="shared" si="22"/>
        <v>5.5125524951254914E-4</v>
      </c>
      <c r="AL54" s="312">
        <f>+AC54/'MWh by month-WgtbyCDH&amp;DayLtHrs'!AC54-1</f>
        <v>-0.19519360545793152</v>
      </c>
      <c r="AM54" s="89">
        <f t="shared" si="9"/>
        <v>125744.92010237317</v>
      </c>
      <c r="AN54" s="99"/>
      <c r="AO54" s="96">
        <f t="shared" si="29"/>
        <v>27.926658877765611</v>
      </c>
      <c r="AP54" s="92">
        <f t="shared" si="28"/>
        <v>2.1931931055836872E-3</v>
      </c>
      <c r="AR54" s="94">
        <f t="shared" si="10"/>
        <v>3.1246733323982141E-3</v>
      </c>
      <c r="AS54" s="95">
        <v>196612.42709287113</v>
      </c>
      <c r="AU54" s="141">
        <v>39.787507099203928</v>
      </c>
    </row>
    <row r="55" spans="1:47">
      <c r="A55" s="78">
        <v>2009</v>
      </c>
      <c r="B55" s="78">
        <v>3</v>
      </c>
      <c r="C55" s="317">
        <f t="shared" si="18"/>
        <v>64.582270600115152</v>
      </c>
      <c r="D55" s="318">
        <f t="shared" si="30"/>
        <v>3.2846156787895278E-2</v>
      </c>
      <c r="E55" s="104">
        <f>$D55*'MWh Impact Summary'!B$15</f>
        <v>23301.031930225083</v>
      </c>
      <c r="F55" s="320">
        <f>$D55*'MWh Impact Summary'!N$15</f>
        <v>560.68629867950142</v>
      </c>
      <c r="G55" s="320">
        <f>$D55*'MWh Impact Summary'!C$15</f>
        <v>18405.25184094732</v>
      </c>
      <c r="H55" s="320">
        <f>$D55*'MWh Impact Summary'!D$15</f>
        <v>0</v>
      </c>
      <c r="I55" s="320">
        <f>$D55*'MWh Impact Summary'!E$15</f>
        <v>8591.304297427454</v>
      </c>
      <c r="J55" s="104">
        <f>SUM(E55:I55)</f>
        <v>50858.274367279359</v>
      </c>
      <c r="K55" s="298">
        <f t="shared" si="19"/>
        <v>12</v>
      </c>
      <c r="L55" s="299">
        <f>K55/(SUM(K$53:K$64))</f>
        <v>8.4477296726504739E-2</v>
      </c>
      <c r="M55" s="297">
        <f t="shared" ref="M55:M64" si="32">(31/365)</f>
        <v>8.4931506849315067E-2</v>
      </c>
      <c r="N55" s="304">
        <f>$M55*'MWh Impact Summary'!F$15</f>
        <v>25209.25095135537</v>
      </c>
      <c r="O55" s="304">
        <f>$M55*'MWh Impact Summary'!G$15</f>
        <v>0</v>
      </c>
      <c r="P55" s="304">
        <f>$M55*'MWh Impact Summary'!H$15</f>
        <v>0</v>
      </c>
      <c r="Q55" s="304">
        <f>$M55*'MWh Impact Summary'!I$15</f>
        <v>464.68437474064666</v>
      </c>
      <c r="R55" s="304">
        <f>$M55*'MWh Impact Summary'!J$15</f>
        <v>2901.5041676750739</v>
      </c>
      <c r="S55" s="304">
        <f>$M55*'MWh Impact Summary'!K$15</f>
        <v>0</v>
      </c>
      <c r="T55" s="304">
        <f>$M55*'MWh Impact Summary'!L$15</f>
        <v>0</v>
      </c>
      <c r="U55" s="304">
        <f>$M55*'MWh Impact Summary'!M$15</f>
        <v>0</v>
      </c>
      <c r="V55" s="304">
        <f>$M55*'LED Impact Forecast'!$H$16+$D55*'LED Impact Forecast'!$J$16</f>
        <v>0</v>
      </c>
      <c r="W55" s="304">
        <f>$M55*'CFL Impact Forecast'!$H$16+$D55*'CFL Impact Forecast'!$J$16</f>
        <v>142678.53067105811</v>
      </c>
      <c r="X55" s="304">
        <f>$M55*'EISA Incand Impact Forecast'!$G$16+$D55*'EISA Incand Impact Forecast'!$I$16</f>
        <v>0</v>
      </c>
      <c r="Y55" s="85">
        <f t="shared" si="2"/>
        <v>171253.9701648292</v>
      </c>
      <c r="Z55" s="81">
        <f t="shared" si="3"/>
        <v>222112.24453210854</v>
      </c>
      <c r="AA55" s="81"/>
      <c r="AB55" s="81">
        <f>+'MWh by mo-WgtbyActulCDH&amp;Days'!AB55</f>
        <v>4502987</v>
      </c>
      <c r="AC55" s="308">
        <f t="shared" si="12"/>
        <v>49.325535368436228</v>
      </c>
      <c r="AD55" s="309">
        <f t="shared" si="4"/>
        <v>11.294341815172764</v>
      </c>
      <c r="AE55" s="107">
        <f t="shared" si="5"/>
        <v>9.4119515126439698E-4</v>
      </c>
      <c r="AF55" s="309">
        <f t="shared" si="13"/>
        <v>38.031193553263464</v>
      </c>
      <c r="AG55" s="107">
        <f t="shared" si="6"/>
        <v>3.1692661294386222E-3</v>
      </c>
      <c r="AH55" s="119">
        <f t="shared" si="14"/>
        <v>4.1104612807030191E-3</v>
      </c>
      <c r="AI55" s="122">
        <f t="shared" si="7"/>
        <v>4.1104612807030191E-3</v>
      </c>
      <c r="AJ55" s="87" t="b">
        <f t="shared" si="15"/>
        <v>1</v>
      </c>
      <c r="AK55" s="88">
        <f t="shared" si="22"/>
        <v>8.1630449958532527E-4</v>
      </c>
      <c r="AL55" s="312">
        <f>+AC55/'MWh by month-WgtbyCDH&amp;DayLtHrs'!AC55-1</f>
        <v>-5.4129391747996691E-2</v>
      </c>
      <c r="AM55" s="89">
        <f t="shared" si="9"/>
        <v>142678.53067105811</v>
      </c>
      <c r="AN55" s="93"/>
      <c r="AO55" s="96">
        <f t="shared" si="29"/>
        <v>31.685308145694872</v>
      </c>
      <c r="AP55" s="92">
        <f t="shared" si="28"/>
        <v>2.6404423454745728E-3</v>
      </c>
      <c r="AR55" s="94">
        <f t="shared" si="10"/>
        <v>4.1104612807030191E-3</v>
      </c>
      <c r="AS55" s="95">
        <v>238059.33620390375</v>
      </c>
      <c r="AU55" s="141">
        <v>49.325535368436228</v>
      </c>
    </row>
    <row r="56" spans="1:47">
      <c r="A56" s="78">
        <v>2009</v>
      </c>
      <c r="B56" s="78">
        <v>4</v>
      </c>
      <c r="C56" s="317">
        <f t="shared" si="18"/>
        <v>114.03392869270741</v>
      </c>
      <c r="D56" s="318">
        <f t="shared" si="30"/>
        <v>5.7996974497419709E-2</v>
      </c>
      <c r="E56" s="104">
        <f>$D56*'MWh Impact Summary'!B$15</f>
        <v>41142.997743920256</v>
      </c>
      <c r="F56" s="320">
        <f>$D56*'MWh Impact Summary'!N$15</f>
        <v>990.01259646764879</v>
      </c>
      <c r="G56" s="320">
        <f>$D56*'MWh Impact Summary'!C$15</f>
        <v>32498.442010463565</v>
      </c>
      <c r="H56" s="320">
        <f>$D56*'MWh Impact Summary'!D$15</f>
        <v>0</v>
      </c>
      <c r="I56" s="320">
        <f>$D56*'MWh Impact Summary'!E$15</f>
        <v>15169.800821906159</v>
      </c>
      <c r="J56" s="104">
        <f t="shared" si="11"/>
        <v>89801.253172757628</v>
      </c>
      <c r="K56" s="298">
        <f t="shared" si="19"/>
        <v>11.2</v>
      </c>
      <c r="L56" s="299">
        <f>K56/(SUM(K$53:K$64))</f>
        <v>7.8845476944737758E-2</v>
      </c>
      <c r="M56" s="297">
        <f>(30/365)</f>
        <v>8.2191780821917804E-2</v>
      </c>
      <c r="N56" s="304">
        <f>$M56*'MWh Impact Summary'!F$15</f>
        <v>24396.04930776326</v>
      </c>
      <c r="O56" s="304">
        <f>$M56*'MWh Impact Summary'!G$15</f>
        <v>0</v>
      </c>
      <c r="P56" s="304">
        <f>$M56*'MWh Impact Summary'!H$15</f>
        <v>0</v>
      </c>
      <c r="Q56" s="304">
        <f>$M56*'MWh Impact Summary'!I$15</f>
        <v>449.69455620062581</v>
      </c>
      <c r="R56" s="304">
        <f>$M56*'MWh Impact Summary'!J$15</f>
        <v>2807.9072590403939</v>
      </c>
      <c r="S56" s="304">
        <f>$M56*'MWh Impact Summary'!K$15</f>
        <v>0</v>
      </c>
      <c r="T56" s="304">
        <f>$M56*'MWh Impact Summary'!L$15</f>
        <v>0</v>
      </c>
      <c r="U56" s="304">
        <f>$M56*'MWh Impact Summary'!M$15</f>
        <v>0</v>
      </c>
      <c r="V56" s="304">
        <f>$M56*'LED Impact Forecast'!$H$16+$D56*'LED Impact Forecast'!$J$16</f>
        <v>0</v>
      </c>
      <c r="W56" s="304">
        <f>$M56*'CFL Impact Forecast'!$H$16+$D56*'CFL Impact Forecast'!$J$16</f>
        <v>144993.0230344712</v>
      </c>
      <c r="X56" s="304">
        <f>$M56*'EISA Incand Impact Forecast'!$G$16+$D56*'EISA Incand Impact Forecast'!$I$16</f>
        <v>0</v>
      </c>
      <c r="Y56" s="85">
        <f t="shared" si="2"/>
        <v>172646.67415747547</v>
      </c>
      <c r="Z56" s="81">
        <f t="shared" si="3"/>
        <v>262447.9273302331</v>
      </c>
      <c r="AA56" s="81"/>
      <c r="AB56" s="81">
        <f>+'MWh by mo-WgtbyActulCDH&amp;Days'!AB56</f>
        <v>4502465</v>
      </c>
      <c r="AC56" s="308">
        <f t="shared" si="12"/>
        <v>58.289831754435205</v>
      </c>
      <c r="AD56" s="309">
        <f t="shared" si="4"/>
        <v>19.944908660646472</v>
      </c>
      <c r="AE56" s="107">
        <f t="shared" si="5"/>
        <v>1.7807954161291495E-3</v>
      </c>
      <c r="AF56" s="309">
        <f t="shared" si="13"/>
        <v>38.344923093788729</v>
      </c>
      <c r="AG56" s="107">
        <f t="shared" si="6"/>
        <v>3.4236538476597081E-3</v>
      </c>
      <c r="AH56" s="119">
        <f t="shared" si="14"/>
        <v>5.2044492637888578E-3</v>
      </c>
      <c r="AI56" s="122">
        <f t="shared" si="7"/>
        <v>5.2044492637888578E-3</v>
      </c>
      <c r="AJ56" s="87" t="b">
        <f t="shared" si="15"/>
        <v>1</v>
      </c>
      <c r="AK56" s="88">
        <f t="shared" si="22"/>
        <v>1.0232160964218397E-3</v>
      </c>
      <c r="AL56" s="312">
        <f>+AC56/'MWh by month-WgtbyCDH&amp;DayLtHrs'!AC56-1</f>
        <v>2.7739520326692801E-3</v>
      </c>
      <c r="AM56" s="89">
        <f t="shared" si="9"/>
        <v>144993.0230344712</v>
      </c>
      <c r="AN56" s="93"/>
      <c r="AO56" s="96">
        <f t="shared" si="29"/>
        <v>32.203031680306502</v>
      </c>
      <c r="AP56" s="92">
        <f t="shared" si="28"/>
        <v>2.8752706857416523E-3</v>
      </c>
      <c r="AR56" s="94">
        <f t="shared" si="10"/>
        <v>5.2044492637888578E-3</v>
      </c>
      <c r="AS56" s="95">
        <v>279638.2946346883</v>
      </c>
      <c r="AU56" s="141">
        <v>58.289831754435205</v>
      </c>
    </row>
    <row r="57" spans="1:47">
      <c r="A57" s="78">
        <v>2009</v>
      </c>
      <c r="B57" s="78">
        <v>5</v>
      </c>
      <c r="C57" s="317">
        <f t="shared" si="18"/>
        <v>208.47875842628665</v>
      </c>
      <c r="D57" s="318">
        <f t="shared" si="30"/>
        <v>0.10603105035770212</v>
      </c>
      <c r="E57" s="104">
        <f>$D57*'MWh Impact Summary'!B$15</f>
        <v>75218.324808417703</v>
      </c>
      <c r="F57" s="320">
        <f>$D57*'MWh Impact Summary'!N$15</f>
        <v>1809.957784530483</v>
      </c>
      <c r="G57" s="320">
        <f>$D57*'MWh Impact Summary'!C$15</f>
        <v>59414.201709981106</v>
      </c>
      <c r="H57" s="320">
        <f>$D57*'MWh Impact Summary'!D$15</f>
        <v>0</v>
      </c>
      <c r="I57" s="320">
        <f>$D57*'MWh Impact Summary'!E$15</f>
        <v>27733.686606969542</v>
      </c>
      <c r="J57" s="104">
        <f t="shared" si="11"/>
        <v>164176.17090989885</v>
      </c>
      <c r="K57" s="298">
        <f t="shared" si="19"/>
        <v>10.533333333333333</v>
      </c>
      <c r="L57" s="299">
        <f>K57/(SUM(K$53:K$64))</f>
        <v>7.4152293793265281E-2</v>
      </c>
      <c r="M57" s="297">
        <f t="shared" si="32"/>
        <v>8.4931506849315067E-2</v>
      </c>
      <c r="N57" s="304">
        <f>$M57*'MWh Impact Summary'!F$15</f>
        <v>25209.25095135537</v>
      </c>
      <c r="O57" s="304">
        <f>$M57*'MWh Impact Summary'!G$15</f>
        <v>0</v>
      </c>
      <c r="P57" s="304">
        <f>$M57*'MWh Impact Summary'!H$15</f>
        <v>0</v>
      </c>
      <c r="Q57" s="304">
        <f>$M57*'MWh Impact Summary'!I$15</f>
        <v>464.68437474064666</v>
      </c>
      <c r="R57" s="304">
        <f>$M57*'MWh Impact Summary'!J$15</f>
        <v>2901.5041676750739</v>
      </c>
      <c r="S57" s="304">
        <f>$M57*'MWh Impact Summary'!K$15</f>
        <v>0</v>
      </c>
      <c r="T57" s="304">
        <f>$M57*'MWh Impact Summary'!L$15</f>
        <v>0</v>
      </c>
      <c r="U57" s="304">
        <f>$M57*'MWh Impact Summary'!M$15</f>
        <v>0</v>
      </c>
      <c r="V57" s="304">
        <f>$M57*'LED Impact Forecast'!$H$16+$D57*'LED Impact Forecast'!$J$16</f>
        <v>0</v>
      </c>
      <c r="W57" s="304">
        <f>$M57*'CFL Impact Forecast'!$H$16+$D57*'CFL Impact Forecast'!$J$16</f>
        <v>161992.32749487538</v>
      </c>
      <c r="X57" s="304">
        <f>$M57*'EISA Incand Impact Forecast'!$G$16+$D57*'EISA Incand Impact Forecast'!$I$16</f>
        <v>0</v>
      </c>
      <c r="Y57" s="85">
        <f t="shared" si="2"/>
        <v>190567.76698864647</v>
      </c>
      <c r="Z57" s="81">
        <f t="shared" si="3"/>
        <v>354743.93789854529</v>
      </c>
      <c r="AA57" s="81"/>
      <c r="AB57" s="81">
        <f>+'MWh by mo-WgtbyActulCDH&amp;Days'!AB57</f>
        <v>4499097</v>
      </c>
      <c r="AC57" s="308">
        <f t="shared" si="12"/>
        <v>78.847808326547593</v>
      </c>
      <c r="AD57" s="309">
        <f t="shared" si="4"/>
        <v>36.490916046019642</v>
      </c>
      <c r="AE57" s="107">
        <f t="shared" si="5"/>
        <v>3.464327472723384E-3</v>
      </c>
      <c r="AF57" s="309">
        <f t="shared" si="13"/>
        <v>42.356892280527951</v>
      </c>
      <c r="AG57" s="107">
        <f t="shared" si="6"/>
        <v>4.021223950683034E-3</v>
      </c>
      <c r="AH57" s="119">
        <f t="shared" si="14"/>
        <v>7.4855514234064176E-3</v>
      </c>
      <c r="AI57" s="122">
        <f t="shared" si="7"/>
        <v>7.4855514234064176E-3</v>
      </c>
      <c r="AJ57" s="87" t="b">
        <f t="shared" si="15"/>
        <v>1</v>
      </c>
      <c r="AK57" s="88">
        <f t="shared" si="22"/>
        <v>1.4559276991885422E-3</v>
      </c>
      <c r="AL57" s="312">
        <f>+AC57/'MWh by month-WgtbyCDH&amp;DayLtHrs'!AC57-1</f>
        <v>8.7971129032699213E-2</v>
      </c>
      <c r="AM57" s="89">
        <f t="shared" si="9"/>
        <v>161992.32749487538</v>
      </c>
      <c r="AN57" s="93"/>
      <c r="AO57" s="96">
        <f t="shared" si="29"/>
        <v>36.005520106562578</v>
      </c>
      <c r="AP57" s="92">
        <f t="shared" si="28"/>
        <v>3.4182455797369536E-3</v>
      </c>
      <c r="AR57" s="94">
        <f t="shared" si="10"/>
        <v>7.4855514234064176E-3</v>
      </c>
      <c r="AS57" s="95">
        <v>336203.57287137385</v>
      </c>
      <c r="AU57" s="141">
        <v>78.847808326547593</v>
      </c>
    </row>
    <row r="58" spans="1:47">
      <c r="A58" s="78">
        <v>2009</v>
      </c>
      <c r="B58" s="78">
        <v>6</v>
      </c>
      <c r="C58" s="317">
        <f t="shared" si="18"/>
        <v>271.66325293295364</v>
      </c>
      <c r="D58" s="318">
        <f t="shared" si="30"/>
        <v>0.13816630657965029</v>
      </c>
      <c r="E58" s="104">
        <f>$D58*'MWh Impact Summary'!B$15</f>
        <v>98015.044563147923</v>
      </c>
      <c r="F58" s="320">
        <f>$D58*'MWh Impact Summary'!N$15</f>
        <v>2358.50895855525</v>
      </c>
      <c r="G58" s="320">
        <f>$D58*'MWh Impact Summary'!C$15</f>
        <v>77421.102412479537</v>
      </c>
      <c r="H58" s="320">
        <f>$D58*'MWh Impact Summary'!D$15</f>
        <v>0</v>
      </c>
      <c r="I58" s="320">
        <f>$D58*'MWh Impact Summary'!E$15</f>
        <v>36139.046377410028</v>
      </c>
      <c r="J58" s="104">
        <f t="shared" si="11"/>
        <v>213933.70231159273</v>
      </c>
      <c r="K58" s="298">
        <f t="shared" si="19"/>
        <v>10.199999999999999</v>
      </c>
      <c r="L58" s="299">
        <f t="shared" si="31"/>
        <v>7.1805702217529022E-2</v>
      </c>
      <c r="M58" s="297">
        <f>(30/365)</f>
        <v>8.2191780821917804E-2</v>
      </c>
      <c r="N58" s="304">
        <f>$M58*'MWh Impact Summary'!F$15</f>
        <v>24396.04930776326</v>
      </c>
      <c r="O58" s="304">
        <f>$M58*'MWh Impact Summary'!G$15</f>
        <v>0</v>
      </c>
      <c r="P58" s="304">
        <f>$M58*'MWh Impact Summary'!H$15</f>
        <v>0</v>
      </c>
      <c r="Q58" s="304">
        <f>$M58*'MWh Impact Summary'!I$15</f>
        <v>449.69455620062581</v>
      </c>
      <c r="R58" s="304">
        <f>$M58*'MWh Impact Summary'!J$15</f>
        <v>2807.9072590403939</v>
      </c>
      <c r="S58" s="304">
        <f>$M58*'MWh Impact Summary'!K$15</f>
        <v>0</v>
      </c>
      <c r="T58" s="304">
        <f>$M58*'MWh Impact Summary'!L$15</f>
        <v>0</v>
      </c>
      <c r="U58" s="304">
        <f>$M58*'MWh Impact Summary'!M$15</f>
        <v>0</v>
      </c>
      <c r="V58" s="304">
        <f>$M58*'LED Impact Forecast'!$H$16+$D58*'LED Impact Forecast'!$J$16</f>
        <v>0</v>
      </c>
      <c r="W58" s="304">
        <f>$M58*'CFL Impact Forecast'!$H$16+$D58*'CFL Impact Forecast'!$J$16</f>
        <v>166150.04213787991</v>
      </c>
      <c r="X58" s="304">
        <f>$M58*'EISA Incand Impact Forecast'!$G$16+$D58*'EISA Incand Impact Forecast'!$I$16</f>
        <v>0</v>
      </c>
      <c r="Y58" s="85">
        <f t="shared" si="2"/>
        <v>193803.6932608842</v>
      </c>
      <c r="Z58" s="81">
        <f t="shared" si="3"/>
        <v>407737.3955724769</v>
      </c>
      <c r="AA58" s="81"/>
      <c r="AB58" s="81">
        <f>+'MWh by mo-WgtbyActulCDH&amp;Days'!AB58</f>
        <v>4497918</v>
      </c>
      <c r="AC58" s="308">
        <f t="shared" si="12"/>
        <v>90.650250976668971</v>
      </c>
      <c r="AD58" s="309">
        <f t="shared" si="4"/>
        <v>47.562828471215511</v>
      </c>
      <c r="AE58" s="107">
        <f t="shared" si="5"/>
        <v>4.663022399138776E-3</v>
      </c>
      <c r="AF58" s="309">
        <f t="shared" si="13"/>
        <v>43.087422505453453</v>
      </c>
      <c r="AG58" s="107">
        <f t="shared" si="6"/>
        <v>4.2242571083777897E-3</v>
      </c>
      <c r="AH58" s="119">
        <f t="shared" si="14"/>
        <v>8.8872795075165649E-3</v>
      </c>
      <c r="AI58" s="122">
        <f t="shared" si="7"/>
        <v>8.8872795075165666E-3</v>
      </c>
      <c r="AJ58" s="87" t="b">
        <f t="shared" si="15"/>
        <v>0</v>
      </c>
      <c r="AK58" s="88">
        <f t="shared" si="22"/>
        <v>1.7216284172166122E-3</v>
      </c>
      <c r="AL58" s="312">
        <f>+AC58/'MWh by month-WgtbyCDH&amp;DayLtHrs'!AC58-1</f>
        <v>9.9617758214303853E-2</v>
      </c>
      <c r="AM58" s="89">
        <f t="shared" si="9"/>
        <v>166150.04213787991</v>
      </c>
      <c r="AN58" s="93"/>
      <c r="AO58" s="96">
        <f t="shared" si="29"/>
        <v>36.93932217925714</v>
      </c>
      <c r="AP58" s="92">
        <f t="shared" si="28"/>
        <v>3.6215021744369748E-3</v>
      </c>
      <c r="AR58" s="94">
        <f t="shared" si="10"/>
        <v>8.8872795075165666E-3</v>
      </c>
      <c r="AS58" s="95">
        <v>410391.3099683905</v>
      </c>
      <c r="AU58" s="141">
        <v>90.650250976668971</v>
      </c>
    </row>
    <row r="59" spans="1:47">
      <c r="A59" s="78">
        <v>2009</v>
      </c>
      <c r="B59" s="78">
        <v>7</v>
      </c>
      <c r="C59" s="317">
        <f t="shared" si="18"/>
        <v>322.31916585708109</v>
      </c>
      <c r="D59" s="318">
        <f t="shared" si="30"/>
        <v>0.16392960109808263</v>
      </c>
      <c r="E59" s="104">
        <f>$D59*'MWh Impact Summary'!B$15</f>
        <v>116291.50083406898</v>
      </c>
      <c r="F59" s="320">
        <f>$D59*'MWh Impact Summary'!N$15</f>
        <v>2798.2902802669323</v>
      </c>
      <c r="G59" s="320">
        <f>$D59*'MWh Impact Summary'!C$15</f>
        <v>91857.492244211491</v>
      </c>
      <c r="H59" s="320">
        <f>$D59*'MWh Impact Summary'!D$15</f>
        <v>0</v>
      </c>
      <c r="I59" s="320">
        <f>$D59*'MWh Impact Summary'!E$15</f>
        <v>42877.74352062244</v>
      </c>
      <c r="J59" s="104">
        <f t="shared" si="11"/>
        <v>253825.02687916983</v>
      </c>
      <c r="K59" s="298">
        <f t="shared" si="19"/>
        <v>10.366666666666667</v>
      </c>
      <c r="L59" s="299">
        <f t="shared" si="31"/>
        <v>7.2978998005397158E-2</v>
      </c>
      <c r="M59" s="297">
        <f t="shared" si="32"/>
        <v>8.4931506849315067E-2</v>
      </c>
      <c r="N59" s="304">
        <f>$M59*'MWh Impact Summary'!F$15</f>
        <v>25209.25095135537</v>
      </c>
      <c r="O59" s="304">
        <f>$M59*'MWh Impact Summary'!G$15</f>
        <v>0</v>
      </c>
      <c r="P59" s="304">
        <f>$M59*'MWh Impact Summary'!H$15</f>
        <v>0</v>
      </c>
      <c r="Q59" s="304">
        <f>$M59*'MWh Impact Summary'!I$15</f>
        <v>464.68437474064666</v>
      </c>
      <c r="R59" s="304">
        <f>$M59*'MWh Impact Summary'!J$15</f>
        <v>2901.5041676750739</v>
      </c>
      <c r="S59" s="304">
        <f>$M59*'MWh Impact Summary'!K$15</f>
        <v>0</v>
      </c>
      <c r="T59" s="304">
        <f>$M59*'MWh Impact Summary'!L$15</f>
        <v>0</v>
      </c>
      <c r="U59" s="304">
        <f>$M59*'MWh Impact Summary'!M$15</f>
        <v>0</v>
      </c>
      <c r="V59" s="304">
        <f>$M59*'LED Impact Forecast'!$H$16+$D59*'LED Impact Forecast'!$J$16</f>
        <v>0</v>
      </c>
      <c r="W59" s="304">
        <f>$M59*'CFL Impact Forecast'!$H$16+$D59*'CFL Impact Forecast'!$J$16</f>
        <v>177271.99507171704</v>
      </c>
      <c r="X59" s="304">
        <f>$M59*'EISA Incand Impact Forecast'!$G$16+$D59*'EISA Incand Impact Forecast'!$I$16</f>
        <v>0</v>
      </c>
      <c r="Y59" s="85">
        <f t="shared" si="2"/>
        <v>205847.43456548813</v>
      </c>
      <c r="Z59" s="81">
        <f t="shared" si="3"/>
        <v>459672.46144465799</v>
      </c>
      <c r="AA59" s="81"/>
      <c r="AB59" s="81">
        <f>+'MWh by mo-WgtbyActulCDH&amp;Days'!AB59</f>
        <v>4498393</v>
      </c>
      <c r="AC59" s="308">
        <f t="shared" si="12"/>
        <v>102.18592760673822</v>
      </c>
      <c r="AD59" s="309">
        <f t="shared" si="4"/>
        <v>56.425711777332445</v>
      </c>
      <c r="AE59" s="107">
        <f t="shared" si="5"/>
        <v>5.4429947052089178E-3</v>
      </c>
      <c r="AF59" s="309">
        <f t="shared" si="13"/>
        <v>45.760215829405773</v>
      </c>
      <c r="AG59" s="107">
        <f t="shared" si="6"/>
        <v>4.4141687295246729E-3</v>
      </c>
      <c r="AH59" s="119">
        <f t="shared" si="14"/>
        <v>9.8571634347335915E-3</v>
      </c>
      <c r="AI59" s="122">
        <f t="shared" si="7"/>
        <v>9.8571634347335898E-3</v>
      </c>
      <c r="AJ59" s="87" t="b">
        <f t="shared" si="15"/>
        <v>1</v>
      </c>
      <c r="AK59" s="88">
        <f t="shared" si="22"/>
        <v>1.8959866022357861E-3</v>
      </c>
      <c r="AL59" s="312">
        <f>+AC59/'MWh by month-WgtbyCDH&amp;DayLtHrs'!AC59-1</f>
        <v>0.11247038746641747</v>
      </c>
      <c r="AM59" s="89">
        <f t="shared" si="9"/>
        <v>177271.99507171704</v>
      </c>
      <c r="AN59" s="93"/>
      <c r="AO59" s="96">
        <f t="shared" si="29"/>
        <v>39.407849663583654</v>
      </c>
      <c r="AP59" s="92">
        <f t="shared" si="28"/>
        <v>3.8014002890916707E-3</v>
      </c>
      <c r="AR59" s="94">
        <f t="shared" si="10"/>
        <v>9.8571634347335898E-3</v>
      </c>
      <c r="AS59" s="95">
        <v>431665.33151051996</v>
      </c>
      <c r="AU59" s="141">
        <v>102.18592760673822</v>
      </c>
    </row>
    <row r="60" spans="1:47">
      <c r="A60" s="78">
        <v>2009</v>
      </c>
      <c r="B60" s="78">
        <v>8</v>
      </c>
      <c r="C60" s="317">
        <f t="shared" si="18"/>
        <v>326.45437890907908</v>
      </c>
      <c r="D60" s="318">
        <f t="shared" si="30"/>
        <v>0.16603274573816959</v>
      </c>
      <c r="E60" s="104">
        <f>$D60*'MWh Impact Summary'!B$15</f>
        <v>117783.46961230387</v>
      </c>
      <c r="F60" s="320">
        <f>$D60*'MWh Impact Summary'!N$15</f>
        <v>2834.1911130935159</v>
      </c>
      <c r="G60" s="320">
        <f>$D60*'MWh Impact Summary'!C$15</f>
        <v>93035.983445136546</v>
      </c>
      <c r="H60" s="320">
        <f>$D60*'MWh Impact Summary'!D$15</f>
        <v>0</v>
      </c>
      <c r="I60" s="320">
        <f>$D60*'MWh Impact Summary'!E$15</f>
        <v>43427.846100390598</v>
      </c>
      <c r="J60" s="104">
        <f t="shared" si="11"/>
        <v>257081.49027092452</v>
      </c>
      <c r="K60" s="298">
        <f t="shared" si="19"/>
        <v>10.933333333333334</v>
      </c>
      <c r="L60" s="299">
        <f t="shared" si="31"/>
        <v>7.6968203684148764E-2</v>
      </c>
      <c r="M60" s="297">
        <f t="shared" si="32"/>
        <v>8.4931506849315067E-2</v>
      </c>
      <c r="N60" s="304">
        <f>$M60*'MWh Impact Summary'!F$15</f>
        <v>25209.25095135537</v>
      </c>
      <c r="O60" s="304">
        <f>$M60*'MWh Impact Summary'!G$15</f>
        <v>0</v>
      </c>
      <c r="P60" s="304">
        <f>$M60*'MWh Impact Summary'!H$15</f>
        <v>0</v>
      </c>
      <c r="Q60" s="304">
        <f>$M60*'MWh Impact Summary'!I$15</f>
        <v>464.68437474064666</v>
      </c>
      <c r="R60" s="304">
        <f>$M60*'MWh Impact Summary'!J$15</f>
        <v>2901.5041676750739</v>
      </c>
      <c r="S60" s="304">
        <f>$M60*'MWh Impact Summary'!K$15</f>
        <v>0</v>
      </c>
      <c r="T60" s="304">
        <f>$M60*'MWh Impact Summary'!L$15</f>
        <v>0</v>
      </c>
      <c r="U60" s="304">
        <f>$M60*'MWh Impact Summary'!M$15</f>
        <v>0</v>
      </c>
      <c r="V60" s="304">
        <f>$M60*'LED Impact Forecast'!$H$16+$D60*'LED Impact Forecast'!$J$16</f>
        <v>0</v>
      </c>
      <c r="W60" s="304">
        <f>$M60*'CFL Impact Forecast'!$H$16+$D60*'CFL Impact Forecast'!$J$16</f>
        <v>177827.02366147641</v>
      </c>
      <c r="X60" s="304">
        <f>$M60*'EISA Incand Impact Forecast'!$G$16+$D60*'EISA Incand Impact Forecast'!$I$16</f>
        <v>0</v>
      </c>
      <c r="Y60" s="85">
        <f t="shared" si="2"/>
        <v>206402.4631552475</v>
      </c>
      <c r="Z60" s="81">
        <f t="shared" si="3"/>
        <v>463483.95342617203</v>
      </c>
      <c r="AA60" s="81"/>
      <c r="AB60" s="81">
        <f>+'MWh by mo-WgtbyActulCDH&amp;Days'!AB60</f>
        <v>4498960</v>
      </c>
      <c r="AC60" s="308">
        <f t="shared" si="12"/>
        <v>103.02024321758185</v>
      </c>
      <c r="AD60" s="309">
        <f t="shared" si="4"/>
        <v>57.142426309841497</v>
      </c>
      <c r="AE60" s="107">
        <f t="shared" si="5"/>
        <v>5.2264414307781858E-3</v>
      </c>
      <c r="AF60" s="309">
        <f t="shared" si="13"/>
        <v>45.877816907740346</v>
      </c>
      <c r="AG60" s="107">
        <f t="shared" si="6"/>
        <v>4.1961417903421047E-3</v>
      </c>
      <c r="AH60" s="119">
        <f t="shared" si="14"/>
        <v>9.4225832211202905E-3</v>
      </c>
      <c r="AI60" s="122">
        <f t="shared" si="7"/>
        <v>9.4225832211202905E-3</v>
      </c>
      <c r="AJ60" s="87" t="b">
        <f t="shared" si="15"/>
        <v>1</v>
      </c>
      <c r="AK60" s="88">
        <f t="shared" si="22"/>
        <v>1.8072457000507178E-3</v>
      </c>
      <c r="AL60" s="312">
        <f>+AC60/'MWh by month-WgtbyCDH&amp;DayLtHrs'!AC60-1</f>
        <v>9.0582682205119225E-2</v>
      </c>
      <c r="AM60" s="89">
        <f t="shared" si="9"/>
        <v>177827.02366147641</v>
      </c>
      <c r="AN60" s="93"/>
      <c r="AO60" s="96">
        <f t="shared" si="29"/>
        <v>39.526251325078775</v>
      </c>
      <c r="AP60" s="92">
        <f t="shared" si="28"/>
        <v>3.6152059138791562E-3</v>
      </c>
      <c r="AR60" s="94">
        <f t="shared" si="10"/>
        <v>9.4225832211202905E-3</v>
      </c>
      <c r="AS60" s="95">
        <v>448779.68352140411</v>
      </c>
      <c r="AU60" s="141">
        <v>103.02024321758185</v>
      </c>
    </row>
    <row r="61" spans="1:47">
      <c r="A61" s="78">
        <v>2009</v>
      </c>
      <c r="B61" s="78">
        <v>9</v>
      </c>
      <c r="C61" s="317">
        <f t="shared" si="18"/>
        <v>277.87653293728147</v>
      </c>
      <c r="D61" s="318">
        <f t="shared" si="30"/>
        <v>0.14132634365008559</v>
      </c>
      <c r="E61" s="104">
        <f>$D61*'MWh Impact Summary'!B$15</f>
        <v>100256.77181161687</v>
      </c>
      <c r="F61" s="320">
        <f>$D61*'MWh Impact Summary'!N$15</f>
        <v>2412.4510224671335</v>
      </c>
      <c r="G61" s="320">
        <f>$D61*'MWh Impact Summary'!C$15</f>
        <v>79191.820322756495</v>
      </c>
      <c r="H61" s="320">
        <f>$D61*'MWh Impact Summary'!D$15</f>
        <v>0</v>
      </c>
      <c r="I61" s="320">
        <f>$D61*'MWh Impact Summary'!E$15</f>
        <v>36965.591785403267</v>
      </c>
      <c r="J61" s="104">
        <f t="shared" si="11"/>
        <v>218826.63494224375</v>
      </c>
      <c r="K61" s="298">
        <f t="shared" si="19"/>
        <v>11.683333333333334</v>
      </c>
      <c r="L61" s="299">
        <f t="shared" si="31"/>
        <v>8.2248034729555317E-2</v>
      </c>
      <c r="M61" s="297">
        <f>(30/365)</f>
        <v>8.2191780821917804E-2</v>
      </c>
      <c r="N61" s="304">
        <f>$M61*'MWh Impact Summary'!F$15</f>
        <v>24396.04930776326</v>
      </c>
      <c r="O61" s="304">
        <f>$M61*'MWh Impact Summary'!G$15</f>
        <v>0</v>
      </c>
      <c r="P61" s="304">
        <f>$M61*'MWh Impact Summary'!H$15</f>
        <v>0</v>
      </c>
      <c r="Q61" s="304">
        <f>$M61*'MWh Impact Summary'!I$15</f>
        <v>449.69455620062581</v>
      </c>
      <c r="R61" s="304">
        <f>$M61*'MWh Impact Summary'!J$15</f>
        <v>2807.9072590403939</v>
      </c>
      <c r="S61" s="304">
        <f>$M61*'MWh Impact Summary'!K$15</f>
        <v>0</v>
      </c>
      <c r="T61" s="304">
        <f>$M61*'MWh Impact Summary'!L$15</f>
        <v>0</v>
      </c>
      <c r="U61" s="304">
        <f>$M61*'MWh Impact Summary'!M$15</f>
        <v>0</v>
      </c>
      <c r="V61" s="304">
        <f>$M61*'LED Impact Forecast'!$H$16+$D61*'LED Impact Forecast'!$J$16</f>
        <v>0</v>
      </c>
      <c r="W61" s="304">
        <f>$M61*'CFL Impact Forecast'!$H$16+$D61*'CFL Impact Forecast'!$J$16</f>
        <v>166983.9890216846</v>
      </c>
      <c r="X61" s="304">
        <f>$M61*'EISA Incand Impact Forecast'!$G$16+$D61*'EISA Incand Impact Forecast'!$I$16</f>
        <v>0</v>
      </c>
      <c r="Y61" s="85">
        <f t="shared" si="2"/>
        <v>194637.64014468889</v>
      </c>
      <c r="Z61" s="81">
        <f t="shared" si="3"/>
        <v>413464.27508693264</v>
      </c>
      <c r="AA61" s="81"/>
      <c r="AB61" s="81">
        <f>+'MWh by mo-WgtbyActulCDH&amp;Days'!AB61</f>
        <v>4495923</v>
      </c>
      <c r="AC61" s="308">
        <f t="shared" si="12"/>
        <v>91.964269647619105</v>
      </c>
      <c r="AD61" s="309">
        <f t="shared" si="4"/>
        <v>48.672238146036698</v>
      </c>
      <c r="AE61" s="107">
        <f t="shared" si="5"/>
        <v>4.1659547628562074E-3</v>
      </c>
      <c r="AF61" s="309">
        <f t="shared" si="13"/>
        <v>43.292031501582414</v>
      </c>
      <c r="AG61" s="107">
        <f t="shared" si="6"/>
        <v>3.7054520543437159E-3</v>
      </c>
      <c r="AH61" s="119">
        <f t="shared" si="14"/>
        <v>7.8714068171999232E-3</v>
      </c>
      <c r="AI61" s="122">
        <f t="shared" si="7"/>
        <v>7.8714068171999232E-3</v>
      </c>
      <c r="AJ61" s="87" t="b">
        <f t="shared" si="15"/>
        <v>1</v>
      </c>
      <c r="AK61" s="88">
        <f t="shared" si="22"/>
        <v>1.5113909211812611E-3</v>
      </c>
      <c r="AL61" s="312">
        <f>+AC61/'MWh by month-WgtbyCDH&amp;DayLtHrs'!AC61-1</f>
        <v>3.8792407708811094E-2</v>
      </c>
      <c r="AM61" s="89">
        <f t="shared" si="9"/>
        <v>166983.9890216846</v>
      </c>
      <c r="AN61" s="93"/>
      <c r="AO61" s="96">
        <f t="shared" si="29"/>
        <v>37.141203045889483</v>
      </c>
      <c r="AP61" s="92">
        <f t="shared" si="28"/>
        <v>3.178990274969143E-3</v>
      </c>
      <c r="AR61" s="94">
        <f t="shared" si="10"/>
        <v>7.8714068171999232E-3</v>
      </c>
      <c r="AS61" s="95">
        <v>424214.99137736217</v>
      </c>
      <c r="AU61" s="141">
        <v>91.964269647619105</v>
      </c>
    </row>
    <row r="62" spans="1:47">
      <c r="A62" s="78">
        <v>2009</v>
      </c>
      <c r="B62" s="78">
        <v>10</v>
      </c>
      <c r="C62" s="317">
        <f t="shared" si="18"/>
        <v>198.89039579254836</v>
      </c>
      <c r="D62" s="318">
        <f t="shared" si="30"/>
        <v>0.10115446643644242</v>
      </c>
      <c r="E62" s="104">
        <f>$D62*'MWh Impact Summary'!B$15</f>
        <v>71758.880880366734</v>
      </c>
      <c r="F62" s="320">
        <f>$D62*'MWh Impact Summary'!N$15</f>
        <v>1726.7141403298101</v>
      </c>
      <c r="G62" s="320">
        <f>$D62*'MWh Impact Summary'!C$15</f>
        <v>56681.621585801207</v>
      </c>
      <c r="H62" s="320">
        <f>$D62*'MWh Impact Summary'!D$15</f>
        <v>0</v>
      </c>
      <c r="I62" s="320">
        <f>$D62*'MWh Impact Summary'!E$15</f>
        <v>26458.157884689193</v>
      </c>
      <c r="J62" s="104">
        <f t="shared" si="11"/>
        <v>156625.37449118696</v>
      </c>
      <c r="K62" s="298">
        <f t="shared" si="19"/>
        <v>12.466666666666667</v>
      </c>
      <c r="L62" s="299">
        <f t="shared" si="31"/>
        <v>8.7762524932535488E-2</v>
      </c>
      <c r="M62" s="297">
        <f t="shared" si="32"/>
        <v>8.4931506849315067E-2</v>
      </c>
      <c r="N62" s="304">
        <f>$M62*'MWh Impact Summary'!F$15</f>
        <v>25209.25095135537</v>
      </c>
      <c r="O62" s="304">
        <f>$M62*'MWh Impact Summary'!G$15</f>
        <v>0</v>
      </c>
      <c r="P62" s="304">
        <f>$M62*'MWh Impact Summary'!H$15</f>
        <v>0</v>
      </c>
      <c r="Q62" s="304">
        <f>$M62*'MWh Impact Summary'!I$15</f>
        <v>464.68437474064666</v>
      </c>
      <c r="R62" s="304">
        <f>$M62*'MWh Impact Summary'!J$15</f>
        <v>2901.5041676750739</v>
      </c>
      <c r="S62" s="304">
        <f>$M62*'MWh Impact Summary'!K$15</f>
        <v>0</v>
      </c>
      <c r="T62" s="304">
        <f>$M62*'MWh Impact Summary'!L$15</f>
        <v>0</v>
      </c>
      <c r="U62" s="304">
        <f>$M62*'MWh Impact Summary'!M$15</f>
        <v>0</v>
      </c>
      <c r="V62" s="304">
        <f>$M62*'LED Impact Forecast'!$H$16+$D62*'LED Impact Forecast'!$J$16</f>
        <v>0</v>
      </c>
      <c r="W62" s="304">
        <f>$M62*'CFL Impact Forecast'!$H$16+$D62*'CFL Impact Forecast'!$J$16</f>
        <v>160705.37678065913</v>
      </c>
      <c r="X62" s="304">
        <f>$M62*'EISA Incand Impact Forecast'!$G$16+$D62*'EISA Incand Impact Forecast'!$I$16</f>
        <v>0</v>
      </c>
      <c r="Y62" s="85">
        <f t="shared" si="2"/>
        <v>189280.81627443022</v>
      </c>
      <c r="Z62" s="81">
        <f t="shared" si="3"/>
        <v>345906.19076561718</v>
      </c>
      <c r="AA62" s="81"/>
      <c r="AB62" s="81">
        <f>+'MWh by mo-WgtbyActulCDH&amp;Days'!AB62</f>
        <v>4495215</v>
      </c>
      <c r="AC62" s="308">
        <f t="shared" si="12"/>
        <v>76.94986574960646</v>
      </c>
      <c r="AD62" s="309">
        <f t="shared" si="4"/>
        <v>34.842688167570842</v>
      </c>
      <c r="AE62" s="107">
        <f t="shared" si="5"/>
        <v>2.7948680348318855E-3</v>
      </c>
      <c r="AF62" s="309">
        <f t="shared" si="13"/>
        <v>42.107177582035611</v>
      </c>
      <c r="AG62" s="107">
        <f t="shared" si="6"/>
        <v>3.3775810894680972E-3</v>
      </c>
      <c r="AH62" s="119">
        <f t="shared" si="14"/>
        <v>6.1724491242999826E-3</v>
      </c>
      <c r="AI62" s="122">
        <f t="shared" si="7"/>
        <v>6.1724491242999826E-3</v>
      </c>
      <c r="AJ62" s="87" t="b">
        <f t="shared" si="15"/>
        <v>1</v>
      </c>
      <c r="AK62" s="88">
        <f t="shared" si="22"/>
        <v>1.1923172940372416E-3</v>
      </c>
      <c r="AL62" s="312">
        <f>+AC62/'MWh by month-WgtbyCDH&amp;DayLtHrs'!AC62-1</f>
        <v>-4.918436316923791E-3</v>
      </c>
      <c r="AM62" s="89">
        <f t="shared" si="9"/>
        <v>160705.37678065913</v>
      </c>
      <c r="AN62" s="93"/>
      <c r="AO62" s="96">
        <f t="shared" si="29"/>
        <v>35.750320458678651</v>
      </c>
      <c r="AP62" s="92">
        <f t="shared" si="28"/>
        <v>2.8676727640651323E-3</v>
      </c>
      <c r="AR62" s="94">
        <f t="shared" si="10"/>
        <v>6.1724491242999826E-3</v>
      </c>
      <c r="AS62" s="95">
        <v>341701.86044827267</v>
      </c>
      <c r="AU62" s="141">
        <v>76.94986574960646</v>
      </c>
    </row>
    <row r="63" spans="1:47">
      <c r="A63" s="78">
        <v>2009</v>
      </c>
      <c r="B63" s="78">
        <v>11</v>
      </c>
      <c r="C63" s="317">
        <f t="shared" si="18"/>
        <v>78.117279066674627</v>
      </c>
      <c r="D63" s="318">
        <f t="shared" si="30"/>
        <v>3.9729981188725644E-2</v>
      </c>
      <c r="E63" s="104">
        <f>$D63*'MWh Impact Summary'!B$15</f>
        <v>28184.410317584021</v>
      </c>
      <c r="F63" s="320">
        <f>$D63*'MWh Impact Summary'!N$15</f>
        <v>678.1936846724833</v>
      </c>
      <c r="G63" s="320">
        <f>$D63*'MWh Impact Summary'!C$15</f>
        <v>22262.583538664636</v>
      </c>
      <c r="H63" s="320">
        <f>$D63*'MWh Impact Summary'!D$15</f>
        <v>0</v>
      </c>
      <c r="I63" s="320">
        <f>$D63*'MWh Impact Summary'!E$15</f>
        <v>10391.850721762401</v>
      </c>
      <c r="J63" s="104">
        <f t="shared" si="11"/>
        <v>61517.038262683534</v>
      </c>
      <c r="K63" s="298">
        <f t="shared" si="19"/>
        <v>13.15</v>
      </c>
      <c r="L63" s="299">
        <f t="shared" si="31"/>
        <v>9.2573037662794788E-2</v>
      </c>
      <c r="M63" s="297">
        <f>(30/365)</f>
        <v>8.2191780821917804E-2</v>
      </c>
      <c r="N63" s="304">
        <f>$M63*'MWh Impact Summary'!F$15</f>
        <v>24396.04930776326</v>
      </c>
      <c r="O63" s="304">
        <f>$M63*'MWh Impact Summary'!G$15</f>
        <v>0</v>
      </c>
      <c r="P63" s="304">
        <f>$M63*'MWh Impact Summary'!H$15</f>
        <v>0</v>
      </c>
      <c r="Q63" s="304">
        <f>$M63*'MWh Impact Summary'!I$15</f>
        <v>449.69455620062581</v>
      </c>
      <c r="R63" s="304">
        <f>$M63*'MWh Impact Summary'!J$15</f>
        <v>2807.9072590403939</v>
      </c>
      <c r="S63" s="304">
        <f>$M63*'MWh Impact Summary'!K$15</f>
        <v>0</v>
      </c>
      <c r="T63" s="304">
        <f>$M63*'MWh Impact Summary'!L$15</f>
        <v>0</v>
      </c>
      <c r="U63" s="304">
        <f>$M63*'MWh Impact Summary'!M$15</f>
        <v>0</v>
      </c>
      <c r="V63" s="304">
        <f>$M63*'LED Impact Forecast'!$H$16+$D63*'LED Impact Forecast'!$J$16</f>
        <v>0</v>
      </c>
      <c r="W63" s="304">
        <f>$M63*'CFL Impact Forecast'!$H$16+$D63*'CFL Impact Forecast'!$J$16</f>
        <v>140172.28776880293</v>
      </c>
      <c r="X63" s="304">
        <f>$M63*'EISA Incand Impact Forecast'!$G$16+$D63*'EISA Incand Impact Forecast'!$I$16</f>
        <v>0</v>
      </c>
      <c r="Y63" s="85">
        <f t="shared" si="2"/>
        <v>167825.93889180722</v>
      </c>
      <c r="Z63" s="81">
        <f t="shared" si="3"/>
        <v>229342.97715449077</v>
      </c>
      <c r="AA63" s="81"/>
      <c r="AB63" s="81">
        <f>+'MWh by mo-WgtbyActulCDH&amp;Days'!AB63</f>
        <v>4498782</v>
      </c>
      <c r="AC63" s="308">
        <f t="shared" si="12"/>
        <v>50.978904324435099</v>
      </c>
      <c r="AD63" s="309">
        <f t="shared" si="4"/>
        <v>13.674154084968672</v>
      </c>
      <c r="AE63" s="107">
        <f t="shared" si="5"/>
        <v>1.039859626233359E-3</v>
      </c>
      <c r="AF63" s="309">
        <f t="shared" si="13"/>
        <v>37.304750239466422</v>
      </c>
      <c r="AG63" s="107">
        <f t="shared" si="6"/>
        <v>2.8368631360810967E-3</v>
      </c>
      <c r="AH63" s="119">
        <f t="shared" si="14"/>
        <v>3.8767227623144555E-3</v>
      </c>
      <c r="AI63" s="122">
        <f t="shared" si="7"/>
        <v>3.8767227623144559E-3</v>
      </c>
      <c r="AJ63" s="87" t="b">
        <f t="shared" si="15"/>
        <v>1</v>
      </c>
      <c r="AK63" s="88">
        <f t="shared" si="22"/>
        <v>7.560217633682813E-4</v>
      </c>
      <c r="AL63" s="312">
        <f>+AC63/'MWh by month-WgtbyCDH&amp;DayLtHrs'!AC63-1</f>
        <v>-0.12729414038726927</v>
      </c>
      <c r="AM63" s="89">
        <f t="shared" si="9"/>
        <v>140172.28776880293</v>
      </c>
      <c r="AN63" s="93"/>
      <c r="AO63" s="96">
        <f t="shared" si="29"/>
        <v>31.157830668123708</v>
      </c>
      <c r="AP63" s="92">
        <f t="shared" si="28"/>
        <v>2.3694167808459093E-3</v>
      </c>
      <c r="AR63" s="94">
        <f t="shared" si="10"/>
        <v>3.8767227623144559E-3</v>
      </c>
      <c r="AS63" s="95">
        <v>263250.27865551104</v>
      </c>
      <c r="AU63" s="141">
        <v>50.978904324435099</v>
      </c>
    </row>
    <row r="64" spans="1:47">
      <c r="A64" s="78">
        <v>2009</v>
      </c>
      <c r="B64" s="78">
        <v>12</v>
      </c>
      <c r="C64" s="317">
        <f t="shared" si="18"/>
        <v>42.633806123140985</v>
      </c>
      <c r="D64" s="318">
        <f t="shared" si="30"/>
        <v>2.1683298951445065E-2</v>
      </c>
      <c r="E64" s="104">
        <f>$D64*'MWh Impact Summary'!B$15</f>
        <v>15382.111352717944</v>
      </c>
      <c r="F64" s="320">
        <f>$D64*'MWh Impact Summary'!N$15</f>
        <v>370.13549897951026</v>
      </c>
      <c r="G64" s="320">
        <f>$D64*'MWh Impact Summary'!C$15</f>
        <v>12150.175757882575</v>
      </c>
      <c r="H64" s="320">
        <f>$D64*'MWh Impact Summary'!D$15</f>
        <v>0</v>
      </c>
      <c r="I64" s="320">
        <f>$D64*'MWh Impact Summary'!E$15</f>
        <v>5671.5256115627635</v>
      </c>
      <c r="J64" s="104">
        <f t="shared" si="11"/>
        <v>33573.948221142797</v>
      </c>
      <c r="K64" s="298">
        <f t="shared" si="19"/>
        <v>13.483333333333333</v>
      </c>
      <c r="L64" s="299">
        <f t="shared" si="31"/>
        <v>9.491962923853102E-2</v>
      </c>
      <c r="M64" s="297">
        <f t="shared" si="32"/>
        <v>8.4931506849315067E-2</v>
      </c>
      <c r="N64" s="304">
        <f>$M64*'MWh Impact Summary'!F$15</f>
        <v>25209.25095135537</v>
      </c>
      <c r="O64" s="304">
        <f>$M64*'MWh Impact Summary'!G$15</f>
        <v>0</v>
      </c>
      <c r="P64" s="304">
        <f>$M64*'MWh Impact Summary'!H$15</f>
        <v>0</v>
      </c>
      <c r="Q64" s="304">
        <f>$M64*'MWh Impact Summary'!I$15</f>
        <v>464.68437474064666</v>
      </c>
      <c r="R64" s="304">
        <f>$M64*'MWh Impact Summary'!J$15</f>
        <v>2901.5041676750739</v>
      </c>
      <c r="S64" s="304">
        <f>$M64*'MWh Impact Summary'!K$15</f>
        <v>0</v>
      </c>
      <c r="T64" s="304">
        <f>$M64*'MWh Impact Summary'!L$15</f>
        <v>0</v>
      </c>
      <c r="U64" s="304">
        <f>$M64*'MWh Impact Summary'!M$15</f>
        <v>0</v>
      </c>
      <c r="V64" s="304">
        <f>$M64*'LED Impact Forecast'!$H$16+$D64*'LED Impact Forecast'!$J$16</f>
        <v>0</v>
      </c>
      <c r="W64" s="304">
        <f>$M64*'CFL Impact Forecast'!$H$16+$D64*'CFL Impact Forecast'!$J$16</f>
        <v>139732.60620891879</v>
      </c>
      <c r="X64" s="304">
        <f>$M64*'EISA Incand Impact Forecast'!$G$16+$D64*'EISA Incand Impact Forecast'!$I$16</f>
        <v>0</v>
      </c>
      <c r="Y64" s="85">
        <f t="shared" si="2"/>
        <v>168308.04570268988</v>
      </c>
      <c r="Z64" s="81">
        <f t="shared" si="3"/>
        <v>201881.99392383266</v>
      </c>
      <c r="AA64" s="81">
        <f>SUM(Z53:Z64)</f>
        <v>3726598.2747323085</v>
      </c>
      <c r="AB64" s="81">
        <f>+'MWh by mo-WgtbyActulCDH&amp;Days'!AB64</f>
        <v>4498596</v>
      </c>
      <c r="AC64" s="308">
        <f t="shared" si="12"/>
        <v>44.876666836460231</v>
      </c>
      <c r="AD64" s="309">
        <f t="shared" si="4"/>
        <v>7.4632059027178252</v>
      </c>
      <c r="AE64" s="107">
        <f t="shared" si="5"/>
        <v>5.5351341676522817E-4</v>
      </c>
      <c r="AF64" s="309">
        <f t="shared" si="13"/>
        <v>37.413460933742414</v>
      </c>
      <c r="AG64" s="107">
        <f t="shared" si="6"/>
        <v>2.774793147125519E-3</v>
      </c>
      <c r="AH64" s="119">
        <f t="shared" si="14"/>
        <v>3.3283065638907471E-3</v>
      </c>
      <c r="AI64" s="122">
        <f t="shared" si="7"/>
        <v>3.3283065638907467E-3</v>
      </c>
      <c r="AJ64" s="87" t="b">
        <f t="shared" si="15"/>
        <v>1</v>
      </c>
      <c r="AK64" s="88">
        <f t="shared" si="22"/>
        <v>6.5403834681364726E-4</v>
      </c>
      <c r="AL64" s="312">
        <f>+AC64/'MWh by month-WgtbyCDH&amp;DayLtHrs'!AC64-1</f>
        <v>-0.15837115406155811</v>
      </c>
      <c r="AM64" s="89">
        <f t="shared" si="9"/>
        <v>139732.60620891879</v>
      </c>
      <c r="AN64" s="90">
        <f>SUM(AM53:AM64)</f>
        <v>1841767.2815556726</v>
      </c>
      <c r="AO64" s="96">
        <f t="shared" si="29"/>
        <v>31.06138141965155</v>
      </c>
      <c r="AP64" s="92">
        <f t="shared" si="28"/>
        <v>2.3036871263029581E-3</v>
      </c>
      <c r="AR64" s="94">
        <f t="shared" si="10"/>
        <v>3.3283065638907467E-3</v>
      </c>
      <c r="AS64" s="95">
        <v>217032.35405401044</v>
      </c>
      <c r="AU64" s="141">
        <v>44.876666836460231</v>
      </c>
    </row>
    <row r="65" spans="1:47">
      <c r="A65" s="78">
        <v>2010</v>
      </c>
      <c r="B65" s="78">
        <v>1</v>
      </c>
      <c r="C65" s="317">
        <f t="shared" si="18"/>
        <v>26.112829868525239</v>
      </c>
      <c r="D65" s="318">
        <f t="shared" ref="D65:D76" si="33">C65/(SUM(C$65:C$76))</f>
        <v>1.3280829182176284E-2</v>
      </c>
      <c r="E65" s="321">
        <f>$D65*'MWh Impact Summary'!B$16</f>
        <v>11276.83718231107</v>
      </c>
      <c r="F65" s="319">
        <f>$D65*'MWh Impact Summary'!N$16</f>
        <v>361.86339608289092</v>
      </c>
      <c r="G65" s="319">
        <f>$D65*'MWh Impact Summary'!C$16</f>
        <v>9243.3471774785758</v>
      </c>
      <c r="H65" s="319">
        <f>$D65*'MWh Impact Summary'!D$16</f>
        <v>9.4280314446040983</v>
      </c>
      <c r="I65" s="319">
        <f>$D65*'MWh Impact Summary'!E$16</f>
        <v>4114.6960906210679</v>
      </c>
      <c r="J65" s="104">
        <f t="shared" si="11"/>
        <v>25006.171877938206</v>
      </c>
      <c r="K65" s="298">
        <f t="shared" si="19"/>
        <v>13.3</v>
      </c>
      <c r="L65" s="299">
        <f t="shared" ref="L65:L76" si="34">K65/(SUM(K$65:K$76))</f>
        <v>9.3629003871876101E-2</v>
      </c>
      <c r="M65" s="297">
        <f>(31/365)</f>
        <v>8.4931506849315067E-2</v>
      </c>
      <c r="N65" s="304">
        <f>$M65*'MWh Impact Summary'!F$16</f>
        <v>32751.921227896411</v>
      </c>
      <c r="O65" s="304">
        <f>$M65*'MWh Impact Summary'!G$16</f>
        <v>0</v>
      </c>
      <c r="P65" s="304">
        <f>$M65*'MWh Impact Summary'!H$16</f>
        <v>629.02008129806632</v>
      </c>
      <c r="Q65" s="304">
        <f>$M65*'MWh Impact Summary'!I$16</f>
        <v>580.85546842580834</v>
      </c>
      <c r="R65" s="304">
        <f>$M65*'MWh Impact Summary'!J$16</f>
        <v>5891.6079990401058</v>
      </c>
      <c r="S65" s="304">
        <f>$M65*'MWh Impact Summary'!K$16</f>
        <v>0</v>
      </c>
      <c r="T65" s="304">
        <f>$M65*'MWh Impact Summary'!L$16</f>
        <v>0</v>
      </c>
      <c r="U65" s="304">
        <f>$M65*'MWh Impact Summary'!M$16</f>
        <v>0</v>
      </c>
      <c r="V65" s="304">
        <f>$M65*'LED Impact Forecast'!$H$17+$D65*'LED Impact Forecast'!$J$17</f>
        <v>0</v>
      </c>
      <c r="W65" s="304">
        <f>$M65*'CFL Impact Forecast'!$H$17+$D65*'CFL Impact Forecast'!$J$17</f>
        <v>159877.35802177308</v>
      </c>
      <c r="X65" s="304">
        <f>$M65*'EISA Incand Impact Forecast'!$G$17+$D65*'EISA Incand Impact Forecast'!$I$17</f>
        <v>0</v>
      </c>
      <c r="Y65" s="85">
        <f t="shared" si="2"/>
        <v>199730.76279843348</v>
      </c>
      <c r="Z65" s="81">
        <f t="shared" si="3"/>
        <v>224736.93467637169</v>
      </c>
      <c r="AA65" s="81"/>
      <c r="AB65" s="81">
        <f>+'MWh by mo-WgtbyActulCDH&amp;Days'!AB65</f>
        <v>4502130</v>
      </c>
      <c r="AC65" s="308">
        <f t="shared" si="12"/>
        <v>49.91791322693296</v>
      </c>
      <c r="AD65" s="309">
        <f t="shared" si="4"/>
        <v>5.5542980495761354</v>
      </c>
      <c r="AE65" s="107">
        <f t="shared" si="5"/>
        <v>4.1761639470497258E-4</v>
      </c>
      <c r="AF65" s="309">
        <f t="shared" si="13"/>
        <v>44.363615177356827</v>
      </c>
      <c r="AG65" s="107">
        <f t="shared" si="6"/>
        <v>3.3356101637110392E-3</v>
      </c>
      <c r="AH65" s="119">
        <f t="shared" si="14"/>
        <v>3.7532265584160119E-3</v>
      </c>
      <c r="AI65" s="122">
        <f t="shared" si="7"/>
        <v>3.7532265584160119E-3</v>
      </c>
      <c r="AJ65" s="87" t="b">
        <f t="shared" si="15"/>
        <v>1</v>
      </c>
      <c r="AK65" s="88">
        <f t="shared" si="22"/>
        <v>6.3298541016697241E-4</v>
      </c>
      <c r="AL65" s="312">
        <f>+AC65/'MWh by month-WgtbyCDH&amp;DayLtHrs'!AC65-1</f>
        <v>-0.16337320787233256</v>
      </c>
      <c r="AM65" s="89">
        <f t="shared" si="9"/>
        <v>159877.35802177308</v>
      </c>
      <c r="AN65" s="93"/>
      <c r="AO65" s="96">
        <f t="shared" si="29"/>
        <v>35.511493009258523</v>
      </c>
      <c r="AP65" s="92">
        <f t="shared" si="28"/>
        <v>2.6700370683653027E-3</v>
      </c>
      <c r="AR65" s="94">
        <f t="shared" si="10"/>
        <v>3.7532265584160119E-3</v>
      </c>
      <c r="AS65" s="95">
        <v>252377.30894529319</v>
      </c>
      <c r="AU65" s="141">
        <v>49.91791322693296</v>
      </c>
    </row>
    <row r="66" spans="1:47">
      <c r="A66" s="78">
        <v>2010</v>
      </c>
      <c r="B66" s="78">
        <v>2</v>
      </c>
      <c r="C66" s="317">
        <f t="shared" si="18"/>
        <v>35.042184420393127</v>
      </c>
      <c r="D66" s="318">
        <f t="shared" si="33"/>
        <v>1.7822245532205266E-2</v>
      </c>
      <c r="E66" s="321">
        <f>$D66*'MWh Impact Summary'!B$16</f>
        <v>15132.982913414449</v>
      </c>
      <c r="F66" s="319">
        <f>$D66*'MWh Impact Summary'!N$16</f>
        <v>485.60358736954379</v>
      </c>
      <c r="G66" s="319">
        <f>$D66*'MWh Impact Summary'!C$16</f>
        <v>12404.135365096594</v>
      </c>
      <c r="H66" s="319">
        <f>$D66*'MWh Impact Summary'!D$16</f>
        <v>12.651972929264938</v>
      </c>
      <c r="I66" s="319">
        <f>$D66*'MWh Impact Summary'!E$16</f>
        <v>5521.7278237319333</v>
      </c>
      <c r="J66" s="104">
        <f t="shared" si="11"/>
        <v>33557.101662541783</v>
      </c>
      <c r="K66" s="298">
        <f t="shared" si="19"/>
        <v>12.733333333333333</v>
      </c>
      <c r="L66" s="299">
        <f t="shared" si="34"/>
        <v>8.9639798193124468E-2</v>
      </c>
      <c r="M66" s="297">
        <f>(28/365)</f>
        <v>7.6712328767123292E-2</v>
      </c>
      <c r="N66" s="304">
        <f>$M66*'MWh Impact Summary'!F$16</f>
        <v>29582.38046390644</v>
      </c>
      <c r="O66" s="304">
        <f>$M66*'MWh Impact Summary'!G$16</f>
        <v>0</v>
      </c>
      <c r="P66" s="304">
        <f>$M66*'MWh Impact Summary'!H$16</f>
        <v>568.14717020470505</v>
      </c>
      <c r="Q66" s="304">
        <f>$M66*'MWh Impact Summary'!I$16</f>
        <v>524.64364890073023</v>
      </c>
      <c r="R66" s="304">
        <f>$M66*'MWh Impact Summary'!J$16</f>
        <v>5321.4523862297738</v>
      </c>
      <c r="S66" s="304">
        <f>$M66*'MWh Impact Summary'!K$16</f>
        <v>0</v>
      </c>
      <c r="T66" s="304">
        <f>$M66*'MWh Impact Summary'!L$16</f>
        <v>0</v>
      </c>
      <c r="U66" s="304">
        <f>$M66*'MWh Impact Summary'!M$16</f>
        <v>0</v>
      </c>
      <c r="V66" s="304">
        <f>$M66*'LED Impact Forecast'!$H$17+$D66*'LED Impact Forecast'!$J$17</f>
        <v>0</v>
      </c>
      <c r="W66" s="304">
        <f>$M66*'CFL Impact Forecast'!$H$17+$D66*'CFL Impact Forecast'!$J$17</f>
        <v>146197.35764266859</v>
      </c>
      <c r="X66" s="304">
        <f>$M66*'EISA Incand Impact Forecast'!$G$17+$D66*'EISA Incand Impact Forecast'!$I$17</f>
        <v>0</v>
      </c>
      <c r="Y66" s="85">
        <f t="shared" si="2"/>
        <v>182193.98131191023</v>
      </c>
      <c r="Z66" s="81">
        <f t="shared" si="3"/>
        <v>215751.082974452</v>
      </c>
      <c r="AA66" s="81"/>
      <c r="AB66" s="81">
        <f>+'MWh by mo-WgtbyActulCDH&amp;Days'!AB66</f>
        <v>4510659</v>
      </c>
      <c r="AC66" s="308">
        <f t="shared" si="12"/>
        <v>47.831388489897371</v>
      </c>
      <c r="AD66" s="309">
        <f t="shared" si="4"/>
        <v>7.4395119787467383</v>
      </c>
      <c r="AE66" s="107">
        <f t="shared" si="5"/>
        <v>5.8425486744084331E-4</v>
      </c>
      <c r="AF66" s="309">
        <f t="shared" si="13"/>
        <v>40.391876511150642</v>
      </c>
      <c r="AG66" s="107">
        <f t="shared" si="6"/>
        <v>3.1721368987814645E-3</v>
      </c>
      <c r="AH66" s="119">
        <f t="shared" si="14"/>
        <v>3.7563917662223078E-3</v>
      </c>
      <c r="AI66" s="122">
        <f t="shared" si="7"/>
        <v>3.7563917662223069E-3</v>
      </c>
      <c r="AJ66" s="87" t="b">
        <f t="shared" si="15"/>
        <v>1</v>
      </c>
      <c r="AK66" s="88">
        <f t="shared" si="22"/>
        <v>6.3171843382409283E-4</v>
      </c>
      <c r="AL66" s="312">
        <f>+AC66/'MWh by month-WgtbyCDH&amp;DayLtHrs'!AC66-1</f>
        <v>-0.19221833421583256</v>
      </c>
      <c r="AM66" s="89">
        <f t="shared" si="9"/>
        <v>146197.35764266859</v>
      </c>
      <c r="AN66" s="93"/>
      <c r="AO66" s="96">
        <f t="shared" si="29"/>
        <v>32.411529588618556</v>
      </c>
      <c r="AP66" s="92">
        <f t="shared" si="28"/>
        <v>2.5454080828758033E-3</v>
      </c>
      <c r="AR66" s="94">
        <f t="shared" si="10"/>
        <v>3.7563917662223069E-3</v>
      </c>
      <c r="AS66" s="95">
        <v>234507.32757270089</v>
      </c>
      <c r="AU66" s="141">
        <v>47.831388489897371</v>
      </c>
    </row>
    <row r="67" spans="1:47">
      <c r="A67" s="78">
        <v>2010</v>
      </c>
      <c r="B67" s="78">
        <v>3</v>
      </c>
      <c r="C67" s="317">
        <f t="shared" si="18"/>
        <v>64.582270600115152</v>
      </c>
      <c r="D67" s="318">
        <f t="shared" si="33"/>
        <v>3.2846156787895278E-2</v>
      </c>
      <c r="E67" s="321">
        <f>$D67*'MWh Impact Summary'!B$16</f>
        <v>27889.882256663463</v>
      </c>
      <c r="F67" s="319">
        <f>$D67*'MWh Impact Summary'!N$16</f>
        <v>894.96082514865964</v>
      </c>
      <c r="G67" s="319">
        <f>$D67*'MWh Impact Summary'!C$16</f>
        <v>22860.653237214465</v>
      </c>
      <c r="H67" s="319">
        <f>$D67*'MWh Impact Summary'!D$16</f>
        <v>23.317414506488497</v>
      </c>
      <c r="I67" s="319">
        <f>$D67*'MWh Impact Summary'!E$16</f>
        <v>10176.469486443049</v>
      </c>
      <c r="J67" s="104">
        <f t="shared" si="11"/>
        <v>61845.283219976125</v>
      </c>
      <c r="K67" s="298">
        <f t="shared" si="19"/>
        <v>12</v>
      </c>
      <c r="L67" s="299">
        <f t="shared" si="34"/>
        <v>8.4477296726504739E-2</v>
      </c>
      <c r="M67" s="297">
        <f t="shared" ref="M67:M76" si="35">(31/365)</f>
        <v>8.4931506849315067E-2</v>
      </c>
      <c r="N67" s="304">
        <f>$M67*'MWh Impact Summary'!F$16</f>
        <v>32751.921227896411</v>
      </c>
      <c r="O67" s="304">
        <f>$M67*'MWh Impact Summary'!G$16</f>
        <v>0</v>
      </c>
      <c r="P67" s="304">
        <f>$M67*'MWh Impact Summary'!H$16</f>
        <v>629.02008129806632</v>
      </c>
      <c r="Q67" s="304">
        <f>$M67*'MWh Impact Summary'!I$16</f>
        <v>580.85546842580834</v>
      </c>
      <c r="R67" s="304">
        <f>$M67*'MWh Impact Summary'!J$16</f>
        <v>5891.6079990401058</v>
      </c>
      <c r="S67" s="304">
        <f>$M67*'MWh Impact Summary'!K$16</f>
        <v>0</v>
      </c>
      <c r="T67" s="304">
        <f>$M67*'MWh Impact Summary'!L$16</f>
        <v>0</v>
      </c>
      <c r="U67" s="304">
        <f>$M67*'MWh Impact Summary'!M$16</f>
        <v>0</v>
      </c>
      <c r="V67" s="304">
        <f>$M67*'LED Impact Forecast'!$H$17+$D67*'LED Impact Forecast'!$J$17</f>
        <v>0</v>
      </c>
      <c r="W67" s="304">
        <f>$M67*'CFL Impact Forecast'!$H$17+$D67*'CFL Impact Forecast'!$J$17</f>
        <v>165894.71944868207</v>
      </c>
      <c r="X67" s="304">
        <f>$M67*'EISA Incand Impact Forecast'!$G$17+$D67*'EISA Incand Impact Forecast'!$I$17</f>
        <v>0</v>
      </c>
      <c r="Y67" s="85">
        <f t="shared" si="2"/>
        <v>205748.12422534247</v>
      </c>
      <c r="Z67" s="81">
        <f t="shared" si="3"/>
        <v>267593.40744531859</v>
      </c>
      <c r="AA67" s="81"/>
      <c r="AB67" s="81">
        <f>+'MWh by mo-WgtbyActulCDH&amp;Days'!AB67</f>
        <v>4516712</v>
      </c>
      <c r="AC67" s="308">
        <f t="shared" si="12"/>
        <v>59.245178228170978</v>
      </c>
      <c r="AD67" s="309">
        <f t="shared" si="4"/>
        <v>13.692545201017051</v>
      </c>
      <c r="AE67" s="107">
        <f t="shared" si="5"/>
        <v>1.1410454334180875E-3</v>
      </c>
      <c r="AF67" s="309">
        <f t="shared" si="13"/>
        <v>45.552633027153931</v>
      </c>
      <c r="AG67" s="107">
        <f t="shared" si="6"/>
        <v>3.7960527522628274E-3</v>
      </c>
      <c r="AH67" s="119">
        <f t="shared" si="14"/>
        <v>4.9370981856809151E-3</v>
      </c>
      <c r="AI67" s="122">
        <f t="shared" si="7"/>
        <v>4.9370981856809151E-3</v>
      </c>
      <c r="AJ67" s="87" t="b">
        <f t="shared" si="15"/>
        <v>1</v>
      </c>
      <c r="AK67" s="88">
        <f t="shared" si="22"/>
        <v>8.2663690497789596E-4</v>
      </c>
      <c r="AL67" s="312">
        <f>+AC67/'MWh by month-WgtbyCDH&amp;DayLtHrs'!AC67-1</f>
        <v>-5.2198769210910934E-2</v>
      </c>
      <c r="AM67" s="89">
        <f t="shared" si="9"/>
        <v>165894.71944868207</v>
      </c>
      <c r="AN67" s="93"/>
      <c r="AO67" s="96">
        <f t="shared" si="29"/>
        <v>36.729089534307718</v>
      </c>
      <c r="AP67" s="92">
        <f t="shared" si="28"/>
        <v>3.0607574611923099E-3</v>
      </c>
      <c r="AR67" s="94">
        <f t="shared" si="10"/>
        <v>4.9370981856809151E-3</v>
      </c>
      <c r="AS67" s="95">
        <v>284181.446267744</v>
      </c>
      <c r="AU67" s="141">
        <v>59.245178228170978</v>
      </c>
    </row>
    <row r="68" spans="1:47">
      <c r="A68" s="78">
        <v>2010</v>
      </c>
      <c r="B68" s="78">
        <v>4</v>
      </c>
      <c r="C68" s="317">
        <f t="shared" si="18"/>
        <v>114.03392869270741</v>
      </c>
      <c r="D68" s="318">
        <f t="shared" si="33"/>
        <v>5.7996974497419709E-2</v>
      </c>
      <c r="E68" s="321">
        <f>$D68*'MWh Impact Summary'!B$16</f>
        <v>49245.602778461238</v>
      </c>
      <c r="F68" s="319">
        <f>$D68*'MWh Impact Summary'!N$16</f>
        <v>1580.2463736477371</v>
      </c>
      <c r="G68" s="319">
        <f>$D68*'MWh Impact Summary'!C$16</f>
        <v>40365.414174777819</v>
      </c>
      <c r="H68" s="319">
        <f>$D68*'MWh Impact Summary'!D$16</f>
        <v>41.171924715921477</v>
      </c>
      <c r="I68" s="319">
        <f>$D68*'MWh Impact Summary'!E$16</f>
        <v>17968.751872259043</v>
      </c>
      <c r="J68" s="104">
        <f t="shared" si="11"/>
        <v>109201.18712386176</v>
      </c>
      <c r="K68" s="298">
        <f t="shared" si="19"/>
        <v>11.2</v>
      </c>
      <c r="L68" s="299">
        <f t="shared" si="34"/>
        <v>7.8845476944737758E-2</v>
      </c>
      <c r="M68" s="297">
        <f>(30/365)</f>
        <v>8.2191780821917804E-2</v>
      </c>
      <c r="N68" s="304">
        <f>$M68*'MWh Impact Summary'!F$16</f>
        <v>31695.407639899753</v>
      </c>
      <c r="O68" s="304">
        <f>$M68*'MWh Impact Summary'!G$16</f>
        <v>0</v>
      </c>
      <c r="P68" s="304">
        <f>$M68*'MWh Impact Summary'!H$16</f>
        <v>608.72911093361256</v>
      </c>
      <c r="Q68" s="304">
        <f>$M68*'MWh Impact Summary'!I$16</f>
        <v>562.11819525078226</v>
      </c>
      <c r="R68" s="304">
        <f>$M68*'MWh Impact Summary'!J$16</f>
        <v>5701.5561281033288</v>
      </c>
      <c r="S68" s="304">
        <f>$M68*'MWh Impact Summary'!K$16</f>
        <v>0</v>
      </c>
      <c r="T68" s="304">
        <f>$M68*'MWh Impact Summary'!L$16</f>
        <v>0</v>
      </c>
      <c r="U68" s="304">
        <f>$M68*'MWh Impact Summary'!M$16</f>
        <v>0</v>
      </c>
      <c r="V68" s="304">
        <f>$M68*'LED Impact Forecast'!$H$17+$D68*'LED Impact Forecast'!$J$17</f>
        <v>0</v>
      </c>
      <c r="W68" s="304">
        <f>$M68*'CFL Impact Forecast'!$H$17+$D68*'CFL Impact Forecast'!$J$17</f>
        <v>168604.33671303952</v>
      </c>
      <c r="X68" s="304">
        <f>$M68*'EISA Incand Impact Forecast'!$G$17+$D68*'EISA Incand Impact Forecast'!$I$17</f>
        <v>0</v>
      </c>
      <c r="Y68" s="85">
        <f t="shared" si="2"/>
        <v>207172.147787227</v>
      </c>
      <c r="Z68" s="81">
        <f t="shared" si="3"/>
        <v>316373.33491108875</v>
      </c>
      <c r="AA68" s="81"/>
      <c r="AB68" s="81">
        <f>+'MWh by mo-WgtbyActulCDH&amp;Days'!AB68</f>
        <v>4520229</v>
      </c>
      <c r="AC68" s="308">
        <f t="shared" si="12"/>
        <v>69.990554662405103</v>
      </c>
      <c r="AD68" s="309">
        <f t="shared" si="4"/>
        <v>24.158330722594311</v>
      </c>
      <c r="AE68" s="107">
        <f t="shared" si="5"/>
        <v>2.1569938145173497E-3</v>
      </c>
      <c r="AF68" s="309">
        <f t="shared" si="13"/>
        <v>45.832223939810795</v>
      </c>
      <c r="AG68" s="107">
        <f t="shared" si="6"/>
        <v>4.0921628517688212E-3</v>
      </c>
      <c r="AH68" s="119">
        <f t="shared" si="14"/>
        <v>6.2491566662861708E-3</v>
      </c>
      <c r="AI68" s="122">
        <f t="shared" si="7"/>
        <v>6.24915666628617E-3</v>
      </c>
      <c r="AJ68" s="87" t="b">
        <f t="shared" si="15"/>
        <v>1</v>
      </c>
      <c r="AK68" s="88">
        <f t="shared" si="22"/>
        <v>1.0447074024973121E-3</v>
      </c>
      <c r="AL68" s="312">
        <f>+AC68/'MWh by month-WgtbyCDH&amp;DayLtHrs'!AC68-1</f>
        <v>2.9202944311392809E-3</v>
      </c>
      <c r="AM68" s="89">
        <f t="shared" si="9"/>
        <v>168604.33671303952</v>
      </c>
      <c r="AN68" s="93"/>
      <c r="AO68" s="96">
        <f t="shared" si="29"/>
        <v>37.299954651200089</v>
      </c>
      <c r="AP68" s="92">
        <f t="shared" si="28"/>
        <v>3.3303530938571511E-3</v>
      </c>
      <c r="AR68" s="94">
        <f t="shared" si="10"/>
        <v>6.24915666628617E-3</v>
      </c>
      <c r="AS68" s="95">
        <v>334261.39929994685</v>
      </c>
      <c r="AU68" s="141">
        <v>69.990554662405103</v>
      </c>
    </row>
    <row r="69" spans="1:47">
      <c r="A69" s="78">
        <v>2010</v>
      </c>
      <c r="B69" s="78">
        <v>5</v>
      </c>
      <c r="C69" s="317">
        <f t="shared" si="18"/>
        <v>208.47875842628665</v>
      </c>
      <c r="D69" s="318">
        <f t="shared" si="33"/>
        <v>0.10603105035770212</v>
      </c>
      <c r="E69" s="321">
        <f>$D69*'MWh Impact Summary'!B$16</f>
        <v>90031.644466742437</v>
      </c>
      <c r="F69" s="319">
        <f>$D69*'MWh Impact Summary'!N$16</f>
        <v>2889.0331655020022</v>
      </c>
      <c r="G69" s="319">
        <f>$D69*'MWh Impact Summary'!C$16</f>
        <v>73796.733366941175</v>
      </c>
      <c r="H69" s="319">
        <f>$D69*'MWh Impact Summary'!D$16</f>
        <v>75.271209588210709</v>
      </c>
      <c r="I69" s="319">
        <f>$D69*'MWh Impact Summary'!E$16</f>
        <v>32850.776288637564</v>
      </c>
      <c r="J69" s="104">
        <f t="shared" si="11"/>
        <v>199643.4584974114</v>
      </c>
      <c r="K69" s="298">
        <f t="shared" si="19"/>
        <v>10.533333333333333</v>
      </c>
      <c r="L69" s="299">
        <f t="shared" si="34"/>
        <v>7.4152293793265281E-2</v>
      </c>
      <c r="M69" s="297">
        <f t="shared" si="35"/>
        <v>8.4931506849315067E-2</v>
      </c>
      <c r="N69" s="304">
        <f>$M69*'MWh Impact Summary'!F$16</f>
        <v>32751.921227896411</v>
      </c>
      <c r="O69" s="304">
        <f>$M69*'MWh Impact Summary'!G$16</f>
        <v>0</v>
      </c>
      <c r="P69" s="304">
        <f>$M69*'MWh Impact Summary'!H$16</f>
        <v>629.02008129806632</v>
      </c>
      <c r="Q69" s="304">
        <f>$M69*'MWh Impact Summary'!I$16</f>
        <v>580.85546842580834</v>
      </c>
      <c r="R69" s="304">
        <f>$M69*'MWh Impact Summary'!J$16</f>
        <v>5891.6079990401058</v>
      </c>
      <c r="S69" s="304">
        <f>$M69*'MWh Impact Summary'!K$16</f>
        <v>0</v>
      </c>
      <c r="T69" s="304">
        <f>$M69*'MWh Impact Summary'!L$16</f>
        <v>0</v>
      </c>
      <c r="U69" s="304">
        <f>$M69*'MWh Impact Summary'!M$16</f>
        <v>0</v>
      </c>
      <c r="V69" s="304">
        <f>$M69*'LED Impact Forecast'!$H$17+$D69*'LED Impact Forecast'!$J$17</f>
        <v>0</v>
      </c>
      <c r="W69" s="304">
        <f>$M69*'CFL Impact Forecast'!$H$17+$D69*'CFL Impact Forecast'!$J$17</f>
        <v>188402.90149776117</v>
      </c>
      <c r="X69" s="304">
        <f>$M69*'EISA Incand Impact Forecast'!$G$17+$D69*'EISA Incand Impact Forecast'!$I$17</f>
        <v>0</v>
      </c>
      <c r="Y69" s="85">
        <f t="shared" ref="Y69:Y132" si="36">SUM(N69:X69)</f>
        <v>228256.30627442157</v>
      </c>
      <c r="Z69" s="81">
        <f t="shared" ref="Z69:Z132" si="37">Y69+J69</f>
        <v>427899.76477183297</v>
      </c>
      <c r="AA69" s="81"/>
      <c r="AB69" s="81">
        <f>+'MWh by mo-WgtbyActulCDH&amp;Days'!AB69</f>
        <v>4521728</v>
      </c>
      <c r="AC69" s="308">
        <f t="shared" si="12"/>
        <v>94.631911687707202</v>
      </c>
      <c r="AD69" s="309">
        <f t="shared" ref="AD69:AD132" si="38">+J69*1000/AB69</f>
        <v>44.152027388071858</v>
      </c>
      <c r="AE69" s="107">
        <f t="shared" ref="AE69:AE132" si="39">+AD69/K69/1000</f>
        <v>4.1916481697536574E-3</v>
      </c>
      <c r="AF69" s="309">
        <f t="shared" si="13"/>
        <v>50.479884299635351</v>
      </c>
      <c r="AG69" s="107">
        <f t="shared" ref="AG69:AG132" si="40">+AF69/K69/1000</f>
        <v>4.7923940790793058E-3</v>
      </c>
      <c r="AH69" s="119">
        <f t="shared" si="14"/>
        <v>8.9840422488329623E-3</v>
      </c>
      <c r="AI69" s="122">
        <f t="shared" ref="AI69:AI132" si="41">+AC69/K69/1000</f>
        <v>8.9840422488329623E-3</v>
      </c>
      <c r="AJ69" s="87" t="b">
        <f t="shared" si="15"/>
        <v>1</v>
      </c>
      <c r="AK69" s="88">
        <f t="shared" si="22"/>
        <v>1.4984908254265447E-3</v>
      </c>
      <c r="AL69" s="312">
        <f>+AC69/'MWh by month-WgtbyCDH&amp;DayLtHrs'!AC69-1</f>
        <v>8.5950972285903537E-2</v>
      </c>
      <c r="AM69" s="89">
        <f t="shared" ref="AM69:AM132" si="42">+W69</f>
        <v>188402.90149776117</v>
      </c>
      <c r="AN69" s="93"/>
      <c r="AO69" s="96">
        <f t="shared" si="29"/>
        <v>41.666128855552827</v>
      </c>
      <c r="AP69" s="92">
        <f t="shared" si="28"/>
        <v>3.9556451445145087E-3</v>
      </c>
      <c r="AR69" s="94">
        <f t="shared" ref="AR69:AR132" si="43">AI69</f>
        <v>8.9840422488329623E-3</v>
      </c>
      <c r="AS69" s="95">
        <v>402473.95118086669</v>
      </c>
      <c r="AU69" s="141">
        <v>94.631911687707202</v>
      </c>
    </row>
    <row r="70" spans="1:47">
      <c r="A70" s="78">
        <v>2010</v>
      </c>
      <c r="B70" s="78">
        <v>6</v>
      </c>
      <c r="C70" s="317">
        <f t="shared" si="18"/>
        <v>271.66325293295364</v>
      </c>
      <c r="D70" s="318">
        <f t="shared" si="33"/>
        <v>0.13816630657965029</v>
      </c>
      <c r="E70" s="321">
        <f>$D70*'MWh Impact Summary'!B$16</f>
        <v>117317.89649632962</v>
      </c>
      <c r="F70" s="319">
        <f>$D70*'MWh Impact Summary'!N$16</f>
        <v>3764.6240484925233</v>
      </c>
      <c r="G70" s="319">
        <f>$D70*'MWh Impact Summary'!C$16</f>
        <v>96162.605694802944</v>
      </c>
      <c r="H70" s="319">
        <f>$D70*'MWh Impact Summary'!D$16</f>
        <v>98.083957345522791</v>
      </c>
      <c r="I70" s="319">
        <f>$D70*'MWh Impact Summary'!E$16</f>
        <v>42806.992977653732</v>
      </c>
      <c r="J70" s="104">
        <f t="shared" ref="J70:J133" si="44">SUM(E70:I70)</f>
        <v>260150.20317462436</v>
      </c>
      <c r="K70" s="298">
        <f t="shared" si="19"/>
        <v>10.199999999999999</v>
      </c>
      <c r="L70" s="299">
        <f t="shared" si="34"/>
        <v>7.1805702217529022E-2</v>
      </c>
      <c r="M70" s="297">
        <f>(30/365)</f>
        <v>8.2191780821917804E-2</v>
      </c>
      <c r="N70" s="304">
        <f>$M70*'MWh Impact Summary'!F$16</f>
        <v>31695.407639899753</v>
      </c>
      <c r="O70" s="304">
        <f>$M70*'MWh Impact Summary'!G$16</f>
        <v>0</v>
      </c>
      <c r="P70" s="304">
        <f>$M70*'MWh Impact Summary'!H$16</f>
        <v>608.72911093361256</v>
      </c>
      <c r="Q70" s="304">
        <f>$M70*'MWh Impact Summary'!I$16</f>
        <v>562.11819525078226</v>
      </c>
      <c r="R70" s="304">
        <f>$M70*'MWh Impact Summary'!J$16</f>
        <v>5701.5561281033288</v>
      </c>
      <c r="S70" s="304">
        <f>$M70*'MWh Impact Summary'!K$16</f>
        <v>0</v>
      </c>
      <c r="T70" s="304">
        <f>$M70*'MWh Impact Summary'!L$16</f>
        <v>0</v>
      </c>
      <c r="U70" s="304">
        <f>$M70*'MWh Impact Summary'!M$16</f>
        <v>0</v>
      </c>
      <c r="V70" s="304">
        <f>$M70*'LED Impact Forecast'!$H$17+$D70*'LED Impact Forecast'!$J$17</f>
        <v>0</v>
      </c>
      <c r="W70" s="304">
        <f>$M70*'CFL Impact Forecast'!$H$17+$D70*'CFL Impact Forecast'!$J$17</f>
        <v>193260.59886280607</v>
      </c>
      <c r="X70" s="304">
        <f>$M70*'EISA Incand Impact Forecast'!$G$17+$D70*'EISA Incand Impact Forecast'!$I$17</f>
        <v>0</v>
      </c>
      <c r="Y70" s="85">
        <f t="shared" si="36"/>
        <v>231828.40993699356</v>
      </c>
      <c r="Z70" s="81">
        <f t="shared" si="37"/>
        <v>491978.61311161792</v>
      </c>
      <c r="AA70" s="81"/>
      <c r="AB70" s="81">
        <f>+'MWh by mo-WgtbyActulCDH&amp;Days'!AB70</f>
        <v>4521918</v>
      </c>
      <c r="AC70" s="308">
        <f t="shared" ref="AC70:AC133" si="45">+Z70*1000/AB70</f>
        <v>108.79865869120535</v>
      </c>
      <c r="AD70" s="309">
        <f t="shared" si="38"/>
        <v>57.530942218462243</v>
      </c>
      <c r="AE70" s="107">
        <f t="shared" si="39"/>
        <v>5.6402884527904165E-3</v>
      </c>
      <c r="AF70" s="309">
        <f t="shared" ref="AF70:AF133" si="46">+Y70*1000/AB70</f>
        <v>51.267716472743111</v>
      </c>
      <c r="AG70" s="107">
        <f t="shared" si="40"/>
        <v>5.0262467130140305E-3</v>
      </c>
      <c r="AH70" s="119">
        <f t="shared" ref="AH70:AH133" si="47">AE70+AG70</f>
        <v>1.0666535165804448E-2</v>
      </c>
      <c r="AI70" s="122">
        <f t="shared" si="41"/>
        <v>1.0666535165804448E-2</v>
      </c>
      <c r="AJ70" s="87" t="b">
        <f t="shared" ref="AJ70:AJ133" si="48">AH70=AI70</f>
        <v>1</v>
      </c>
      <c r="AK70" s="88">
        <f t="shared" si="22"/>
        <v>1.7792556582878812E-3</v>
      </c>
      <c r="AL70" s="312">
        <f>+AC70/'MWh by month-WgtbyCDH&amp;DayLtHrs'!AC70-1</f>
        <v>9.6678184366880027E-2</v>
      </c>
      <c r="AM70" s="89">
        <f t="shared" si="42"/>
        <v>193260.59886280607</v>
      </c>
      <c r="AN70" s="93"/>
      <c r="AO70" s="96">
        <f t="shared" si="29"/>
        <v>42.738634106767542</v>
      </c>
      <c r="AP70" s="92">
        <f t="shared" si="28"/>
        <v>4.1900621673301519E-3</v>
      </c>
      <c r="AR70" s="94">
        <f t="shared" si="43"/>
        <v>1.0666535165804448E-2</v>
      </c>
      <c r="AS70" s="95">
        <v>491747.42381475423</v>
      </c>
      <c r="AU70" s="141">
        <v>108.79865869120535</v>
      </c>
    </row>
    <row r="71" spans="1:47">
      <c r="A71" s="78">
        <v>2010</v>
      </c>
      <c r="B71" s="78">
        <v>7</v>
      </c>
      <c r="C71" s="317">
        <f t="shared" si="18"/>
        <v>322.31916585708109</v>
      </c>
      <c r="D71" s="318">
        <f t="shared" si="33"/>
        <v>0.16392960109808263</v>
      </c>
      <c r="E71" s="321">
        <f>$D71*'MWh Impact Summary'!B$16</f>
        <v>139193.67500225277</v>
      </c>
      <c r="F71" s="319">
        <f>$D71*'MWh Impact Summary'!N$16</f>
        <v>4466.5977822738023</v>
      </c>
      <c r="G71" s="319">
        <f>$D71*'MWh Impact Summary'!C$16</f>
        <v>114093.64542153165</v>
      </c>
      <c r="H71" s="319">
        <f>$D71*'MWh Impact Summary'!D$16</f>
        <v>116.37326349534965</v>
      </c>
      <c r="I71" s="319">
        <f>$D71*'MWh Impact Summary'!E$16</f>
        <v>50789.034293175086</v>
      </c>
      <c r="J71" s="104">
        <f t="shared" si="44"/>
        <v>308659.32576272864</v>
      </c>
      <c r="K71" s="298">
        <f t="shared" si="19"/>
        <v>10.366666666666667</v>
      </c>
      <c r="L71" s="299">
        <f t="shared" si="34"/>
        <v>7.2978998005397158E-2</v>
      </c>
      <c r="M71" s="297">
        <f t="shared" si="35"/>
        <v>8.4931506849315067E-2</v>
      </c>
      <c r="N71" s="304">
        <f>$M71*'MWh Impact Summary'!F$16</f>
        <v>32751.921227896411</v>
      </c>
      <c r="O71" s="304">
        <f>$M71*'MWh Impact Summary'!G$16</f>
        <v>0</v>
      </c>
      <c r="P71" s="304">
        <f>$M71*'MWh Impact Summary'!H$16</f>
        <v>629.02008129806632</v>
      </c>
      <c r="Q71" s="304">
        <f>$M71*'MWh Impact Summary'!I$16</f>
        <v>580.85546842580834</v>
      </c>
      <c r="R71" s="304">
        <f>$M71*'MWh Impact Summary'!J$16</f>
        <v>5891.6079990401058</v>
      </c>
      <c r="S71" s="304">
        <f>$M71*'MWh Impact Summary'!K$16</f>
        <v>0</v>
      </c>
      <c r="T71" s="304">
        <f>$M71*'MWh Impact Summary'!L$16</f>
        <v>0</v>
      </c>
      <c r="U71" s="304">
        <f>$M71*'MWh Impact Summary'!M$16</f>
        <v>0</v>
      </c>
      <c r="V71" s="304">
        <f>$M71*'LED Impact Forecast'!$H$17+$D71*'LED Impact Forecast'!$J$17</f>
        <v>0</v>
      </c>
      <c r="W71" s="304">
        <f>$M71*'CFL Impact Forecast'!$H$17+$D71*'CFL Impact Forecast'!$J$17</f>
        <v>206209.73371238052</v>
      </c>
      <c r="X71" s="304">
        <f>$M71*'EISA Incand Impact Forecast'!$G$17+$D71*'EISA Incand Impact Forecast'!$I$17</f>
        <v>0</v>
      </c>
      <c r="Y71" s="85">
        <f t="shared" si="36"/>
        <v>246063.1384890409</v>
      </c>
      <c r="Z71" s="81">
        <f t="shared" si="37"/>
        <v>554722.46425176947</v>
      </c>
      <c r="AA71" s="81"/>
      <c r="AB71" s="81">
        <f>+'MWh by mo-WgtbyActulCDH&amp;Days'!AB71</f>
        <v>4522790</v>
      </c>
      <c r="AC71" s="308">
        <f t="shared" si="45"/>
        <v>122.65050206880474</v>
      </c>
      <c r="AD71" s="309">
        <f t="shared" si="38"/>
        <v>68.245336564980605</v>
      </c>
      <c r="AE71" s="107">
        <f t="shared" si="39"/>
        <v>6.5831514371363928E-3</v>
      </c>
      <c r="AF71" s="309">
        <f t="shared" si="46"/>
        <v>54.405165503824165</v>
      </c>
      <c r="AG71" s="107">
        <f t="shared" si="40"/>
        <v>5.2480867045489547E-3</v>
      </c>
      <c r="AH71" s="119">
        <f t="shared" si="47"/>
        <v>1.1831238141685348E-2</v>
      </c>
      <c r="AI71" s="122">
        <f t="shared" si="41"/>
        <v>1.1831238141685343E-2</v>
      </c>
      <c r="AJ71" s="87" t="b">
        <f t="shared" si="48"/>
        <v>1</v>
      </c>
      <c r="AK71" s="88">
        <f t="shared" si="22"/>
        <v>1.9740747069517534E-3</v>
      </c>
      <c r="AL71" s="312">
        <f>+AC71/'MWh by month-WgtbyCDH&amp;DayLtHrs'!AC71-1</f>
        <v>0.1092615669793644</v>
      </c>
      <c r="AM71" s="89">
        <f t="shared" si="42"/>
        <v>206209.73371238052</v>
      </c>
      <c r="AN71" s="93"/>
      <c r="AO71" s="96">
        <f t="shared" si="29"/>
        <v>45.593479624829037</v>
      </c>
      <c r="AP71" s="92">
        <f t="shared" si="28"/>
        <v>4.3980848512696824E-3</v>
      </c>
      <c r="AR71" s="94">
        <f t="shared" si="43"/>
        <v>1.1831238141685343E-2</v>
      </c>
      <c r="AS71" s="95">
        <v>517453.27171815862</v>
      </c>
      <c r="AU71" s="141">
        <v>122.65050206880474</v>
      </c>
    </row>
    <row r="72" spans="1:47">
      <c r="A72" s="78">
        <v>2010</v>
      </c>
      <c r="B72" s="78">
        <v>8</v>
      </c>
      <c r="C72" s="317">
        <f t="shared" si="18"/>
        <v>326.45437890907908</v>
      </c>
      <c r="D72" s="318">
        <f t="shared" si="33"/>
        <v>0.16603274573816959</v>
      </c>
      <c r="E72" s="321">
        <f>$D72*'MWh Impact Summary'!B$16</f>
        <v>140979.46859629583</v>
      </c>
      <c r="F72" s="319">
        <f>$D72*'MWh Impact Summary'!N$16</f>
        <v>4523.9022661637673</v>
      </c>
      <c r="G72" s="319">
        <f>$D72*'MWh Impact Summary'!C$16</f>
        <v>115557.41668205406</v>
      </c>
      <c r="H72" s="319">
        <f>$D72*'MWh Impact Summary'!D$16</f>
        <v>117.86628125254673</v>
      </c>
      <c r="I72" s="319">
        <f>$D72*'MWh Impact Summary'!E$16</f>
        <v>51440.635251960884</v>
      </c>
      <c r="J72" s="104">
        <f t="shared" si="44"/>
        <v>312619.28907772707</v>
      </c>
      <c r="K72" s="298">
        <f t="shared" si="19"/>
        <v>10.933333333333334</v>
      </c>
      <c r="L72" s="299">
        <f t="shared" si="34"/>
        <v>7.6968203684148764E-2</v>
      </c>
      <c r="M72" s="297">
        <f t="shared" si="35"/>
        <v>8.4931506849315067E-2</v>
      </c>
      <c r="N72" s="304">
        <f>$M72*'MWh Impact Summary'!F$16</f>
        <v>32751.921227896411</v>
      </c>
      <c r="O72" s="304">
        <f>$M72*'MWh Impact Summary'!G$16</f>
        <v>0</v>
      </c>
      <c r="P72" s="304">
        <f>$M72*'MWh Impact Summary'!H$16</f>
        <v>629.02008129806632</v>
      </c>
      <c r="Q72" s="304">
        <f>$M72*'MWh Impact Summary'!I$16</f>
        <v>580.85546842580834</v>
      </c>
      <c r="R72" s="304">
        <f>$M72*'MWh Impact Summary'!J$16</f>
        <v>5891.6079990401058</v>
      </c>
      <c r="S72" s="304">
        <f>$M72*'MWh Impact Summary'!K$16</f>
        <v>0</v>
      </c>
      <c r="T72" s="304">
        <f>$M72*'MWh Impact Summary'!L$16</f>
        <v>0</v>
      </c>
      <c r="U72" s="304">
        <f>$M72*'MWh Impact Summary'!M$16</f>
        <v>0</v>
      </c>
      <c r="V72" s="304">
        <f>$M72*'LED Impact Forecast'!$H$17+$D72*'LED Impact Forecast'!$J$17</f>
        <v>0</v>
      </c>
      <c r="W72" s="304">
        <f>$M72*'CFL Impact Forecast'!$H$17+$D72*'CFL Impact Forecast'!$J$17</f>
        <v>206856.56067523549</v>
      </c>
      <c r="X72" s="304">
        <f>$M72*'EISA Incand Impact Forecast'!$G$17+$D72*'EISA Incand Impact Forecast'!$I$17</f>
        <v>0</v>
      </c>
      <c r="Y72" s="85">
        <f t="shared" si="36"/>
        <v>246709.9654518959</v>
      </c>
      <c r="Z72" s="81">
        <f t="shared" si="37"/>
        <v>559329.25452962297</v>
      </c>
      <c r="AA72" s="81"/>
      <c r="AB72" s="81">
        <f>+'MWh by mo-WgtbyActulCDH&amp;Days'!AB72</f>
        <v>4526766</v>
      </c>
      <c r="AC72" s="308">
        <f t="shared" si="45"/>
        <v>123.56045232504241</v>
      </c>
      <c r="AD72" s="309">
        <f t="shared" si="38"/>
        <v>69.060183158954331</v>
      </c>
      <c r="AE72" s="107">
        <f t="shared" si="39"/>
        <v>6.3164801669775301E-3</v>
      </c>
      <c r="AF72" s="309">
        <f t="shared" si="46"/>
        <v>54.500269166088081</v>
      </c>
      <c r="AG72" s="107">
        <f t="shared" si="40"/>
        <v>4.9847807164104955E-3</v>
      </c>
      <c r="AH72" s="119">
        <f t="shared" si="47"/>
        <v>1.1301260883388026E-2</v>
      </c>
      <c r="AI72" s="122">
        <f t="shared" si="41"/>
        <v>1.1301260883388025E-2</v>
      </c>
      <c r="AJ72" s="87" t="b">
        <f t="shared" si="48"/>
        <v>1</v>
      </c>
      <c r="AK72" s="88">
        <f t="shared" si="22"/>
        <v>1.8786776622677342E-3</v>
      </c>
      <c r="AL72" s="312">
        <f>+AC72/'MWh by month-WgtbyCDH&amp;DayLtHrs'!AC72-1</f>
        <v>8.7923815893682367E-2</v>
      </c>
      <c r="AM72" s="89">
        <f t="shared" si="42"/>
        <v>206856.56067523549</v>
      </c>
      <c r="AN72" s="93"/>
      <c r="AO72" s="96">
        <f t="shared" si="29"/>
        <v>45.696322866089275</v>
      </c>
      <c r="AP72" s="92">
        <f t="shared" si="28"/>
        <v>4.1795417255569454E-3</v>
      </c>
      <c r="AR72" s="94">
        <f t="shared" si="43"/>
        <v>1.1301260883388025E-2</v>
      </c>
      <c r="AS72" s="95">
        <v>537984.46334324288</v>
      </c>
      <c r="AU72" s="141">
        <v>123.56045232504241</v>
      </c>
    </row>
    <row r="73" spans="1:47">
      <c r="A73" s="78">
        <v>2010</v>
      </c>
      <c r="B73" s="78">
        <v>9</v>
      </c>
      <c r="C73" s="317">
        <f t="shared" si="18"/>
        <v>277.87653293728147</v>
      </c>
      <c r="D73" s="318">
        <f t="shared" si="33"/>
        <v>0.14132634365008559</v>
      </c>
      <c r="E73" s="321">
        <f>$D73*'MWh Impact Summary'!B$16</f>
        <v>120001.10422715344</v>
      </c>
      <c r="F73" s="319">
        <f>$D73*'MWh Impact Summary'!N$16</f>
        <v>3850.7257316306668</v>
      </c>
      <c r="G73" s="319">
        <f>$D73*'MWh Impact Summary'!C$16</f>
        <v>98361.965338321024</v>
      </c>
      <c r="H73" s="319">
        <f>$D73*'MWh Impact Summary'!D$16</f>
        <v>100.32726071593001</v>
      </c>
      <c r="I73" s="319">
        <f>$D73*'MWh Impact Summary'!E$16</f>
        <v>43786.042704261774</v>
      </c>
      <c r="J73" s="104">
        <f t="shared" si="44"/>
        <v>266100.16526208282</v>
      </c>
      <c r="K73" s="298">
        <f t="shared" si="19"/>
        <v>11.683333333333334</v>
      </c>
      <c r="L73" s="299">
        <f t="shared" si="34"/>
        <v>8.2248034729555317E-2</v>
      </c>
      <c r="M73" s="297">
        <f>(30/365)</f>
        <v>8.2191780821917804E-2</v>
      </c>
      <c r="N73" s="304">
        <f>$M73*'MWh Impact Summary'!F$16</f>
        <v>31695.407639899753</v>
      </c>
      <c r="O73" s="304">
        <f>$M73*'MWh Impact Summary'!G$16</f>
        <v>0</v>
      </c>
      <c r="P73" s="304">
        <f>$M73*'MWh Impact Summary'!H$16</f>
        <v>608.72911093361256</v>
      </c>
      <c r="Q73" s="304">
        <f>$M73*'MWh Impact Summary'!I$16</f>
        <v>562.11819525078226</v>
      </c>
      <c r="R73" s="304">
        <f>$M73*'MWh Impact Summary'!J$16</f>
        <v>5701.5561281033288</v>
      </c>
      <c r="S73" s="304">
        <f>$M73*'MWh Impact Summary'!K$16</f>
        <v>0</v>
      </c>
      <c r="T73" s="304">
        <f>$M73*'MWh Impact Summary'!L$16</f>
        <v>0</v>
      </c>
      <c r="U73" s="304">
        <f>$M73*'MWh Impact Summary'!M$16</f>
        <v>0</v>
      </c>
      <c r="V73" s="304">
        <f>$M73*'LED Impact Forecast'!$H$17+$D73*'LED Impact Forecast'!$J$17</f>
        <v>0</v>
      </c>
      <c r="W73" s="304">
        <f>$M73*'CFL Impact Forecast'!$H$17+$D73*'CFL Impact Forecast'!$J$17</f>
        <v>194232.47551922771</v>
      </c>
      <c r="X73" s="304">
        <f>$M73*'EISA Incand Impact Forecast'!$G$17+$D73*'EISA Incand Impact Forecast'!$I$17</f>
        <v>0</v>
      </c>
      <c r="Y73" s="85">
        <f t="shared" si="36"/>
        <v>232800.28659341519</v>
      </c>
      <c r="Z73" s="81">
        <f t="shared" si="37"/>
        <v>498900.45185549802</v>
      </c>
      <c r="AA73" s="81"/>
      <c r="AB73" s="81">
        <f>+'MWh by mo-WgtbyActulCDH&amp;Days'!AB73</f>
        <v>4524923</v>
      </c>
      <c r="AC73" s="308">
        <f t="shared" si="45"/>
        <v>110.25611968546161</v>
      </c>
      <c r="AD73" s="309">
        <f t="shared" si="38"/>
        <v>58.807667061314149</v>
      </c>
      <c r="AE73" s="107">
        <f t="shared" si="39"/>
        <v>5.033466510240869E-3</v>
      </c>
      <c r="AF73" s="309">
        <f t="shared" si="46"/>
        <v>51.448452624147464</v>
      </c>
      <c r="AG73" s="107">
        <f t="shared" si="40"/>
        <v>4.4035765441495693E-3</v>
      </c>
      <c r="AH73" s="119">
        <f t="shared" si="47"/>
        <v>9.4370430543904392E-3</v>
      </c>
      <c r="AI73" s="122">
        <f t="shared" si="41"/>
        <v>9.4370430543904375E-3</v>
      </c>
      <c r="AJ73" s="87" t="b">
        <f>AH73=AI73</f>
        <v>1</v>
      </c>
      <c r="AK73" s="88">
        <f t="shared" si="22"/>
        <v>1.5656362371905142E-3</v>
      </c>
      <c r="AL73" s="312">
        <f>+AC73/'MWh by month-WgtbyCDH&amp;DayLtHrs'!AC73-1</f>
        <v>3.7320503976582708E-2</v>
      </c>
      <c r="AM73" s="89">
        <f t="shared" si="42"/>
        <v>194232.47551922771</v>
      </c>
      <c r="AN73" s="93"/>
      <c r="AO73" s="96">
        <f t="shared" si="29"/>
        <v>42.925034419199555</v>
      </c>
      <c r="AP73" s="92">
        <f t="shared" si="28"/>
        <v>3.674040035880133E-3</v>
      </c>
      <c r="AR73" s="94">
        <f t="shared" si="43"/>
        <v>9.4370430543904375E-3</v>
      </c>
      <c r="AS73" s="95">
        <v>508025.22154489503</v>
      </c>
      <c r="AU73" s="141">
        <v>110.25611968546161</v>
      </c>
    </row>
    <row r="74" spans="1:47">
      <c r="A74" s="78">
        <v>2010</v>
      </c>
      <c r="B74" s="78">
        <v>10</v>
      </c>
      <c r="C74" s="317">
        <f t="shared" si="18"/>
        <v>198.89039579254836</v>
      </c>
      <c r="D74" s="318">
        <f t="shared" si="33"/>
        <v>0.10115446643644242</v>
      </c>
      <c r="E74" s="321">
        <f>$D74*'MWh Impact Summary'!B$16</f>
        <v>85890.905802644178</v>
      </c>
      <c r="F74" s="319">
        <f>$D74*'MWh Impact Summary'!N$16</f>
        <v>2756.1606471656819</v>
      </c>
      <c r="G74" s="319">
        <f>$D74*'MWh Impact Summary'!C$16</f>
        <v>70402.671324127761</v>
      </c>
      <c r="H74" s="319">
        <f>$D74*'MWh Impact Summary'!D$16</f>
        <v>71.809333381445654</v>
      </c>
      <c r="I74" s="319">
        <f>$D74*'MWh Impact Summary'!E$16</f>
        <v>31339.902191760975</v>
      </c>
      <c r="J74" s="104">
        <f t="shared" si="44"/>
        <v>190461.44929908006</v>
      </c>
      <c r="K74" s="298">
        <f t="shared" si="19"/>
        <v>12.466666666666667</v>
      </c>
      <c r="L74" s="299">
        <f t="shared" si="34"/>
        <v>8.7762524932535488E-2</v>
      </c>
      <c r="M74" s="297">
        <f t="shared" si="35"/>
        <v>8.4931506849315067E-2</v>
      </c>
      <c r="N74" s="304">
        <f>$M74*'MWh Impact Summary'!F$16</f>
        <v>32751.921227896411</v>
      </c>
      <c r="O74" s="304">
        <f>$M74*'MWh Impact Summary'!G$16</f>
        <v>0</v>
      </c>
      <c r="P74" s="304">
        <f>$M74*'MWh Impact Summary'!H$16</f>
        <v>629.02008129806632</v>
      </c>
      <c r="Q74" s="304">
        <f>$M74*'MWh Impact Summary'!I$16</f>
        <v>580.85546842580834</v>
      </c>
      <c r="R74" s="304">
        <f>$M74*'MWh Impact Summary'!J$16</f>
        <v>5891.6079990401058</v>
      </c>
      <c r="S74" s="304">
        <f>$M74*'MWh Impact Summary'!K$16</f>
        <v>0</v>
      </c>
      <c r="T74" s="304">
        <f>$M74*'MWh Impact Summary'!L$16</f>
        <v>0</v>
      </c>
      <c r="U74" s="304">
        <f>$M74*'MWh Impact Summary'!M$16</f>
        <v>0</v>
      </c>
      <c r="V74" s="304">
        <f>$M74*'LED Impact Forecast'!$H$17+$D74*'LED Impact Forecast'!$J$17</f>
        <v>0</v>
      </c>
      <c r="W74" s="304">
        <f>$M74*'CFL Impact Forecast'!$H$17+$D74*'CFL Impact Forecast'!$J$17</f>
        <v>186903.0969161964</v>
      </c>
      <c r="X74" s="304">
        <f>$M74*'EISA Incand Impact Forecast'!$G$17+$D74*'EISA Incand Impact Forecast'!$I$17</f>
        <v>0</v>
      </c>
      <c r="Y74" s="85">
        <f t="shared" si="36"/>
        <v>226756.50169285678</v>
      </c>
      <c r="Z74" s="81">
        <f t="shared" si="37"/>
        <v>417217.95099193684</v>
      </c>
      <c r="AA74" s="81"/>
      <c r="AB74" s="81">
        <f>+'MWh by mo-WgtbyActulCDH&amp;Days'!AB74</f>
        <v>4524001</v>
      </c>
      <c r="AC74" s="308">
        <f t="shared" si="45"/>
        <v>92.22322253950361</v>
      </c>
      <c r="AD74" s="309">
        <f t="shared" si="38"/>
        <v>42.100222634583872</v>
      </c>
      <c r="AE74" s="107">
        <f t="shared" si="39"/>
        <v>3.3770232059826639E-3</v>
      </c>
      <c r="AF74" s="309">
        <f t="shared" si="46"/>
        <v>50.122999904919737</v>
      </c>
      <c r="AG74" s="107">
        <f t="shared" si="40"/>
        <v>4.0205614896994448E-3</v>
      </c>
      <c r="AH74" s="119">
        <f t="shared" si="47"/>
        <v>7.3975846956821087E-3</v>
      </c>
      <c r="AI74" s="122">
        <f t="shared" si="41"/>
        <v>7.3975846956821079E-3</v>
      </c>
      <c r="AJ74" s="87" t="b">
        <f t="shared" si="48"/>
        <v>1</v>
      </c>
      <c r="AK74" s="88">
        <f t="shared" si="22"/>
        <v>1.2251355713821252E-3</v>
      </c>
      <c r="AL74" s="312">
        <f>+AC74/'MWh by month-WgtbyCDH&amp;DayLtHrs'!AC74-1</f>
        <v>-4.8477014566040699E-3</v>
      </c>
      <c r="AM74" s="89">
        <f t="shared" si="42"/>
        <v>186903.0969161964</v>
      </c>
      <c r="AN74" s="93"/>
      <c r="AO74" s="96">
        <f t="shared" si="29"/>
        <v>41.313672768020254</v>
      </c>
      <c r="AP74" s="92">
        <f t="shared" si="28"/>
        <v>3.3139309706968116E-3</v>
      </c>
      <c r="AR74" s="94">
        <f t="shared" si="43"/>
        <v>7.3975846956821079E-3</v>
      </c>
      <c r="AS74" s="95">
        <v>408735.92382140399</v>
      </c>
      <c r="AU74" s="141">
        <v>92.22322253950361</v>
      </c>
    </row>
    <row r="75" spans="1:47">
      <c r="A75" s="78">
        <v>2010</v>
      </c>
      <c r="B75" s="78">
        <v>11</v>
      </c>
      <c r="C75" s="317">
        <f t="shared" si="18"/>
        <v>78.117279066674627</v>
      </c>
      <c r="D75" s="318">
        <f t="shared" si="33"/>
        <v>3.9729981188725644E-2</v>
      </c>
      <c r="E75" s="321">
        <f>$D75*'MWh Impact Summary'!B$16</f>
        <v>33734.981677410884</v>
      </c>
      <c r="F75" s="319">
        <f>$D75*'MWh Impact Summary'!N$16</f>
        <v>1082.5247220675233</v>
      </c>
      <c r="G75" s="319">
        <f>$D75*'MWh Impact Summary'!C$16</f>
        <v>27651.738038686686</v>
      </c>
      <c r="H75" s="319">
        <f>$D75*'MWh Impact Summary'!D$16</f>
        <v>28.204226317701519</v>
      </c>
      <c r="I75" s="319">
        <f>$D75*'MWh Impact Summary'!E$16</f>
        <v>12309.231301393003</v>
      </c>
      <c r="J75" s="104">
        <f t="shared" si="44"/>
        <v>74806.679965875795</v>
      </c>
      <c r="K75" s="298">
        <f t="shared" si="19"/>
        <v>13.15</v>
      </c>
      <c r="L75" s="299">
        <f t="shared" si="34"/>
        <v>9.2573037662794788E-2</v>
      </c>
      <c r="M75" s="297">
        <f>(30/365)</f>
        <v>8.2191780821917804E-2</v>
      </c>
      <c r="N75" s="304">
        <f>$M75*'MWh Impact Summary'!F$16</f>
        <v>31695.407639899753</v>
      </c>
      <c r="O75" s="304">
        <f>$M75*'MWh Impact Summary'!G$16</f>
        <v>0</v>
      </c>
      <c r="P75" s="304">
        <f>$M75*'MWh Impact Summary'!H$16</f>
        <v>608.72911093361256</v>
      </c>
      <c r="Q75" s="304">
        <f>$M75*'MWh Impact Summary'!I$16</f>
        <v>562.11819525078226</v>
      </c>
      <c r="R75" s="304">
        <f>$M75*'MWh Impact Summary'!J$16</f>
        <v>5701.5561281033288</v>
      </c>
      <c r="S75" s="304">
        <f>$M75*'MWh Impact Summary'!K$16</f>
        <v>0</v>
      </c>
      <c r="T75" s="304">
        <f>$M75*'MWh Impact Summary'!L$16</f>
        <v>0</v>
      </c>
      <c r="U75" s="304">
        <f>$M75*'MWh Impact Summary'!M$16</f>
        <v>0</v>
      </c>
      <c r="V75" s="304">
        <f>$M75*'LED Impact Forecast'!$H$17+$D75*'LED Impact Forecast'!$J$17</f>
        <v>0</v>
      </c>
      <c r="W75" s="304">
        <f>$M75*'CFL Impact Forecast'!$H$17+$D75*'CFL Impact Forecast'!$J$17</f>
        <v>162986.28098014137</v>
      </c>
      <c r="X75" s="304">
        <f>$M75*'EISA Incand Impact Forecast'!$G$17+$D75*'EISA Incand Impact Forecast'!$I$17</f>
        <v>0</v>
      </c>
      <c r="Y75" s="85">
        <f t="shared" si="36"/>
        <v>201554.09205432885</v>
      </c>
      <c r="Z75" s="81">
        <f t="shared" si="37"/>
        <v>276360.77202020463</v>
      </c>
      <c r="AA75" s="81"/>
      <c r="AB75" s="81">
        <f>+'MWh by mo-WgtbyActulCDH&amp;Days'!AB75</f>
        <v>4525048</v>
      </c>
      <c r="AC75" s="308">
        <f t="shared" si="45"/>
        <v>61.073555909286398</v>
      </c>
      <c r="AD75" s="309">
        <f t="shared" si="38"/>
        <v>16.531687612126056</v>
      </c>
      <c r="AE75" s="107">
        <f t="shared" si="39"/>
        <v>1.2571625560552134E-3</v>
      </c>
      <c r="AF75" s="309">
        <f t="shared" si="46"/>
        <v>44.541868297160356</v>
      </c>
      <c r="AG75" s="107">
        <f t="shared" si="40"/>
        <v>3.3872143191756923E-3</v>
      </c>
      <c r="AH75" s="119">
        <f t="shared" si="47"/>
        <v>4.6443768752309055E-3</v>
      </c>
      <c r="AI75" s="122">
        <f t="shared" si="41"/>
        <v>4.6443768752309047E-3</v>
      </c>
      <c r="AJ75" s="87" t="b">
        <f t="shared" si="48"/>
        <v>0</v>
      </c>
      <c r="AK75" s="88">
        <f t="shared" si="22"/>
        <v>7.6765411291644875E-4</v>
      </c>
      <c r="AL75" s="312">
        <f>+AC75/'MWh by month-WgtbyCDH&amp;DayLtHrs'!AC75-1</f>
        <v>-0.12475985350327545</v>
      </c>
      <c r="AM75" s="89">
        <f t="shared" si="42"/>
        <v>162986.28098014137</v>
      </c>
      <c r="AN75" s="93"/>
      <c r="AO75" s="96">
        <f t="shared" si="29"/>
        <v>36.018685543256417</v>
      </c>
      <c r="AP75" s="92">
        <f t="shared" si="28"/>
        <v>2.7390635394111342E-3</v>
      </c>
      <c r="AR75" s="94">
        <f t="shared" si="43"/>
        <v>4.6443768752309047E-3</v>
      </c>
      <c r="AS75" s="95">
        <v>314574.29537016101</v>
      </c>
      <c r="AU75" s="141">
        <v>61.073555909286398</v>
      </c>
    </row>
    <row r="76" spans="1:47">
      <c r="A76" s="78">
        <v>2010</v>
      </c>
      <c r="B76" s="78">
        <v>12</v>
      </c>
      <c r="C76" s="317">
        <f t="shared" si="18"/>
        <v>42.633806123140985</v>
      </c>
      <c r="D76" s="318">
        <f t="shared" si="33"/>
        <v>2.1683298951445065E-2</v>
      </c>
      <c r="E76" s="321">
        <f>$D76*'MWh Impact Summary'!B$16</f>
        <v>18411.428119185694</v>
      </c>
      <c r="F76" s="319">
        <f>$D76*'MWh Impact Summary'!N$16</f>
        <v>590.80589692252465</v>
      </c>
      <c r="G76" s="319">
        <f>$D76*'MWh Impact Summary'!C$16</f>
        <v>15091.396584653667</v>
      </c>
      <c r="H76" s="319">
        <f>$D76*'MWh Impact Summary'!D$16</f>
        <v>15.392926264824963</v>
      </c>
      <c r="I76" s="319">
        <f>$D76*'MWh Impact Summary'!E$16</f>
        <v>6717.9679975869321</v>
      </c>
      <c r="J76" s="104">
        <f t="shared" si="44"/>
        <v>40826.991524613637</v>
      </c>
      <c r="K76" s="298">
        <f t="shared" si="19"/>
        <v>13.483333333333333</v>
      </c>
      <c r="L76" s="299">
        <f t="shared" si="34"/>
        <v>9.491962923853102E-2</v>
      </c>
      <c r="M76" s="297">
        <f t="shared" si="35"/>
        <v>8.4931506849315067E-2</v>
      </c>
      <c r="N76" s="304">
        <f>$M76*'MWh Impact Summary'!F$16</f>
        <v>32751.921227896411</v>
      </c>
      <c r="O76" s="304">
        <f>$M76*'MWh Impact Summary'!G$16</f>
        <v>0</v>
      </c>
      <c r="P76" s="304">
        <f>$M76*'MWh Impact Summary'!H$16</f>
        <v>629.02008129806632</v>
      </c>
      <c r="Q76" s="304">
        <f>$M76*'MWh Impact Summary'!I$16</f>
        <v>580.85546842580834</v>
      </c>
      <c r="R76" s="304">
        <f>$M76*'MWh Impact Summary'!J$16</f>
        <v>5891.6079990401058</v>
      </c>
      <c r="S76" s="304">
        <f>$M76*'MWh Impact Summary'!K$16</f>
        <v>0</v>
      </c>
      <c r="T76" s="304">
        <f>$M76*'MWh Impact Summary'!L$16</f>
        <v>0</v>
      </c>
      <c r="U76" s="304">
        <f>$M76*'MWh Impact Summary'!M$16</f>
        <v>0</v>
      </c>
      <c r="V76" s="304">
        <f>$M76*'LED Impact Forecast'!$H$17+$D76*'LED Impact Forecast'!$J$17</f>
        <v>0</v>
      </c>
      <c r="W76" s="304">
        <f>$M76*'CFL Impact Forecast'!$H$17+$D76*'CFL Impact Forecast'!$J$17</f>
        <v>162461.55689128692</v>
      </c>
      <c r="X76" s="304">
        <f>$M76*'EISA Incand Impact Forecast'!$G$17+$D76*'EISA Incand Impact Forecast'!$I$17</f>
        <v>0</v>
      </c>
      <c r="Y76" s="85">
        <f t="shared" si="36"/>
        <v>202314.9616679473</v>
      </c>
      <c r="Z76" s="81">
        <f t="shared" si="37"/>
        <v>243141.95319256093</v>
      </c>
      <c r="AA76" s="81">
        <f>SUM(Z65:Z76)</f>
        <v>4494005.9847322749</v>
      </c>
      <c r="AB76" s="81">
        <f>+'MWh by mo-WgtbyActulCDH&amp;Days'!AB76</f>
        <v>4527028</v>
      </c>
      <c r="AC76" s="308">
        <f t="shared" si="45"/>
        <v>53.708957221506239</v>
      </c>
      <c r="AD76" s="309">
        <f t="shared" si="38"/>
        <v>9.0184976820584346</v>
      </c>
      <c r="AE76" s="107">
        <f t="shared" si="39"/>
        <v>6.688626216606998E-4</v>
      </c>
      <c r="AF76" s="309">
        <f t="shared" si="46"/>
        <v>44.690459539447801</v>
      </c>
      <c r="AG76" s="107">
        <f t="shared" si="40"/>
        <v>3.3144963811704178E-3</v>
      </c>
      <c r="AH76" s="119">
        <f t="shared" si="47"/>
        <v>3.9833590028311178E-3</v>
      </c>
      <c r="AI76" s="122">
        <f t="shared" si="41"/>
        <v>3.9833590028311178E-3</v>
      </c>
      <c r="AJ76" s="87" t="b">
        <f t="shared" si="48"/>
        <v>1</v>
      </c>
      <c r="AK76" s="88">
        <f t="shared" si="22"/>
        <v>6.5505243894037118E-4</v>
      </c>
      <c r="AL76" s="312">
        <f>+AC76/'MWh by month-WgtbyCDH&amp;DayLtHrs'!AC76-1</f>
        <v>-0.1548931560460447</v>
      </c>
      <c r="AM76" s="89">
        <f t="shared" si="42"/>
        <v>162461.55689128692</v>
      </c>
      <c r="AN76" s="90">
        <f>SUM(AM65:AM76)</f>
        <v>2141886.9768811991</v>
      </c>
      <c r="AO76" s="96">
        <f t="shared" si="29"/>
        <v>35.887022764446542</v>
      </c>
      <c r="AP76" s="92">
        <f t="shared" si="28"/>
        <v>2.6615838885868884E-3</v>
      </c>
      <c r="AR76" s="94">
        <f t="shared" si="43"/>
        <v>3.9833590028311178E-3</v>
      </c>
      <c r="AS76" s="95">
        <v>258947.55583039363</v>
      </c>
      <c r="AU76" s="141">
        <v>53.708957221506239</v>
      </c>
    </row>
    <row r="77" spans="1:47">
      <c r="A77" s="78">
        <v>2011</v>
      </c>
      <c r="B77" s="78">
        <v>1</v>
      </c>
      <c r="C77" s="317">
        <f t="shared" si="18"/>
        <v>26.112829868525239</v>
      </c>
      <c r="D77" s="318">
        <f t="shared" ref="D77:D87" si="49">C77/(SUM(C$77:C$88))</f>
        <v>1.3280829182176284E-2</v>
      </c>
      <c r="E77" s="321">
        <f>$D77*'MWh Impact Summary'!B$17</f>
        <v>13432.76634073208</v>
      </c>
      <c r="F77" s="319">
        <f>$D77*'MWh Impact Summary'!N$17</f>
        <v>490.05190395476524</v>
      </c>
      <c r="G77" s="319">
        <f>$D77*'MWh Impact Summary'!C$17</f>
        <v>11201.470711571277</v>
      </c>
      <c r="H77" s="319">
        <f>$D77*'MWh Impact Summary'!D$17</f>
        <v>19.643916772745104</v>
      </c>
      <c r="I77" s="319">
        <f>$D77*'MWh Impact Summary'!E$17</f>
        <v>4811.3671615230787</v>
      </c>
      <c r="J77" s="104">
        <f t="shared" si="44"/>
        <v>29955.300034553944</v>
      </c>
      <c r="K77" s="298">
        <f t="shared" si="19"/>
        <v>13.3</v>
      </c>
      <c r="L77" s="299">
        <f t="shared" ref="L77:L87" si="50">K77/(SUM(K$77:K$88))</f>
        <v>9.3629003871876101E-2</v>
      </c>
      <c r="M77" s="297">
        <f>(31/365)</f>
        <v>8.4931506849315067E-2</v>
      </c>
      <c r="N77" s="304">
        <f>$M77*'MWh Impact Summary'!F$17</f>
        <v>41360.554028076185</v>
      </c>
      <c r="O77" s="304">
        <f>$M77*'MWh Impact Summary'!G$17</f>
        <v>0</v>
      </c>
      <c r="P77" s="304">
        <f>$M77*'MWh Impact Summary'!H$17</f>
        <v>1310.2888089999105</v>
      </c>
      <c r="Q77" s="304">
        <f>$M77*'MWh Impact Summary'!I$17</f>
        <v>673.45338262313226</v>
      </c>
      <c r="R77" s="304">
        <f>$M77*'MWh Impact Summary'!J$17</f>
        <v>9083.059220915311</v>
      </c>
      <c r="S77" s="304">
        <f>$M77*'MWh Impact Summary'!K$17</f>
        <v>0</v>
      </c>
      <c r="T77" s="304">
        <f>$M77*'MWh Impact Summary'!L$17</f>
        <v>0</v>
      </c>
      <c r="U77" s="304">
        <f>$M77*'MWh Impact Summary'!M$17</f>
        <v>0</v>
      </c>
      <c r="V77" s="304">
        <f>$M77*'LED Impact Forecast'!$H$18+$D77*'LED Impact Forecast'!$J$18</f>
        <v>0</v>
      </c>
      <c r="W77" s="304">
        <f>$M77*'CFL Impact Forecast'!$H$18+$D77*'CFL Impact Forecast'!$J$18</f>
        <v>180452.16394754563</v>
      </c>
      <c r="X77" s="304">
        <f>$M77*'EISA Incand Impact Forecast'!$G$18+$D77*'EISA Incand Impact Forecast'!$I$18</f>
        <v>0</v>
      </c>
      <c r="Y77" s="85">
        <f t="shared" si="36"/>
        <v>232879.51938816017</v>
      </c>
      <c r="Z77" s="81">
        <f t="shared" si="37"/>
        <v>262834.81942271412</v>
      </c>
      <c r="AA77" s="81"/>
      <c r="AB77" s="81">
        <f>+'MWh by mo-WgtbyActulCDH&amp;Days'!AB77</f>
        <v>4533029</v>
      </c>
      <c r="AC77" s="308">
        <f t="shared" si="45"/>
        <v>57.982161469232629</v>
      </c>
      <c r="AD77" s="309">
        <f t="shared" si="38"/>
        <v>6.6082303983834967</v>
      </c>
      <c r="AE77" s="107">
        <f t="shared" si="39"/>
        <v>4.96859428449887E-4</v>
      </c>
      <c r="AF77" s="309">
        <f t="shared" si="46"/>
        <v>51.373931070849132</v>
      </c>
      <c r="AG77" s="107">
        <f t="shared" si="40"/>
        <v>3.8627015842743707E-3</v>
      </c>
      <c r="AH77" s="119">
        <f t="shared" si="47"/>
        <v>4.3595610127242579E-3</v>
      </c>
      <c r="AI77" s="122">
        <f t="shared" si="41"/>
        <v>4.3595610127242571E-3</v>
      </c>
      <c r="AJ77" s="87" t="b">
        <f t="shared" si="48"/>
        <v>1</v>
      </c>
      <c r="AK77" s="88">
        <f t="shared" si="22"/>
        <v>6.0633445430824514E-4</v>
      </c>
      <c r="AL77" s="312">
        <f>+AC77/'MWh by month-WgtbyCDH&amp;DayLtHrs'!AC77-1</f>
        <v>-0.15979802080032079</v>
      </c>
      <c r="AM77" s="89">
        <f t="shared" si="42"/>
        <v>180452.16394754563</v>
      </c>
      <c r="AN77" s="93"/>
      <c r="AO77" s="96">
        <f t="shared" si="29"/>
        <v>39.808296824826314</v>
      </c>
      <c r="AP77" s="92">
        <f t="shared" si="28"/>
        <v>2.9931050244230311E-3</v>
      </c>
      <c r="AR77" s="94">
        <f t="shared" si="43"/>
        <v>4.3595610127242571E-3</v>
      </c>
      <c r="AS77" s="95">
        <v>291644.66337637795</v>
      </c>
      <c r="AU77" s="141">
        <v>57.982161469232629</v>
      </c>
    </row>
    <row r="78" spans="1:47">
      <c r="A78" s="78">
        <v>2011</v>
      </c>
      <c r="B78" s="78">
        <v>2</v>
      </c>
      <c r="C78" s="317">
        <f t="shared" si="18"/>
        <v>35.042184420393127</v>
      </c>
      <c r="D78" s="318">
        <f t="shared" si="49"/>
        <v>1.7822245532205266E-2</v>
      </c>
      <c r="E78" s="321">
        <f>$D78*'MWh Impact Summary'!B$17</f>
        <v>18026.138023261556</v>
      </c>
      <c r="F78" s="319">
        <f>$D78*'MWh Impact Summary'!N$17</f>
        <v>657.62651081514161</v>
      </c>
      <c r="G78" s="319">
        <f>$D78*'MWh Impact Summary'!C$17</f>
        <v>15031.84466910791</v>
      </c>
      <c r="H78" s="319">
        <f>$D78*'MWh Impact Summary'!D$17</f>
        <v>26.361208561278932</v>
      </c>
      <c r="I78" s="319">
        <f>$D78*'MWh Impact Summary'!E$17</f>
        <v>6456.6274983293151</v>
      </c>
      <c r="J78" s="104">
        <f t="shared" si="44"/>
        <v>40198.597910075201</v>
      </c>
      <c r="K78" s="298">
        <f t="shared" si="19"/>
        <v>12.733333333333333</v>
      </c>
      <c r="L78" s="299">
        <f t="shared" si="50"/>
        <v>8.9639798193124468E-2</v>
      </c>
      <c r="M78" s="297">
        <f>(28/365)</f>
        <v>7.6712328767123292E-2</v>
      </c>
      <c r="N78" s="304">
        <f>$M78*'MWh Impact Summary'!F$17</f>
        <v>37357.919767294625</v>
      </c>
      <c r="O78" s="304">
        <f>$M78*'MWh Impact Summary'!G$17</f>
        <v>0</v>
      </c>
      <c r="P78" s="304">
        <f>$M78*'MWh Impact Summary'!H$17</f>
        <v>1183.4866661934677</v>
      </c>
      <c r="Q78" s="304">
        <f>$M78*'MWh Impact Summary'!I$17</f>
        <v>608.28047462734526</v>
      </c>
      <c r="R78" s="304">
        <f>$M78*'MWh Impact Summary'!J$17</f>
        <v>8204.0534898589904</v>
      </c>
      <c r="S78" s="304">
        <f>$M78*'MWh Impact Summary'!K$17</f>
        <v>0</v>
      </c>
      <c r="T78" s="304">
        <f>$M78*'MWh Impact Summary'!L$17</f>
        <v>0</v>
      </c>
      <c r="U78" s="304">
        <f>$M78*'MWh Impact Summary'!M$17</f>
        <v>0</v>
      </c>
      <c r="V78" s="304">
        <f>$M78*'LED Impact Forecast'!$H$18+$D78*'LED Impact Forecast'!$J$18</f>
        <v>0</v>
      </c>
      <c r="W78" s="304">
        <f>$M78*'CFL Impact Forecast'!$H$18+$D78*'CFL Impact Forecast'!$J$18</f>
        <v>165016.28376620286</v>
      </c>
      <c r="X78" s="304">
        <f>$M78*'EISA Incand Impact Forecast'!$G$18+$D78*'EISA Incand Impact Forecast'!$I$18</f>
        <v>0</v>
      </c>
      <c r="Y78" s="85">
        <f t="shared" si="36"/>
        <v>212370.0241641773</v>
      </c>
      <c r="Z78" s="81">
        <f t="shared" si="37"/>
        <v>252568.62207425252</v>
      </c>
      <c r="AA78" s="81"/>
      <c r="AB78" s="81">
        <f>+'MWh by mo-WgtbyActulCDH&amp;Days'!AB78</f>
        <v>4539389</v>
      </c>
      <c r="AC78" s="308">
        <f t="shared" si="45"/>
        <v>55.639343108566486</v>
      </c>
      <c r="AD78" s="309">
        <f t="shared" si="38"/>
        <v>8.8555085078796285</v>
      </c>
      <c r="AE78" s="107">
        <f t="shared" si="39"/>
        <v>6.9545878334133216E-4</v>
      </c>
      <c r="AF78" s="309">
        <f t="shared" si="46"/>
        <v>46.783834600686852</v>
      </c>
      <c r="AG78" s="107">
        <f t="shared" si="40"/>
        <v>3.6741231361795959E-3</v>
      </c>
      <c r="AH78" s="119">
        <f t="shared" si="47"/>
        <v>4.3695819195209281E-3</v>
      </c>
      <c r="AI78" s="122">
        <f t="shared" si="41"/>
        <v>4.369581919520929E-3</v>
      </c>
      <c r="AJ78" s="87" t="b">
        <f t="shared" si="48"/>
        <v>1</v>
      </c>
      <c r="AK78" s="88">
        <f t="shared" si="22"/>
        <v>6.1319015329862206E-4</v>
      </c>
      <c r="AL78" s="312">
        <f>+AC78/'MWh by month-WgtbyCDH&amp;DayLtHrs'!AC78-1</f>
        <v>-0.18912670137374998</v>
      </c>
      <c r="AM78" s="89">
        <f t="shared" si="42"/>
        <v>165016.28376620286</v>
      </c>
      <c r="AN78" s="93"/>
      <c r="AO78" s="96">
        <f t="shared" si="29"/>
        <v>36.352091386352406</v>
      </c>
      <c r="AP78" s="92">
        <f t="shared" si="28"/>
        <v>2.8548762868863147E-3</v>
      </c>
      <c r="AR78" s="94">
        <f t="shared" si="43"/>
        <v>4.369581919520929E-3</v>
      </c>
      <c r="AS78" s="95">
        <v>271269.7836528655</v>
      </c>
      <c r="AU78" s="141">
        <v>55.639343108566486</v>
      </c>
    </row>
    <row r="79" spans="1:47">
      <c r="A79" s="78">
        <v>2011</v>
      </c>
      <c r="B79" s="78">
        <v>3</v>
      </c>
      <c r="C79" s="317">
        <f t="shared" si="18"/>
        <v>64.582270600115152</v>
      </c>
      <c r="D79" s="318">
        <f t="shared" si="49"/>
        <v>3.2846156787895278E-2</v>
      </c>
      <c r="E79" s="321">
        <f>$D79*'MWh Impact Summary'!B$17</f>
        <v>33221.927883462762</v>
      </c>
      <c r="F79" s="319">
        <f>$D79*'MWh Impact Summary'!N$17</f>
        <v>1211.9967398652416</v>
      </c>
      <c r="G79" s="319">
        <f>$D79*'MWh Impact Summary'!C$17</f>
        <v>27703.485844171999</v>
      </c>
      <c r="H79" s="319">
        <f>$D79*'MWh Impact Summary'!D$17</f>
        <v>48.583349834202174</v>
      </c>
      <c r="I79" s="319">
        <f>$D79*'MWh Impact Summary'!E$17</f>
        <v>11899.476906427695</v>
      </c>
      <c r="J79" s="104">
        <f t="shared" si="44"/>
        <v>74085.4707237619</v>
      </c>
      <c r="K79" s="298">
        <f t="shared" si="19"/>
        <v>12</v>
      </c>
      <c r="L79" s="299">
        <f t="shared" si="50"/>
        <v>8.4477296726504739E-2</v>
      </c>
      <c r="M79" s="297">
        <f t="shared" ref="M79:M88" si="51">(31/365)</f>
        <v>8.4931506849315067E-2</v>
      </c>
      <c r="N79" s="304">
        <f>$M79*'MWh Impact Summary'!F$17</f>
        <v>41360.554028076185</v>
      </c>
      <c r="O79" s="304">
        <f>$M79*'MWh Impact Summary'!G$17</f>
        <v>0</v>
      </c>
      <c r="P79" s="304">
        <f>$M79*'MWh Impact Summary'!H$17</f>
        <v>1310.2888089999105</v>
      </c>
      <c r="Q79" s="304">
        <f>$M79*'MWh Impact Summary'!I$17</f>
        <v>673.45338262313226</v>
      </c>
      <c r="R79" s="304">
        <f>$M79*'MWh Impact Summary'!J$17</f>
        <v>9083.059220915311</v>
      </c>
      <c r="S79" s="304">
        <f>$M79*'MWh Impact Summary'!K$17</f>
        <v>0</v>
      </c>
      <c r="T79" s="304">
        <f>$M79*'MWh Impact Summary'!L$17</f>
        <v>0</v>
      </c>
      <c r="U79" s="304">
        <f>$M79*'MWh Impact Summary'!M$17</f>
        <v>0</v>
      </c>
      <c r="V79" s="304">
        <f>$M79*'LED Impact Forecast'!$H$18+$D79*'LED Impact Forecast'!$J$18</f>
        <v>0</v>
      </c>
      <c r="W79" s="304">
        <f>$M79*'CFL Impact Forecast'!$H$18+$D79*'CFL Impact Forecast'!$J$18</f>
        <v>187259.40541929897</v>
      </c>
      <c r="X79" s="304">
        <f>$M79*'EISA Incand Impact Forecast'!$G$18+$D79*'EISA Incand Impact Forecast'!$I$18</f>
        <v>0</v>
      </c>
      <c r="Y79" s="85">
        <f t="shared" si="36"/>
        <v>239686.76085991351</v>
      </c>
      <c r="Z79" s="81">
        <f t="shared" si="37"/>
        <v>313772.23158367543</v>
      </c>
      <c r="AA79" s="81"/>
      <c r="AB79" s="81">
        <f>+'MWh by mo-WgtbyActulCDH&amp;Days'!AB79</f>
        <v>4546574</v>
      </c>
      <c r="AC79" s="308">
        <f t="shared" si="45"/>
        <v>69.012894452762765</v>
      </c>
      <c r="AD79" s="309">
        <f t="shared" si="38"/>
        <v>16.294790478228641</v>
      </c>
      <c r="AE79" s="107">
        <f t="shared" si="39"/>
        <v>1.3578992065190535E-3</v>
      </c>
      <c r="AF79" s="309">
        <f t="shared" si="46"/>
        <v>52.718103974534124</v>
      </c>
      <c r="AG79" s="107">
        <f t="shared" si="40"/>
        <v>4.3931753312111766E-3</v>
      </c>
      <c r="AH79" s="119">
        <f t="shared" si="47"/>
        <v>5.7510745377302303E-3</v>
      </c>
      <c r="AI79" s="122">
        <f t="shared" si="41"/>
        <v>5.7510745377302303E-3</v>
      </c>
      <c r="AJ79" s="87" t="b">
        <f t="shared" si="48"/>
        <v>1</v>
      </c>
      <c r="AK79" s="88">
        <f t="shared" si="22"/>
        <v>8.1397635204931516E-4</v>
      </c>
      <c r="AL79" s="312">
        <f>+AC79/'MWh by month-WgtbyCDH&amp;DayLtHrs'!AC79-1</f>
        <v>-5.0228869093071782E-2</v>
      </c>
      <c r="AM79" s="89">
        <f t="shared" si="42"/>
        <v>187259.40541929897</v>
      </c>
      <c r="AN79" s="93"/>
      <c r="AO79" s="96">
        <f t="shared" si="29"/>
        <v>41.186925676190242</v>
      </c>
      <c r="AP79" s="92">
        <f t="shared" si="28"/>
        <v>3.4322438063491868E-3</v>
      </c>
      <c r="AR79" s="94">
        <f t="shared" si="43"/>
        <v>5.7510745377302303E-3</v>
      </c>
      <c r="AS79" s="95">
        <v>329734.12848243071</v>
      </c>
      <c r="AU79" s="141">
        <v>69.012894452762765</v>
      </c>
    </row>
    <row r="80" spans="1:47">
      <c r="A80" s="78">
        <v>2011</v>
      </c>
      <c r="B80" s="78">
        <v>4</v>
      </c>
      <c r="C80" s="317">
        <f t="shared" si="18"/>
        <v>114.03392869270741</v>
      </c>
      <c r="D80" s="318">
        <f t="shared" si="49"/>
        <v>5.7996974497419709E-2</v>
      </c>
      <c r="E80" s="321">
        <f>$D80*'MWh Impact Summary'!B$17</f>
        <v>58660.479417865266</v>
      </c>
      <c r="F80" s="319">
        <f>$D80*'MWh Impact Summary'!N$17</f>
        <v>2140.0416635295624</v>
      </c>
      <c r="G80" s="319">
        <f>$D80*'MWh Impact Summary'!C$17</f>
        <v>48916.479707793143</v>
      </c>
      <c r="H80" s="319">
        <f>$D80*'MWh Impact Summary'!D$17</f>
        <v>85.784383224153629</v>
      </c>
      <c r="I80" s="319">
        <f>$D80*'MWh Impact Summary'!E$17</f>
        <v>21011.093113001742</v>
      </c>
      <c r="J80" s="104">
        <f t="shared" si="44"/>
        <v>130813.87828541386</v>
      </c>
      <c r="K80" s="298">
        <f t="shared" si="19"/>
        <v>11.2</v>
      </c>
      <c r="L80" s="299">
        <f t="shared" si="50"/>
        <v>7.8845476944737758E-2</v>
      </c>
      <c r="M80" s="297">
        <f>(30/365)</f>
        <v>8.2191780821917804E-2</v>
      </c>
      <c r="N80" s="304">
        <f>$M80*'MWh Impact Summary'!F$17</f>
        <v>40026.342607815663</v>
      </c>
      <c r="O80" s="304">
        <f>$M80*'MWh Impact Summary'!G$17</f>
        <v>0</v>
      </c>
      <c r="P80" s="304">
        <f>$M80*'MWh Impact Summary'!H$17</f>
        <v>1268.0214280644295</v>
      </c>
      <c r="Q80" s="304">
        <f>$M80*'MWh Impact Summary'!I$17</f>
        <v>651.72907995786989</v>
      </c>
      <c r="R80" s="304">
        <f>$M80*'MWh Impact Summary'!J$17</f>
        <v>8790.0573105632047</v>
      </c>
      <c r="S80" s="304">
        <f>$M80*'MWh Impact Summary'!K$17</f>
        <v>0</v>
      </c>
      <c r="T80" s="304">
        <f>$M80*'MWh Impact Summary'!L$17</f>
        <v>0</v>
      </c>
      <c r="U80" s="304">
        <f>$M80*'MWh Impact Summary'!M$17</f>
        <v>0</v>
      </c>
      <c r="V80" s="304">
        <f>$M80*'LED Impact Forecast'!$H$18+$D80*'LED Impact Forecast'!$J$18</f>
        <v>0</v>
      </c>
      <c r="W80" s="304">
        <f>$M80*'CFL Impact Forecast'!$H$18+$D80*'CFL Impact Forecast'!$J$18</f>
        <v>190337.98914957288</v>
      </c>
      <c r="X80" s="304">
        <f>$M80*'EISA Incand Impact Forecast'!$G$18+$D80*'EISA Incand Impact Forecast'!$I$18</f>
        <v>0</v>
      </c>
      <c r="Y80" s="85">
        <f t="shared" si="36"/>
        <v>241074.13957597406</v>
      </c>
      <c r="Z80" s="81">
        <f t="shared" si="37"/>
        <v>371888.01786138793</v>
      </c>
      <c r="AA80" s="81"/>
      <c r="AB80" s="81">
        <f>+'MWh by mo-WgtbyActulCDH&amp;Days'!AB80</f>
        <v>4550254</v>
      </c>
      <c r="AC80" s="308">
        <f t="shared" si="45"/>
        <v>81.729067841353015</v>
      </c>
      <c r="AD80" s="309">
        <f t="shared" si="38"/>
        <v>28.74869804749666</v>
      </c>
      <c r="AE80" s="107">
        <f t="shared" si="39"/>
        <v>2.5668480399550593E-3</v>
      </c>
      <c r="AF80" s="309">
        <f t="shared" si="46"/>
        <v>52.980369793856354</v>
      </c>
      <c r="AG80" s="107">
        <f t="shared" si="40"/>
        <v>4.7303901601657462E-3</v>
      </c>
      <c r="AH80" s="119">
        <f t="shared" si="47"/>
        <v>7.2972382001208055E-3</v>
      </c>
      <c r="AI80" s="122">
        <f t="shared" si="41"/>
        <v>7.2972382001208055E-3</v>
      </c>
      <c r="AJ80" s="87" t="b">
        <f t="shared" si="48"/>
        <v>1</v>
      </c>
      <c r="AK80" s="88">
        <f t="shared" si="22"/>
        <v>1.0480815338346355E-3</v>
      </c>
      <c r="AL80" s="312">
        <f>+AC80/'MWh by month-WgtbyCDH&amp;DayLtHrs'!AC80-1</f>
        <v>3.1152751301986026E-3</v>
      </c>
      <c r="AM80" s="89">
        <f t="shared" si="42"/>
        <v>190337.98914957288</v>
      </c>
      <c r="AN80" s="93"/>
      <c r="AO80" s="96">
        <f t="shared" si="29"/>
        <v>41.83018995193958</v>
      </c>
      <c r="AP80" s="92">
        <f t="shared" si="28"/>
        <v>3.7348383885660343E-3</v>
      </c>
      <c r="AR80" s="94">
        <f t="shared" si="43"/>
        <v>7.2972382001208055E-3</v>
      </c>
      <c r="AS80" s="95">
        <v>389711.18757361744</v>
      </c>
      <c r="AU80" s="141">
        <v>81.729067841353015</v>
      </c>
    </row>
    <row r="81" spans="1:47">
      <c r="A81" s="78">
        <v>2011</v>
      </c>
      <c r="B81" s="78">
        <v>5</v>
      </c>
      <c r="C81" s="317">
        <f t="shared" si="18"/>
        <v>208.47875842628665</v>
      </c>
      <c r="D81" s="318">
        <f t="shared" si="49"/>
        <v>0.10603105035770212</v>
      </c>
      <c r="E81" s="321">
        <f>$D81*'MWh Impact Summary'!B$17</f>
        <v>107244.08128288385</v>
      </c>
      <c r="F81" s="319">
        <f>$D81*'MWh Impact Summary'!N$17</f>
        <v>3912.4603888325059</v>
      </c>
      <c r="G81" s="319">
        <f>$D81*'MWh Impact Summary'!C$17</f>
        <v>89429.936098637074</v>
      </c>
      <c r="H81" s="319">
        <f>$D81*'MWh Impact Summary'!D$17</f>
        <v>156.8324612855335</v>
      </c>
      <c r="I81" s="319">
        <f>$D81*'MWh Impact Summary'!E$17</f>
        <v>38412.836035682725</v>
      </c>
      <c r="J81" s="104">
        <f t="shared" si="44"/>
        <v>239156.14626732169</v>
      </c>
      <c r="K81" s="298">
        <f t="shared" si="19"/>
        <v>10.533333333333333</v>
      </c>
      <c r="L81" s="299">
        <f t="shared" si="50"/>
        <v>7.4152293793265281E-2</v>
      </c>
      <c r="M81" s="297">
        <f t="shared" si="51"/>
        <v>8.4931506849315067E-2</v>
      </c>
      <c r="N81" s="304">
        <f>$M81*'MWh Impact Summary'!F$17</f>
        <v>41360.554028076185</v>
      </c>
      <c r="O81" s="304">
        <f>$M81*'MWh Impact Summary'!G$17</f>
        <v>0</v>
      </c>
      <c r="P81" s="304">
        <f>$M81*'MWh Impact Summary'!H$17</f>
        <v>1310.2888089999105</v>
      </c>
      <c r="Q81" s="304">
        <f>$M81*'MWh Impact Summary'!I$17</f>
        <v>673.45338262313226</v>
      </c>
      <c r="R81" s="304">
        <f>$M81*'MWh Impact Summary'!J$17</f>
        <v>9083.059220915311</v>
      </c>
      <c r="S81" s="304">
        <f>$M81*'MWh Impact Summary'!K$17</f>
        <v>0</v>
      </c>
      <c r="T81" s="304">
        <f>$M81*'MWh Impact Summary'!L$17</f>
        <v>0</v>
      </c>
      <c r="U81" s="304">
        <f>$M81*'MWh Impact Summary'!M$17</f>
        <v>0</v>
      </c>
      <c r="V81" s="304">
        <f>$M81*'LED Impact Forecast'!$H$18+$D81*'LED Impact Forecast'!$J$18</f>
        <v>0</v>
      </c>
      <c r="W81" s="304">
        <f>$M81*'CFL Impact Forecast'!$H$18+$D81*'CFL Impact Forecast'!$J$18</f>
        <v>212722.16549435246</v>
      </c>
      <c r="X81" s="304">
        <f>$M81*'EISA Incand Impact Forecast'!$G$18+$D81*'EISA Incand Impact Forecast'!$I$18</f>
        <v>0</v>
      </c>
      <c r="Y81" s="85">
        <f t="shared" si="36"/>
        <v>265149.52093496697</v>
      </c>
      <c r="Z81" s="81">
        <f t="shared" si="37"/>
        <v>504305.66720228863</v>
      </c>
      <c r="AA81" s="81"/>
      <c r="AB81" s="81">
        <f>+'MWh by mo-WgtbyActulCDH&amp;Days'!AB81</f>
        <v>4549811</v>
      </c>
      <c r="AC81" s="308">
        <f t="shared" si="45"/>
        <v>110.84101453934869</v>
      </c>
      <c r="AD81" s="309">
        <f t="shared" si="38"/>
        <v>52.563973815026969</v>
      </c>
      <c r="AE81" s="107">
        <f t="shared" si="39"/>
        <v>4.9902506786418006E-3</v>
      </c>
      <c r="AF81" s="309">
        <f t="shared" si="46"/>
        <v>58.277040724321729</v>
      </c>
      <c r="AG81" s="107">
        <f t="shared" si="40"/>
        <v>5.5326304485115571E-3</v>
      </c>
      <c r="AH81" s="119">
        <f t="shared" si="47"/>
        <v>1.0522881127153359E-2</v>
      </c>
      <c r="AI81" s="122">
        <f t="shared" si="41"/>
        <v>1.0522881127153357E-2</v>
      </c>
      <c r="AJ81" s="87" t="b">
        <f t="shared" si="48"/>
        <v>1</v>
      </c>
      <c r="AK81" s="88">
        <f t="shared" si="22"/>
        <v>1.5388388783203946E-3</v>
      </c>
      <c r="AL81" s="312">
        <f>+AC81/'MWh by month-WgtbyCDH&amp;DayLtHrs'!AC81-1</f>
        <v>8.3501232287973126E-2</v>
      </c>
      <c r="AM81" s="89">
        <f t="shared" si="42"/>
        <v>212722.16549435246</v>
      </c>
      <c r="AN81" s="93"/>
      <c r="AO81" s="96">
        <f t="shared" si="29"/>
        <v>46.754066376461012</v>
      </c>
      <c r="AP81" s="92">
        <f t="shared" si="28"/>
        <v>4.4386771876387043E-3</v>
      </c>
      <c r="AR81" s="94">
        <f t="shared" si="43"/>
        <v>1.0522881127153357E-2</v>
      </c>
      <c r="AS81" s="95">
        <v>471746.54588684964</v>
      </c>
      <c r="AU81" s="141">
        <v>110.84101453934869</v>
      </c>
    </row>
    <row r="82" spans="1:47">
      <c r="A82" s="78">
        <v>2011</v>
      </c>
      <c r="B82" s="78">
        <v>6</v>
      </c>
      <c r="C82" s="317">
        <f t="shared" ref="C82:C145" si="52">+C70</f>
        <v>271.66325293295364</v>
      </c>
      <c r="D82" s="318">
        <f t="shared" si="49"/>
        <v>0.13816630657965029</v>
      </c>
      <c r="E82" s="321">
        <f>$D82*'MWh Impact Summary'!B$17</f>
        <v>139746.97565850828</v>
      </c>
      <c r="F82" s="319">
        <f>$D82*'MWh Impact Summary'!N$17</f>
        <v>5098.2254701856082</v>
      </c>
      <c r="G82" s="319">
        <f>$D82*'MWh Impact Summary'!C$17</f>
        <v>116533.82595681574</v>
      </c>
      <c r="H82" s="319">
        <f>$D82*'MWh Impact Summary'!D$17</f>
        <v>204.3643051211566</v>
      </c>
      <c r="I82" s="319">
        <f>$D82*'MWh Impact Summary'!E$17</f>
        <v>50054.768507859546</v>
      </c>
      <c r="J82" s="104">
        <f t="shared" si="44"/>
        <v>311638.1598984903</v>
      </c>
      <c r="K82" s="298">
        <f t="shared" ref="K82:K145" si="53">+K70</f>
        <v>10.199999999999999</v>
      </c>
      <c r="L82" s="299">
        <f t="shared" si="50"/>
        <v>7.1805702217529022E-2</v>
      </c>
      <c r="M82" s="297">
        <f>(30/365)</f>
        <v>8.2191780821917804E-2</v>
      </c>
      <c r="N82" s="304">
        <f>$M82*'MWh Impact Summary'!F$17</f>
        <v>40026.342607815663</v>
      </c>
      <c r="O82" s="304">
        <f>$M82*'MWh Impact Summary'!G$17</f>
        <v>0</v>
      </c>
      <c r="P82" s="304">
        <f>$M82*'MWh Impact Summary'!H$17</f>
        <v>1268.0214280644295</v>
      </c>
      <c r="Q82" s="304">
        <f>$M82*'MWh Impact Summary'!I$17</f>
        <v>651.72907995786989</v>
      </c>
      <c r="R82" s="304">
        <f>$M82*'MWh Impact Summary'!J$17</f>
        <v>8790.0573105632047</v>
      </c>
      <c r="S82" s="304">
        <f>$M82*'MWh Impact Summary'!K$17</f>
        <v>0</v>
      </c>
      <c r="T82" s="304">
        <f>$M82*'MWh Impact Summary'!L$17</f>
        <v>0</v>
      </c>
      <c r="U82" s="304">
        <f>$M82*'MWh Impact Summary'!M$17</f>
        <v>0</v>
      </c>
      <c r="V82" s="304">
        <f>$M82*'LED Impact Forecast'!$H$18+$D82*'LED Impact Forecast'!$J$18</f>
        <v>0</v>
      </c>
      <c r="W82" s="304">
        <f>$M82*'CFL Impact Forecast'!$H$18+$D82*'CFL Impact Forecast'!$J$18</f>
        <v>218230.80102119248</v>
      </c>
      <c r="X82" s="304">
        <f>$M82*'EISA Incand Impact Forecast'!$G$18+$D82*'EISA Incand Impact Forecast'!$I$18</f>
        <v>0</v>
      </c>
      <c r="Y82" s="85">
        <f t="shared" si="36"/>
        <v>268966.95144759363</v>
      </c>
      <c r="Z82" s="81">
        <f t="shared" si="37"/>
        <v>580605.11134608393</v>
      </c>
      <c r="AA82" s="81"/>
      <c r="AB82" s="81">
        <f>+'MWh by mo-WgtbyActulCDH&amp;Days'!AB82</f>
        <v>4549338</v>
      </c>
      <c r="AC82" s="308">
        <f t="shared" si="45"/>
        <v>127.62408758067303</v>
      </c>
      <c r="AD82" s="309">
        <f t="shared" si="38"/>
        <v>68.501869920082953</v>
      </c>
      <c r="AE82" s="107">
        <f t="shared" si="39"/>
        <v>6.7158696000081336E-3</v>
      </c>
      <c r="AF82" s="309">
        <f t="shared" si="46"/>
        <v>59.122217660590096</v>
      </c>
      <c r="AG82" s="107">
        <f t="shared" si="40"/>
        <v>5.7962958490774602E-3</v>
      </c>
      <c r="AH82" s="119">
        <f t="shared" si="47"/>
        <v>1.2512165449085594E-2</v>
      </c>
      <c r="AI82" s="122">
        <f t="shared" si="41"/>
        <v>1.2512165449085594E-2</v>
      </c>
      <c r="AJ82" s="87" t="b">
        <f t="shared" si="48"/>
        <v>1</v>
      </c>
      <c r="AK82" s="88">
        <f t="shared" si="22"/>
        <v>1.845630283281146E-3</v>
      </c>
      <c r="AL82" s="312">
        <f>+AC82/'MWh by month-WgtbyCDH&amp;DayLtHrs'!AC82-1</f>
        <v>9.3201047970584039E-2</v>
      </c>
      <c r="AM82" s="89">
        <f t="shared" si="42"/>
        <v>218230.80102119248</v>
      </c>
      <c r="AN82" s="93"/>
      <c r="AO82" s="96">
        <f t="shared" si="29"/>
        <v>47.969792752526303</v>
      </c>
      <c r="AP82" s="92">
        <f t="shared" si="28"/>
        <v>4.7029208580908139E-3</v>
      </c>
      <c r="AR82" s="94">
        <f t="shared" si="43"/>
        <v>1.2512165449085594E-2</v>
      </c>
      <c r="AS82" s="95">
        <v>578320.56171354384</v>
      </c>
      <c r="AU82" s="141">
        <v>127.62408758067303</v>
      </c>
    </row>
    <row r="83" spans="1:47">
      <c r="A83" s="78">
        <v>2011</v>
      </c>
      <c r="B83" s="78">
        <v>7</v>
      </c>
      <c r="C83" s="317">
        <f t="shared" si="52"/>
        <v>322.31916585708109</v>
      </c>
      <c r="D83" s="318">
        <f t="shared" si="49"/>
        <v>0.16392960109808263</v>
      </c>
      <c r="E83" s="321">
        <f>$D83*'MWh Impact Summary'!B$17</f>
        <v>165805.01094278228</v>
      </c>
      <c r="F83" s="319">
        <f>$D83*'MWh Impact Summary'!N$17</f>
        <v>6048.8702949717872</v>
      </c>
      <c r="G83" s="319">
        <f>$D83*'MWh Impact Summary'!C$17</f>
        <v>138263.40210173797</v>
      </c>
      <c r="H83" s="319">
        <f>$D83*'MWh Impact Summary'!D$17</f>
        <v>242.4712641347559</v>
      </c>
      <c r="I83" s="319">
        <f>$D83*'MWh Impact Summary'!E$17</f>
        <v>59388.272276207885</v>
      </c>
      <c r="J83" s="104">
        <f t="shared" si="44"/>
        <v>369748.02687983465</v>
      </c>
      <c r="K83" s="298">
        <f t="shared" si="53"/>
        <v>10.366666666666667</v>
      </c>
      <c r="L83" s="299">
        <f t="shared" si="50"/>
        <v>7.2978998005397158E-2</v>
      </c>
      <c r="M83" s="297">
        <f t="shared" si="51"/>
        <v>8.4931506849315067E-2</v>
      </c>
      <c r="N83" s="304">
        <f>$M83*'MWh Impact Summary'!F$17</f>
        <v>41360.554028076185</v>
      </c>
      <c r="O83" s="304">
        <f>$M83*'MWh Impact Summary'!G$17</f>
        <v>0</v>
      </c>
      <c r="P83" s="304">
        <f>$M83*'MWh Impact Summary'!H$17</f>
        <v>1310.2888089999105</v>
      </c>
      <c r="Q83" s="304">
        <f>$M83*'MWh Impact Summary'!I$17</f>
        <v>673.45338262313226</v>
      </c>
      <c r="R83" s="304">
        <f>$M83*'MWh Impact Summary'!J$17</f>
        <v>9083.059220915311</v>
      </c>
      <c r="S83" s="304">
        <f>$M83*'MWh Impact Summary'!K$17</f>
        <v>0</v>
      </c>
      <c r="T83" s="304">
        <f>$M83*'MWh Impact Summary'!L$17</f>
        <v>0</v>
      </c>
      <c r="U83" s="304">
        <f>$M83*'MWh Impact Summary'!M$17</f>
        <v>0</v>
      </c>
      <c r="V83" s="304">
        <f>$M83*'LED Impact Forecast'!$H$18+$D83*'LED Impact Forecast'!$J$18</f>
        <v>0</v>
      </c>
      <c r="W83" s="304">
        <f>$M83*'CFL Impact Forecast'!$H$18+$D83*'CFL Impact Forecast'!$J$18</f>
        <v>232866.44437875651</v>
      </c>
      <c r="X83" s="304">
        <f>$M83*'EISA Incand Impact Forecast'!$G$18+$D83*'EISA Incand Impact Forecast'!$I$18</f>
        <v>0</v>
      </c>
      <c r="Y83" s="85">
        <f t="shared" si="36"/>
        <v>285293.79981937108</v>
      </c>
      <c r="Z83" s="81">
        <f t="shared" si="37"/>
        <v>655041.82669920567</v>
      </c>
      <c r="AA83" s="81"/>
      <c r="AB83" s="81">
        <f>+'MWh by mo-WgtbyActulCDH&amp;Days'!AB83</f>
        <v>4549687</v>
      </c>
      <c r="AC83" s="308">
        <f t="shared" si="45"/>
        <v>143.97514086116377</v>
      </c>
      <c r="AD83" s="309">
        <f t="shared" si="38"/>
        <v>81.268893196352778</v>
      </c>
      <c r="AE83" s="107">
        <f t="shared" si="39"/>
        <v>7.8394430736031615E-3</v>
      </c>
      <c r="AF83" s="309">
        <f t="shared" si="46"/>
        <v>62.706247664811031</v>
      </c>
      <c r="AG83" s="107">
        <f t="shared" si="40"/>
        <v>6.0488341798853075E-3</v>
      </c>
      <c r="AH83" s="119">
        <f t="shared" si="47"/>
        <v>1.3888277253488469E-2</v>
      </c>
      <c r="AI83" s="122">
        <f t="shared" si="41"/>
        <v>1.3888277253488466E-2</v>
      </c>
      <c r="AJ83" s="87" t="b">
        <f t="shared" si="48"/>
        <v>1</v>
      </c>
      <c r="AK83" s="88">
        <f t="shared" si="22"/>
        <v>2.0570391118031224E-3</v>
      </c>
      <c r="AL83" s="312">
        <f>+AC83/'MWh by month-WgtbyCDH&amp;DayLtHrs'!AC83-1</f>
        <v>0.10532444838767629</v>
      </c>
      <c r="AM83" s="89">
        <f t="shared" si="42"/>
        <v>232866.44437875651</v>
      </c>
      <c r="AN83" s="93"/>
      <c r="AO83" s="96">
        <f t="shared" si="29"/>
        <v>51.182959262638619</v>
      </c>
      <c r="AP83" s="92">
        <f t="shared" si="28"/>
        <v>4.937262951379931E-3</v>
      </c>
      <c r="AR83" s="94">
        <f t="shared" si="43"/>
        <v>1.3888277253488466E-2</v>
      </c>
      <c r="AS83" s="95">
        <v>609448.78170354979</v>
      </c>
      <c r="AU83" s="141">
        <v>143.97514086116377</v>
      </c>
    </row>
    <row r="84" spans="1:47">
      <c r="A84" s="78">
        <v>2011</v>
      </c>
      <c r="B84" s="78">
        <v>8</v>
      </c>
      <c r="C84" s="317">
        <f t="shared" si="52"/>
        <v>326.45437890907908</v>
      </c>
      <c r="D84" s="318">
        <f t="shared" si="49"/>
        <v>0.16603274573816959</v>
      </c>
      <c r="E84" s="321">
        <f>$D84*'MWh Impact Summary'!B$17</f>
        <v>167932.21626584794</v>
      </c>
      <c r="F84" s="319">
        <f>$D84*'MWh Impact Summary'!N$17</f>
        <v>6126.4746388745061</v>
      </c>
      <c r="G84" s="319">
        <f>$D84*'MWh Impact Summary'!C$17</f>
        <v>140037.26070386116</v>
      </c>
      <c r="H84" s="319">
        <f>$D84*'MWh Impact Summary'!D$17</f>
        <v>245.58206374705412</v>
      </c>
      <c r="I84" s="319">
        <f>$D84*'MWh Impact Summary'!E$17</f>
        <v>60150.19767397055</v>
      </c>
      <c r="J84" s="104">
        <f t="shared" si="44"/>
        <v>374491.73134630115</v>
      </c>
      <c r="K84" s="298">
        <f t="shared" si="53"/>
        <v>10.933333333333334</v>
      </c>
      <c r="L84" s="299">
        <f t="shared" si="50"/>
        <v>7.6968203684148764E-2</v>
      </c>
      <c r="M84" s="297">
        <f t="shared" si="51"/>
        <v>8.4931506849315067E-2</v>
      </c>
      <c r="N84" s="304">
        <f>$M84*'MWh Impact Summary'!F$17</f>
        <v>41360.554028076185</v>
      </c>
      <c r="O84" s="304">
        <f>$M84*'MWh Impact Summary'!G$17</f>
        <v>0</v>
      </c>
      <c r="P84" s="304">
        <f>$M84*'MWh Impact Summary'!H$17</f>
        <v>1310.2888089999105</v>
      </c>
      <c r="Q84" s="304">
        <f>$M84*'MWh Impact Summary'!I$17</f>
        <v>673.45338262313226</v>
      </c>
      <c r="R84" s="304">
        <f>$M84*'MWh Impact Summary'!J$17</f>
        <v>9083.059220915311</v>
      </c>
      <c r="S84" s="304">
        <f>$M84*'MWh Impact Summary'!K$17</f>
        <v>0</v>
      </c>
      <c r="T84" s="304">
        <f>$M84*'MWh Impact Summary'!L$17</f>
        <v>0</v>
      </c>
      <c r="U84" s="304">
        <f>$M84*'MWh Impact Summary'!M$17</f>
        <v>0</v>
      </c>
      <c r="V84" s="304">
        <f>$M84*'LED Impact Forecast'!$H$18+$D84*'LED Impact Forecast'!$J$18</f>
        <v>0</v>
      </c>
      <c r="W84" s="304">
        <f>$M84*'CFL Impact Forecast'!$H$18+$D84*'CFL Impact Forecast'!$J$18</f>
        <v>233598.17827576067</v>
      </c>
      <c r="X84" s="304">
        <f>$M84*'EISA Incand Impact Forecast'!$G$18+$D84*'EISA Incand Impact Forecast'!$I$18</f>
        <v>0</v>
      </c>
      <c r="Y84" s="85">
        <f t="shared" si="36"/>
        <v>286025.53371637524</v>
      </c>
      <c r="Z84" s="81">
        <f t="shared" si="37"/>
        <v>660517.26506267639</v>
      </c>
      <c r="AA84" s="81"/>
      <c r="AB84" s="81">
        <f>+'MWh by mo-WgtbyActulCDH&amp;Days'!AB84</f>
        <v>4550328</v>
      </c>
      <c r="AC84" s="308">
        <f t="shared" si="45"/>
        <v>145.15816553502879</v>
      </c>
      <c r="AD84" s="309">
        <f t="shared" si="38"/>
        <v>82.299942190167641</v>
      </c>
      <c r="AE84" s="107">
        <f t="shared" si="39"/>
        <v>7.5274337369055765E-3</v>
      </c>
      <c r="AF84" s="309">
        <f t="shared" si="46"/>
        <v>62.858223344861123</v>
      </c>
      <c r="AG84" s="107">
        <f t="shared" si="40"/>
        <v>5.7492277449568106E-3</v>
      </c>
      <c r="AH84" s="119">
        <f t="shared" si="47"/>
        <v>1.3276661481862387E-2</v>
      </c>
      <c r="AI84" s="122">
        <f t="shared" si="41"/>
        <v>1.3276661481862389E-2</v>
      </c>
      <c r="AJ84" s="87" t="b">
        <f t="shared" si="48"/>
        <v>1</v>
      </c>
      <c r="AK84" s="88">
        <f t="shared" si="22"/>
        <v>1.9754005984743642E-3</v>
      </c>
      <c r="AL84" s="312">
        <f>+AC84/'MWh by month-WgtbyCDH&amp;DayLtHrs'!AC84-1</f>
        <v>8.4669599524348937E-2</v>
      </c>
      <c r="AM84" s="89">
        <f t="shared" si="42"/>
        <v>233598.17827576067</v>
      </c>
      <c r="AN84" s="93"/>
      <c r="AO84" s="96">
        <f t="shared" si="29"/>
        <v>51.33655821641004</v>
      </c>
      <c r="AP84" s="92">
        <f t="shared" si="28"/>
        <v>4.6954169100375037E-3</v>
      </c>
      <c r="AR84" s="94">
        <f t="shared" si="43"/>
        <v>1.3276661481862389E-2</v>
      </c>
      <c r="AS84" s="95">
        <v>633695.24727322243</v>
      </c>
      <c r="AU84" s="141">
        <v>145.15816553502879</v>
      </c>
    </row>
    <row r="85" spans="1:47">
      <c r="A85" s="78">
        <v>2011</v>
      </c>
      <c r="B85" s="78">
        <v>9</v>
      </c>
      <c r="C85" s="317">
        <f t="shared" si="52"/>
        <v>277.87653293728147</v>
      </c>
      <c r="D85" s="318">
        <f t="shared" si="49"/>
        <v>0.14132634365008559</v>
      </c>
      <c r="E85" s="321">
        <f>$D85*'MWh Impact Summary'!B$17</f>
        <v>142943.16461726525</v>
      </c>
      <c r="F85" s="319">
        <f>$D85*'MWh Impact Summary'!N$17</f>
        <v>5214.8282938265265</v>
      </c>
      <c r="G85" s="319">
        <f>$D85*'MWh Impact Summary'!C$17</f>
        <v>119199.10100902902</v>
      </c>
      <c r="H85" s="319">
        <f>$D85*'MWh Impact Summary'!D$17</f>
        <v>209.03837361182957</v>
      </c>
      <c r="I85" s="319">
        <f>$D85*'MWh Impact Summary'!E$17</f>
        <v>51199.583969404135</v>
      </c>
      <c r="J85" s="104">
        <f t="shared" si="44"/>
        <v>318765.71626313671</v>
      </c>
      <c r="K85" s="298">
        <f t="shared" si="53"/>
        <v>11.683333333333334</v>
      </c>
      <c r="L85" s="299">
        <f t="shared" si="50"/>
        <v>8.2248034729555317E-2</v>
      </c>
      <c r="M85" s="297">
        <f>(30/365)</f>
        <v>8.2191780821917804E-2</v>
      </c>
      <c r="N85" s="304">
        <f>$M85*'MWh Impact Summary'!F$17</f>
        <v>40026.342607815663</v>
      </c>
      <c r="O85" s="304">
        <f>$M85*'MWh Impact Summary'!G$17</f>
        <v>0</v>
      </c>
      <c r="P85" s="304">
        <f>$M85*'MWh Impact Summary'!H$17</f>
        <v>1268.0214280644295</v>
      </c>
      <c r="Q85" s="304">
        <f>$M85*'MWh Impact Summary'!I$17</f>
        <v>651.72907995786989</v>
      </c>
      <c r="R85" s="304">
        <f>$M85*'MWh Impact Summary'!J$17</f>
        <v>8790.0573105632047</v>
      </c>
      <c r="S85" s="304">
        <f>$M85*'MWh Impact Summary'!K$17</f>
        <v>0</v>
      </c>
      <c r="T85" s="304">
        <f>$M85*'MWh Impact Summary'!L$17</f>
        <v>0</v>
      </c>
      <c r="U85" s="304">
        <f>$M85*'MWh Impact Summary'!M$17</f>
        <v>0</v>
      </c>
      <c r="V85" s="304">
        <f>$M85*'LED Impact Forecast'!$H$18+$D85*'LED Impact Forecast'!$J$18</f>
        <v>0</v>
      </c>
      <c r="W85" s="304">
        <f>$M85*'CFL Impact Forecast'!$H$18+$D85*'CFL Impact Forecast'!$J$18</f>
        <v>219330.25285924179</v>
      </c>
      <c r="X85" s="304">
        <f>$M85*'EISA Incand Impact Forecast'!$G$18+$D85*'EISA Incand Impact Forecast'!$I$18</f>
        <v>0</v>
      </c>
      <c r="Y85" s="85">
        <f t="shared" si="36"/>
        <v>270066.40328564297</v>
      </c>
      <c r="Z85" s="81">
        <f t="shared" si="37"/>
        <v>588832.11954877968</v>
      </c>
      <c r="AA85" s="81"/>
      <c r="AB85" s="81">
        <f>+'MWh by mo-WgtbyActulCDH&amp;Days'!AB85</f>
        <v>4545995</v>
      </c>
      <c r="AC85" s="308">
        <f t="shared" si="45"/>
        <v>129.5276654613082</v>
      </c>
      <c r="AD85" s="309">
        <f t="shared" si="38"/>
        <v>70.120120295586929</v>
      </c>
      <c r="AE85" s="107">
        <f t="shared" si="39"/>
        <v>6.0017221365694946E-3</v>
      </c>
      <c r="AF85" s="309">
        <f t="shared" si="46"/>
        <v>59.407545165721253</v>
      </c>
      <c r="AG85" s="107">
        <f t="shared" si="40"/>
        <v>5.0848112837992513E-3</v>
      </c>
      <c r="AH85" s="119">
        <f t="shared" si="47"/>
        <v>1.1086533420368746E-2</v>
      </c>
      <c r="AI85" s="122">
        <f t="shared" si="41"/>
        <v>1.1086533420368748E-2</v>
      </c>
      <c r="AJ85" s="87" t="b">
        <f t="shared" si="48"/>
        <v>1</v>
      </c>
      <c r="AK85" s="88">
        <f t="shared" si="22"/>
        <v>1.6494903659783101E-3</v>
      </c>
      <c r="AL85" s="312">
        <f>+AC85/'MWh by month-WgtbyCDH&amp;DayLtHrs'!AC85-1</f>
        <v>3.5637023197029993E-2</v>
      </c>
      <c r="AM85" s="89">
        <f t="shared" si="42"/>
        <v>219330.25285924179</v>
      </c>
      <c r="AN85" s="93"/>
      <c r="AO85" s="96">
        <f t="shared" si="29"/>
        <v>48.24691907035573</v>
      </c>
      <c r="AP85" s="92">
        <f t="shared" si="28"/>
        <v>4.1295508476766676E-3</v>
      </c>
      <c r="AR85" s="94">
        <f t="shared" si="43"/>
        <v>1.1086533420368748E-2</v>
      </c>
      <c r="AS85" s="95">
        <v>597815.27720793081</v>
      </c>
      <c r="AU85" s="141">
        <v>129.5276654613082</v>
      </c>
    </row>
    <row r="86" spans="1:47">
      <c r="A86" s="78">
        <v>2011</v>
      </c>
      <c r="B86" s="78">
        <v>10</v>
      </c>
      <c r="C86" s="317">
        <f t="shared" si="52"/>
        <v>198.89039579254836</v>
      </c>
      <c r="D86" s="318">
        <f t="shared" si="49"/>
        <v>0.10115446643644242</v>
      </c>
      <c r="E86" s="321">
        <f>$D86*'MWh Impact Summary'!B$17</f>
        <v>102311.70759923119</v>
      </c>
      <c r="F86" s="319">
        <f>$D86*'MWh Impact Summary'!N$17</f>
        <v>3732.5183684490389</v>
      </c>
      <c r="G86" s="319">
        <f>$D86*'MWh Impact Summary'!C$17</f>
        <v>85316.871227671028</v>
      </c>
      <c r="H86" s="319">
        <f>$D86*'MWh Impact Summary'!D$17</f>
        <v>149.6194170267386</v>
      </c>
      <c r="I86" s="319">
        <f>$D86*'MWh Impact Summary'!E$17</f>
        <v>36646.151484792688</v>
      </c>
      <c r="J86" s="104">
        <f t="shared" si="44"/>
        <v>228156.86809717066</v>
      </c>
      <c r="K86" s="298">
        <f t="shared" si="53"/>
        <v>12.466666666666667</v>
      </c>
      <c r="L86" s="299">
        <f t="shared" si="50"/>
        <v>8.7762524932535488E-2</v>
      </c>
      <c r="M86" s="297">
        <f t="shared" si="51"/>
        <v>8.4931506849315067E-2</v>
      </c>
      <c r="N86" s="304">
        <f>$M86*'MWh Impact Summary'!F$17</f>
        <v>41360.554028076185</v>
      </c>
      <c r="O86" s="304">
        <f>$M86*'MWh Impact Summary'!G$17</f>
        <v>0</v>
      </c>
      <c r="P86" s="304">
        <f>$M86*'MWh Impact Summary'!H$17</f>
        <v>1310.2888089999105</v>
      </c>
      <c r="Q86" s="304">
        <f>$M86*'MWh Impact Summary'!I$17</f>
        <v>673.45338262313226</v>
      </c>
      <c r="R86" s="304">
        <f>$M86*'MWh Impact Summary'!J$17</f>
        <v>9083.059220915311</v>
      </c>
      <c r="S86" s="304">
        <f>$M86*'MWh Impact Summary'!K$17</f>
        <v>0</v>
      </c>
      <c r="T86" s="304">
        <f>$M86*'MWh Impact Summary'!L$17</f>
        <v>0</v>
      </c>
      <c r="U86" s="304">
        <f>$M86*'MWh Impact Summary'!M$17</f>
        <v>0</v>
      </c>
      <c r="V86" s="304">
        <f>$M86*'LED Impact Forecast'!$H$18+$D86*'LED Impact Forecast'!$J$18</f>
        <v>0</v>
      </c>
      <c r="W86" s="304">
        <f>$M86*'CFL Impact Forecast'!$H$18+$D86*'CFL Impact Forecast'!$J$18</f>
        <v>211025.48629846814</v>
      </c>
      <c r="X86" s="304">
        <f>$M86*'EISA Incand Impact Forecast'!$G$18+$D86*'EISA Incand Impact Forecast'!$I$18</f>
        <v>0</v>
      </c>
      <c r="Y86" s="85">
        <f t="shared" si="36"/>
        <v>263452.84173908271</v>
      </c>
      <c r="Z86" s="81">
        <f t="shared" si="37"/>
        <v>491609.70983625337</v>
      </c>
      <c r="AA86" s="81"/>
      <c r="AB86" s="81">
        <f>+'MWh by mo-WgtbyActulCDH&amp;Days'!AB86</f>
        <v>4546841</v>
      </c>
      <c r="AC86" s="308">
        <f t="shared" si="45"/>
        <v>108.12115704865276</v>
      </c>
      <c r="AD86" s="309">
        <f t="shared" si="38"/>
        <v>50.179205320170787</v>
      </c>
      <c r="AE86" s="107">
        <f t="shared" si="39"/>
        <v>4.0250699454682454E-3</v>
      </c>
      <c r="AF86" s="309">
        <f t="shared" si="46"/>
        <v>57.941951728481968</v>
      </c>
      <c r="AG86" s="107">
        <f t="shared" si="40"/>
        <v>4.6477501386482864E-3</v>
      </c>
      <c r="AH86" s="119">
        <f t="shared" si="47"/>
        <v>8.6728200841165309E-3</v>
      </c>
      <c r="AI86" s="122">
        <f t="shared" si="41"/>
        <v>8.6728200841165327E-3</v>
      </c>
      <c r="AJ86" s="87" t="b">
        <f t="shared" si="48"/>
        <v>1</v>
      </c>
      <c r="AK86" s="88">
        <f t="shared" ref="AK86:AK149" si="54">AI86-AI74</f>
        <v>1.2752353884344248E-3</v>
      </c>
      <c r="AL86" s="312">
        <f>+AC86/'MWh by month-WgtbyCDH&amp;DayLtHrs'!AC86-1</f>
        <v>-4.8018594874702503E-3</v>
      </c>
      <c r="AM86" s="89">
        <f t="shared" si="42"/>
        <v>211025.48629846814</v>
      </c>
      <c r="AN86" s="93"/>
      <c r="AO86" s="96">
        <f t="shared" si="29"/>
        <v>46.411450565011648</v>
      </c>
      <c r="AP86" s="92">
        <f t="shared" si="28"/>
        <v>3.7228436282094905E-3</v>
      </c>
      <c r="AR86" s="94">
        <f t="shared" si="43"/>
        <v>8.6728200841165327E-3</v>
      </c>
      <c r="AS86" s="95">
        <v>479246.04779028392</v>
      </c>
      <c r="AU86" s="141">
        <v>108.12115704865276</v>
      </c>
    </row>
    <row r="87" spans="1:47">
      <c r="A87" s="78">
        <v>2011</v>
      </c>
      <c r="B87" s="78">
        <v>11</v>
      </c>
      <c r="C87" s="317">
        <f t="shared" si="52"/>
        <v>78.117279066674627</v>
      </c>
      <c r="D87" s="318">
        <f t="shared" si="49"/>
        <v>3.9729981188725644E-2</v>
      </c>
      <c r="E87" s="321">
        <f>$D87*'MWh Impact Summary'!B$17</f>
        <v>40184.505553769923</v>
      </c>
      <c r="F87" s="319">
        <f>$D87*'MWh Impact Summary'!N$17</f>
        <v>1466.0043178442243</v>
      </c>
      <c r="G87" s="319">
        <f>$D87*'MWh Impact Summary'!C$17</f>
        <v>33509.520719839711</v>
      </c>
      <c r="H87" s="319">
        <f>$D87*'MWh Impact Summary'!D$17</f>
        <v>58.765340111555076</v>
      </c>
      <c r="I87" s="319">
        <f>$D87*'MWh Impact Summary'!E$17</f>
        <v>14393.342779824852</v>
      </c>
      <c r="J87" s="104">
        <f t="shared" si="44"/>
        <v>89612.13871139026</v>
      </c>
      <c r="K87" s="298">
        <f t="shared" si="53"/>
        <v>13.15</v>
      </c>
      <c r="L87" s="299">
        <f t="shared" si="50"/>
        <v>9.2573037662794788E-2</v>
      </c>
      <c r="M87" s="297">
        <f>(30/365)</f>
        <v>8.2191780821917804E-2</v>
      </c>
      <c r="N87" s="304">
        <f>$M87*'MWh Impact Summary'!F$17</f>
        <v>40026.342607815663</v>
      </c>
      <c r="O87" s="304">
        <f>$M87*'MWh Impact Summary'!G$17</f>
        <v>0</v>
      </c>
      <c r="P87" s="304">
        <f>$M87*'MWh Impact Summary'!H$17</f>
        <v>1268.0214280644295</v>
      </c>
      <c r="Q87" s="304">
        <f>$M87*'MWh Impact Summary'!I$17</f>
        <v>651.72907995786989</v>
      </c>
      <c r="R87" s="304">
        <f>$M87*'MWh Impact Summary'!J$17</f>
        <v>8790.0573105632047</v>
      </c>
      <c r="S87" s="304">
        <f>$M87*'MWh Impact Summary'!K$17</f>
        <v>0</v>
      </c>
      <c r="T87" s="304">
        <f>$M87*'MWh Impact Summary'!L$17</f>
        <v>0</v>
      </c>
      <c r="U87" s="304">
        <f>$M87*'MWh Impact Summary'!M$17</f>
        <v>0</v>
      </c>
      <c r="V87" s="304">
        <f>$M87*'LED Impact Forecast'!$H$18+$D87*'LED Impact Forecast'!$J$18</f>
        <v>0</v>
      </c>
      <c r="W87" s="304">
        <f>$M87*'CFL Impact Forecast'!$H$18+$D87*'CFL Impact Forecast'!$J$18</f>
        <v>183982.46897014917</v>
      </c>
      <c r="X87" s="304">
        <f>$M87*'EISA Incand Impact Forecast'!$G$18+$D87*'EISA Incand Impact Forecast'!$I$18</f>
        <v>0</v>
      </c>
      <c r="Y87" s="85">
        <f t="shared" si="36"/>
        <v>234718.61939655035</v>
      </c>
      <c r="Z87" s="81">
        <f t="shared" si="37"/>
        <v>324330.75810794061</v>
      </c>
      <c r="AA87" s="81"/>
      <c r="AB87" s="81">
        <f>+'MWh by mo-WgtbyActulCDH&amp;Days'!AB87</f>
        <v>4549257</v>
      </c>
      <c r="AC87" s="308">
        <f t="shared" si="45"/>
        <v>71.293127231093038</v>
      </c>
      <c r="AD87" s="309">
        <f t="shared" si="38"/>
        <v>19.698192190810556</v>
      </c>
      <c r="AE87" s="107">
        <f t="shared" si="39"/>
        <v>1.4979613833316012E-3</v>
      </c>
      <c r="AF87" s="309">
        <f t="shared" si="46"/>
        <v>51.594935040282479</v>
      </c>
      <c r="AG87" s="107">
        <f t="shared" si="40"/>
        <v>3.9235692045842194E-3</v>
      </c>
      <c r="AH87" s="119">
        <f t="shared" si="47"/>
        <v>5.421530587915821E-3</v>
      </c>
      <c r="AI87" s="122">
        <f t="shared" si="41"/>
        <v>5.421530587915821E-3</v>
      </c>
      <c r="AJ87" s="87" t="b">
        <f t="shared" si="48"/>
        <v>1</v>
      </c>
      <c r="AK87" s="88">
        <f t="shared" si="54"/>
        <v>7.7715371268491634E-4</v>
      </c>
      <c r="AL87" s="312">
        <f>+AC87/'MWh by month-WgtbyCDH&amp;DayLtHrs'!AC87-1</f>
        <v>-0.12203617183785886</v>
      </c>
      <c r="AM87" s="89">
        <f t="shared" si="42"/>
        <v>183982.46897014917</v>
      </c>
      <c r="AN87" s="93"/>
      <c r="AO87" s="96">
        <f t="shared" si="29"/>
        <v>40.44231156211864</v>
      </c>
      <c r="AP87" s="92">
        <f t="shared" si="28"/>
        <v>3.0754609552941931E-3</v>
      </c>
      <c r="AR87" s="94">
        <f t="shared" si="43"/>
        <v>5.421530587915821E-3</v>
      </c>
      <c r="AS87" s="95">
        <v>366133.39797441743</v>
      </c>
      <c r="AU87" s="141">
        <v>71.293127231093038</v>
      </c>
    </row>
    <row r="88" spans="1:47">
      <c r="A88" s="78">
        <v>2011</v>
      </c>
      <c r="B88" s="78">
        <v>12</v>
      </c>
      <c r="C88" s="317">
        <f t="shared" si="52"/>
        <v>42.633806123140985</v>
      </c>
      <c r="D88" s="318">
        <f>C88/(SUM(C$77:C$88))</f>
        <v>2.1683298951445065E-2</v>
      </c>
      <c r="E88" s="321">
        <f>$D88*'MWh Impact Summary'!B$17</f>
        <v>21931.363193941299</v>
      </c>
      <c r="F88" s="319">
        <f>$D88*'MWh Impact Summary'!N$17</f>
        <v>800.09627331377078</v>
      </c>
      <c r="G88" s="319">
        <f>$D88*'MWh Impact Summary'!C$17</f>
        <v>18288.37904645464</v>
      </c>
      <c r="H88" s="319">
        <f>$D88*'MWh Impact Summary'!D$17</f>
        <v>32.072163124602433</v>
      </c>
      <c r="I88" s="319">
        <f>$D88*'MWh Impact Summary'!E$17</f>
        <v>7855.406548597367</v>
      </c>
      <c r="J88" s="104">
        <f t="shared" si="44"/>
        <v>48907.317225431681</v>
      </c>
      <c r="K88" s="298">
        <f t="shared" si="53"/>
        <v>13.483333333333333</v>
      </c>
      <c r="L88" s="299">
        <f>K88/(SUM(K$77:K$88))</f>
        <v>9.491962923853102E-2</v>
      </c>
      <c r="M88" s="297">
        <f t="shared" si="51"/>
        <v>8.4931506849315067E-2</v>
      </c>
      <c r="N88" s="304">
        <f>$M88*'MWh Impact Summary'!F$17</f>
        <v>41360.554028076185</v>
      </c>
      <c r="O88" s="304">
        <f>$M88*'MWh Impact Summary'!G$17</f>
        <v>0</v>
      </c>
      <c r="P88" s="304">
        <f>$M88*'MWh Impact Summary'!H$17</f>
        <v>1310.2888089999105</v>
      </c>
      <c r="Q88" s="304">
        <f>$M88*'MWh Impact Summary'!I$17</f>
        <v>673.45338262313226</v>
      </c>
      <c r="R88" s="304">
        <f>$M88*'MWh Impact Summary'!J$17</f>
        <v>9083.059220915311</v>
      </c>
      <c r="S88" s="304">
        <f>$M88*'MWh Impact Summary'!K$17</f>
        <v>0</v>
      </c>
      <c r="T88" s="304">
        <f>$M88*'MWh Impact Summary'!L$17</f>
        <v>0</v>
      </c>
      <c r="U88" s="304">
        <f>$M88*'MWh Impact Summary'!M$17</f>
        <v>0</v>
      </c>
      <c r="V88" s="304">
        <f>$M88*'LED Impact Forecast'!$H$18+$D88*'LED Impact Forecast'!$J$18</f>
        <v>0</v>
      </c>
      <c r="W88" s="304">
        <f>$M88*'CFL Impact Forecast'!$H$18+$D88*'CFL Impact Forecast'!$J$18</f>
        <v>183375.58244741277</v>
      </c>
      <c r="X88" s="304">
        <f>$M88*'EISA Incand Impact Forecast'!$G$18+$D88*'EISA Incand Impact Forecast'!$I$18</f>
        <v>0</v>
      </c>
      <c r="Y88" s="85">
        <f t="shared" si="36"/>
        <v>235802.93788802731</v>
      </c>
      <c r="Z88" s="81">
        <f t="shared" si="37"/>
        <v>284710.25511345902</v>
      </c>
      <c r="AA88" s="81">
        <f>SUM(Z77:Z88)</f>
        <v>5291016.4038587166</v>
      </c>
      <c r="AB88" s="81">
        <f>+'MWh by mo-WgtbyActulCDH&amp;Days'!AB88</f>
        <v>4554107</v>
      </c>
      <c r="AC88" s="308">
        <f t="shared" si="45"/>
        <v>62.517252035022231</v>
      </c>
      <c r="AD88" s="309">
        <f t="shared" si="38"/>
        <v>10.739167354968094</v>
      </c>
      <c r="AE88" s="107">
        <f t="shared" si="39"/>
        <v>7.9647718331036556E-4</v>
      </c>
      <c r="AF88" s="309">
        <f t="shared" si="46"/>
        <v>51.778084680054135</v>
      </c>
      <c r="AG88" s="107">
        <f t="shared" si="40"/>
        <v>3.8401546116232982E-3</v>
      </c>
      <c r="AH88" s="119">
        <f t="shared" si="47"/>
        <v>4.6366317949336636E-3</v>
      </c>
      <c r="AI88" s="122">
        <f t="shared" si="41"/>
        <v>4.6366317949336645E-3</v>
      </c>
      <c r="AJ88" s="87" t="b">
        <f t="shared" si="48"/>
        <v>1</v>
      </c>
      <c r="AK88" s="88">
        <f t="shared" si="54"/>
        <v>6.5327279210254663E-4</v>
      </c>
      <c r="AL88" s="312">
        <f>+AC88/'MWh by month-WgtbyCDH&amp;DayLtHrs'!AC88-1</f>
        <v>-0.15144820201389464</v>
      </c>
      <c r="AM88" s="89">
        <f t="shared" si="42"/>
        <v>183375.58244741277</v>
      </c>
      <c r="AN88" s="90">
        <f>SUM(AM77:AM88)</f>
        <v>2418197.2220279546</v>
      </c>
      <c r="AO88" s="96">
        <f t="shared" si="29"/>
        <v>40.265980234415387</v>
      </c>
      <c r="AP88" s="92">
        <f t="shared" si="28"/>
        <v>2.9863520569405728E-3</v>
      </c>
      <c r="AR88" s="94">
        <f t="shared" si="43"/>
        <v>4.6366317949336645E-3</v>
      </c>
      <c r="AS88" s="95">
        <v>299855.58805098716</v>
      </c>
      <c r="AU88" s="141">
        <v>62.517252035022231</v>
      </c>
    </row>
    <row r="89" spans="1:47">
      <c r="A89" s="78">
        <v>2012</v>
      </c>
      <c r="B89" s="78">
        <v>1</v>
      </c>
      <c r="C89" s="317">
        <f t="shared" si="52"/>
        <v>26.112829868525239</v>
      </c>
      <c r="D89" s="318">
        <f>C89/(SUM(C$89:C$100))</f>
        <v>1.3280829182176284E-2</v>
      </c>
      <c r="E89" s="321">
        <f>$D89*'MWh Impact Summary'!B$18</f>
        <v>15612.152080849906</v>
      </c>
      <c r="F89" s="319">
        <f>$D89*'MWh Impact Summary'!N$18</f>
        <v>690.08278611282378</v>
      </c>
      <c r="G89" s="319">
        <f>$D89*'MWh Impact Summary'!C$18</f>
        <v>13142.502555575051</v>
      </c>
      <c r="H89" s="319">
        <f>$D89*'MWh Impact Summary'!D$18</f>
        <v>29.773721152255632</v>
      </c>
      <c r="I89" s="319">
        <f>$D89*'MWh Impact Summary'!E$18</f>
        <v>5501.957264687122</v>
      </c>
      <c r="J89" s="104">
        <f t="shared" si="44"/>
        <v>34976.468408377157</v>
      </c>
      <c r="K89" s="298">
        <f t="shared" si="53"/>
        <v>13.3</v>
      </c>
      <c r="L89" s="299">
        <f>K89/(SUM(K$89:K$100))</f>
        <v>9.3629003871876101E-2</v>
      </c>
      <c r="M89" s="297">
        <f>(31/366)</f>
        <v>8.4699453551912565E-2</v>
      </c>
      <c r="N89" s="304">
        <f>$M89*'MWh Impact Summary'!F$18</f>
        <v>49716.673550694795</v>
      </c>
      <c r="O89" s="304">
        <f>$M89*'MWh Impact Summary'!G$18</f>
        <v>0</v>
      </c>
      <c r="P89" s="304">
        <f>$M89*'MWh Impact Summary'!H$18</f>
        <v>1982.1682430244027</v>
      </c>
      <c r="Q89" s="304">
        <f>$M89*'MWh Impact Summary'!I$18</f>
        <v>763.95826049034542</v>
      </c>
      <c r="R89" s="304">
        <f>$M89*'MWh Impact Summary'!J$18</f>
        <v>12219.065285421244</v>
      </c>
      <c r="S89" s="304">
        <f>$M89*'MWh Impact Summary'!K$18</f>
        <v>0</v>
      </c>
      <c r="T89" s="304">
        <f>$M89*'MWh Impact Summary'!L$18</f>
        <v>0</v>
      </c>
      <c r="U89" s="304">
        <f>$M89*'MWh Impact Summary'!M$18</f>
        <v>0</v>
      </c>
      <c r="V89" s="304">
        <f>$M89*'LED Impact Forecast'!$H$19+$D89*'LED Impact Forecast'!$J$19</f>
        <v>160.78614210506422</v>
      </c>
      <c r="W89" s="304">
        <f>$M89*'CFL Impact Forecast'!$H$19+$D89*'CFL Impact Forecast'!$J$19</f>
        <v>198581.07116942838</v>
      </c>
      <c r="X89" s="304">
        <f>$M89*'EISA Incand Impact Forecast'!$G$19+$D89*'EISA Incand Impact Forecast'!$I$19</f>
        <v>0</v>
      </c>
      <c r="Y89" s="85">
        <f t="shared" si="36"/>
        <v>263423.72265116422</v>
      </c>
      <c r="Z89" s="81">
        <f t="shared" si="37"/>
        <v>298400.19105954136</v>
      </c>
      <c r="AA89" s="81"/>
      <c r="AB89" s="81">
        <f>+'MWh by mo-WgtbyActulCDH&amp;Days'!AB89</f>
        <v>4560015</v>
      </c>
      <c r="AC89" s="308">
        <f t="shared" si="45"/>
        <v>65.438423132279468</v>
      </c>
      <c r="AD89" s="309">
        <f t="shared" si="38"/>
        <v>7.6702529286366721</v>
      </c>
      <c r="AE89" s="107">
        <f t="shared" si="39"/>
        <v>5.767107465140354E-4</v>
      </c>
      <c r="AF89" s="309">
        <f t="shared" si="46"/>
        <v>57.768170203642804</v>
      </c>
      <c r="AG89" s="107">
        <f t="shared" si="40"/>
        <v>4.3434714438829172E-3</v>
      </c>
      <c r="AH89" s="119">
        <f t="shared" si="47"/>
        <v>4.9201821903969529E-3</v>
      </c>
      <c r="AI89" s="122">
        <f t="shared" si="41"/>
        <v>4.9201821903969521E-3</v>
      </c>
      <c r="AJ89" s="87" t="b">
        <f t="shared" si="48"/>
        <v>1</v>
      </c>
      <c r="AK89" s="88">
        <f t="shared" si="54"/>
        <v>5.60621177672695E-4</v>
      </c>
      <c r="AL89" s="312">
        <f>+AC89/'MWh by month-WgtbyCDH&amp;DayLtHrs'!AC89-1</f>
        <v>-0.15879321147513237</v>
      </c>
      <c r="AM89" s="89">
        <f t="shared" si="42"/>
        <v>198581.07116942838</v>
      </c>
      <c r="AN89" s="93"/>
      <c r="AO89" s="96">
        <f t="shared" si="29"/>
        <v>43.548337268502053</v>
      </c>
      <c r="AP89" s="92">
        <f t="shared" si="28"/>
        <v>3.2743110728197032E-3</v>
      </c>
      <c r="AR89" s="94">
        <f t="shared" si="43"/>
        <v>4.9201821903969521E-3</v>
      </c>
      <c r="AS89" s="95">
        <v>329688.54211650172</v>
      </c>
      <c r="AU89" s="141">
        <v>65.438423132279468</v>
      </c>
    </row>
    <row r="90" spans="1:47">
      <c r="A90" s="78">
        <v>2012</v>
      </c>
      <c r="B90" s="78">
        <v>2</v>
      </c>
      <c r="C90" s="317">
        <f t="shared" si="52"/>
        <v>35.042184420393127</v>
      </c>
      <c r="D90" s="318">
        <f t="shared" ref="D90:D100" si="55">C90/(SUM(C$89:C$100))</f>
        <v>1.7822245532205266E-2</v>
      </c>
      <c r="E90" s="321">
        <f>$D90*'MWh Impact Summary'!B$18</f>
        <v>20950.770757932569</v>
      </c>
      <c r="F90" s="319">
        <f>$D90*'MWh Impact Summary'!N$18</f>
        <v>926.05850756343148</v>
      </c>
      <c r="G90" s="319">
        <f>$D90*'MWh Impact Summary'!C$18</f>
        <v>17636.617732230439</v>
      </c>
      <c r="H90" s="319">
        <f>$D90*'MWh Impact Summary'!D$18</f>
        <v>39.954927625683091</v>
      </c>
      <c r="I90" s="319">
        <f>$D90*'MWh Impact Summary'!E$18</f>
        <v>7383.3668014157884</v>
      </c>
      <c r="J90" s="104">
        <f t="shared" si="44"/>
        <v>46936.768726767907</v>
      </c>
      <c r="K90" s="298">
        <f t="shared" si="53"/>
        <v>12.733333333333333</v>
      </c>
      <c r="L90" s="299">
        <f>K90/(SUM(K$89:K$100))</f>
        <v>8.9639798193124468E-2</v>
      </c>
      <c r="M90" s="297">
        <f>(29/366)</f>
        <v>7.9234972677595633E-2</v>
      </c>
      <c r="N90" s="304">
        <f>$M90*'MWh Impact Summary'!F$18</f>
        <v>46509.14622484352</v>
      </c>
      <c r="O90" s="304">
        <f>$M90*'MWh Impact Summary'!G$18</f>
        <v>0</v>
      </c>
      <c r="P90" s="304">
        <f>$M90*'MWh Impact Summary'!H$18</f>
        <v>1854.2864208937963</v>
      </c>
      <c r="Q90" s="304">
        <f>$M90*'MWh Impact Summary'!I$18</f>
        <v>714.67063078129092</v>
      </c>
      <c r="R90" s="304">
        <f>$M90*'MWh Impact Summary'!J$18</f>
        <v>11430.738492813422</v>
      </c>
      <c r="S90" s="304">
        <f>$M90*'MWh Impact Summary'!K$18</f>
        <v>0</v>
      </c>
      <c r="T90" s="304">
        <f>$M90*'MWh Impact Summary'!L$18</f>
        <v>0</v>
      </c>
      <c r="U90" s="304">
        <f>$M90*'MWh Impact Summary'!M$18</f>
        <v>0</v>
      </c>
      <c r="V90" s="304">
        <f>$M90*'LED Impact Forecast'!$H$19+$D90*'LED Impact Forecast'!$J$19</f>
        <v>150.41284261441493</v>
      </c>
      <c r="W90" s="304">
        <f>$M90*'CFL Impact Forecast'!$H$19+$D90*'CFL Impact Forecast'!$J$19</f>
        <v>187846.40226086255</v>
      </c>
      <c r="X90" s="304">
        <f>$M90*'EISA Incand Impact Forecast'!$G$19+$D90*'EISA Incand Impact Forecast'!$I$19</f>
        <v>0</v>
      </c>
      <c r="Y90" s="85">
        <f t="shared" si="36"/>
        <v>248505.65687280899</v>
      </c>
      <c r="Z90" s="81">
        <f t="shared" si="37"/>
        <v>295442.42559957691</v>
      </c>
      <c r="AA90" s="81"/>
      <c r="AB90" s="81">
        <f>+'MWh by mo-WgtbyActulCDH&amp;Days'!AB90</f>
        <v>4565707</v>
      </c>
      <c r="AC90" s="308">
        <f t="shared" si="45"/>
        <v>64.709020004914223</v>
      </c>
      <c r="AD90" s="309">
        <f t="shared" si="38"/>
        <v>10.280284899308674</v>
      </c>
      <c r="AE90" s="107">
        <f t="shared" si="39"/>
        <v>8.073522172231943E-4</v>
      </c>
      <c r="AF90" s="309">
        <f t="shared" si="46"/>
        <v>54.428735105605547</v>
      </c>
      <c r="AG90" s="107">
        <f t="shared" si="40"/>
        <v>4.2745079925868229E-3</v>
      </c>
      <c r="AH90" s="119">
        <f t="shared" si="47"/>
        <v>5.0818602098100171E-3</v>
      </c>
      <c r="AI90" s="122">
        <f t="shared" si="41"/>
        <v>5.081860209810018E-3</v>
      </c>
      <c r="AJ90" s="87" t="b">
        <f t="shared" si="48"/>
        <v>1</v>
      </c>
      <c r="AK90" s="88">
        <f t="shared" si="54"/>
        <v>7.1227829028908899E-4</v>
      </c>
      <c r="AL90" s="312">
        <f>+AC90/'MWh by month-WgtbyCDH&amp;DayLtHrs'!AC90-1</f>
        <v>-0.16469200609973245</v>
      </c>
      <c r="AM90" s="89">
        <f t="shared" si="42"/>
        <v>187846.40226086255</v>
      </c>
      <c r="AN90" s="93"/>
      <c r="AO90" s="96">
        <f t="shared" si="29"/>
        <v>41.142894684407601</v>
      </c>
      <c r="AP90" s="92">
        <f t="shared" si="28"/>
        <v>3.23111738359222E-3</v>
      </c>
      <c r="AR90" s="94">
        <f t="shared" si="43"/>
        <v>5.081860209810018E-3</v>
      </c>
      <c r="AS90" s="95">
        <v>316523.47080675134</v>
      </c>
      <c r="AU90" s="141">
        <v>64.709020004914223</v>
      </c>
    </row>
    <row r="91" spans="1:47">
      <c r="A91" s="78">
        <v>2012</v>
      </c>
      <c r="B91" s="78">
        <v>3</v>
      </c>
      <c r="C91" s="317">
        <f t="shared" si="52"/>
        <v>64.582270600115152</v>
      </c>
      <c r="D91" s="318">
        <f t="shared" si="55"/>
        <v>3.2846156787895278E-2</v>
      </c>
      <c r="E91" s="321">
        <f>$D91*'MWh Impact Summary'!B$18</f>
        <v>38611.986345872938</v>
      </c>
      <c r="F91" s="319">
        <f>$D91*'MWh Impact Summary'!N$18</f>
        <v>1706.7132690562264</v>
      </c>
      <c r="G91" s="319">
        <f>$D91*'MWh Impact Summary'!C$18</f>
        <v>32504.047270261963</v>
      </c>
      <c r="H91" s="319">
        <f>$D91*'MWh Impact Summary'!D$18</f>
        <v>73.636389694593518</v>
      </c>
      <c r="I91" s="319">
        <f>$D91*'MWh Impact Summary'!E$18</f>
        <v>13607.444872399074</v>
      </c>
      <c r="J91" s="104">
        <f t="shared" si="44"/>
        <v>86503.828147284803</v>
      </c>
      <c r="K91" s="298">
        <f t="shared" si="53"/>
        <v>12</v>
      </c>
      <c r="L91" s="299">
        <f t="shared" ref="L91:L98" si="56">K91/(SUM(K$89:K$100))</f>
        <v>8.4477296726504739E-2</v>
      </c>
      <c r="M91" s="297">
        <f>(31/366)</f>
        <v>8.4699453551912565E-2</v>
      </c>
      <c r="N91" s="304">
        <f>$M91*'MWh Impact Summary'!F$18</f>
        <v>49716.673550694795</v>
      </c>
      <c r="O91" s="304">
        <f>$M91*'MWh Impact Summary'!G$18</f>
        <v>0</v>
      </c>
      <c r="P91" s="304">
        <f>$M91*'MWh Impact Summary'!H$18</f>
        <v>1982.1682430244027</v>
      </c>
      <c r="Q91" s="304">
        <f>$M91*'MWh Impact Summary'!I$18</f>
        <v>763.95826049034542</v>
      </c>
      <c r="R91" s="304">
        <f>$M91*'MWh Impact Summary'!J$18</f>
        <v>12219.065285421244</v>
      </c>
      <c r="S91" s="304">
        <f>$M91*'MWh Impact Summary'!K$18</f>
        <v>0</v>
      </c>
      <c r="T91" s="304">
        <f>$M91*'MWh Impact Summary'!L$18</f>
        <v>0</v>
      </c>
      <c r="U91" s="304">
        <f>$M91*'MWh Impact Summary'!M$18</f>
        <v>0</v>
      </c>
      <c r="V91" s="304">
        <f>$M91*'LED Impact Forecast'!$H$19+$D91*'LED Impact Forecast'!$J$19</f>
        <v>160.78614210506422</v>
      </c>
      <c r="W91" s="304">
        <f>$M91*'CFL Impact Forecast'!$H$19+$D91*'CFL Impact Forecast'!$J$19</f>
        <v>206108.9712595384</v>
      </c>
      <c r="X91" s="304">
        <f>$M91*'EISA Incand Impact Forecast'!$G$19+$D91*'EISA Incand Impact Forecast'!$I$19</f>
        <v>0</v>
      </c>
      <c r="Y91" s="85">
        <f t="shared" si="36"/>
        <v>270951.62274127424</v>
      </c>
      <c r="Z91" s="81">
        <f t="shared" si="37"/>
        <v>357455.45088855905</v>
      </c>
      <c r="AA91" s="81"/>
      <c r="AB91" s="81">
        <f>+'MWh by mo-WgtbyActulCDH&amp;Days'!AB91</f>
        <v>4573930</v>
      </c>
      <c r="AC91" s="308">
        <f t="shared" si="45"/>
        <v>78.150616841219488</v>
      </c>
      <c r="AD91" s="309">
        <f t="shared" si="38"/>
        <v>18.91236379815275</v>
      </c>
      <c r="AE91" s="107">
        <f t="shared" si="39"/>
        <v>1.5760303165127292E-3</v>
      </c>
      <c r="AF91" s="309">
        <f t="shared" si="46"/>
        <v>59.238253043066734</v>
      </c>
      <c r="AG91" s="107">
        <f t="shared" si="40"/>
        <v>4.9365210869222274E-3</v>
      </c>
      <c r="AH91" s="119">
        <f t="shared" si="47"/>
        <v>6.5125514034349566E-3</v>
      </c>
      <c r="AI91" s="122">
        <f t="shared" si="41"/>
        <v>6.5125514034349574E-3</v>
      </c>
      <c r="AJ91" s="87" t="b">
        <f t="shared" si="48"/>
        <v>1</v>
      </c>
      <c r="AK91" s="88">
        <f t="shared" si="54"/>
        <v>7.6147686570472717E-4</v>
      </c>
      <c r="AL91" s="312">
        <f>+AC91/'MWh by month-WgtbyCDH&amp;DayLtHrs'!AC91-1</f>
        <v>-5.0434966692834426E-2</v>
      </c>
      <c r="AM91" s="89">
        <f t="shared" si="42"/>
        <v>206108.9712595384</v>
      </c>
      <c r="AN91" s="93"/>
      <c r="AO91" s="96">
        <f t="shared" si="29"/>
        <v>45.061680274848634</v>
      </c>
      <c r="AP91" s="92">
        <f t="shared" si="28"/>
        <v>3.7551400229040529E-3</v>
      </c>
      <c r="AR91" s="94">
        <f t="shared" si="43"/>
        <v>6.5125514034349574E-3</v>
      </c>
      <c r="AS91" s="95">
        <v>374414.91472963028</v>
      </c>
      <c r="AU91" s="141">
        <v>78.150616841219488</v>
      </c>
    </row>
    <row r="92" spans="1:47">
      <c r="A92" s="78">
        <v>2012</v>
      </c>
      <c r="B92" s="78">
        <v>4</v>
      </c>
      <c r="C92" s="317">
        <f t="shared" si="52"/>
        <v>114.03392869270741</v>
      </c>
      <c r="D92" s="318">
        <f t="shared" si="55"/>
        <v>5.7996974497419709E-2</v>
      </c>
      <c r="E92" s="321">
        <f>$D92*'MWh Impact Summary'!B$18</f>
        <v>68177.790231506908</v>
      </c>
      <c r="F92" s="319">
        <f>$D92*'MWh Impact Summary'!N$18</f>
        <v>3013.5704027431366</v>
      </c>
      <c r="G92" s="319">
        <f>$D92*'MWh Impact Summary'!C$18</f>
        <v>57392.90635338601</v>
      </c>
      <c r="H92" s="319">
        <f>$D92*'MWh Impact Summary'!D$18</f>
        <v>130.02092886475128</v>
      </c>
      <c r="I92" s="319">
        <f>$D92*'MWh Impact Summary'!E$18</f>
        <v>24026.878953778007</v>
      </c>
      <c r="J92" s="104">
        <f t="shared" si="44"/>
        <v>152741.1668702788</v>
      </c>
      <c r="K92" s="298">
        <f t="shared" si="53"/>
        <v>11.2</v>
      </c>
      <c r="L92" s="299">
        <f t="shared" si="56"/>
        <v>7.8845476944737758E-2</v>
      </c>
      <c r="M92" s="297">
        <f>(30/366)</f>
        <v>8.1967213114754092E-2</v>
      </c>
      <c r="N92" s="304">
        <f>$M92*'MWh Impact Summary'!F$18</f>
        <v>48112.909887769158</v>
      </c>
      <c r="O92" s="304">
        <f>$M92*'MWh Impact Summary'!G$18</f>
        <v>0</v>
      </c>
      <c r="P92" s="304">
        <f>$M92*'MWh Impact Summary'!H$18</f>
        <v>1918.2273319590993</v>
      </c>
      <c r="Q92" s="304">
        <f>$M92*'MWh Impact Summary'!I$18</f>
        <v>739.31444563581817</v>
      </c>
      <c r="R92" s="304">
        <f>$M92*'MWh Impact Summary'!J$18</f>
        <v>11824.901889117331</v>
      </c>
      <c r="S92" s="304">
        <f>$M92*'MWh Impact Summary'!K$18</f>
        <v>0</v>
      </c>
      <c r="T92" s="304">
        <f>$M92*'MWh Impact Summary'!L$18</f>
        <v>0</v>
      </c>
      <c r="U92" s="304">
        <f>$M92*'MWh Impact Summary'!M$18</f>
        <v>0</v>
      </c>
      <c r="V92" s="304">
        <f>$M92*'LED Impact Forecast'!$H$19+$D92*'LED Impact Forecast'!$J$19</f>
        <v>155.59949235973954</v>
      </c>
      <c r="W92" s="304">
        <f>$M92*'CFL Impact Forecast'!$H$19+$D92*'CFL Impact Forecast'!$J$19</f>
        <v>209544.92301121805</v>
      </c>
      <c r="X92" s="304">
        <f>$M92*'EISA Incand Impact Forecast'!$G$19+$D92*'EISA Incand Impact Forecast'!$I$19</f>
        <v>0</v>
      </c>
      <c r="Y92" s="85">
        <f t="shared" si="36"/>
        <v>272295.87605805922</v>
      </c>
      <c r="Z92" s="81">
        <f t="shared" si="37"/>
        <v>425037.04292833805</v>
      </c>
      <c r="AA92" s="81"/>
      <c r="AB92" s="81">
        <f>+'MWh by mo-WgtbyActulCDH&amp;Days'!AB92</f>
        <v>4577038</v>
      </c>
      <c r="AC92" s="308">
        <f t="shared" si="45"/>
        <v>92.862904552756177</v>
      </c>
      <c r="AD92" s="309">
        <f t="shared" si="38"/>
        <v>33.371181727195363</v>
      </c>
      <c r="AE92" s="107">
        <f t="shared" si="39"/>
        <v>2.9795697970710147E-3</v>
      </c>
      <c r="AF92" s="309">
        <f t="shared" si="46"/>
        <v>59.491722825560814</v>
      </c>
      <c r="AG92" s="107">
        <f t="shared" si="40"/>
        <v>5.3117609665679303E-3</v>
      </c>
      <c r="AH92" s="119">
        <f t="shared" si="47"/>
        <v>8.291330763638945E-3</v>
      </c>
      <c r="AI92" s="122">
        <f t="shared" si="41"/>
        <v>8.291330763638945E-3</v>
      </c>
      <c r="AJ92" s="87" t="b">
        <f t="shared" si="48"/>
        <v>1</v>
      </c>
      <c r="AK92" s="88">
        <f t="shared" si="54"/>
        <v>9.9409256351813951E-4</v>
      </c>
      <c r="AL92" s="312">
        <f>+AC92/'MWh by month-WgtbyCDH&amp;DayLtHrs'!AC92-1</f>
        <v>1.6638544852864978E-3</v>
      </c>
      <c r="AM92" s="89">
        <f t="shared" si="42"/>
        <v>209544.92301121805</v>
      </c>
      <c r="AN92" s="93"/>
      <c r="AO92" s="96">
        <f t="shared" si="29"/>
        <v>45.78177480965158</v>
      </c>
      <c r="AP92" s="92">
        <f t="shared" si="28"/>
        <v>4.0876584651474632E-3</v>
      </c>
      <c r="AR92" s="94">
        <f t="shared" si="43"/>
        <v>8.291330763638945E-3</v>
      </c>
      <c r="AS92" s="95">
        <v>444842.69011799514</v>
      </c>
      <c r="AU92" s="141">
        <v>92.862904552756177</v>
      </c>
    </row>
    <row r="93" spans="1:47">
      <c r="A93" s="78">
        <v>2012</v>
      </c>
      <c r="B93" s="78">
        <v>5</v>
      </c>
      <c r="C93" s="317">
        <f t="shared" si="52"/>
        <v>208.47875842628665</v>
      </c>
      <c r="D93" s="318">
        <f t="shared" si="55"/>
        <v>0.10603105035770212</v>
      </c>
      <c r="E93" s="321">
        <f>$D93*'MWh Impact Summary'!B$18</f>
        <v>124643.78999003435</v>
      </c>
      <c r="F93" s="319">
        <f>$D93*'MWh Impact Summary'!N$18</f>
        <v>5509.4604140764995</v>
      </c>
      <c r="G93" s="319">
        <f>$D93*'MWh Impact Summary'!C$18</f>
        <v>104926.68275310629</v>
      </c>
      <c r="H93" s="319">
        <f>$D93*'MWh Impact Summary'!D$18</f>
        <v>237.7064627160336</v>
      </c>
      <c r="I93" s="319">
        <f>$D93*'MWh Impact Summary'!E$18</f>
        <v>43926.346751067023</v>
      </c>
      <c r="J93" s="104">
        <f t="shared" si="44"/>
        <v>279243.98637100018</v>
      </c>
      <c r="K93" s="298">
        <f t="shared" si="53"/>
        <v>10.533333333333333</v>
      </c>
      <c r="L93" s="299">
        <f t="shared" si="56"/>
        <v>7.4152293793265281E-2</v>
      </c>
      <c r="M93" s="297">
        <f>(31/366)</f>
        <v>8.4699453551912565E-2</v>
      </c>
      <c r="N93" s="304">
        <f>$M93*'MWh Impact Summary'!F$18</f>
        <v>49716.673550694795</v>
      </c>
      <c r="O93" s="304">
        <f>$M93*'MWh Impact Summary'!G$18</f>
        <v>0</v>
      </c>
      <c r="P93" s="304">
        <f>$M93*'MWh Impact Summary'!H$18</f>
        <v>1982.1682430244027</v>
      </c>
      <c r="Q93" s="304">
        <f>$M93*'MWh Impact Summary'!I$18</f>
        <v>763.95826049034542</v>
      </c>
      <c r="R93" s="304">
        <f>$M93*'MWh Impact Summary'!J$18</f>
        <v>12219.065285421244</v>
      </c>
      <c r="S93" s="304">
        <f>$M93*'MWh Impact Summary'!K$18</f>
        <v>0</v>
      </c>
      <c r="T93" s="304">
        <f>$M93*'MWh Impact Summary'!L$18</f>
        <v>0</v>
      </c>
      <c r="U93" s="304">
        <f>$M93*'MWh Impact Summary'!M$18</f>
        <v>0</v>
      </c>
      <c r="V93" s="304">
        <f>$M93*'LED Impact Forecast'!$H$19+$D93*'LED Impact Forecast'!$J$19</f>
        <v>160.78614210506422</v>
      </c>
      <c r="W93" s="304">
        <f>$M93*'CFL Impact Forecast'!$H$19+$D93*'CFL Impact Forecast'!$J$19</f>
        <v>234267.38383515019</v>
      </c>
      <c r="X93" s="304">
        <f>$M93*'EISA Incand Impact Forecast'!$G$19+$D93*'EISA Incand Impact Forecast'!$I$19</f>
        <v>0</v>
      </c>
      <c r="Y93" s="85">
        <f t="shared" si="36"/>
        <v>299110.03531688603</v>
      </c>
      <c r="Z93" s="81">
        <f t="shared" si="37"/>
        <v>578354.02168788621</v>
      </c>
      <c r="AA93" s="81"/>
      <c r="AB93" s="81">
        <f>+'MWh by mo-WgtbyActulCDH&amp;Days'!AB93</f>
        <v>4576751</v>
      </c>
      <c r="AC93" s="308">
        <f t="shared" si="45"/>
        <v>126.36781456712114</v>
      </c>
      <c r="AD93" s="309">
        <f t="shared" si="38"/>
        <v>61.013585045592421</v>
      </c>
      <c r="AE93" s="107">
        <f t="shared" si="39"/>
        <v>5.7924289600245968E-3</v>
      </c>
      <c r="AF93" s="309">
        <f t="shared" si="46"/>
        <v>65.354229521528708</v>
      </c>
      <c r="AG93" s="107">
        <f t="shared" si="40"/>
        <v>6.2045154609046242E-3</v>
      </c>
      <c r="AH93" s="119">
        <f t="shared" si="47"/>
        <v>1.1996944420929221E-2</v>
      </c>
      <c r="AI93" s="122">
        <f t="shared" si="41"/>
        <v>1.1996944420929223E-2</v>
      </c>
      <c r="AJ93" s="87" t="b">
        <f t="shared" si="48"/>
        <v>1</v>
      </c>
      <c r="AK93" s="88">
        <f t="shared" si="54"/>
        <v>1.4740632937758659E-3</v>
      </c>
      <c r="AL93" s="312">
        <f>+AC93/'MWh by month-WgtbyCDH&amp;DayLtHrs'!AC93-1</f>
        <v>7.9937061704292045E-2</v>
      </c>
      <c r="AM93" s="89">
        <f t="shared" si="42"/>
        <v>234267.38383515019</v>
      </c>
      <c r="AN93" s="93"/>
      <c r="AO93" s="96">
        <f t="shared" si="29"/>
        <v>51.18639485415531</v>
      </c>
      <c r="AP93" s="92">
        <f t="shared" si="28"/>
        <v>4.8594678659008208E-3</v>
      </c>
      <c r="AR93" s="94">
        <f t="shared" si="43"/>
        <v>1.1996944420929223E-2</v>
      </c>
      <c r="AS93" s="95">
        <v>541584.37654085748</v>
      </c>
      <c r="AU93" s="141">
        <v>126.36781456712114</v>
      </c>
    </row>
    <row r="94" spans="1:47">
      <c r="A94" s="78">
        <v>2012</v>
      </c>
      <c r="B94" s="78">
        <v>6</v>
      </c>
      <c r="C94" s="317">
        <f t="shared" si="52"/>
        <v>271.66325293295364</v>
      </c>
      <c r="D94" s="318">
        <f t="shared" si="55"/>
        <v>0.13816630657965029</v>
      </c>
      <c r="E94" s="321">
        <f>$D94*'MWh Impact Summary'!B$18</f>
        <v>162420.08395573395</v>
      </c>
      <c r="F94" s="319">
        <f>$D94*'MWh Impact Summary'!N$18</f>
        <v>7179.2347061706278</v>
      </c>
      <c r="G94" s="319">
        <f>$D94*'MWh Impact Summary'!C$18</f>
        <v>136727.23385030864</v>
      </c>
      <c r="H94" s="319">
        <f>$D94*'MWh Impact Summary'!D$18</f>
        <v>309.74911493180338</v>
      </c>
      <c r="I94" s="319">
        <f>$D94*'MWh Impact Summary'!E$18</f>
        <v>57239.281056420165</v>
      </c>
      <c r="J94" s="104">
        <f t="shared" si="44"/>
        <v>363875.58268356521</v>
      </c>
      <c r="K94" s="298">
        <f t="shared" si="53"/>
        <v>10.199999999999999</v>
      </c>
      <c r="L94" s="299">
        <f t="shared" si="56"/>
        <v>7.1805702217529022E-2</v>
      </c>
      <c r="M94" s="297">
        <f>(30/366)</f>
        <v>8.1967213114754092E-2</v>
      </c>
      <c r="N94" s="304">
        <f>$M94*'MWh Impact Summary'!F$18</f>
        <v>48112.909887769158</v>
      </c>
      <c r="O94" s="304">
        <f>$M94*'MWh Impact Summary'!G$18</f>
        <v>0</v>
      </c>
      <c r="P94" s="304">
        <f>$M94*'MWh Impact Summary'!H$18</f>
        <v>1918.2273319590993</v>
      </c>
      <c r="Q94" s="304">
        <f>$M94*'MWh Impact Summary'!I$18</f>
        <v>739.31444563581817</v>
      </c>
      <c r="R94" s="304">
        <f>$M94*'MWh Impact Summary'!J$18</f>
        <v>11824.901889117331</v>
      </c>
      <c r="S94" s="304">
        <f>$M94*'MWh Impact Summary'!K$18</f>
        <v>0</v>
      </c>
      <c r="T94" s="304">
        <f>$M94*'MWh Impact Summary'!L$18</f>
        <v>0</v>
      </c>
      <c r="U94" s="304">
        <f>$M94*'MWh Impact Summary'!M$18</f>
        <v>0</v>
      </c>
      <c r="V94" s="304">
        <f>$M94*'LED Impact Forecast'!$H$19+$D94*'LED Impact Forecast'!$J$19</f>
        <v>155.59949235973954</v>
      </c>
      <c r="W94" s="304">
        <f>$M94*'CFL Impact Forecast'!$H$19+$D94*'CFL Impact Forecast'!$J$19</f>
        <v>240390.64838662543</v>
      </c>
      <c r="X94" s="304">
        <f>$M94*'EISA Incand Impact Forecast'!$G$19+$D94*'EISA Incand Impact Forecast'!$I$19</f>
        <v>0</v>
      </c>
      <c r="Y94" s="85">
        <f t="shared" si="36"/>
        <v>303141.6014334666</v>
      </c>
      <c r="Z94" s="81">
        <f t="shared" si="37"/>
        <v>667017.18411703175</v>
      </c>
      <c r="AA94" s="81"/>
      <c r="AB94" s="81">
        <f>+'MWh by mo-WgtbyActulCDH&amp;Days'!AB94</f>
        <v>4575347</v>
      </c>
      <c r="AC94" s="308">
        <f t="shared" si="45"/>
        <v>145.7850484601565</v>
      </c>
      <c r="AD94" s="309">
        <f t="shared" si="38"/>
        <v>79.529614405981704</v>
      </c>
      <c r="AE94" s="107">
        <f t="shared" si="39"/>
        <v>7.7970210201942849E-3</v>
      </c>
      <c r="AF94" s="309">
        <f t="shared" si="46"/>
        <v>66.255434054174827</v>
      </c>
      <c r="AG94" s="107">
        <f t="shared" si="40"/>
        <v>6.4956307896249831E-3</v>
      </c>
      <c r="AH94" s="119">
        <f t="shared" si="47"/>
        <v>1.4292651809819267E-2</v>
      </c>
      <c r="AI94" s="122">
        <f t="shared" si="41"/>
        <v>1.4292651809819265E-2</v>
      </c>
      <c r="AJ94" s="87" t="b">
        <f t="shared" si="48"/>
        <v>1</v>
      </c>
      <c r="AK94" s="88">
        <f t="shared" si="54"/>
        <v>1.7804863607336716E-3</v>
      </c>
      <c r="AL94" s="312">
        <f>+AC94/'MWh by month-WgtbyCDH&amp;DayLtHrs'!AC94-1</f>
        <v>8.8952592906291761E-2</v>
      </c>
      <c r="AM94" s="89">
        <f t="shared" si="42"/>
        <v>240390.64838662543</v>
      </c>
      <c r="AN94" s="93"/>
      <c r="AO94" s="96">
        <f t="shared" si="29"/>
        <v>52.540418986062789</v>
      </c>
      <c r="AP94" s="92">
        <f t="shared" si="28"/>
        <v>5.1510214692218424E-3</v>
      </c>
      <c r="AR94" s="94">
        <f t="shared" si="43"/>
        <v>1.4292651809819265E-2</v>
      </c>
      <c r="AS94" s="95">
        <v>666316.34753543139</v>
      </c>
      <c r="AU94" s="141">
        <v>145.7850484601565</v>
      </c>
    </row>
    <row r="95" spans="1:47">
      <c r="A95" s="78">
        <v>2012</v>
      </c>
      <c r="B95" s="78">
        <v>7</v>
      </c>
      <c r="C95" s="317">
        <f t="shared" si="52"/>
        <v>322.31916585708109</v>
      </c>
      <c r="D95" s="318">
        <f t="shared" si="55"/>
        <v>0.16392960109808263</v>
      </c>
      <c r="E95" s="321">
        <f>$D95*'MWh Impact Summary'!B$18</f>
        <v>192705.87911265818</v>
      </c>
      <c r="F95" s="319">
        <f>$D95*'MWh Impact Summary'!N$18</f>
        <v>8517.9166376109715</v>
      </c>
      <c r="G95" s="319">
        <f>$D95*'MWh Impact Summary'!C$18</f>
        <v>162222.19048320808</v>
      </c>
      <c r="H95" s="319">
        <f>$D95*'MWh Impact Summary'!D$18</f>
        <v>367.5067395825817</v>
      </c>
      <c r="I95" s="319">
        <f>$D95*'MWh Impact Summary'!E$18</f>
        <v>67912.450893450994</v>
      </c>
      <c r="J95" s="104">
        <f t="shared" si="44"/>
        <v>431725.94386651082</v>
      </c>
      <c r="K95" s="298">
        <f t="shared" si="53"/>
        <v>10.366666666666667</v>
      </c>
      <c r="L95" s="299">
        <f t="shared" si="56"/>
        <v>7.2978998005397158E-2</v>
      </c>
      <c r="M95" s="297">
        <f>(31/366)</f>
        <v>8.4699453551912565E-2</v>
      </c>
      <c r="N95" s="304">
        <f>$M95*'MWh Impact Summary'!F$18</f>
        <v>49716.673550694795</v>
      </c>
      <c r="O95" s="304">
        <f>$M95*'MWh Impact Summary'!G$18</f>
        <v>0</v>
      </c>
      <c r="P95" s="304">
        <f>$M95*'MWh Impact Summary'!H$18</f>
        <v>1982.1682430244027</v>
      </c>
      <c r="Q95" s="304">
        <f>$M95*'MWh Impact Summary'!I$18</f>
        <v>763.95826049034542</v>
      </c>
      <c r="R95" s="304">
        <f>$M95*'MWh Impact Summary'!J$18</f>
        <v>12219.065285421244</v>
      </c>
      <c r="S95" s="304">
        <f>$M95*'MWh Impact Summary'!K$18</f>
        <v>0</v>
      </c>
      <c r="T95" s="304">
        <f>$M95*'MWh Impact Summary'!L$18</f>
        <v>0</v>
      </c>
      <c r="U95" s="304">
        <f>$M95*'MWh Impact Summary'!M$18</f>
        <v>0</v>
      </c>
      <c r="V95" s="304">
        <f>$M95*'LED Impact Forecast'!$H$19+$D95*'LED Impact Forecast'!$J$19</f>
        <v>160.78614210506422</v>
      </c>
      <c r="W95" s="304">
        <f>$M95*'CFL Impact Forecast'!$H$19+$D95*'CFL Impact Forecast'!$J$19</f>
        <v>256544.26639592822</v>
      </c>
      <c r="X95" s="304">
        <f>$M95*'EISA Incand Impact Forecast'!$G$19+$D95*'EISA Incand Impact Forecast'!$I$19</f>
        <v>0</v>
      </c>
      <c r="Y95" s="85">
        <f t="shared" si="36"/>
        <v>321386.91787766409</v>
      </c>
      <c r="Z95" s="81">
        <f t="shared" si="37"/>
        <v>753112.86174417497</v>
      </c>
      <c r="AA95" s="81"/>
      <c r="AB95" s="81">
        <f>+'MWh by mo-WgtbyActulCDH&amp;Days'!AB95</f>
        <v>4577123</v>
      </c>
      <c r="AC95" s="308">
        <f t="shared" si="45"/>
        <v>164.53848012041078</v>
      </c>
      <c r="AD95" s="309">
        <f t="shared" si="38"/>
        <v>94.322556738481964</v>
      </c>
      <c r="AE95" s="107">
        <f t="shared" si="39"/>
        <v>9.0986389136799312E-3</v>
      </c>
      <c r="AF95" s="309">
        <f t="shared" si="46"/>
        <v>70.215923381928803</v>
      </c>
      <c r="AG95" s="107">
        <f t="shared" si="40"/>
        <v>6.7732401976137108E-3</v>
      </c>
      <c r="AH95" s="119">
        <f t="shared" si="47"/>
        <v>1.5871879111293643E-2</v>
      </c>
      <c r="AI95" s="122">
        <f t="shared" si="41"/>
        <v>1.5871879111293643E-2</v>
      </c>
      <c r="AJ95" s="87" t="b">
        <f t="shared" si="48"/>
        <v>1</v>
      </c>
      <c r="AK95" s="88">
        <f t="shared" si="54"/>
        <v>1.9836018578051774E-3</v>
      </c>
      <c r="AL95" s="312">
        <f>+AC95/'MWh by month-WgtbyCDH&amp;DayLtHrs'!AC95-1</f>
        <v>0.10071433262411866</v>
      </c>
      <c r="AM95" s="89">
        <f t="shared" si="42"/>
        <v>256544.26639592822</v>
      </c>
      <c r="AN95" s="93"/>
      <c r="AO95" s="96">
        <f t="shared" si="29"/>
        <v>56.049240187761662</v>
      </c>
      <c r="AP95" s="92">
        <f t="shared" si="28"/>
        <v>5.4066791177905136E-3</v>
      </c>
      <c r="AR95" s="94">
        <f t="shared" si="43"/>
        <v>1.5871879111293643E-2</v>
      </c>
      <c r="AS95" s="95">
        <v>703280.56974415644</v>
      </c>
      <c r="AU95" s="141">
        <v>164.53848012041078</v>
      </c>
    </row>
    <row r="96" spans="1:47">
      <c r="A96" s="78">
        <v>2012</v>
      </c>
      <c r="B96" s="78">
        <v>8</v>
      </c>
      <c r="C96" s="317">
        <f t="shared" si="52"/>
        <v>326.45437890907908</v>
      </c>
      <c r="D96" s="318">
        <f t="shared" si="55"/>
        <v>0.16603274573816959</v>
      </c>
      <c r="E96" s="321">
        <f>$D96*'MWh Impact Summary'!B$18</f>
        <v>195178.21073583182</v>
      </c>
      <c r="F96" s="319">
        <f>$D96*'MWh Impact Summary'!N$18</f>
        <v>8627.1977595139069</v>
      </c>
      <c r="G96" s="319">
        <f>$D96*'MWh Impact Summary'!C$18</f>
        <v>164303.42979650202</v>
      </c>
      <c r="H96" s="319">
        <f>$D96*'MWh Impact Summary'!D$18</f>
        <v>372.22168931936829</v>
      </c>
      <c r="I96" s="319">
        <f>$D96*'MWh Impact Summary'!E$18</f>
        <v>68783.737751559514</v>
      </c>
      <c r="J96" s="104">
        <f t="shared" si="44"/>
        <v>437264.79773272661</v>
      </c>
      <c r="K96" s="298">
        <f t="shared" si="53"/>
        <v>10.933333333333334</v>
      </c>
      <c r="L96" s="299">
        <f t="shared" si="56"/>
        <v>7.6968203684148764E-2</v>
      </c>
      <c r="M96" s="297">
        <f>(31/366)</f>
        <v>8.4699453551912565E-2</v>
      </c>
      <c r="N96" s="304">
        <f>$M96*'MWh Impact Summary'!F$18</f>
        <v>49716.673550694795</v>
      </c>
      <c r="O96" s="304">
        <f>$M96*'MWh Impact Summary'!G$18</f>
        <v>0</v>
      </c>
      <c r="P96" s="304">
        <f>$M96*'MWh Impact Summary'!H$18</f>
        <v>1982.1682430244027</v>
      </c>
      <c r="Q96" s="304">
        <f>$M96*'MWh Impact Summary'!I$18</f>
        <v>763.95826049034542</v>
      </c>
      <c r="R96" s="304">
        <f>$M96*'MWh Impact Summary'!J$18</f>
        <v>12219.065285421244</v>
      </c>
      <c r="S96" s="304">
        <f>$M96*'MWh Impact Summary'!K$18</f>
        <v>0</v>
      </c>
      <c r="T96" s="304">
        <f>$M96*'MWh Impact Summary'!L$18</f>
        <v>0</v>
      </c>
      <c r="U96" s="304">
        <f>$M96*'MWh Impact Summary'!M$18</f>
        <v>0</v>
      </c>
      <c r="V96" s="304">
        <f>$M96*'LED Impact Forecast'!$H$19+$D96*'LED Impact Forecast'!$J$19</f>
        <v>160.78614210506422</v>
      </c>
      <c r="W96" s="304">
        <f>$M96*'CFL Impact Forecast'!$H$19+$D96*'CFL Impact Forecast'!$J$19</f>
        <v>257353.46637686784</v>
      </c>
      <c r="X96" s="304">
        <f>$M96*'EISA Incand Impact Forecast'!$G$19+$D96*'EISA Incand Impact Forecast'!$I$19</f>
        <v>0</v>
      </c>
      <c r="Y96" s="85">
        <f t="shared" si="36"/>
        <v>322196.11785860371</v>
      </c>
      <c r="Z96" s="81">
        <f t="shared" si="37"/>
        <v>759460.91559133027</v>
      </c>
      <c r="AA96" s="81"/>
      <c r="AB96" s="81">
        <f>+'MWh by mo-WgtbyActulCDH&amp;Days'!AB96</f>
        <v>4579585</v>
      </c>
      <c r="AC96" s="308">
        <f t="shared" si="45"/>
        <v>165.83618725088198</v>
      </c>
      <c r="AD96" s="309">
        <f t="shared" si="38"/>
        <v>95.481314951622608</v>
      </c>
      <c r="AE96" s="107">
        <f t="shared" si="39"/>
        <v>8.7330470992337747E-3</v>
      </c>
      <c r="AF96" s="309">
        <f t="shared" si="46"/>
        <v>70.35487229925937</v>
      </c>
      <c r="AG96" s="107">
        <f t="shared" si="40"/>
        <v>6.434896856639576E-3</v>
      </c>
      <c r="AH96" s="119">
        <f t="shared" si="47"/>
        <v>1.5167943955873351E-2</v>
      </c>
      <c r="AI96" s="122">
        <f t="shared" si="41"/>
        <v>1.5167943955873351E-2</v>
      </c>
      <c r="AJ96" s="87" t="b">
        <f t="shared" si="48"/>
        <v>1</v>
      </c>
      <c r="AK96" s="88">
        <f t="shared" si="54"/>
        <v>1.8912824740109618E-3</v>
      </c>
      <c r="AL96" s="312">
        <f>+AC96/'MWh by month-WgtbyCDH&amp;DayLtHrs'!AC96-1</f>
        <v>8.0715801584019919E-2</v>
      </c>
      <c r="AM96" s="89">
        <f t="shared" si="42"/>
        <v>257353.46637686784</v>
      </c>
      <c r="AN96" s="93"/>
      <c r="AO96" s="96">
        <f t="shared" si="29"/>
        <v>56.195805160700772</v>
      </c>
      <c r="AP96" s="92">
        <f t="shared" si="28"/>
        <v>5.1398602281128754E-3</v>
      </c>
      <c r="AR96" s="94">
        <f t="shared" si="43"/>
        <v>1.5167943955873351E-2</v>
      </c>
      <c r="AS96" s="95">
        <v>731339.80776993698</v>
      </c>
      <c r="AU96" s="141">
        <v>165.83618725088198</v>
      </c>
    </row>
    <row r="97" spans="1:47">
      <c r="A97" s="78">
        <v>2012</v>
      </c>
      <c r="B97" s="78">
        <v>9</v>
      </c>
      <c r="C97" s="317">
        <f t="shared" si="52"/>
        <v>277.87653293728147</v>
      </c>
      <c r="D97" s="318">
        <f t="shared" si="55"/>
        <v>0.14132634365008559</v>
      </c>
      <c r="E97" s="321">
        <f>$D97*'MWh Impact Summary'!B$18</f>
        <v>166134.8353954234</v>
      </c>
      <c r="F97" s="319">
        <f>$D97*'MWh Impact Summary'!N$18</f>
        <v>7343.4328263235793</v>
      </c>
      <c r="G97" s="319">
        <f>$D97*'MWh Impact Summary'!C$18</f>
        <v>139854.35751888534</v>
      </c>
      <c r="H97" s="319">
        <f>$D97*'MWh Impact Summary'!D$18</f>
        <v>316.83346646402555</v>
      </c>
      <c r="I97" s="319">
        <f>$D97*'MWh Impact Summary'!E$18</f>
        <v>58548.415349006034</v>
      </c>
      <c r="J97" s="104">
        <f t="shared" si="44"/>
        <v>372197.87455610232</v>
      </c>
      <c r="K97" s="298">
        <f t="shared" si="53"/>
        <v>11.683333333333334</v>
      </c>
      <c r="L97" s="299">
        <f t="shared" si="56"/>
        <v>8.2248034729555317E-2</v>
      </c>
      <c r="M97" s="297">
        <f>(30/366)</f>
        <v>8.1967213114754092E-2</v>
      </c>
      <c r="N97" s="304">
        <f>$M97*'MWh Impact Summary'!F$18</f>
        <v>48112.909887769158</v>
      </c>
      <c r="O97" s="304">
        <f>$M97*'MWh Impact Summary'!G$18</f>
        <v>0</v>
      </c>
      <c r="P97" s="304">
        <f>$M97*'MWh Impact Summary'!H$18</f>
        <v>1918.2273319590993</v>
      </c>
      <c r="Q97" s="304">
        <f>$M97*'MWh Impact Summary'!I$18</f>
        <v>739.31444563581817</v>
      </c>
      <c r="R97" s="304">
        <f>$M97*'MWh Impact Summary'!J$18</f>
        <v>11824.901889117331</v>
      </c>
      <c r="S97" s="304">
        <f>$M97*'MWh Impact Summary'!K$18</f>
        <v>0</v>
      </c>
      <c r="T97" s="304">
        <f>$M97*'MWh Impact Summary'!L$18</f>
        <v>0</v>
      </c>
      <c r="U97" s="304">
        <f>$M97*'MWh Impact Summary'!M$18</f>
        <v>0</v>
      </c>
      <c r="V97" s="304">
        <f>$M97*'LED Impact Forecast'!$H$19+$D97*'LED Impact Forecast'!$J$19</f>
        <v>155.59949235973954</v>
      </c>
      <c r="W97" s="304">
        <f>$M97*'CFL Impact Forecast'!$H$19+$D97*'CFL Impact Forecast'!$J$19</f>
        <v>241606.49530862266</v>
      </c>
      <c r="X97" s="304">
        <f>$M97*'EISA Incand Impact Forecast'!$G$19+$D97*'EISA Incand Impact Forecast'!$I$19</f>
        <v>0</v>
      </c>
      <c r="Y97" s="85">
        <f t="shared" si="36"/>
        <v>304357.4483554638</v>
      </c>
      <c r="Z97" s="81">
        <f t="shared" si="37"/>
        <v>676555.32291156612</v>
      </c>
      <c r="AA97" s="81"/>
      <c r="AB97" s="81">
        <f>+'MWh by mo-WgtbyActulCDH&amp;Days'!AB97</f>
        <v>4578976</v>
      </c>
      <c r="AC97" s="308">
        <f t="shared" si="45"/>
        <v>147.75253744757913</v>
      </c>
      <c r="AD97" s="309">
        <f t="shared" si="38"/>
        <v>81.284085034755009</v>
      </c>
      <c r="AE97" s="107">
        <f t="shared" si="39"/>
        <v>6.9572683339305282E-3</v>
      </c>
      <c r="AF97" s="309">
        <f t="shared" si="46"/>
        <v>66.468452412824135</v>
      </c>
      <c r="AG97" s="107">
        <f t="shared" si="40"/>
        <v>5.6891685374742488E-3</v>
      </c>
      <c r="AH97" s="119">
        <f t="shared" si="47"/>
        <v>1.2646436871404777E-2</v>
      </c>
      <c r="AI97" s="122">
        <f t="shared" si="41"/>
        <v>1.2646436871404775E-2</v>
      </c>
      <c r="AJ97" s="87" t="b">
        <f t="shared" si="48"/>
        <v>1</v>
      </c>
      <c r="AK97" s="88">
        <f t="shared" si="54"/>
        <v>1.5599034510360276E-3</v>
      </c>
      <c r="AL97" s="312">
        <f>+AC97/'MWh by month-WgtbyCDH&amp;DayLtHrs'!AC97-1</f>
        <v>3.3109647508720474E-2</v>
      </c>
      <c r="AM97" s="89">
        <f t="shared" si="42"/>
        <v>241606.49530862266</v>
      </c>
      <c r="AN97" s="93"/>
      <c r="AO97" s="96">
        <f t="shared" si="29"/>
        <v>52.764306977940628</v>
      </c>
      <c r="AP97" s="92">
        <f t="shared" si="28"/>
        <v>4.5162031650163165E-3</v>
      </c>
      <c r="AR97" s="94">
        <f t="shared" si="43"/>
        <v>1.2646436871404775E-2</v>
      </c>
      <c r="AS97" s="95">
        <v>689207.92416327714</v>
      </c>
      <c r="AU97" s="141">
        <v>147.75253744757913</v>
      </c>
    </row>
    <row r="98" spans="1:47">
      <c r="A98" s="78">
        <v>2012</v>
      </c>
      <c r="B98" s="78">
        <v>10</v>
      </c>
      <c r="C98" s="317">
        <f t="shared" si="52"/>
        <v>198.89039579254836</v>
      </c>
      <c r="D98" s="318">
        <f t="shared" si="55"/>
        <v>0.10115446643644242</v>
      </c>
      <c r="E98" s="321">
        <f>$D98*'MWh Impact Summary'!B$18</f>
        <v>118911.16827121047</v>
      </c>
      <c r="F98" s="319">
        <f>$D98*'MWh Impact Summary'!N$18</f>
        <v>5256.0691104964289</v>
      </c>
      <c r="G98" s="319">
        <f>$D98*'MWh Impact Summary'!C$18</f>
        <v>100100.8909468503</v>
      </c>
      <c r="H98" s="319">
        <f>$D98*'MWh Impact Summary'!D$18</f>
        <v>226.7738584444555</v>
      </c>
      <c r="I98" s="319">
        <f>$D98*'MWh Impact Summary'!E$18</f>
        <v>41906.084614991982</v>
      </c>
      <c r="J98" s="104">
        <f t="shared" si="44"/>
        <v>266400.98680199363</v>
      </c>
      <c r="K98" s="298">
        <f t="shared" si="53"/>
        <v>12.466666666666667</v>
      </c>
      <c r="L98" s="299">
        <f t="shared" si="56"/>
        <v>8.7762524932535488E-2</v>
      </c>
      <c r="M98" s="297">
        <f>(31/366)</f>
        <v>8.4699453551912565E-2</v>
      </c>
      <c r="N98" s="304">
        <f>$M98*'MWh Impact Summary'!F$18</f>
        <v>49716.673550694795</v>
      </c>
      <c r="O98" s="304">
        <f>$M98*'MWh Impact Summary'!G$18</f>
        <v>0</v>
      </c>
      <c r="P98" s="304">
        <f>$M98*'MWh Impact Summary'!H$18</f>
        <v>1982.1682430244027</v>
      </c>
      <c r="Q98" s="304">
        <f>$M98*'MWh Impact Summary'!I$18</f>
        <v>763.95826049034542</v>
      </c>
      <c r="R98" s="304">
        <f>$M98*'MWh Impact Summary'!J$18</f>
        <v>12219.065285421244</v>
      </c>
      <c r="S98" s="304">
        <f>$M98*'MWh Impact Summary'!K$18</f>
        <v>0</v>
      </c>
      <c r="T98" s="304">
        <f>$M98*'MWh Impact Summary'!L$18</f>
        <v>0</v>
      </c>
      <c r="U98" s="304">
        <f>$M98*'MWh Impact Summary'!M$18</f>
        <v>0</v>
      </c>
      <c r="V98" s="304">
        <f>$M98*'LED Impact Forecast'!$H$19+$D98*'LED Impact Forecast'!$J$19</f>
        <v>160.78614210506422</v>
      </c>
      <c r="W98" s="304">
        <f>$M98*'CFL Impact Forecast'!$H$19+$D98*'CFL Impact Forecast'!$J$19</f>
        <v>232391.08320374397</v>
      </c>
      <c r="X98" s="304">
        <f>$M98*'EISA Incand Impact Forecast'!$G$19+$D98*'EISA Incand Impact Forecast'!$I$19</f>
        <v>0</v>
      </c>
      <c r="Y98" s="85">
        <f t="shared" si="36"/>
        <v>297233.73468547984</v>
      </c>
      <c r="Z98" s="81">
        <f t="shared" si="37"/>
        <v>563634.72148747346</v>
      </c>
      <c r="AA98" s="81"/>
      <c r="AB98" s="81">
        <f>+'MWh by mo-WgtbyActulCDH&amp;Days'!AB98</f>
        <v>4580752</v>
      </c>
      <c r="AC98" s="308">
        <f t="shared" si="45"/>
        <v>123.04414678801068</v>
      </c>
      <c r="AD98" s="309">
        <f t="shared" si="38"/>
        <v>58.156605466088024</v>
      </c>
      <c r="AE98" s="107">
        <f t="shared" si="39"/>
        <v>4.6649683528947614E-3</v>
      </c>
      <c r="AF98" s="309">
        <f t="shared" si="46"/>
        <v>64.887541321922654</v>
      </c>
      <c r="AG98" s="107">
        <f t="shared" si="40"/>
        <v>5.2048829937371109E-3</v>
      </c>
      <c r="AH98" s="119">
        <f t="shared" si="47"/>
        <v>9.8698513466318714E-3</v>
      </c>
      <c r="AI98" s="122">
        <f t="shared" si="41"/>
        <v>9.8698513466318714E-3</v>
      </c>
      <c r="AJ98" s="87" t="b">
        <f t="shared" si="48"/>
        <v>1</v>
      </c>
      <c r="AK98" s="88">
        <f t="shared" si="54"/>
        <v>1.1970312625153388E-3</v>
      </c>
      <c r="AL98" s="312">
        <f>+AC98/'MWh by month-WgtbyCDH&amp;DayLtHrs'!AC98-1</f>
        <v>-6.007397201630571E-3</v>
      </c>
      <c r="AM98" s="89">
        <f t="shared" si="42"/>
        <v>232391.08320374397</v>
      </c>
      <c r="AN98" s="93"/>
      <c r="AO98" s="96">
        <f t="shared" si="29"/>
        <v>50.732081370863114</v>
      </c>
      <c r="AP98" s="92">
        <f t="shared" si="28"/>
        <v>4.0694182917804635E-3</v>
      </c>
      <c r="AR98" s="94">
        <f t="shared" si="43"/>
        <v>9.8698513466318714E-3</v>
      </c>
      <c r="AS98" s="95">
        <v>550390.63085847348</v>
      </c>
      <c r="AU98" s="141">
        <v>123.04414678801068</v>
      </c>
    </row>
    <row r="99" spans="1:47">
      <c r="A99" s="78">
        <v>2012</v>
      </c>
      <c r="B99" s="78">
        <v>11</v>
      </c>
      <c r="C99" s="317">
        <f t="shared" si="52"/>
        <v>78.117279066674627</v>
      </c>
      <c r="D99" s="318">
        <f t="shared" si="55"/>
        <v>3.9729981188725644E-2</v>
      </c>
      <c r="E99" s="321">
        <f>$D99*'MWh Impact Summary'!B$18</f>
        <v>46704.200466649556</v>
      </c>
      <c r="F99" s="319">
        <f>$D99*'MWh Impact Summary'!N$18</f>
        <v>2064.4024356341542</v>
      </c>
      <c r="G99" s="319">
        <f>$D99*'MWh Impact Summary'!C$18</f>
        <v>39316.173120164494</v>
      </c>
      <c r="H99" s="319">
        <f>$D99*'MWh Impact Summary'!D$18</f>
        <v>89.068940280100776</v>
      </c>
      <c r="I99" s="319">
        <f>$D99*'MWh Impact Summary'!E$18</f>
        <v>16459.262868959795</v>
      </c>
      <c r="J99" s="104">
        <f t="shared" si="44"/>
        <v>104633.1078316881</v>
      </c>
      <c r="K99" s="298">
        <f t="shared" si="53"/>
        <v>13.15</v>
      </c>
      <c r="L99" s="299">
        <f>K99/(SUM(K$89:K$100))</f>
        <v>9.2573037662794788E-2</v>
      </c>
      <c r="M99" s="297">
        <f>(30/366)</f>
        <v>8.1967213114754092E-2</v>
      </c>
      <c r="N99" s="304">
        <f>$M99*'MWh Impact Summary'!F$18</f>
        <v>48112.909887769158</v>
      </c>
      <c r="O99" s="304">
        <f>$M99*'MWh Impact Summary'!G$18</f>
        <v>0</v>
      </c>
      <c r="P99" s="304">
        <f>$M99*'MWh Impact Summary'!H$18</f>
        <v>1918.2273319590993</v>
      </c>
      <c r="Q99" s="304">
        <f>$M99*'MWh Impact Summary'!I$18</f>
        <v>739.31444563581817</v>
      </c>
      <c r="R99" s="304">
        <f>$M99*'MWh Impact Summary'!J$18</f>
        <v>11824.901889117331</v>
      </c>
      <c r="S99" s="304">
        <f>$M99*'MWh Impact Summary'!K$18</f>
        <v>0</v>
      </c>
      <c r="T99" s="304">
        <f>$M99*'MWh Impact Summary'!L$18</f>
        <v>0</v>
      </c>
      <c r="U99" s="304">
        <f>$M99*'MWh Impact Summary'!M$18</f>
        <v>0</v>
      </c>
      <c r="V99" s="304">
        <f>$M99*'LED Impact Forecast'!$H$19+$D99*'LED Impact Forecast'!$J$19</f>
        <v>155.59949235973954</v>
      </c>
      <c r="W99" s="304">
        <f>$M99*'CFL Impact Forecast'!$H$19+$D99*'CFL Impact Forecast'!$J$19</f>
        <v>202516.56635163611</v>
      </c>
      <c r="X99" s="304">
        <f>$M99*'EISA Incand Impact Forecast'!$G$19+$D99*'EISA Incand Impact Forecast'!$I$19</f>
        <v>0</v>
      </c>
      <c r="Y99" s="85">
        <f t="shared" si="36"/>
        <v>265267.51939847728</v>
      </c>
      <c r="Z99" s="81">
        <f t="shared" si="37"/>
        <v>369900.62723016541</v>
      </c>
      <c r="AA99" s="81"/>
      <c r="AB99" s="81">
        <f>+'MWh by mo-WgtbyActulCDH&amp;Days'!AB99</f>
        <v>4584041</v>
      </c>
      <c r="AC99" s="308">
        <f t="shared" si="45"/>
        <v>80.693132376033603</v>
      </c>
      <c r="AD99" s="309">
        <f t="shared" si="38"/>
        <v>22.82551744883785</v>
      </c>
      <c r="AE99" s="107">
        <f t="shared" si="39"/>
        <v>1.7357807945884297E-3</v>
      </c>
      <c r="AF99" s="309">
        <f t="shared" si="46"/>
        <v>57.867614927195739</v>
      </c>
      <c r="AG99" s="107">
        <f t="shared" si="40"/>
        <v>4.4005790819160251E-3</v>
      </c>
      <c r="AH99" s="119">
        <f t="shared" si="47"/>
        <v>6.136359876504455E-3</v>
      </c>
      <c r="AI99" s="122">
        <f t="shared" si="41"/>
        <v>6.1363598765044559E-3</v>
      </c>
      <c r="AJ99" s="87" t="b">
        <f t="shared" si="48"/>
        <v>1</v>
      </c>
      <c r="AK99" s="88">
        <f t="shared" si="54"/>
        <v>7.1482928858863492E-4</v>
      </c>
      <c r="AL99" s="312">
        <f>+AC99/'MWh by month-WgtbyCDH&amp;DayLtHrs'!AC99-1</f>
        <v>-0.12126173758984538</v>
      </c>
      <c r="AM99" s="89">
        <f t="shared" si="42"/>
        <v>202516.56635163611</v>
      </c>
      <c r="AN99" s="93"/>
      <c r="AO99" s="96">
        <f t="shared" si="29"/>
        <v>44.178611480926136</v>
      </c>
      <c r="AP99" s="92">
        <f t="shared" si="28"/>
        <v>3.3595902266863979E-3</v>
      </c>
      <c r="AR99" s="94">
        <f t="shared" si="43"/>
        <v>6.1363598765044559E-3</v>
      </c>
      <c r="AS99" s="95">
        <v>417156.58320965245</v>
      </c>
      <c r="AU99" s="141">
        <v>80.693132376033603</v>
      </c>
    </row>
    <row r="100" spans="1:47">
      <c r="A100" s="78">
        <v>2012</v>
      </c>
      <c r="B100" s="78">
        <v>12</v>
      </c>
      <c r="C100" s="317">
        <f t="shared" si="52"/>
        <v>42.633806123140985</v>
      </c>
      <c r="D100" s="318">
        <f t="shared" si="55"/>
        <v>2.1683298951445065E-2</v>
      </c>
      <c r="E100" s="321">
        <f>$D100*'MWh Impact Summary'!B$18</f>
        <v>25489.595280602884</v>
      </c>
      <c r="F100" s="319">
        <f>$D100*'MWh Impact Summary'!N$18</f>
        <v>1126.682012642113</v>
      </c>
      <c r="G100" s="319">
        <f>$D100*'MWh Impact Summary'!C$18</f>
        <v>21457.45630589965</v>
      </c>
      <c r="H100" s="319">
        <f>$D100*'MWh Impact Summary'!D$18</f>
        <v>48.610857634382377</v>
      </c>
      <c r="I100" s="319">
        <f>$D100*'MWh Impact Summary'!E$18</f>
        <v>8982.9168459146204</v>
      </c>
      <c r="J100" s="104">
        <f t="shared" si="44"/>
        <v>57105.261302693645</v>
      </c>
      <c r="K100" s="298">
        <f t="shared" si="53"/>
        <v>13.483333333333333</v>
      </c>
      <c r="L100" s="299">
        <f>K100/(SUM(K$89:K$100))</f>
        <v>9.491962923853102E-2</v>
      </c>
      <c r="M100" s="297">
        <f>(31/366)</f>
        <v>8.4699453551912565E-2</v>
      </c>
      <c r="N100" s="304">
        <f>$M100*'MWh Impact Summary'!F$18</f>
        <v>49716.673550694795</v>
      </c>
      <c r="O100" s="304">
        <f>$M100*'MWh Impact Summary'!G$18</f>
        <v>0</v>
      </c>
      <c r="P100" s="304">
        <f>$M100*'MWh Impact Summary'!H$18</f>
        <v>1982.1682430244027</v>
      </c>
      <c r="Q100" s="304">
        <f>$M100*'MWh Impact Summary'!I$18</f>
        <v>763.95826049034542</v>
      </c>
      <c r="R100" s="304">
        <f>$M100*'MWh Impact Summary'!J$18</f>
        <v>12219.065285421244</v>
      </c>
      <c r="S100" s="304">
        <f>$M100*'MWh Impact Summary'!K$18</f>
        <v>0</v>
      </c>
      <c r="T100" s="304">
        <f>$M100*'MWh Impact Summary'!L$18</f>
        <v>0</v>
      </c>
      <c r="U100" s="304">
        <f>$M100*'MWh Impact Summary'!M$18</f>
        <v>0</v>
      </c>
      <c r="V100" s="304">
        <f>$M100*'LED Impact Forecast'!$H$19+$D100*'LED Impact Forecast'!$J$19</f>
        <v>160.78614210506422</v>
      </c>
      <c r="W100" s="304">
        <f>$M100*'CFL Impact Forecast'!$H$19+$D100*'CFL Impact Forecast'!$J$19</f>
        <v>201813.98166333375</v>
      </c>
      <c r="X100" s="304">
        <f>$M100*'EISA Incand Impact Forecast'!$G$19+$D100*'EISA Incand Impact Forecast'!$I$19</f>
        <v>0</v>
      </c>
      <c r="Y100" s="85">
        <f t="shared" si="36"/>
        <v>266656.63314506959</v>
      </c>
      <c r="Z100" s="81">
        <f t="shared" si="37"/>
        <v>323761.89444776322</v>
      </c>
      <c r="AA100" s="81">
        <f>SUM(Z89:Z100)</f>
        <v>6068132.6596934069</v>
      </c>
      <c r="AB100" s="81">
        <f>+'MWh by mo-WgtbyActulCDH&amp;Days'!AB100</f>
        <v>4588119</v>
      </c>
      <c r="AC100" s="308">
        <f t="shared" si="45"/>
        <v>70.565278373940004</v>
      </c>
      <c r="AD100" s="309">
        <f t="shared" si="38"/>
        <v>12.446333955743878</v>
      </c>
      <c r="AE100" s="107">
        <f t="shared" si="39"/>
        <v>9.2309028101932359E-4</v>
      </c>
      <c r="AF100" s="309">
        <f t="shared" si="46"/>
        <v>58.118944418196129</v>
      </c>
      <c r="AG100" s="107">
        <f t="shared" si="40"/>
        <v>4.3104285106202326E-3</v>
      </c>
      <c r="AH100" s="119">
        <f t="shared" si="47"/>
        <v>5.2335187916395564E-3</v>
      </c>
      <c r="AI100" s="122">
        <f t="shared" si="41"/>
        <v>5.2335187916395555E-3</v>
      </c>
      <c r="AJ100" s="87" t="b">
        <f t="shared" si="48"/>
        <v>1</v>
      </c>
      <c r="AK100" s="88">
        <f t="shared" si="54"/>
        <v>5.9688699670589103E-4</v>
      </c>
      <c r="AL100" s="312">
        <f>+AC100/'MWh by month-WgtbyCDH&amp;DayLtHrs'!AC100-1</f>
        <v>-0.15036983346452992</v>
      </c>
      <c r="AM100" s="89">
        <f t="shared" si="42"/>
        <v>201813.98166333375</v>
      </c>
      <c r="AN100" s="90">
        <f>SUM(AM89:AM100)</f>
        <v>2668965.2592229559</v>
      </c>
      <c r="AO100" s="96">
        <f t="shared" si="29"/>
        <v>43.986213448982852</v>
      </c>
      <c r="AP100" s="92">
        <f t="shared" si="28"/>
        <v>3.2622655215562069E-3</v>
      </c>
      <c r="AR100" s="94">
        <f t="shared" si="43"/>
        <v>5.2335187916395555E-3</v>
      </c>
      <c r="AS100" s="95">
        <v>339742.23967733263</v>
      </c>
      <c r="AU100" s="141">
        <v>70.565278373940004</v>
      </c>
    </row>
    <row r="101" spans="1:47">
      <c r="A101" s="78">
        <v>2013</v>
      </c>
      <c r="B101" s="78">
        <f t="shared" ref="B101:B112" si="57">B89</f>
        <v>1</v>
      </c>
      <c r="C101" s="317">
        <f t="shared" si="52"/>
        <v>26.112829868525239</v>
      </c>
      <c r="D101" s="318">
        <f>C101/(SUM(C$101:C$112))</f>
        <v>1.3280829182176284E-2</v>
      </c>
      <c r="E101" s="321">
        <f>$D101*'MWh Impact Summary'!B$19</f>
        <v>17943.620548028997</v>
      </c>
      <c r="F101" s="319">
        <f>$D101*'MWh Impact Summary'!N$19</f>
        <v>964.33080365274407</v>
      </c>
      <c r="G101" s="319">
        <f>$D101*'MWh Impact Summary'!C$19</f>
        <v>15161.811690311601</v>
      </c>
      <c r="H101" s="319">
        <f>$D101*'MWh Impact Summary'!D$19</f>
        <v>40.297152655991063</v>
      </c>
      <c r="I101" s="319">
        <f>$D101*'MWh Impact Summary'!E$19</f>
        <v>6220.3972573053707</v>
      </c>
      <c r="J101" s="104">
        <f t="shared" si="44"/>
        <v>40330.457451954702</v>
      </c>
      <c r="K101" s="298">
        <f t="shared" si="53"/>
        <v>13.3</v>
      </c>
      <c r="L101" s="299">
        <f>K101/(SUM(K$101:K$112))</f>
        <v>9.3629003871876101E-2</v>
      </c>
      <c r="M101" s="297">
        <f>(31/365)</f>
        <v>8.4931506849315067E-2</v>
      </c>
      <c r="N101" s="304">
        <f>$M101*'MWh Impact Summary'!F$19</f>
        <v>58877.863886569408</v>
      </c>
      <c r="O101" s="304">
        <f>$M101*'MWh Impact Summary'!G$19</f>
        <v>77.595559913139994</v>
      </c>
      <c r="P101" s="304">
        <f>$M101*'MWh Impact Summary'!H$19</f>
        <v>2683.0390856905556</v>
      </c>
      <c r="Q101" s="304">
        <f>$M101*'MWh Impact Summary'!I$19</f>
        <v>858.64921101777986</v>
      </c>
      <c r="R101" s="304">
        <f>$M101*'MWh Impact Summary'!J$19</f>
        <v>15522.636385467882</v>
      </c>
      <c r="S101" s="304">
        <f>$M101*'MWh Impact Summary'!K$19</f>
        <v>0</v>
      </c>
      <c r="T101" s="304">
        <f>$M101*'MWh Impact Summary'!L$19</f>
        <v>0</v>
      </c>
      <c r="U101" s="304">
        <f>$M101*'MWh Impact Summary'!M$19</f>
        <v>0</v>
      </c>
      <c r="V101" s="304">
        <f>$M101*'LED Impact Forecast'!$H$20+$D101*'LED Impact Forecast'!$J$20</f>
        <v>724.78878933346505</v>
      </c>
      <c r="W101" s="304">
        <f>$M101*'CFL Impact Forecast'!$H$20+$D101*'CFL Impact Forecast'!$J$20</f>
        <v>217045.2945264118</v>
      </c>
      <c r="X101" s="304">
        <f>$M101*'EISA Incand Impact Forecast'!$G$20+$D101*'EISA Incand Impact Forecast'!$I$20</f>
        <v>23539.219973195435</v>
      </c>
      <c r="Y101" s="85">
        <f t="shared" si="36"/>
        <v>319329.08741759951</v>
      </c>
      <c r="Z101" s="81">
        <f t="shared" si="37"/>
        <v>359659.54486955423</v>
      </c>
      <c r="AA101" s="81"/>
      <c r="AB101" s="81">
        <f>+'MWh by mo-WgtbyActulCDH&amp;Days'!AB101</f>
        <v>4594969</v>
      </c>
      <c r="AC101" s="308">
        <f t="shared" si="45"/>
        <v>78.272463833717751</v>
      </c>
      <c r="AD101" s="309">
        <f t="shared" si="38"/>
        <v>8.7770902158327289</v>
      </c>
      <c r="AE101" s="107">
        <f t="shared" si="39"/>
        <v>6.5993159517539312E-4</v>
      </c>
      <c r="AF101" s="309">
        <f t="shared" si="46"/>
        <v>69.495373617885022</v>
      </c>
      <c r="AG101" s="107">
        <f t="shared" si="40"/>
        <v>5.2252160614951141E-3</v>
      </c>
      <c r="AH101" s="119">
        <f t="shared" si="47"/>
        <v>5.8851476566705073E-3</v>
      </c>
      <c r="AI101" s="122">
        <f t="shared" si="41"/>
        <v>5.8851476566705073E-3</v>
      </c>
      <c r="AJ101" s="87" t="b">
        <f t="shared" si="48"/>
        <v>1</v>
      </c>
      <c r="AK101" s="88">
        <f t="shared" si="54"/>
        <v>9.6496546627355528E-4</v>
      </c>
      <c r="AL101" s="312">
        <f>+AC101/'MWh by month-WgtbyCDH&amp;DayLtHrs'!AC101-1</f>
        <v>-0.15793794065664635</v>
      </c>
      <c r="AM101" s="89">
        <f t="shared" si="42"/>
        <v>217045.2945264118</v>
      </c>
      <c r="AN101" s="93"/>
      <c r="AO101" s="96">
        <f t="shared" si="29"/>
        <v>47.235420854071442</v>
      </c>
      <c r="AP101" s="92">
        <f t="shared" si="28"/>
        <v>3.5515354025617623E-3</v>
      </c>
      <c r="AR101" s="94">
        <f t="shared" si="43"/>
        <v>5.8851476566705073E-3</v>
      </c>
      <c r="AS101" s="95">
        <v>396478.06216397288</v>
      </c>
      <c r="AU101" s="141">
        <v>78.272463833717751</v>
      </c>
    </row>
    <row r="102" spans="1:47">
      <c r="A102" s="78">
        <f t="shared" ref="A102:A112" si="58">A101</f>
        <v>2013</v>
      </c>
      <c r="B102" s="78">
        <f t="shared" si="57"/>
        <v>2</v>
      </c>
      <c r="C102" s="317">
        <f t="shared" si="52"/>
        <v>35.042184420393127</v>
      </c>
      <c r="D102" s="318">
        <f>C102/(SUM(C$101:C$112))</f>
        <v>1.7822245532205266E-2</v>
      </c>
      <c r="E102" s="321">
        <f>$D102*'MWh Impact Summary'!B$19</f>
        <v>24079.491329719265</v>
      </c>
      <c r="F102" s="319">
        <f>$D102*'MWh Impact Summary'!N$19</f>
        <v>1294.0863948490098</v>
      </c>
      <c r="G102" s="319">
        <f>$D102*'MWh Impact Summary'!C$19</f>
        <v>20346.435222617169</v>
      </c>
      <c r="H102" s="319">
        <f>$D102*'MWh Impact Summary'!D$19</f>
        <v>54.076875700478183</v>
      </c>
      <c r="I102" s="319">
        <f>$D102*'MWh Impact Summary'!E$19</f>
        <v>8347.4793408483602</v>
      </c>
      <c r="J102" s="104">
        <f t="shared" si="44"/>
        <v>54121.569163734282</v>
      </c>
      <c r="K102" s="298">
        <f t="shared" si="53"/>
        <v>12.733333333333333</v>
      </c>
      <c r="L102" s="299">
        <f>K102/(SUM(K$101:K$112))</f>
        <v>8.9639798193124468E-2</v>
      </c>
      <c r="M102" s="297">
        <f>(28/365)</f>
        <v>7.6712328767123292E-2</v>
      </c>
      <c r="N102" s="304">
        <f>$M102*'MWh Impact Summary'!F$19</f>
        <v>53180.006091094954</v>
      </c>
      <c r="O102" s="304">
        <f>$M102*'MWh Impact Summary'!G$19</f>
        <v>70.086312179610331</v>
      </c>
      <c r="P102" s="304">
        <f>$M102*'MWh Impact Summary'!H$19</f>
        <v>2423.3901419140502</v>
      </c>
      <c r="Q102" s="304">
        <f>$M102*'MWh Impact Summary'!I$19</f>
        <v>775.55412608057543</v>
      </c>
      <c r="R102" s="304">
        <f>$M102*'MWh Impact Summary'!J$19</f>
        <v>14020.445767519379</v>
      </c>
      <c r="S102" s="304">
        <f>$M102*'MWh Impact Summary'!K$19</f>
        <v>0</v>
      </c>
      <c r="T102" s="304">
        <f>$M102*'MWh Impact Summary'!L$19</f>
        <v>0</v>
      </c>
      <c r="U102" s="304">
        <f>$M102*'MWh Impact Summary'!M$19</f>
        <v>0</v>
      </c>
      <c r="V102" s="304">
        <f>$M102*'LED Impact Forecast'!$H$20+$D102*'LED Impact Forecast'!$J$20</f>
        <v>656.06722599101352</v>
      </c>
      <c r="W102" s="304">
        <f>$M102*'CFL Impact Forecast'!$H$20+$D102*'CFL Impact Forecast'!$J$20</f>
        <v>198489.85573529455</v>
      </c>
      <c r="X102" s="304">
        <f>$M102*'EISA Incand Impact Forecast'!$G$20+$D102*'EISA Incand Impact Forecast'!$I$20</f>
        <v>21545.226520443855</v>
      </c>
      <c r="Y102" s="85">
        <f t="shared" si="36"/>
        <v>291160.631920518</v>
      </c>
      <c r="Z102" s="81">
        <f t="shared" si="37"/>
        <v>345282.20108425227</v>
      </c>
      <c r="AA102" s="81"/>
      <c r="AB102" s="81">
        <f>+'MWh by mo-WgtbyActulCDH&amp;Days'!AB102</f>
        <v>4599265</v>
      </c>
      <c r="AC102" s="308">
        <f t="shared" si="45"/>
        <v>75.073343476458149</v>
      </c>
      <c r="AD102" s="309">
        <f t="shared" si="38"/>
        <v>11.767438745915767</v>
      </c>
      <c r="AE102" s="107">
        <f t="shared" si="39"/>
        <v>9.2414440412951046E-4</v>
      </c>
      <c r="AF102" s="309">
        <f t="shared" si="46"/>
        <v>63.305904730542373</v>
      </c>
      <c r="AG102" s="107">
        <f t="shared" si="40"/>
        <v>4.9716679107755799E-3</v>
      </c>
      <c r="AH102" s="119">
        <f t="shared" si="47"/>
        <v>5.8958123149050901E-3</v>
      </c>
      <c r="AI102" s="122">
        <f t="shared" si="41"/>
        <v>5.895812314905091E-3</v>
      </c>
      <c r="AJ102" s="87" t="b">
        <f t="shared" si="48"/>
        <v>1</v>
      </c>
      <c r="AK102" s="88">
        <f t="shared" si="54"/>
        <v>8.13952105095073E-4</v>
      </c>
      <c r="AL102" s="312">
        <f>+AC102/'MWh by month-WgtbyCDH&amp;DayLtHrs'!AC102-1</f>
        <v>-0.18800319853833536</v>
      </c>
      <c r="AM102" s="89">
        <f t="shared" si="42"/>
        <v>198489.85573529455</v>
      </c>
      <c r="AN102" s="90"/>
      <c r="AO102" s="96">
        <f t="shared" si="29"/>
        <v>43.156864354477193</v>
      </c>
      <c r="AP102" s="92">
        <f t="shared" si="28"/>
        <v>3.3892825409275289E-3</v>
      </c>
      <c r="AR102" s="94">
        <f t="shared" si="43"/>
        <v>5.895812314905091E-3</v>
      </c>
      <c r="AS102" s="95">
        <v>368846.96305153822</v>
      </c>
      <c r="AU102" s="141">
        <v>75.073343476458149</v>
      </c>
    </row>
    <row r="103" spans="1:47">
      <c r="A103" s="78">
        <f t="shared" si="58"/>
        <v>2013</v>
      </c>
      <c r="B103" s="78">
        <f t="shared" si="57"/>
        <v>3</v>
      </c>
      <c r="C103" s="317">
        <f t="shared" si="52"/>
        <v>64.582270600115152</v>
      </c>
      <c r="D103" s="318">
        <f t="shared" ref="D103:D112" si="59">C103/(SUM(C$101:C$112))</f>
        <v>3.2846156787895278E-2</v>
      </c>
      <c r="E103" s="321">
        <f>$D103*'MWh Impact Summary'!B$19</f>
        <v>44378.175923988536</v>
      </c>
      <c r="F103" s="319">
        <f>$D103*'MWh Impact Summary'!N$19</f>
        <v>2384.983673661307</v>
      </c>
      <c r="G103" s="319">
        <f>$D103*'MWh Impact Summary'!C$19</f>
        <v>37498.204151053738</v>
      </c>
      <c r="H103" s="319">
        <f>$D103*'MWh Impact Summary'!D$19</f>
        <v>99.662948456621749</v>
      </c>
      <c r="I103" s="319">
        <f>$D103*'MWh Impact Summary'!E$19</f>
        <v>15384.291206052949</v>
      </c>
      <c r="J103" s="104">
        <f t="shared" si="44"/>
        <v>99745.317903213159</v>
      </c>
      <c r="K103" s="298">
        <f t="shared" si="53"/>
        <v>12</v>
      </c>
      <c r="L103" s="299">
        <f t="shared" ref="L103:L111" si="60">K103/(SUM(K$101:K$112))</f>
        <v>8.4477296726504739E-2</v>
      </c>
      <c r="M103" s="297">
        <f t="shared" ref="M103:M112" si="61">(31/365)</f>
        <v>8.4931506849315067E-2</v>
      </c>
      <c r="N103" s="304">
        <f>$M103*'MWh Impact Summary'!F$19</f>
        <v>58877.863886569408</v>
      </c>
      <c r="O103" s="304">
        <f>$M103*'MWh Impact Summary'!G$19</f>
        <v>77.595559913139994</v>
      </c>
      <c r="P103" s="304">
        <f>$M103*'MWh Impact Summary'!H$19</f>
        <v>2683.0390856905556</v>
      </c>
      <c r="Q103" s="304">
        <f>$M103*'MWh Impact Summary'!I$19</f>
        <v>858.64921101777986</v>
      </c>
      <c r="R103" s="304">
        <f>$M103*'MWh Impact Summary'!J$19</f>
        <v>15522.636385467882</v>
      </c>
      <c r="S103" s="304">
        <f>$M103*'MWh Impact Summary'!K$19</f>
        <v>0</v>
      </c>
      <c r="T103" s="304">
        <f>$M103*'MWh Impact Summary'!L$19</f>
        <v>0</v>
      </c>
      <c r="U103" s="304">
        <f>$M103*'MWh Impact Summary'!M$19</f>
        <v>0</v>
      </c>
      <c r="V103" s="304">
        <f>$M103*'LED Impact Forecast'!$H$20+$D103*'LED Impact Forecast'!$J$20</f>
        <v>729.55461226935188</v>
      </c>
      <c r="W103" s="304">
        <f>$M103*'CFL Impact Forecast'!$H$20+$D103*'CFL Impact Forecast'!$J$20</f>
        <v>225268.60253033796</v>
      </c>
      <c r="X103" s="304">
        <f>$M103*'EISA Incand Impact Forecast'!$G$20+$D103*'EISA Incand Impact Forecast'!$I$20</f>
        <v>24492.848384489043</v>
      </c>
      <c r="Y103" s="85">
        <f t="shared" si="36"/>
        <v>328510.78965575516</v>
      </c>
      <c r="Z103" s="81">
        <f t="shared" si="37"/>
        <v>428256.1075589683</v>
      </c>
      <c r="AA103" s="80"/>
      <c r="AB103" s="81">
        <f>+'MWh by mo-WgtbyActulCDH&amp;Days'!AB103</f>
        <v>4605771</v>
      </c>
      <c r="AC103" s="308">
        <f t="shared" si="45"/>
        <v>92.982501205328774</v>
      </c>
      <c r="AD103" s="309">
        <f t="shared" si="38"/>
        <v>21.656595150565053</v>
      </c>
      <c r="AE103" s="107">
        <f t="shared" si="39"/>
        <v>1.8047162625470878E-3</v>
      </c>
      <c r="AF103" s="309">
        <f t="shared" si="46"/>
        <v>71.32590605476372</v>
      </c>
      <c r="AG103" s="107">
        <f t="shared" si="40"/>
        <v>5.9438255045636433E-3</v>
      </c>
      <c r="AH103" s="119">
        <f t="shared" si="47"/>
        <v>7.7485417671107311E-3</v>
      </c>
      <c r="AI103" s="122">
        <f t="shared" si="41"/>
        <v>7.7485417671107311E-3</v>
      </c>
      <c r="AJ103" s="87" t="b">
        <f t="shared" si="48"/>
        <v>1</v>
      </c>
      <c r="AK103" s="88">
        <f t="shared" si="54"/>
        <v>1.2359903636757737E-3</v>
      </c>
      <c r="AL103" s="312">
        <f>+AC103/'MWh by month-WgtbyCDH&amp;DayLtHrs'!AC103-1</f>
        <v>-4.9491177504405459E-2</v>
      </c>
      <c r="AM103" s="89">
        <f t="shared" si="42"/>
        <v>225268.60253033796</v>
      </c>
      <c r="AN103" s="99"/>
      <c r="AO103" s="96">
        <f t="shared" si="29"/>
        <v>48.910074454491543</v>
      </c>
      <c r="AP103" s="92">
        <f t="shared" si="28"/>
        <v>4.0758395378742958E-3</v>
      </c>
      <c r="AR103" s="94">
        <f t="shared" si="43"/>
        <v>7.7485417671107311E-3</v>
      </c>
      <c r="AS103" s="95">
        <v>448587.31752894237</v>
      </c>
      <c r="AU103" s="141">
        <v>92.982501205328774</v>
      </c>
    </row>
    <row r="104" spans="1:47">
      <c r="A104" s="78">
        <f t="shared" si="58"/>
        <v>2013</v>
      </c>
      <c r="B104" s="78">
        <f t="shared" si="57"/>
        <v>4</v>
      </c>
      <c r="C104" s="317">
        <f t="shared" si="52"/>
        <v>114.03392869270741</v>
      </c>
      <c r="D104" s="318">
        <f t="shared" si="59"/>
        <v>5.7996974497419709E-2</v>
      </c>
      <c r="E104" s="321">
        <f>$D104*'MWh Impact Summary'!B$19</f>
        <v>78359.241658801475</v>
      </c>
      <c r="F104" s="319">
        <f>$D104*'MWh Impact Summary'!N$19</f>
        <v>4211.2031002991698</v>
      </c>
      <c r="G104" s="319">
        <f>$D104*'MWh Impact Summary'!C$19</f>
        <v>66211.167531452855</v>
      </c>
      <c r="H104" s="319">
        <f>$D104*'MWh Impact Summary'!D$19</f>
        <v>175.97643210746935</v>
      </c>
      <c r="I104" s="319">
        <f>$D104*'MWh Impact Summary'!E$19</f>
        <v>27164.284409284293</v>
      </c>
      <c r="J104" s="104">
        <f t="shared" si="44"/>
        <v>176121.87313194529</v>
      </c>
      <c r="K104" s="298">
        <f t="shared" si="53"/>
        <v>11.2</v>
      </c>
      <c r="L104" s="299">
        <f t="shared" si="60"/>
        <v>7.8845476944737758E-2</v>
      </c>
      <c r="M104" s="297">
        <f>(30/365)</f>
        <v>8.2191780821917804E-2</v>
      </c>
      <c r="N104" s="304">
        <f>$M104*'MWh Impact Summary'!F$19</f>
        <v>56978.577954744585</v>
      </c>
      <c r="O104" s="304">
        <f>$M104*'MWh Impact Summary'!G$19</f>
        <v>75.092477335296763</v>
      </c>
      <c r="P104" s="304">
        <f>$M104*'MWh Impact Summary'!H$19</f>
        <v>2596.4894377650535</v>
      </c>
      <c r="Q104" s="304">
        <f>$M104*'MWh Impact Summary'!I$19</f>
        <v>830.95084937204501</v>
      </c>
      <c r="R104" s="304">
        <f>$M104*'MWh Impact Summary'!J$19</f>
        <v>15021.906179485048</v>
      </c>
      <c r="S104" s="304">
        <f>$M104*'MWh Impact Summary'!K$19</f>
        <v>0</v>
      </c>
      <c r="T104" s="304">
        <f>$M104*'MWh Impact Summary'!L$19</f>
        <v>0</v>
      </c>
      <c r="U104" s="304">
        <f>$M104*'MWh Impact Summary'!M$19</f>
        <v>0</v>
      </c>
      <c r="V104" s="304">
        <f>$M104*'LED Impact Forecast'!$H$20+$D104*'LED Impact Forecast'!$J$20</f>
        <v>712.40504927419408</v>
      </c>
      <c r="W104" s="304">
        <f>$M104*'CFL Impact Forecast'!$H$20+$D104*'CFL Impact Forecast'!$J$20</f>
        <v>229018.09349937405</v>
      </c>
      <c r="X104" s="304">
        <f>$M104*'EISA Incand Impact Forecast'!$G$20+$D104*'EISA Incand Impact Forecast'!$I$20</f>
        <v>24980.269206603625</v>
      </c>
      <c r="Y104" s="85">
        <f t="shared" si="36"/>
        <v>330213.78465395392</v>
      </c>
      <c r="Z104" s="81">
        <f t="shared" si="37"/>
        <v>506335.65778589924</v>
      </c>
      <c r="AA104" s="80"/>
      <c r="AB104" s="81">
        <f>+'MWh by mo-WgtbyActulCDH&amp;Days'!AB104</f>
        <v>4609509</v>
      </c>
      <c r="AC104" s="308">
        <f t="shared" si="45"/>
        <v>109.84589850804049</v>
      </c>
      <c r="AD104" s="309">
        <f t="shared" si="38"/>
        <v>38.208380357201882</v>
      </c>
      <c r="AE104" s="107">
        <f t="shared" si="39"/>
        <v>3.4114625318930254E-3</v>
      </c>
      <c r="AF104" s="309">
        <f t="shared" si="46"/>
        <v>71.637518150838602</v>
      </c>
      <c r="AG104" s="107">
        <f t="shared" si="40"/>
        <v>6.3962069777534474E-3</v>
      </c>
      <c r="AH104" s="119">
        <f t="shared" si="47"/>
        <v>9.8076695096464724E-3</v>
      </c>
      <c r="AI104" s="122">
        <f t="shared" si="41"/>
        <v>9.8076695096464724E-3</v>
      </c>
      <c r="AJ104" s="87" t="b">
        <f t="shared" si="48"/>
        <v>1</v>
      </c>
      <c r="AK104" s="88">
        <f t="shared" si="54"/>
        <v>1.5163387460075273E-3</v>
      </c>
      <c r="AL104" s="312">
        <f>+AC104/'MWh by month-WgtbyCDH&amp;DayLtHrs'!AC104-1</f>
        <v>3.0602044893826008E-3</v>
      </c>
      <c r="AM104" s="89">
        <f t="shared" si="42"/>
        <v>229018.09349937405</v>
      </c>
      <c r="AN104" s="93"/>
      <c r="AO104" s="96">
        <f t="shared" si="29"/>
        <v>49.683836933472534</v>
      </c>
      <c r="AP104" s="92">
        <f t="shared" si="28"/>
        <v>4.4360568690600477E-3</v>
      </c>
      <c r="AR104" s="94">
        <f t="shared" si="43"/>
        <v>9.8076695096464724E-3</v>
      </c>
      <c r="AS104" s="95">
        <v>530640.44900559995</v>
      </c>
      <c r="AU104" s="141">
        <v>109.84589850804049</v>
      </c>
    </row>
    <row r="105" spans="1:47">
      <c r="A105" s="78">
        <f t="shared" si="58"/>
        <v>2013</v>
      </c>
      <c r="B105" s="78">
        <f t="shared" si="57"/>
        <v>5</v>
      </c>
      <c r="C105" s="317">
        <f t="shared" si="52"/>
        <v>208.47875842628665</v>
      </c>
      <c r="D105" s="318">
        <f t="shared" si="59"/>
        <v>0.10603105035770212</v>
      </c>
      <c r="E105" s="321">
        <f>$D105*'MWh Impact Summary'!B$19</f>
        <v>143257.69180744721</v>
      </c>
      <c r="F105" s="319">
        <f>$D105*'MWh Impact Summary'!N$19</f>
        <v>7698.9927813251388</v>
      </c>
      <c r="G105" s="319">
        <f>$D105*'MWh Impact Summary'!C$19</f>
        <v>121048.37708529207</v>
      </c>
      <c r="H105" s="319">
        <f>$D105*'MWh Impact Summary'!D$19</f>
        <v>321.7230915275756</v>
      </c>
      <c r="I105" s="319">
        <f>$D105*'MWh Impact Summary'!E$19</f>
        <v>49662.204504476496</v>
      </c>
      <c r="J105" s="104">
        <f t="shared" si="44"/>
        <v>321988.98927006847</v>
      </c>
      <c r="K105" s="298">
        <f t="shared" si="53"/>
        <v>10.533333333333333</v>
      </c>
      <c r="L105" s="299">
        <f t="shared" si="60"/>
        <v>7.4152293793265281E-2</v>
      </c>
      <c r="M105" s="297">
        <f t="shared" si="61"/>
        <v>8.4931506849315067E-2</v>
      </c>
      <c r="N105" s="304">
        <f>$M105*'MWh Impact Summary'!F$19</f>
        <v>58877.863886569408</v>
      </c>
      <c r="O105" s="304">
        <f>$M105*'MWh Impact Summary'!G$19</f>
        <v>77.595559913139994</v>
      </c>
      <c r="P105" s="304">
        <f>$M105*'MWh Impact Summary'!H$19</f>
        <v>2683.0390856905556</v>
      </c>
      <c r="Q105" s="304">
        <f>$M105*'MWh Impact Summary'!I$19</f>
        <v>858.64921101777986</v>
      </c>
      <c r="R105" s="304">
        <f>$M105*'MWh Impact Summary'!J$19</f>
        <v>15522.636385467882</v>
      </c>
      <c r="S105" s="304">
        <f>$M105*'MWh Impact Summary'!K$19</f>
        <v>0</v>
      </c>
      <c r="T105" s="304">
        <f>$M105*'MWh Impact Summary'!L$19</f>
        <v>0</v>
      </c>
      <c r="U105" s="304">
        <f>$M105*'MWh Impact Summary'!M$19</f>
        <v>0</v>
      </c>
      <c r="V105" s="304">
        <f>$M105*'LED Impact Forecast'!$H$20+$D105*'LED Impact Forecast'!$J$20</f>
        <v>747.38136433628233</v>
      </c>
      <c r="W105" s="304">
        <f>$M105*'CFL Impact Forecast'!$H$20+$D105*'CFL Impact Forecast'!$J$20</f>
        <v>256028.2163322127</v>
      </c>
      <c r="X105" s="304">
        <f>$M105*'EISA Incand Impact Forecast'!$G$20+$D105*'EISA Incand Impact Forecast'!$I$20</f>
        <v>28059.933750607139</v>
      </c>
      <c r="Y105" s="85">
        <f t="shared" si="36"/>
        <v>362855.31557581486</v>
      </c>
      <c r="Z105" s="81">
        <f t="shared" si="37"/>
        <v>684844.30484588328</v>
      </c>
      <c r="AA105" s="80"/>
      <c r="AB105" s="81">
        <f>+'MWh by mo-WgtbyActulCDH&amp;Days'!AB105</f>
        <v>4611553</v>
      </c>
      <c r="AC105" s="308">
        <f t="shared" si="45"/>
        <v>148.50622010543592</v>
      </c>
      <c r="AD105" s="309">
        <f t="shared" si="38"/>
        <v>69.822246273667133</v>
      </c>
      <c r="AE105" s="107">
        <f t="shared" si="39"/>
        <v>6.6286942664873861E-3</v>
      </c>
      <c r="AF105" s="309">
        <f t="shared" si="46"/>
        <v>78.683973831768782</v>
      </c>
      <c r="AG105" s="107">
        <f t="shared" si="40"/>
        <v>7.4699975156742515E-3</v>
      </c>
      <c r="AH105" s="119">
        <f t="shared" si="47"/>
        <v>1.4098691782161638E-2</v>
      </c>
      <c r="AI105" s="122">
        <f t="shared" si="41"/>
        <v>1.4098691782161638E-2</v>
      </c>
      <c r="AJ105" s="87" t="b">
        <f t="shared" si="48"/>
        <v>1</v>
      </c>
      <c r="AK105" s="88">
        <f t="shared" si="54"/>
        <v>2.1017473612324148E-3</v>
      </c>
      <c r="AL105" s="312">
        <f>+AC105/'MWh by month-WgtbyCDH&amp;DayLtHrs'!AC105-1</f>
        <v>8.3258223275603171E-2</v>
      </c>
      <c r="AM105" s="89">
        <f t="shared" si="42"/>
        <v>256028.2163322127</v>
      </c>
      <c r="AN105" s="93"/>
      <c r="AO105" s="96">
        <f t="shared" si="29"/>
        <v>55.518871046741239</v>
      </c>
      <c r="AP105" s="92">
        <f t="shared" ref="AP105:AP168" si="62">+AO105/K105/1000</f>
        <v>5.2707788968425233E-3</v>
      </c>
      <c r="AR105" s="94">
        <f t="shared" si="43"/>
        <v>1.4098691782161638E-2</v>
      </c>
      <c r="AS105" s="95">
        <v>642952.08421521494</v>
      </c>
      <c r="AU105" s="141">
        <v>148.50622010543592</v>
      </c>
    </row>
    <row r="106" spans="1:47">
      <c r="A106" s="78">
        <f t="shared" si="58"/>
        <v>2013</v>
      </c>
      <c r="B106" s="78">
        <f t="shared" si="57"/>
        <v>6</v>
      </c>
      <c r="C106" s="317">
        <f t="shared" si="52"/>
        <v>271.66325293295364</v>
      </c>
      <c r="D106" s="318">
        <f t="shared" si="59"/>
        <v>0.13816630657965029</v>
      </c>
      <c r="E106" s="321">
        <f>$D106*'MWh Impact Summary'!B$19</f>
        <v>186675.37574499761</v>
      </c>
      <c r="F106" s="319">
        <f>$D106*'MWh Impact Summary'!N$19</f>
        <v>10032.357440490197</v>
      </c>
      <c r="G106" s="319">
        <f>$D106*'MWh Impact Summary'!C$19</f>
        <v>157734.99482381283</v>
      </c>
      <c r="H106" s="319">
        <f>$D106*'MWh Impact Summary'!D$19</f>
        <v>419.22900082374741</v>
      </c>
      <c r="I106" s="319">
        <f>$D106*'MWh Impact Summary'!E$19</f>
        <v>64713.528252701668</v>
      </c>
      <c r="J106" s="104">
        <f t="shared" si="44"/>
        <v>419575.48526282609</v>
      </c>
      <c r="K106" s="298">
        <f t="shared" si="53"/>
        <v>10.199999999999999</v>
      </c>
      <c r="L106" s="299">
        <f t="shared" si="60"/>
        <v>7.1805702217529022E-2</v>
      </c>
      <c r="M106" s="297">
        <f>(30/365)</f>
        <v>8.2191780821917804E-2</v>
      </c>
      <c r="N106" s="304">
        <f>$M106*'MWh Impact Summary'!F$19</f>
        <v>56978.577954744585</v>
      </c>
      <c r="O106" s="304">
        <f>$M106*'MWh Impact Summary'!G$19</f>
        <v>75.092477335296763</v>
      </c>
      <c r="P106" s="304">
        <f>$M106*'MWh Impact Summary'!H$19</f>
        <v>2596.4894377650535</v>
      </c>
      <c r="Q106" s="304">
        <f>$M106*'MWh Impact Summary'!I$19</f>
        <v>830.95084937204501</v>
      </c>
      <c r="R106" s="304">
        <f>$M106*'MWh Impact Summary'!J$19</f>
        <v>15021.906179485048</v>
      </c>
      <c r="S106" s="304">
        <f>$M106*'MWh Impact Summary'!K$19</f>
        <v>0</v>
      </c>
      <c r="T106" s="304">
        <f>$M106*'MWh Impact Summary'!L$19</f>
        <v>0</v>
      </c>
      <c r="U106" s="304">
        <f>$M106*'MWh Impact Summary'!M$19</f>
        <v>0</v>
      </c>
      <c r="V106" s="304">
        <f>$M106*'LED Impact Forecast'!$H$20+$D106*'LED Impact Forecast'!$J$20</f>
        <v>731.93310672826624</v>
      </c>
      <c r="W106" s="304">
        <f>$M106*'CFL Impact Forecast'!$H$20+$D106*'CFL Impact Forecast'!$J$20</f>
        <v>262713.26709761814</v>
      </c>
      <c r="X106" s="304">
        <f>$M106*'EISA Incand Impact Forecast'!$G$20+$D106*'EISA Incand Impact Forecast'!$I$20</f>
        <v>28887.781226269482</v>
      </c>
      <c r="Y106" s="85">
        <f t="shared" si="36"/>
        <v>367835.99832931795</v>
      </c>
      <c r="Z106" s="81">
        <f t="shared" si="37"/>
        <v>787411.48359214398</v>
      </c>
      <c r="AA106" s="80"/>
      <c r="AB106" s="81">
        <f>+'MWh by mo-WgtbyActulCDH&amp;Days'!AB106</f>
        <v>4613739</v>
      </c>
      <c r="AC106" s="308">
        <f t="shared" si="45"/>
        <v>170.66667264709685</v>
      </c>
      <c r="AD106" s="309">
        <f t="shared" si="38"/>
        <v>90.940446623189146</v>
      </c>
      <c r="AE106" s="107">
        <f t="shared" si="39"/>
        <v>8.9157300610969766E-3</v>
      </c>
      <c r="AF106" s="309">
        <f t="shared" si="46"/>
        <v>79.726226023907714</v>
      </c>
      <c r="AG106" s="107">
        <f t="shared" si="40"/>
        <v>7.8162966690105608E-3</v>
      </c>
      <c r="AH106" s="119">
        <f t="shared" si="47"/>
        <v>1.6732026730107537E-2</v>
      </c>
      <c r="AI106" s="122">
        <f t="shared" si="41"/>
        <v>1.6732026730107534E-2</v>
      </c>
      <c r="AJ106" s="87" t="b">
        <f t="shared" si="48"/>
        <v>1</v>
      </c>
      <c r="AK106" s="88">
        <f t="shared" si="54"/>
        <v>2.4393749202882686E-3</v>
      </c>
      <c r="AL106" s="312">
        <f>+AC106/'MWh by month-WgtbyCDH&amp;DayLtHrs'!AC106-1</f>
        <v>9.2763170614482915E-2</v>
      </c>
      <c r="AM106" s="89">
        <f t="shared" si="42"/>
        <v>262713.26709761814</v>
      </c>
      <c r="AN106" s="93"/>
      <c r="AO106" s="96">
        <f t="shared" si="29"/>
        <v>56.941510366671835</v>
      </c>
      <c r="AP106" s="92">
        <f t="shared" si="62"/>
        <v>5.5825010163403771E-3</v>
      </c>
      <c r="AR106" s="94">
        <f t="shared" si="43"/>
        <v>1.6732026730107534E-2</v>
      </c>
      <c r="AS106" s="95">
        <v>788672.26998075715</v>
      </c>
      <c r="AU106" s="141">
        <v>170.66667264709685</v>
      </c>
    </row>
    <row r="107" spans="1:47">
      <c r="A107" s="78">
        <f t="shared" si="58"/>
        <v>2013</v>
      </c>
      <c r="B107" s="78">
        <f t="shared" si="57"/>
        <v>7</v>
      </c>
      <c r="C107" s="317">
        <f t="shared" si="52"/>
        <v>322.31916585708109</v>
      </c>
      <c r="D107" s="318">
        <f t="shared" si="59"/>
        <v>0.16392960109808263</v>
      </c>
      <c r="E107" s="321">
        <f>$D107*'MWh Impact Summary'!B$19</f>
        <v>221483.95392671865</v>
      </c>
      <c r="F107" s="319">
        <f>$D107*'MWh Impact Summary'!N$19</f>
        <v>11903.049260022435</v>
      </c>
      <c r="G107" s="319">
        <f>$D107*'MWh Impact Summary'!C$19</f>
        <v>187147.18096462567</v>
      </c>
      <c r="H107" s="319">
        <f>$D107*'MWh Impact Summary'!D$19</f>
        <v>497.40088285682401</v>
      </c>
      <c r="I107" s="319">
        <f>$D107*'MWh Impact Summary'!E$19</f>
        <v>76780.389768900015</v>
      </c>
      <c r="J107" s="104">
        <f t="shared" si="44"/>
        <v>497811.97480312356</v>
      </c>
      <c r="K107" s="298">
        <f t="shared" si="53"/>
        <v>10.366666666666667</v>
      </c>
      <c r="L107" s="299">
        <f t="shared" si="60"/>
        <v>7.2978998005397158E-2</v>
      </c>
      <c r="M107" s="297">
        <f t="shared" si="61"/>
        <v>8.4931506849315067E-2</v>
      </c>
      <c r="N107" s="304">
        <f>$M107*'MWh Impact Summary'!F$19</f>
        <v>58877.863886569408</v>
      </c>
      <c r="O107" s="304">
        <f>$M107*'MWh Impact Summary'!G$19</f>
        <v>77.595559913139994</v>
      </c>
      <c r="P107" s="304">
        <f>$M107*'MWh Impact Summary'!H$19</f>
        <v>2683.0390856905556</v>
      </c>
      <c r="Q107" s="304">
        <f>$M107*'MWh Impact Summary'!I$19</f>
        <v>858.64921101777986</v>
      </c>
      <c r="R107" s="304">
        <f>$M107*'MWh Impact Summary'!J$19</f>
        <v>15522.636385467882</v>
      </c>
      <c r="S107" s="304">
        <f>$M107*'MWh Impact Summary'!K$19</f>
        <v>0</v>
      </c>
      <c r="T107" s="304">
        <f>$M107*'MWh Impact Summary'!L$19</f>
        <v>0</v>
      </c>
      <c r="U107" s="304">
        <f>$M107*'MWh Impact Summary'!M$19</f>
        <v>0</v>
      </c>
      <c r="V107" s="304">
        <f>$M107*'LED Impact Forecast'!$H$20+$D107*'LED Impact Forecast'!$J$20</f>
        <v>761.4845905451017</v>
      </c>
      <c r="W107" s="304">
        <f>$M107*'CFL Impact Forecast'!$H$20+$D107*'CFL Impact Forecast'!$J$20</f>
        <v>280362.97960905783</v>
      </c>
      <c r="X107" s="304">
        <f>$M107*'EISA Incand Impact Forecast'!$G$20+$D107*'EISA Incand Impact Forecast'!$I$20</f>
        <v>30881.95156045011</v>
      </c>
      <c r="Y107" s="85">
        <f t="shared" si="36"/>
        <v>390026.19988871185</v>
      </c>
      <c r="Z107" s="81">
        <f t="shared" si="37"/>
        <v>887838.17469183542</v>
      </c>
      <c r="AA107" s="81"/>
      <c r="AB107" s="81">
        <f>+'MWh by mo-WgtbyActulCDH&amp;Days'!AB107</f>
        <v>4620943</v>
      </c>
      <c r="AC107" s="308">
        <f t="shared" si="45"/>
        <v>192.13354821555586</v>
      </c>
      <c r="AD107" s="309">
        <f t="shared" si="38"/>
        <v>107.7295207500122</v>
      </c>
      <c r="AE107" s="107">
        <f t="shared" si="39"/>
        <v>1.0391915184888637E-2</v>
      </c>
      <c r="AF107" s="309">
        <f t="shared" si="46"/>
        <v>84.404027465543692</v>
      </c>
      <c r="AG107" s="107">
        <f t="shared" si="40"/>
        <v>8.1418676011778476E-3</v>
      </c>
      <c r="AH107" s="119">
        <f t="shared" si="47"/>
        <v>1.8533782786066485E-2</v>
      </c>
      <c r="AI107" s="122">
        <f t="shared" si="41"/>
        <v>1.8533782786066481E-2</v>
      </c>
      <c r="AJ107" s="87" t="b">
        <f t="shared" si="48"/>
        <v>1</v>
      </c>
      <c r="AK107" s="88">
        <f t="shared" si="54"/>
        <v>2.6619036747728385E-3</v>
      </c>
      <c r="AL107" s="312">
        <f>+AC107/'MWh by month-WgtbyCDH&amp;DayLtHrs'!AC107-1</f>
        <v>0.10507594902508899</v>
      </c>
      <c r="AM107" s="89">
        <f t="shared" si="42"/>
        <v>280362.97960905783</v>
      </c>
      <c r="AN107" s="93"/>
      <c r="AO107" s="96">
        <f t="shared" ref="AO107:AO170" si="63">+AM107*1000/AB107</f>
        <v>60.672243654392155</v>
      </c>
      <c r="AP107" s="92">
        <f t="shared" si="62"/>
        <v>5.852628005246832E-3</v>
      </c>
      <c r="AR107" s="94">
        <f t="shared" si="43"/>
        <v>1.8533782786066481E-2</v>
      </c>
      <c r="AS107" s="95">
        <v>831339.10804242548</v>
      </c>
      <c r="AU107" s="141">
        <v>192.13354821555586</v>
      </c>
    </row>
    <row r="108" spans="1:47">
      <c r="A108" s="78">
        <f t="shared" si="58"/>
        <v>2013</v>
      </c>
      <c r="B108" s="78">
        <f t="shared" si="57"/>
        <v>8</v>
      </c>
      <c r="C108" s="317">
        <f t="shared" si="52"/>
        <v>326.45437890907908</v>
      </c>
      <c r="D108" s="318">
        <f t="shared" si="59"/>
        <v>0.16603274573816959</v>
      </c>
      <c r="E108" s="321">
        <f>$D108*'MWh Impact Summary'!B$19</f>
        <v>224325.49558512567</v>
      </c>
      <c r="F108" s="319">
        <f>$D108*'MWh Impact Summary'!N$19</f>
        <v>12055.760143744583</v>
      </c>
      <c r="G108" s="319">
        <f>$D108*'MWh Impact Summary'!C$19</f>
        <v>189548.1969368273</v>
      </c>
      <c r="H108" s="319">
        <f>$D108*'MWh Impact Summary'!D$19</f>
        <v>503.78231728811346</v>
      </c>
      <c r="I108" s="319">
        <f>$D108*'MWh Impact Summary'!E$19</f>
        <v>77765.448380185437</v>
      </c>
      <c r="J108" s="104">
        <f t="shared" si="44"/>
        <v>504198.68336317106</v>
      </c>
      <c r="K108" s="298">
        <f t="shared" si="53"/>
        <v>10.933333333333334</v>
      </c>
      <c r="L108" s="299">
        <f t="shared" si="60"/>
        <v>7.6968203684148764E-2</v>
      </c>
      <c r="M108" s="297">
        <f t="shared" si="61"/>
        <v>8.4931506849315067E-2</v>
      </c>
      <c r="N108" s="304">
        <f>$M108*'MWh Impact Summary'!F$19</f>
        <v>58877.863886569408</v>
      </c>
      <c r="O108" s="304">
        <f>$M108*'MWh Impact Summary'!G$19</f>
        <v>77.595559913139994</v>
      </c>
      <c r="P108" s="304">
        <f>$M108*'MWh Impact Summary'!H$19</f>
        <v>2683.0390856905556</v>
      </c>
      <c r="Q108" s="304">
        <f>$M108*'MWh Impact Summary'!I$19</f>
        <v>858.64921101777986</v>
      </c>
      <c r="R108" s="304">
        <f>$M108*'MWh Impact Summary'!J$19</f>
        <v>15522.636385467882</v>
      </c>
      <c r="S108" s="304">
        <f>$M108*'MWh Impact Summary'!K$19</f>
        <v>0</v>
      </c>
      <c r="T108" s="304">
        <f>$M108*'MWh Impact Summary'!L$19</f>
        <v>0</v>
      </c>
      <c r="U108" s="304">
        <f>$M108*'MWh Impact Summary'!M$19</f>
        <v>0</v>
      </c>
      <c r="V108" s="304">
        <f>$M108*'LED Impact Forecast'!$H$20+$D108*'LED Impact Forecast'!$J$20</f>
        <v>761.99688531292782</v>
      </c>
      <c r="W108" s="304">
        <f>$M108*'CFL Impact Forecast'!$H$20+$D108*'CFL Impact Forecast'!$J$20</f>
        <v>281246.93138848967</v>
      </c>
      <c r="X108" s="304">
        <f>$M108*'EISA Incand Impact Forecast'!$G$20+$D108*'EISA Incand Impact Forecast'!$I$20</f>
        <v>30984.460372071571</v>
      </c>
      <c r="Y108" s="85">
        <f t="shared" si="36"/>
        <v>391013.17277453293</v>
      </c>
      <c r="Z108" s="81">
        <f t="shared" si="37"/>
        <v>895211.85613770399</v>
      </c>
      <c r="AA108" s="81"/>
      <c r="AB108" s="81">
        <f>+'MWh by mo-WgtbyActulCDH&amp;Days'!AB108</f>
        <v>4630751</v>
      </c>
      <c r="AC108" s="308">
        <f t="shared" si="45"/>
        <v>193.3189359863452</v>
      </c>
      <c r="AD108" s="309">
        <f t="shared" si="38"/>
        <v>108.88054299684242</v>
      </c>
      <c r="AE108" s="107">
        <f t="shared" si="39"/>
        <v>9.9585862497111963E-3</v>
      </c>
      <c r="AF108" s="309">
        <f t="shared" si="46"/>
        <v>84.438392989502759</v>
      </c>
      <c r="AG108" s="107">
        <f t="shared" si="40"/>
        <v>7.7230237490398864E-3</v>
      </c>
      <c r="AH108" s="119">
        <f t="shared" si="47"/>
        <v>1.7681609998751083E-2</v>
      </c>
      <c r="AI108" s="122">
        <f t="shared" si="41"/>
        <v>1.7681609998751086E-2</v>
      </c>
      <c r="AJ108" s="87" t="b">
        <f t="shared" si="48"/>
        <v>1</v>
      </c>
      <c r="AK108" s="88">
        <f t="shared" si="54"/>
        <v>2.5136660428777356E-3</v>
      </c>
      <c r="AL108" s="312">
        <f>+AC108/'MWh by month-WgtbyCDH&amp;DayLtHrs'!AC108-1</f>
        <v>8.4464298806639526E-2</v>
      </c>
      <c r="AM108" s="89">
        <f t="shared" si="42"/>
        <v>281246.93138848967</v>
      </c>
      <c r="AN108" s="93"/>
      <c r="AO108" s="96">
        <f t="shared" si="63"/>
        <v>60.734626281674323</v>
      </c>
      <c r="AP108" s="92">
        <f t="shared" si="62"/>
        <v>5.5549963062507006E-3</v>
      </c>
      <c r="AR108" s="94">
        <f t="shared" si="43"/>
        <v>1.7681609998751086E-2</v>
      </c>
      <c r="AS108" s="95">
        <v>864429.00803286582</v>
      </c>
      <c r="AU108" s="141">
        <v>193.3189359863452</v>
      </c>
    </row>
    <row r="109" spans="1:47">
      <c r="A109" s="78">
        <f t="shared" si="58"/>
        <v>2013</v>
      </c>
      <c r="B109" s="78">
        <f t="shared" si="57"/>
        <v>9</v>
      </c>
      <c r="C109" s="317">
        <f t="shared" si="52"/>
        <v>277.87653293728147</v>
      </c>
      <c r="D109" s="318">
        <f t="shared" si="59"/>
        <v>0.14132634365008559</v>
      </c>
      <c r="E109" s="321">
        <f>$D109*'MWh Impact Summary'!B$19</f>
        <v>190944.87619047391</v>
      </c>
      <c r="F109" s="319">
        <f>$D109*'MWh Impact Summary'!N$19</f>
        <v>10261.810063207085</v>
      </c>
      <c r="G109" s="319">
        <f>$D109*'MWh Impact Summary'!C$19</f>
        <v>161342.59238712196</v>
      </c>
      <c r="H109" s="319">
        <f>$D109*'MWh Impact Summary'!D$19</f>
        <v>428.81729493393902</v>
      </c>
      <c r="I109" s="319">
        <f>$D109*'MWh Impact Summary'!E$19</f>
        <v>66193.607971842968</v>
      </c>
      <c r="J109" s="104">
        <f t="shared" si="44"/>
        <v>429171.70390757988</v>
      </c>
      <c r="K109" s="298">
        <f t="shared" si="53"/>
        <v>11.683333333333334</v>
      </c>
      <c r="L109" s="299">
        <f t="shared" si="60"/>
        <v>8.2248034729555317E-2</v>
      </c>
      <c r="M109" s="297">
        <f>(30/365)</f>
        <v>8.2191780821917804E-2</v>
      </c>
      <c r="N109" s="304">
        <f>$M109*'MWh Impact Summary'!F$19</f>
        <v>56978.577954744585</v>
      </c>
      <c r="O109" s="304">
        <f>$M109*'MWh Impact Summary'!G$19</f>
        <v>75.092477335296763</v>
      </c>
      <c r="P109" s="304">
        <f>$M109*'MWh Impact Summary'!H$19</f>
        <v>2596.4894377650535</v>
      </c>
      <c r="Q109" s="304">
        <f>$M109*'MWh Impact Summary'!I$19</f>
        <v>830.95084937204501</v>
      </c>
      <c r="R109" s="304">
        <f>$M109*'MWh Impact Summary'!J$19</f>
        <v>15021.906179485048</v>
      </c>
      <c r="S109" s="304">
        <f>$M109*'MWh Impact Summary'!K$19</f>
        <v>0</v>
      </c>
      <c r="T109" s="304">
        <f>$M109*'MWh Impact Summary'!L$19</f>
        <v>0</v>
      </c>
      <c r="U109" s="304">
        <f>$M109*'MWh Impact Summary'!M$19</f>
        <v>0</v>
      </c>
      <c r="V109" s="304">
        <f>$M109*'LED Impact Forecast'!$H$20+$D109*'LED Impact Forecast'!$J$20</f>
        <v>732.70284477978396</v>
      </c>
      <c r="W109" s="304">
        <f>$M109*'CFL Impact Forecast'!$H$20+$D109*'CFL Impact Forecast'!$J$20</f>
        <v>264041.43080934754</v>
      </c>
      <c r="X109" s="304">
        <f>$M109*'EISA Incand Impact Forecast'!$G$20+$D109*'EISA Incand Impact Forecast'!$I$20</f>
        <v>29041.803749778228</v>
      </c>
      <c r="Y109" s="85">
        <f t="shared" si="36"/>
        <v>369318.95430260763</v>
      </c>
      <c r="Z109" s="81">
        <f t="shared" si="37"/>
        <v>798490.65821018745</v>
      </c>
      <c r="AA109" s="81"/>
      <c r="AB109" s="81">
        <f>+'MWh by mo-WgtbyActulCDH&amp;Days'!AB109</f>
        <v>4644296</v>
      </c>
      <c r="AC109" s="308">
        <f t="shared" si="45"/>
        <v>171.9293210876713</v>
      </c>
      <c r="AD109" s="309">
        <f t="shared" si="38"/>
        <v>92.40834432335491</v>
      </c>
      <c r="AE109" s="107">
        <f t="shared" si="39"/>
        <v>7.9094160619134022E-3</v>
      </c>
      <c r="AF109" s="309">
        <f t="shared" si="46"/>
        <v>79.520976764316416</v>
      </c>
      <c r="AG109" s="107">
        <f t="shared" si="40"/>
        <v>6.8063603507260845E-3</v>
      </c>
      <c r="AH109" s="119">
        <f t="shared" si="47"/>
        <v>1.4715776412639487E-2</v>
      </c>
      <c r="AI109" s="122">
        <f t="shared" si="41"/>
        <v>1.4715776412639483E-2</v>
      </c>
      <c r="AJ109" s="87" t="b">
        <f t="shared" si="48"/>
        <v>1</v>
      </c>
      <c r="AK109" s="88">
        <f t="shared" si="54"/>
        <v>2.069339541234708E-3</v>
      </c>
      <c r="AL109" s="312">
        <f>+AC109/'MWh by month-WgtbyCDH&amp;DayLtHrs'!AC109-1</f>
        <v>3.5364275498505737E-2</v>
      </c>
      <c r="AM109" s="89">
        <f t="shared" si="42"/>
        <v>264041.43080934754</v>
      </c>
      <c r="AN109" s="93"/>
      <c r="AO109" s="96">
        <f t="shared" si="63"/>
        <v>56.852842887134571</v>
      </c>
      <c r="AP109" s="92">
        <f t="shared" si="62"/>
        <v>4.8661491772155124E-3</v>
      </c>
      <c r="AR109" s="94">
        <f t="shared" si="43"/>
        <v>1.4715776412639483E-2</v>
      </c>
      <c r="AS109" s="95">
        <v>815342.50819848932</v>
      </c>
      <c r="AU109" s="141">
        <v>171.9293210876713</v>
      </c>
    </row>
    <row r="110" spans="1:47">
      <c r="A110" s="78">
        <f t="shared" si="58"/>
        <v>2013</v>
      </c>
      <c r="B110" s="78">
        <f t="shared" si="57"/>
        <v>10</v>
      </c>
      <c r="C110" s="317">
        <f t="shared" si="52"/>
        <v>198.89039579254836</v>
      </c>
      <c r="D110" s="318">
        <f t="shared" si="59"/>
        <v>0.10115446643644242</v>
      </c>
      <c r="E110" s="321">
        <f>$D110*'MWh Impact Summary'!B$19</f>
        <v>136668.97883980069</v>
      </c>
      <c r="F110" s="319">
        <f>$D110*'MWh Impact Summary'!N$19</f>
        <v>7344.9004255421387</v>
      </c>
      <c r="G110" s="319">
        <f>$D110*'MWh Impact Summary'!C$19</f>
        <v>115481.11572744176</v>
      </c>
      <c r="H110" s="319">
        <f>$D110*'MWh Impact Summary'!D$19</f>
        <v>306.9263914105012</v>
      </c>
      <c r="I110" s="319">
        <f>$D110*'MWh Impact Summary'!E$19</f>
        <v>47378.13859016342</v>
      </c>
      <c r="J110" s="104">
        <f t="shared" si="44"/>
        <v>307180.05997435853</v>
      </c>
      <c r="K110" s="298">
        <f t="shared" si="53"/>
        <v>12.466666666666667</v>
      </c>
      <c r="L110" s="299">
        <f t="shared" si="60"/>
        <v>8.7762524932535488E-2</v>
      </c>
      <c r="M110" s="297">
        <f t="shared" si="61"/>
        <v>8.4931506849315067E-2</v>
      </c>
      <c r="N110" s="304">
        <f>$M110*'MWh Impact Summary'!F$19</f>
        <v>58877.863886569408</v>
      </c>
      <c r="O110" s="304">
        <f>$M110*'MWh Impact Summary'!G$19</f>
        <v>77.595559913139994</v>
      </c>
      <c r="P110" s="304">
        <f>$M110*'MWh Impact Summary'!H$19</f>
        <v>2683.0390856905556</v>
      </c>
      <c r="Q110" s="304">
        <f>$M110*'MWh Impact Summary'!I$19</f>
        <v>858.64921101777986</v>
      </c>
      <c r="R110" s="304">
        <f>$M110*'MWh Impact Summary'!J$19</f>
        <v>15522.636385467882</v>
      </c>
      <c r="S110" s="304">
        <f>$M110*'MWh Impact Summary'!K$19</f>
        <v>0</v>
      </c>
      <c r="T110" s="304">
        <f>$M110*'MWh Impact Summary'!L$19</f>
        <v>0</v>
      </c>
      <c r="U110" s="304">
        <f>$M110*'MWh Impact Summary'!M$19</f>
        <v>0</v>
      </c>
      <c r="V110" s="304">
        <f>$M110*'LED Impact Forecast'!$H$20+$D110*'LED Impact Forecast'!$J$20</f>
        <v>746.19350099102849</v>
      </c>
      <c r="W110" s="304">
        <f>$M110*'CFL Impact Forecast'!$H$20+$D110*'CFL Impact Forecast'!$J$20</f>
        <v>253978.58790790814</v>
      </c>
      <c r="X110" s="304">
        <f>$M110*'EISA Incand Impact Forecast'!$G$20+$D110*'EISA Incand Impact Forecast'!$I$20</f>
        <v>27822.245475149306</v>
      </c>
      <c r="Y110" s="85">
        <f t="shared" si="36"/>
        <v>360566.81101270724</v>
      </c>
      <c r="Z110" s="81">
        <f t="shared" si="37"/>
        <v>667746.87098706583</v>
      </c>
      <c r="AA110" s="81"/>
      <c r="AB110" s="81">
        <f>+'MWh by mo-WgtbyActulCDH&amp;Days'!AB110</f>
        <v>4655414</v>
      </c>
      <c r="AC110" s="308">
        <f t="shared" si="45"/>
        <v>143.43447671615581</v>
      </c>
      <c r="AD110" s="309">
        <f t="shared" si="38"/>
        <v>65.98340340394185</v>
      </c>
      <c r="AE110" s="107">
        <f t="shared" si="39"/>
        <v>5.2927863693001485E-3</v>
      </c>
      <c r="AF110" s="309">
        <f t="shared" si="46"/>
        <v>77.451073312213964</v>
      </c>
      <c r="AG110" s="107">
        <f t="shared" si="40"/>
        <v>6.2126529394824033E-3</v>
      </c>
      <c r="AH110" s="119">
        <f t="shared" si="47"/>
        <v>1.1505439308782551E-2</v>
      </c>
      <c r="AI110" s="122">
        <f t="shared" si="41"/>
        <v>1.1505439308782553E-2</v>
      </c>
      <c r="AJ110" s="87" t="b">
        <f t="shared" si="48"/>
        <v>1</v>
      </c>
      <c r="AK110" s="88">
        <f t="shared" si="54"/>
        <v>1.6355879621506812E-3</v>
      </c>
      <c r="AL110" s="312">
        <f>+AC110/'MWh by month-WgtbyCDH&amp;DayLtHrs'!AC110-1</f>
        <v>-4.7064802530770722E-3</v>
      </c>
      <c r="AM110" s="89">
        <f t="shared" si="42"/>
        <v>253978.58790790814</v>
      </c>
      <c r="AN110" s="93"/>
      <c r="AO110" s="96">
        <f t="shared" si="63"/>
        <v>54.555532098307076</v>
      </c>
      <c r="AP110" s="92">
        <f t="shared" si="62"/>
        <v>4.3761122003989636E-3</v>
      </c>
      <c r="AR110" s="94">
        <f t="shared" si="43"/>
        <v>1.1505439308782553E-2</v>
      </c>
      <c r="AS110" s="95">
        <v>653211.96732746228</v>
      </c>
      <c r="AU110" s="141">
        <v>143.43447671615581</v>
      </c>
    </row>
    <row r="111" spans="1:47">
      <c r="A111" s="78">
        <f t="shared" si="58"/>
        <v>2013</v>
      </c>
      <c r="B111" s="78">
        <f t="shared" si="57"/>
        <v>11</v>
      </c>
      <c r="C111" s="317">
        <f t="shared" si="52"/>
        <v>78.117279066674627</v>
      </c>
      <c r="D111" s="318">
        <f t="shared" si="59"/>
        <v>3.9729981188725644E-2</v>
      </c>
      <c r="E111" s="321">
        <f>$D111*'MWh Impact Summary'!B$19</f>
        <v>53678.855216930264</v>
      </c>
      <c r="F111" s="319">
        <f>$D111*'MWh Impact Summary'!N$19</f>
        <v>2884.8232413267142</v>
      </c>
      <c r="G111" s="319">
        <f>$D111*'MWh Impact Summary'!C$19</f>
        <v>45356.994279507082</v>
      </c>
      <c r="H111" s="319">
        <f>$D111*'MWh Impact Summary'!D$19</f>
        <v>120.55008727394679</v>
      </c>
      <c r="I111" s="319">
        <f>$D111*'MWh Impact Summary'!E$19</f>
        <v>18608.496700704167</v>
      </c>
      <c r="J111" s="104">
        <f t="shared" si="44"/>
        <v>120649.71952574218</v>
      </c>
      <c r="K111" s="298">
        <f t="shared" si="53"/>
        <v>13.15</v>
      </c>
      <c r="L111" s="299">
        <f t="shared" si="60"/>
        <v>9.2573037662794788E-2</v>
      </c>
      <c r="M111" s="297">
        <f>(30/365)</f>
        <v>8.2191780821917804E-2</v>
      </c>
      <c r="N111" s="304">
        <f>$M111*'MWh Impact Summary'!F$19</f>
        <v>56978.577954744585</v>
      </c>
      <c r="O111" s="304">
        <f>$M111*'MWh Impact Summary'!G$19</f>
        <v>75.092477335296763</v>
      </c>
      <c r="P111" s="304">
        <f>$M111*'MWh Impact Summary'!H$19</f>
        <v>2596.4894377650535</v>
      </c>
      <c r="Q111" s="304">
        <f>$M111*'MWh Impact Summary'!I$19</f>
        <v>830.95084937204501</v>
      </c>
      <c r="R111" s="304">
        <f>$M111*'MWh Impact Summary'!J$19</f>
        <v>15021.906179485048</v>
      </c>
      <c r="S111" s="304">
        <f>$M111*'MWh Impact Summary'!K$19</f>
        <v>0</v>
      </c>
      <c r="T111" s="304">
        <f>$M111*'MWh Impact Summary'!L$19</f>
        <v>0</v>
      </c>
      <c r="U111" s="304">
        <f>$M111*'MWh Impact Summary'!M$19</f>
        <v>0</v>
      </c>
      <c r="V111" s="304">
        <f>$M111*'LED Impact Forecast'!$H$20+$D111*'LED Impact Forecast'!$J$20</f>
        <v>707.9554812713144</v>
      </c>
      <c r="W111" s="304">
        <f>$M111*'CFL Impact Forecast'!$H$20+$D111*'CFL Impact Forecast'!$J$20</f>
        <v>221340.47545432067</v>
      </c>
      <c r="X111" s="304">
        <f>$M111*'EISA Incand Impact Forecast'!$G$20+$D111*'EISA Incand Impact Forecast'!$I$20</f>
        <v>24089.922560785697</v>
      </c>
      <c r="Y111" s="85">
        <f t="shared" si="36"/>
        <v>321641.37039507972</v>
      </c>
      <c r="Z111" s="81">
        <f t="shared" si="37"/>
        <v>442291.08992082189</v>
      </c>
      <c r="AA111" s="81"/>
      <c r="AB111" s="81">
        <f>+'MWh by mo-WgtbyActulCDH&amp;Days'!AB111</f>
        <v>4665143</v>
      </c>
      <c r="AC111" s="308">
        <f t="shared" si="45"/>
        <v>94.807616812779784</v>
      </c>
      <c r="AD111" s="309">
        <f t="shared" si="38"/>
        <v>25.861955255335623</v>
      </c>
      <c r="AE111" s="107">
        <f t="shared" si="39"/>
        <v>1.9666886125730512E-3</v>
      </c>
      <c r="AF111" s="309">
        <f t="shared" si="46"/>
        <v>68.945661557444168</v>
      </c>
      <c r="AG111" s="107">
        <f t="shared" si="40"/>
        <v>5.2430160880185678E-3</v>
      </c>
      <c r="AH111" s="119">
        <f t="shared" si="47"/>
        <v>7.2097047005916185E-3</v>
      </c>
      <c r="AI111" s="122">
        <f t="shared" si="41"/>
        <v>7.2097047005916176E-3</v>
      </c>
      <c r="AJ111" s="87" t="b">
        <f t="shared" si="48"/>
        <v>1</v>
      </c>
      <c r="AK111" s="88">
        <f t="shared" si="54"/>
        <v>1.0733448240871617E-3</v>
      </c>
      <c r="AL111" s="312">
        <f>+AC111/'MWh by month-WgtbyCDH&amp;DayLtHrs'!AC111-1</f>
        <v>-0.12119261933148928</v>
      </c>
      <c r="AM111" s="89">
        <f t="shared" si="42"/>
        <v>221340.47545432067</v>
      </c>
      <c r="AN111" s="93"/>
      <c r="AO111" s="96">
        <f t="shared" si="63"/>
        <v>47.445592869140491</v>
      </c>
      <c r="AP111" s="92">
        <f t="shared" si="62"/>
        <v>3.6080298759802653E-3</v>
      </c>
      <c r="AR111" s="94">
        <f t="shared" si="43"/>
        <v>7.2097047005916176E-3</v>
      </c>
      <c r="AS111" s="95">
        <v>498384.25806814851</v>
      </c>
      <c r="AU111" s="141">
        <v>94.807616812779784</v>
      </c>
    </row>
    <row r="112" spans="1:47">
      <c r="A112" s="78">
        <f t="shared" si="58"/>
        <v>2013</v>
      </c>
      <c r="B112" s="78">
        <f t="shared" si="57"/>
        <v>12</v>
      </c>
      <c r="C112" s="317">
        <f t="shared" si="52"/>
        <v>42.633806123140985</v>
      </c>
      <c r="D112" s="318">
        <f t="shared" si="59"/>
        <v>2.1683298951445065E-2</v>
      </c>
      <c r="E112" s="321">
        <f>$D112*'MWh Impact Summary'!B$19</f>
        <v>29296.129276052372</v>
      </c>
      <c r="F112" s="319">
        <f>$D112*'MWh Impact Summary'!N$19</f>
        <v>1574.440331764232</v>
      </c>
      <c r="G112" s="319">
        <f>$D112*'MWh Impact Summary'!C$19</f>
        <v>24754.335065746895</v>
      </c>
      <c r="H112" s="319">
        <f>$D112*'MWh Impact Summary'!D$19</f>
        <v>65.792217936552831</v>
      </c>
      <c r="I112" s="319">
        <f>$D112*'MWh Impact Summary'!E$19</f>
        <v>10155.89700588252</v>
      </c>
      <c r="J112" s="104">
        <f t="shared" si="44"/>
        <v>65846.593897382569</v>
      </c>
      <c r="K112" s="298">
        <f t="shared" si="53"/>
        <v>13.483333333333333</v>
      </c>
      <c r="L112" s="299">
        <f>K112/(SUM(K$101:K$112))</f>
        <v>9.491962923853102E-2</v>
      </c>
      <c r="M112" s="297">
        <f t="shared" si="61"/>
        <v>8.4931506849315067E-2</v>
      </c>
      <c r="N112" s="304">
        <f>$M112*'MWh Impact Summary'!F$19</f>
        <v>58877.863886569408</v>
      </c>
      <c r="O112" s="304">
        <f>$M112*'MWh Impact Summary'!G$19</f>
        <v>77.595559913139994</v>
      </c>
      <c r="P112" s="304">
        <f>$M112*'MWh Impact Summary'!H$19</f>
        <v>2683.0390856905556</v>
      </c>
      <c r="Q112" s="304">
        <f>$M112*'MWh Impact Summary'!I$19</f>
        <v>858.64921101777986</v>
      </c>
      <c r="R112" s="304">
        <f>$M112*'MWh Impact Summary'!J$19</f>
        <v>15522.636385467882</v>
      </c>
      <c r="S112" s="304">
        <f>$M112*'MWh Impact Summary'!K$19</f>
        <v>0</v>
      </c>
      <c r="T112" s="304">
        <f>$M112*'MWh Impact Summary'!L$19</f>
        <v>0</v>
      </c>
      <c r="U112" s="304">
        <f>$M112*'MWh Impact Summary'!M$19</f>
        <v>0</v>
      </c>
      <c r="V112" s="304">
        <f>$M112*'LED Impact Forecast'!$H$20+$D112*'LED Impact Forecast'!$J$20</f>
        <v>726.83550605354549</v>
      </c>
      <c r="W112" s="304">
        <f>$M112*'CFL Impact Forecast'!$H$20+$D112*'CFL Impact Forecast'!$J$20</f>
        <v>220576.85291882933</v>
      </c>
      <c r="X112" s="304">
        <f>$M112*'EISA Incand Impact Forecast'!$G$20+$D112*'EISA Incand Impact Forecast'!$I$20</f>
        <v>23948.762509793094</v>
      </c>
      <c r="Y112" s="85">
        <f t="shared" si="36"/>
        <v>323272.23506333475</v>
      </c>
      <c r="Z112" s="81">
        <f t="shared" si="37"/>
        <v>389118.82896071731</v>
      </c>
      <c r="AA112" s="81">
        <f>SUM(Z101:Z112)</f>
        <v>7192486.778645033</v>
      </c>
      <c r="AB112" s="81">
        <f>+'MWh by mo-WgtbyActulCDH&amp;Days'!AB112</f>
        <v>4671859</v>
      </c>
      <c r="AC112" s="308">
        <f t="shared" si="45"/>
        <v>83.289934255446781</v>
      </c>
      <c r="AD112" s="309">
        <f t="shared" si="38"/>
        <v>14.094302481599417</v>
      </c>
      <c r="AE112" s="107">
        <f t="shared" si="39"/>
        <v>1.045312915817015E-3</v>
      </c>
      <c r="AF112" s="309">
        <f t="shared" si="46"/>
        <v>69.195631773847367</v>
      </c>
      <c r="AG112" s="107">
        <f t="shared" si="40"/>
        <v>5.1319380796425746E-3</v>
      </c>
      <c r="AH112" s="119">
        <f t="shared" si="47"/>
        <v>6.1772509954595893E-3</v>
      </c>
      <c r="AI112" s="122">
        <f t="shared" si="41"/>
        <v>6.1772509954595885E-3</v>
      </c>
      <c r="AJ112" s="87" t="b">
        <f t="shared" si="48"/>
        <v>1</v>
      </c>
      <c r="AK112" s="88">
        <f t="shared" si="54"/>
        <v>9.4373220382003298E-4</v>
      </c>
      <c r="AL112" s="312">
        <f>+AC112/'MWh by month-WgtbyCDH&amp;DayLtHrs'!AC112-1</f>
        <v>-0.14985274769790491</v>
      </c>
      <c r="AM112" s="89">
        <f t="shared" si="42"/>
        <v>220576.85291882933</v>
      </c>
      <c r="AN112" s="90">
        <f>SUM(AM101:AM112)</f>
        <v>2910110.5878092023</v>
      </c>
      <c r="AO112" s="96">
        <f t="shared" si="63"/>
        <v>47.213936233698263</v>
      </c>
      <c r="AP112" s="92">
        <f t="shared" si="62"/>
        <v>3.5016516366154458E-3</v>
      </c>
      <c r="AR112" s="94">
        <f t="shared" si="43"/>
        <v>6.1772509954595885E-3</v>
      </c>
      <c r="AS112" s="95">
        <v>407792.31518567307</v>
      </c>
      <c r="AU112" s="141">
        <v>83.289934255446781</v>
      </c>
    </row>
    <row r="113" spans="1:47">
      <c r="A113" s="78">
        <v>2014</v>
      </c>
      <c r="B113" s="78">
        <v>1</v>
      </c>
      <c r="C113" s="317">
        <f t="shared" si="52"/>
        <v>26.112829868525239</v>
      </c>
      <c r="D113" s="324">
        <f>D101</f>
        <v>1.3280829182176284E-2</v>
      </c>
      <c r="E113" s="321">
        <f>$D113*'MWh Impact Summary'!B$20</f>
        <v>20400.565814281548</v>
      </c>
      <c r="F113" s="319">
        <f>$D113*'MWh Impact Summary'!N$20</f>
        <v>1260.5815503360332</v>
      </c>
      <c r="G113" s="319">
        <f>$D113*'MWh Impact Summary'!C$20</f>
        <v>17406.56424943019</v>
      </c>
      <c r="H113" s="319">
        <f>$D113*'MWh Impact Summary'!D$20</f>
        <v>51.954027734078224</v>
      </c>
      <c r="I113" s="319">
        <f>$D113*'MWh Impact Summary'!E$20</f>
        <v>7019.0466489515638</v>
      </c>
      <c r="J113" s="104">
        <f t="shared" si="44"/>
        <v>46138.712290733412</v>
      </c>
      <c r="K113" s="298">
        <f t="shared" si="53"/>
        <v>13.3</v>
      </c>
      <c r="L113" s="300">
        <f>L101</f>
        <v>9.3629003871876101E-2</v>
      </c>
      <c r="M113" s="297">
        <f>(31/365)</f>
        <v>8.4931506849315067E-2</v>
      </c>
      <c r="N113" s="304">
        <f>$M113*'MWh Impact Summary'!F$20</f>
        <v>69436.910975051389</v>
      </c>
      <c r="O113" s="304">
        <f>$M113*'MWh Impact Summary'!G$20</f>
        <v>304.55870729542738</v>
      </c>
      <c r="P113" s="304">
        <f>$M113*'MWh Impact Summary'!H$20</f>
        <v>3430.6954612875843</v>
      </c>
      <c r="Q113" s="304">
        <f>$M113*'MWh Impact Summary'!I$20</f>
        <v>951.24712521510378</v>
      </c>
      <c r="R113" s="304">
        <f>$M113*'MWh Impact Summary'!J$20</f>
        <v>19082.497207732114</v>
      </c>
      <c r="S113" s="304">
        <f>$M113*'MWh Impact Summary'!K$20</f>
        <v>0</v>
      </c>
      <c r="T113" s="304">
        <f>$M113*'MWh Impact Summary'!L$20</f>
        <v>0</v>
      </c>
      <c r="U113" s="304">
        <f>$M113*'MWh Impact Summary'!M$20</f>
        <v>0</v>
      </c>
      <c r="V113" s="304">
        <f>$M113*'LED Impact Forecast'!$H$21+$D113*'LED Impact Forecast'!$J$21</f>
        <v>2250.4977581240614</v>
      </c>
      <c r="W113" s="304">
        <f>$M113*'CFL Impact Forecast'!$H$21+$D113*'CFL Impact Forecast'!$J$21</f>
        <v>234806.61295781861</v>
      </c>
      <c r="X113" s="304">
        <f>$M113*'EISA Incand Impact Forecast'!$G$21+$D113*'EISA Incand Impact Forecast'!$I$21</f>
        <v>47042.743005798751</v>
      </c>
      <c r="Y113" s="85">
        <f t="shared" si="36"/>
        <v>377305.76319832308</v>
      </c>
      <c r="Z113" s="81">
        <f t="shared" si="37"/>
        <v>423444.47548905649</v>
      </c>
      <c r="AA113" s="81"/>
      <c r="AB113" s="81">
        <f>+'MWh by mo-WgtbyActulCDH&amp;Days'!AB113</f>
        <v>4679556</v>
      </c>
      <c r="AC113" s="308">
        <f t="shared" si="45"/>
        <v>90.48817355515277</v>
      </c>
      <c r="AD113" s="309">
        <f t="shared" si="38"/>
        <v>9.8596346086537725</v>
      </c>
      <c r="AE113" s="107">
        <f t="shared" si="39"/>
        <v>7.413259104250957E-4</v>
      </c>
      <c r="AF113" s="309">
        <f t="shared" si="46"/>
        <v>80.628538946499006</v>
      </c>
      <c r="AG113" s="107">
        <f t="shared" si="40"/>
        <v>6.0622961613909024E-3</v>
      </c>
      <c r="AH113" s="119">
        <f t="shared" si="47"/>
        <v>6.8036220718159981E-3</v>
      </c>
      <c r="AI113" s="122">
        <f t="shared" si="41"/>
        <v>6.8036220718159972E-3</v>
      </c>
      <c r="AJ113" s="87" t="b">
        <f t="shared" si="48"/>
        <v>1</v>
      </c>
      <c r="AK113" s="88">
        <f t="shared" si="54"/>
        <v>9.1847441514548989E-4</v>
      </c>
      <c r="AL113" s="312">
        <f>+AC113/'MWh by month-WgtbyCDH&amp;DayLtHrs'!AC113-1</f>
        <v>-0.15831878404530131</v>
      </c>
      <c r="AM113" s="89">
        <f t="shared" si="42"/>
        <v>234806.61295781861</v>
      </c>
      <c r="AN113" s="93"/>
      <c r="AO113" s="96">
        <f t="shared" si="63"/>
        <v>50.177113588942753</v>
      </c>
      <c r="AP113" s="92">
        <f t="shared" si="62"/>
        <v>3.7727153074393043E-3</v>
      </c>
      <c r="AR113" s="94">
        <f t="shared" si="43"/>
        <v>6.8036220718159972E-3</v>
      </c>
      <c r="AS113" s="95">
        <v>462445.94354477955</v>
      </c>
      <c r="AU113" s="141">
        <v>90.48817355515277</v>
      </c>
    </row>
    <row r="114" spans="1:47">
      <c r="A114" s="78">
        <v>2014</v>
      </c>
      <c r="B114" s="78">
        <v>2</v>
      </c>
      <c r="C114" s="317">
        <f t="shared" si="52"/>
        <v>35.042184420393127</v>
      </c>
      <c r="D114" s="324">
        <f t="shared" ref="D114:D177" si="64">D102</f>
        <v>1.7822245532205266E-2</v>
      </c>
      <c r="E114" s="321">
        <f>$D114*'MWh Impact Summary'!B$20</f>
        <v>27376.595839813337</v>
      </c>
      <c r="F114" s="319">
        <f>$D114*'MWh Impact Summary'!N$20</f>
        <v>1691.6409054946723</v>
      </c>
      <c r="G114" s="319">
        <f>$D114*'MWh Impact Summary'!C$20</f>
        <v>23358.787141226956</v>
      </c>
      <c r="H114" s="319">
        <f>$D114*'MWh Impact Summary'!D$20</f>
        <v>69.719851521500715</v>
      </c>
      <c r="I114" s="319">
        <f>$D114*'MWh Impact Summary'!E$20</f>
        <v>9419.229105627157</v>
      </c>
      <c r="J114" s="104">
        <f t="shared" si="44"/>
        <v>61915.972843683623</v>
      </c>
      <c r="K114" s="298">
        <f t="shared" si="53"/>
        <v>12.733333333333333</v>
      </c>
      <c r="L114" s="300">
        <f t="shared" ref="L114:L177" si="65">L102</f>
        <v>8.9639798193124468E-2</v>
      </c>
      <c r="M114" s="297">
        <f>(28/365)</f>
        <v>7.6712328767123292E-2</v>
      </c>
      <c r="N114" s="304">
        <f>$M114*'MWh Impact Summary'!F$20</f>
        <v>62717.209912949649</v>
      </c>
      <c r="O114" s="304">
        <f>$M114*'MWh Impact Summary'!G$20</f>
        <v>275.08528400877316</v>
      </c>
      <c r="P114" s="304">
        <f>$M114*'MWh Impact Summary'!H$20</f>
        <v>3098.6926747113666</v>
      </c>
      <c r="Q114" s="304">
        <f>$M114*'MWh Impact Summary'!I$20</f>
        <v>859.19095180719057</v>
      </c>
      <c r="R114" s="304">
        <f>$M114*'MWh Impact Summary'!J$20</f>
        <v>17235.803929564492</v>
      </c>
      <c r="S114" s="304">
        <f>$M114*'MWh Impact Summary'!K$20</f>
        <v>0</v>
      </c>
      <c r="T114" s="304">
        <f>$M114*'MWh Impact Summary'!L$20</f>
        <v>0</v>
      </c>
      <c r="U114" s="304">
        <f>$M114*'MWh Impact Summary'!M$20</f>
        <v>0</v>
      </c>
      <c r="V114" s="304">
        <f>$M114*'LED Impact Forecast'!$H$21+$D114*'LED Impact Forecast'!$J$21</f>
        <v>2042.2673731397522</v>
      </c>
      <c r="W114" s="304">
        <f>$M114*'CFL Impact Forecast'!$H$21+$D114*'CFL Impact Forecast'!$J$21</f>
        <v>214738.27104217905</v>
      </c>
      <c r="X114" s="304">
        <f>$M114*'EISA Incand Impact Forecast'!$G$21+$D114*'EISA Incand Impact Forecast'!$I$21</f>
        <v>43060.816531297758</v>
      </c>
      <c r="Y114" s="85">
        <f t="shared" si="36"/>
        <v>344027.337699658</v>
      </c>
      <c r="Z114" s="81">
        <f t="shared" si="37"/>
        <v>405943.31054334162</v>
      </c>
      <c r="AA114" s="81"/>
      <c r="AB114" s="81">
        <f>+'MWh by mo-WgtbyActulCDH&amp;Days'!AB114</f>
        <v>4687089</v>
      </c>
      <c r="AC114" s="308">
        <f t="shared" si="45"/>
        <v>86.60883344509601</v>
      </c>
      <c r="AD114" s="309">
        <f t="shared" si="38"/>
        <v>13.209899117273775</v>
      </c>
      <c r="AE114" s="107">
        <f t="shared" si="39"/>
        <v>1.0374266322466317E-3</v>
      </c>
      <c r="AF114" s="309">
        <f t="shared" si="46"/>
        <v>73.398934327822232</v>
      </c>
      <c r="AG114" s="107">
        <f t="shared" si="40"/>
        <v>5.7643142142268771E-3</v>
      </c>
      <c r="AH114" s="119">
        <f t="shared" si="47"/>
        <v>6.801740846473509E-3</v>
      </c>
      <c r="AI114" s="122">
        <f t="shared" si="41"/>
        <v>6.801740846473509E-3</v>
      </c>
      <c r="AJ114" s="87" t="b">
        <f t="shared" si="48"/>
        <v>1</v>
      </c>
      <c r="AK114" s="88">
        <f t="shared" si="54"/>
        <v>9.0592853156841804E-4</v>
      </c>
      <c r="AL114" s="312">
        <f>+AC114/'MWh by month-WgtbyCDH&amp;DayLtHrs'!AC114-1</f>
        <v>-0.18873412515044008</v>
      </c>
      <c r="AM114" s="89">
        <f t="shared" si="42"/>
        <v>214738.27104217905</v>
      </c>
      <c r="AN114" s="93"/>
      <c r="AO114" s="96">
        <f t="shared" si="63"/>
        <v>45.814848201555179</v>
      </c>
      <c r="AP114" s="92">
        <f t="shared" si="62"/>
        <v>3.5980247278708261E-3</v>
      </c>
      <c r="AR114" s="94">
        <f t="shared" si="43"/>
        <v>6.801740846473509E-3</v>
      </c>
      <c r="AS114" s="95">
        <v>429989.36628902756</v>
      </c>
      <c r="AU114" s="141">
        <v>86.60883344509601</v>
      </c>
    </row>
    <row r="115" spans="1:47">
      <c r="A115" s="78">
        <v>2014</v>
      </c>
      <c r="B115" s="78">
        <v>3</v>
      </c>
      <c r="C115" s="317">
        <f t="shared" si="52"/>
        <v>64.582270600115152</v>
      </c>
      <c r="D115" s="324">
        <f t="shared" si="64"/>
        <v>3.2846156787895278E-2</v>
      </c>
      <c r="E115" s="321">
        <f>$D115*'MWh Impact Summary'!B$20</f>
        <v>50454.694816567506</v>
      </c>
      <c r="F115" s="319">
        <f>$D115*'MWh Impact Summary'!N$20</f>
        <v>3117.6712446414067</v>
      </c>
      <c r="G115" s="319">
        <f>$D115*'MWh Impact Summary'!C$20</f>
        <v>43049.927879703959</v>
      </c>
      <c r="H115" s="319">
        <f>$D115*'MWh Impact Summary'!D$20</f>
        <v>128.4927407248345</v>
      </c>
      <c r="I115" s="319">
        <f>$D115*'MWh Impact Summary'!E$20</f>
        <v>17359.511486106985</v>
      </c>
      <c r="J115" s="104">
        <f t="shared" si="44"/>
        <v>114110.2981677447</v>
      </c>
      <c r="K115" s="298">
        <f t="shared" si="53"/>
        <v>12</v>
      </c>
      <c r="L115" s="300">
        <f t="shared" si="65"/>
        <v>8.4477296726504739E-2</v>
      </c>
      <c r="M115" s="297">
        <f t="shared" ref="M115:M124" si="66">(31/365)</f>
        <v>8.4931506849315067E-2</v>
      </c>
      <c r="N115" s="304">
        <f>$M115*'MWh Impact Summary'!F$20</f>
        <v>69436.910975051389</v>
      </c>
      <c r="O115" s="304">
        <f>$M115*'MWh Impact Summary'!G$20</f>
        <v>304.55870729542738</v>
      </c>
      <c r="P115" s="304">
        <f>$M115*'MWh Impact Summary'!H$20</f>
        <v>3430.6954612875843</v>
      </c>
      <c r="Q115" s="304">
        <f>$M115*'MWh Impact Summary'!I$20</f>
        <v>951.24712521510378</v>
      </c>
      <c r="R115" s="304">
        <f>$M115*'MWh Impact Summary'!J$20</f>
        <v>19082.497207732114</v>
      </c>
      <c r="S115" s="304">
        <f>$M115*'MWh Impact Summary'!K$20</f>
        <v>0</v>
      </c>
      <c r="T115" s="304">
        <f>$M115*'MWh Impact Summary'!L$20</f>
        <v>0</v>
      </c>
      <c r="U115" s="304">
        <f>$M115*'MWh Impact Summary'!M$20</f>
        <v>0</v>
      </c>
      <c r="V115" s="304">
        <f>$M115*'LED Impact Forecast'!$H$21+$D115*'LED Impact Forecast'!$J$21</f>
        <v>2282.5983327386957</v>
      </c>
      <c r="W115" s="304">
        <f>$M115*'CFL Impact Forecast'!$H$21+$D115*'CFL Impact Forecast'!$J$21</f>
        <v>243721.42697668661</v>
      </c>
      <c r="X115" s="304">
        <f>$M115*'EISA Incand Impact Forecast'!$G$21+$D115*'EISA Incand Impact Forecast'!$I$21</f>
        <v>48958.750137837225</v>
      </c>
      <c r="Y115" s="85">
        <f t="shared" si="36"/>
        <v>388168.68492384418</v>
      </c>
      <c r="Z115" s="81">
        <f t="shared" si="37"/>
        <v>502278.98309158889</v>
      </c>
      <c r="AA115" s="85"/>
      <c r="AB115" s="81">
        <f>+'MWh by mo-WgtbyActulCDH&amp;Days'!AB115</f>
        <v>4694845</v>
      </c>
      <c r="AC115" s="308">
        <f t="shared" si="45"/>
        <v>106.98521103286454</v>
      </c>
      <c r="AD115" s="309">
        <f t="shared" si="38"/>
        <v>24.305445263420772</v>
      </c>
      <c r="AE115" s="107">
        <f t="shared" si="39"/>
        <v>2.0254537719517312E-3</v>
      </c>
      <c r="AF115" s="309">
        <f t="shared" si="46"/>
        <v>82.679765769443748</v>
      </c>
      <c r="AG115" s="107">
        <f t="shared" si="40"/>
        <v>6.8899804807869783E-3</v>
      </c>
      <c r="AH115" s="119">
        <f t="shared" si="47"/>
        <v>8.91543425273871E-3</v>
      </c>
      <c r="AI115" s="122">
        <f t="shared" si="41"/>
        <v>8.9154342527387118E-3</v>
      </c>
      <c r="AJ115" s="87" t="b">
        <f t="shared" si="48"/>
        <v>1</v>
      </c>
      <c r="AK115" s="88">
        <f t="shared" si="54"/>
        <v>1.1668924856279806E-3</v>
      </c>
      <c r="AL115" s="312">
        <f>+AC115/'MWh by month-WgtbyCDH&amp;DayLtHrs'!AC115-1</f>
        <v>-4.9885184388311909E-2</v>
      </c>
      <c r="AM115" s="89">
        <f t="shared" si="42"/>
        <v>243721.42697668661</v>
      </c>
      <c r="AN115" s="89"/>
      <c r="AO115" s="96">
        <f t="shared" si="63"/>
        <v>51.912560899600862</v>
      </c>
      <c r="AP115" s="92">
        <f t="shared" si="62"/>
        <v>4.3260467416334049E-3</v>
      </c>
      <c r="AR115" s="94">
        <f t="shared" si="43"/>
        <v>8.9154342527387118E-3</v>
      </c>
      <c r="AS115" s="95">
        <v>522118.50113084482</v>
      </c>
      <c r="AU115" s="141">
        <v>106.98521103286454</v>
      </c>
    </row>
    <row r="116" spans="1:47">
      <c r="A116" s="78">
        <v>2014</v>
      </c>
      <c r="B116" s="78">
        <v>4</v>
      </c>
      <c r="C116" s="317">
        <f t="shared" si="52"/>
        <v>114.03392869270741</v>
      </c>
      <c r="D116" s="324">
        <f t="shared" si="64"/>
        <v>5.7996974497419709E-2</v>
      </c>
      <c r="E116" s="321">
        <f>$D116*'MWh Impact Summary'!B$20</f>
        <v>89088.646426663632</v>
      </c>
      <c r="F116" s="319">
        <f>$D116*'MWh Impact Summary'!N$20</f>
        <v>5504.9210424959665</v>
      </c>
      <c r="G116" s="319">
        <f>$D116*'MWh Impact Summary'!C$20</f>
        <v>76013.933242718849</v>
      </c>
      <c r="H116" s="319">
        <f>$D116*'MWh Impact Summary'!D$20</f>
        <v>226.88164874339662</v>
      </c>
      <c r="I116" s="319">
        <f>$D116*'MWh Impact Summary'!E$20</f>
        <v>30651.961855045542</v>
      </c>
      <c r="J116" s="104">
        <f t="shared" si="44"/>
        <v>201486.3442156674</v>
      </c>
      <c r="K116" s="298">
        <f t="shared" si="53"/>
        <v>11.2</v>
      </c>
      <c r="L116" s="300">
        <f t="shared" si="65"/>
        <v>7.8845476944737758E-2</v>
      </c>
      <c r="M116" s="297">
        <f>(30/365)</f>
        <v>8.2191780821917804E-2</v>
      </c>
      <c r="N116" s="304">
        <f>$M116*'MWh Impact Summary'!F$20</f>
        <v>67197.010621017471</v>
      </c>
      <c r="O116" s="304">
        <f>$M116*'MWh Impact Summary'!G$20</f>
        <v>294.73423286654264</v>
      </c>
      <c r="P116" s="304">
        <f>$M116*'MWh Impact Summary'!H$20</f>
        <v>3320.0278657621784</v>
      </c>
      <c r="Q116" s="304">
        <f>$M116*'MWh Impact Summary'!I$20</f>
        <v>920.56173407913263</v>
      </c>
      <c r="R116" s="304">
        <f>$M116*'MWh Impact Summary'!J$20</f>
        <v>18466.932781676242</v>
      </c>
      <c r="S116" s="304">
        <f>$M116*'MWh Impact Summary'!K$20</f>
        <v>0</v>
      </c>
      <c r="T116" s="304">
        <f>$M116*'MWh Impact Summary'!L$20</f>
        <v>0</v>
      </c>
      <c r="U116" s="304">
        <f>$M116*'MWh Impact Summary'!M$20</f>
        <v>0</v>
      </c>
      <c r="V116" s="304">
        <f>$M116*'LED Impact Forecast'!$H$21+$D116*'LED Impact Forecast'!$J$21</f>
        <v>2251.9691382643032</v>
      </c>
      <c r="W116" s="304">
        <f>$M116*'CFL Impact Forecast'!$H$21+$D116*'CFL Impact Forecast'!$J$21</f>
        <v>247802.03026820772</v>
      </c>
      <c r="X116" s="304">
        <f>$M116*'EISA Incand Impact Forecast'!$G$21+$D116*'EISA Incand Impact Forecast'!$I$21</f>
        <v>49946.183237185454</v>
      </c>
      <c r="Y116" s="85">
        <f t="shared" si="36"/>
        <v>390199.44987905904</v>
      </c>
      <c r="Z116" s="81">
        <f t="shared" si="37"/>
        <v>591685.79409472644</v>
      </c>
      <c r="AA116" s="81"/>
      <c r="AB116" s="81">
        <f>+'MWh by mo-WgtbyActulCDH&amp;Days'!AB116</f>
        <v>4699582</v>
      </c>
      <c r="AC116" s="308">
        <f t="shared" si="45"/>
        <v>125.9017917114174</v>
      </c>
      <c r="AD116" s="309">
        <f t="shared" si="38"/>
        <v>42.873247921978468</v>
      </c>
      <c r="AE116" s="107">
        <f t="shared" si="39"/>
        <v>3.8279685644623633E-3</v>
      </c>
      <c r="AF116" s="309">
        <f t="shared" si="46"/>
        <v>83.028543789438942</v>
      </c>
      <c r="AG116" s="107">
        <f t="shared" si="40"/>
        <v>7.4132628383427627E-3</v>
      </c>
      <c r="AH116" s="119">
        <f t="shared" si="47"/>
        <v>1.1241231402805127E-2</v>
      </c>
      <c r="AI116" s="122">
        <f t="shared" si="41"/>
        <v>1.1241231402805125E-2</v>
      </c>
      <c r="AJ116" s="87" t="b">
        <f t="shared" si="48"/>
        <v>1</v>
      </c>
      <c r="AK116" s="88">
        <f t="shared" si="54"/>
        <v>1.4335618931586528E-3</v>
      </c>
      <c r="AL116" s="312">
        <f>+AC116/'MWh by month-WgtbyCDH&amp;DayLtHrs'!AC116-1</f>
        <v>2.9835891645271229E-3</v>
      </c>
      <c r="AM116" s="89">
        <f t="shared" si="42"/>
        <v>247802.03026820772</v>
      </c>
      <c r="AN116" s="93"/>
      <c r="AO116" s="96">
        <f t="shared" si="63"/>
        <v>52.728525700414998</v>
      </c>
      <c r="AP116" s="92">
        <f t="shared" si="62"/>
        <v>4.7079040803941962E-3</v>
      </c>
      <c r="AR116" s="94">
        <f t="shared" si="43"/>
        <v>1.1241231402805125E-2</v>
      </c>
      <c r="AS116" s="95">
        <v>616081.08376351488</v>
      </c>
      <c r="AU116" s="141">
        <v>125.9017917114174</v>
      </c>
    </row>
    <row r="117" spans="1:47">
      <c r="A117" s="78">
        <v>2014</v>
      </c>
      <c r="B117" s="78">
        <v>5</v>
      </c>
      <c r="C117" s="317">
        <f t="shared" si="52"/>
        <v>208.47875842628665</v>
      </c>
      <c r="D117" s="324">
        <f t="shared" si="64"/>
        <v>0.10603105035770212</v>
      </c>
      <c r="E117" s="321">
        <f>$D117*'MWh Impact Summary'!B$20</f>
        <v>162873.37119603285</v>
      </c>
      <c r="F117" s="319">
        <f>$D117*'MWh Impact Summary'!N$20</f>
        <v>10064.189819040172</v>
      </c>
      <c r="G117" s="319">
        <f>$D117*'MWh Impact Summary'!C$20</f>
        <v>138969.95926751854</v>
      </c>
      <c r="H117" s="319">
        <f>$D117*'MWh Impact Summary'!D$20</f>
        <v>414.78887013700773</v>
      </c>
      <c r="I117" s="319">
        <f>$D117*'MWh Impact Summary'!E$20</f>
        <v>56038.4354387192</v>
      </c>
      <c r="J117" s="104">
        <f t="shared" si="44"/>
        <v>368360.74459144776</v>
      </c>
      <c r="K117" s="298">
        <f t="shared" si="53"/>
        <v>10.533333333333333</v>
      </c>
      <c r="L117" s="300">
        <f t="shared" si="65"/>
        <v>7.4152293793265281E-2</v>
      </c>
      <c r="M117" s="297">
        <f t="shared" si="66"/>
        <v>8.4931506849315067E-2</v>
      </c>
      <c r="N117" s="304">
        <f>$M117*'MWh Impact Summary'!F$20</f>
        <v>69436.910975051389</v>
      </c>
      <c r="O117" s="304">
        <f>$M117*'MWh Impact Summary'!G$20</f>
        <v>304.55870729542738</v>
      </c>
      <c r="P117" s="304">
        <f>$M117*'MWh Impact Summary'!H$20</f>
        <v>3430.6954612875843</v>
      </c>
      <c r="Q117" s="304">
        <f>$M117*'MWh Impact Summary'!I$20</f>
        <v>951.24712521510378</v>
      </c>
      <c r="R117" s="304">
        <f>$M117*'MWh Impact Summary'!J$20</f>
        <v>19082.497207732114</v>
      </c>
      <c r="S117" s="304">
        <f>$M117*'MWh Impact Summary'!K$20</f>
        <v>0</v>
      </c>
      <c r="T117" s="304">
        <f>$M117*'MWh Impact Summary'!L$20</f>
        <v>0</v>
      </c>
      <c r="U117" s="304">
        <f>$M117*'MWh Impact Summary'!M$20</f>
        <v>0</v>
      </c>
      <c r="V117" s="304">
        <f>$M117*'LED Impact Forecast'!$H$21+$D117*'LED Impact Forecast'!$J$21</f>
        <v>2402.6718211077296</v>
      </c>
      <c r="W117" s="304">
        <f>$M117*'CFL Impact Forecast'!$H$21+$D117*'CFL Impact Forecast'!$J$21</f>
        <v>277067.64679540147</v>
      </c>
      <c r="X117" s="304">
        <f>$M117*'EISA Incand Impact Forecast'!$G$21+$D117*'EISA Incand Impact Forecast'!$I$21</f>
        <v>56125.651753951191</v>
      </c>
      <c r="Y117" s="85">
        <f t="shared" si="36"/>
        <v>428801.87984704203</v>
      </c>
      <c r="Z117" s="81">
        <f t="shared" si="37"/>
        <v>797162.62443848979</v>
      </c>
      <c r="AA117" s="81"/>
      <c r="AB117" s="81">
        <f>+'MWh by mo-WgtbyActulCDH&amp;Days'!AB117</f>
        <v>4702414</v>
      </c>
      <c r="AC117" s="308">
        <f t="shared" si="45"/>
        <v>169.52199964496742</v>
      </c>
      <c r="AD117" s="309">
        <f t="shared" si="38"/>
        <v>78.334392631411816</v>
      </c>
      <c r="AE117" s="107">
        <f t="shared" si="39"/>
        <v>7.4368094270327676E-3</v>
      </c>
      <c r="AF117" s="309">
        <f t="shared" si="46"/>
        <v>91.187607013555592</v>
      </c>
      <c r="AG117" s="107">
        <f t="shared" si="40"/>
        <v>8.6570512987552781E-3</v>
      </c>
      <c r="AH117" s="119">
        <f t="shared" si="47"/>
        <v>1.6093860725788046E-2</v>
      </c>
      <c r="AI117" s="122">
        <f t="shared" si="41"/>
        <v>1.6093860725788049E-2</v>
      </c>
      <c r="AJ117" s="87" t="b">
        <f t="shared" si="48"/>
        <v>1</v>
      </c>
      <c r="AK117" s="88">
        <f t="shared" si="54"/>
        <v>1.9951689436264117E-3</v>
      </c>
      <c r="AL117" s="312">
        <f>+AC117/'MWh by month-WgtbyCDH&amp;DayLtHrs'!AC117-1</f>
        <v>8.4502522857154316E-2</v>
      </c>
      <c r="AM117" s="89">
        <f t="shared" si="42"/>
        <v>277067.64679540147</v>
      </c>
      <c r="AN117" s="93"/>
      <c r="AO117" s="96">
        <f t="shared" si="63"/>
        <v>58.920300678630475</v>
      </c>
      <c r="AP117" s="92">
        <f t="shared" si="62"/>
        <v>5.5936994315155513E-3</v>
      </c>
      <c r="AR117" s="94">
        <f t="shared" si="43"/>
        <v>1.6093860725788049E-2</v>
      </c>
      <c r="AS117" s="95">
        <v>744422.3141190504</v>
      </c>
      <c r="AU117" s="141">
        <v>169.52199964496742</v>
      </c>
    </row>
    <row r="118" spans="1:47">
      <c r="A118" s="78">
        <v>2014</v>
      </c>
      <c r="B118" s="78">
        <v>6</v>
      </c>
      <c r="C118" s="317">
        <f t="shared" si="52"/>
        <v>271.66325293295364</v>
      </c>
      <c r="D118" s="324">
        <f t="shared" si="64"/>
        <v>0.13816630657965029</v>
      </c>
      <c r="E118" s="321">
        <f>$D118*'MWh Impact Summary'!B$20</f>
        <v>212236.05785677844</v>
      </c>
      <c r="F118" s="319">
        <f>$D118*'MWh Impact Summary'!N$20</f>
        <v>13114.384242372931</v>
      </c>
      <c r="G118" s="319">
        <f>$D118*'MWh Impact Summary'!C$20</f>
        <v>181088.14288589868</v>
      </c>
      <c r="H118" s="319">
        <f>$D118*'MWh Impact Summary'!D$20</f>
        <v>540.50059868159701</v>
      </c>
      <c r="I118" s="319">
        <f>$D118*'MWh Impact Summary'!E$20</f>
        <v>73022.229101285047</v>
      </c>
      <c r="J118" s="104">
        <f t="shared" si="44"/>
        <v>480001.3146850167</v>
      </c>
      <c r="K118" s="298">
        <f t="shared" si="53"/>
        <v>10.199999999999999</v>
      </c>
      <c r="L118" s="300">
        <f t="shared" si="65"/>
        <v>7.1805702217529022E-2</v>
      </c>
      <c r="M118" s="297">
        <f>(30/365)</f>
        <v>8.2191780821917804E-2</v>
      </c>
      <c r="N118" s="304">
        <f>$M118*'MWh Impact Summary'!F$20</f>
        <v>67197.010621017471</v>
      </c>
      <c r="O118" s="304">
        <f>$M118*'MWh Impact Summary'!G$20</f>
        <v>294.73423286654264</v>
      </c>
      <c r="P118" s="304">
        <f>$M118*'MWh Impact Summary'!H$20</f>
        <v>3320.0278657621784</v>
      </c>
      <c r="Q118" s="304">
        <f>$M118*'MWh Impact Summary'!I$20</f>
        <v>920.56173407913263</v>
      </c>
      <c r="R118" s="304">
        <f>$M118*'MWh Impact Summary'!J$20</f>
        <v>18466.932781676242</v>
      </c>
      <c r="S118" s="304">
        <f>$M118*'MWh Impact Summary'!K$20</f>
        <v>0</v>
      </c>
      <c r="T118" s="304">
        <f>$M118*'MWh Impact Summary'!L$20</f>
        <v>0</v>
      </c>
      <c r="U118" s="304">
        <f>$M118*'MWh Impact Summary'!M$20</f>
        <v>0</v>
      </c>
      <c r="V118" s="304">
        <f>$M118*'LED Impact Forecast'!$H$21+$D118*'LED Impact Forecast'!$J$21</f>
        <v>2383.501902661194</v>
      </c>
      <c r="W118" s="304">
        <f>$M118*'CFL Impact Forecast'!$H$21+$D118*'CFL Impact Forecast'!$J$21</f>
        <v>284330.66397843731</v>
      </c>
      <c r="X118" s="304">
        <f>$M118*'EISA Incand Impact Forecast'!$G$21+$D118*'EISA Incand Impact Forecast'!$I$21</f>
        <v>57797.061849379796</v>
      </c>
      <c r="Y118" s="85">
        <f t="shared" si="36"/>
        <v>434710.49496587989</v>
      </c>
      <c r="Z118" s="81">
        <f t="shared" si="37"/>
        <v>914711.80965089658</v>
      </c>
      <c r="AA118" s="81"/>
      <c r="AB118" s="81">
        <f>+'MWh by mo-WgtbyActulCDH&amp;Days'!AB118</f>
        <v>4705494</v>
      </c>
      <c r="AC118" s="308">
        <f t="shared" si="45"/>
        <v>194.39230177551954</v>
      </c>
      <c r="AD118" s="309">
        <f t="shared" si="38"/>
        <v>102.00869763833865</v>
      </c>
      <c r="AE118" s="107">
        <f t="shared" si="39"/>
        <v>1.0000852709641045E-2</v>
      </c>
      <c r="AF118" s="309">
        <f t="shared" si="46"/>
        <v>92.383604137180896</v>
      </c>
      <c r="AG118" s="107">
        <f t="shared" si="40"/>
        <v>9.0572160918804805E-3</v>
      </c>
      <c r="AH118" s="119">
        <f t="shared" si="47"/>
        <v>1.9058068801521527E-2</v>
      </c>
      <c r="AI118" s="122">
        <f t="shared" si="41"/>
        <v>1.9058068801521524E-2</v>
      </c>
      <c r="AJ118" s="87" t="b">
        <f t="shared" si="48"/>
        <v>1</v>
      </c>
      <c r="AK118" s="88">
        <f t="shared" si="54"/>
        <v>2.3260420714139897E-3</v>
      </c>
      <c r="AL118" s="312">
        <f>+AC118/'MWh by month-WgtbyCDH&amp;DayLtHrs'!AC118-1</f>
        <v>9.4396110644611619E-2</v>
      </c>
      <c r="AM118" s="89">
        <f t="shared" si="42"/>
        <v>284330.66397843731</v>
      </c>
      <c r="AN118" s="93"/>
      <c r="AO118" s="96">
        <f t="shared" si="63"/>
        <v>60.425252689396117</v>
      </c>
      <c r="AP118" s="92">
        <f t="shared" si="62"/>
        <v>5.9240443813133453E-3</v>
      </c>
      <c r="AR118" s="94">
        <f t="shared" si="43"/>
        <v>1.9058068801521524E-2</v>
      </c>
      <c r="AS118" s="95">
        <v>911564.45976524334</v>
      </c>
      <c r="AU118" s="141">
        <v>194.39230177551954</v>
      </c>
    </row>
    <row r="119" spans="1:47">
      <c r="A119" s="78">
        <v>2014</v>
      </c>
      <c r="B119" s="78">
        <v>7</v>
      </c>
      <c r="C119" s="317">
        <f t="shared" si="52"/>
        <v>322.31916585708109</v>
      </c>
      <c r="D119" s="324">
        <f t="shared" si="64"/>
        <v>0.16392960109808263</v>
      </c>
      <c r="E119" s="321">
        <f>$D119*'MWh Impact Summary'!B$20</f>
        <v>251810.82974838352</v>
      </c>
      <c r="F119" s="319">
        <f>$D119*'MWh Impact Summary'!N$20</f>
        <v>15559.768736090771</v>
      </c>
      <c r="G119" s="319">
        <f>$D119*'MWh Impact Summary'!C$20</f>
        <v>214854.89307600987</v>
      </c>
      <c r="H119" s="319">
        <f>$D119*'MWh Impact Summary'!D$20</f>
        <v>641.28548941177985</v>
      </c>
      <c r="I119" s="319">
        <f>$D119*'MWh Impact Summary'!E$20</f>
        <v>86638.379386407702</v>
      </c>
      <c r="J119" s="104">
        <f t="shared" si="44"/>
        <v>569505.15643630363</v>
      </c>
      <c r="K119" s="298">
        <f t="shared" si="53"/>
        <v>10.366666666666667</v>
      </c>
      <c r="L119" s="300">
        <f t="shared" si="65"/>
        <v>7.2978998005397158E-2</v>
      </c>
      <c r="M119" s="297">
        <f t="shared" si="66"/>
        <v>8.4931506849315067E-2</v>
      </c>
      <c r="N119" s="304">
        <f>$M119*'MWh Impact Summary'!F$20</f>
        <v>69436.910975051389</v>
      </c>
      <c r="O119" s="304">
        <f>$M119*'MWh Impact Summary'!G$20</f>
        <v>304.55870729542738</v>
      </c>
      <c r="P119" s="304">
        <f>$M119*'MWh Impact Summary'!H$20</f>
        <v>3430.6954612875843</v>
      </c>
      <c r="Q119" s="304">
        <f>$M119*'MWh Impact Summary'!I$20</f>
        <v>951.24712521510378</v>
      </c>
      <c r="R119" s="304">
        <f>$M119*'MWh Impact Summary'!J$20</f>
        <v>19082.497207732114</v>
      </c>
      <c r="S119" s="304">
        <f>$M119*'MWh Impact Summary'!K$20</f>
        <v>0</v>
      </c>
      <c r="T119" s="304">
        <f>$M119*'MWh Impact Summary'!L$20</f>
        <v>0</v>
      </c>
      <c r="U119" s="304">
        <f>$M119*'MWh Impact Summary'!M$20</f>
        <v>0</v>
      </c>
      <c r="V119" s="304">
        <f>$M119*'LED Impact Forecast'!$H$21+$D119*'LED Impact Forecast'!$J$21</f>
        <v>2497.665208674493</v>
      </c>
      <c r="W119" s="304">
        <f>$M119*'CFL Impact Forecast'!$H$21+$D119*'CFL Impact Forecast'!$J$21</f>
        <v>303448.74412298261</v>
      </c>
      <c r="X119" s="304">
        <f>$M119*'EISA Incand Impact Forecast'!$G$21+$D119*'EISA Incand Impact Forecast'!$I$21</f>
        <v>61795.581662041986</v>
      </c>
      <c r="Y119" s="85">
        <f t="shared" si="36"/>
        <v>460947.90047028073</v>
      </c>
      <c r="Z119" s="81">
        <f t="shared" si="37"/>
        <v>1030453.0569065844</v>
      </c>
      <c r="AA119" s="81"/>
      <c r="AB119" s="81">
        <f>+'MWh by mo-WgtbyActulCDH&amp;Days'!AB119</f>
        <v>4709239</v>
      </c>
      <c r="AC119" s="308">
        <f t="shared" si="45"/>
        <v>218.81519644821262</v>
      </c>
      <c r="AD119" s="309">
        <f t="shared" si="38"/>
        <v>120.93358532796989</v>
      </c>
      <c r="AE119" s="107">
        <f t="shared" si="39"/>
        <v>1.1665619163469764E-2</v>
      </c>
      <c r="AF119" s="309">
        <f t="shared" si="46"/>
        <v>97.881611120242724</v>
      </c>
      <c r="AG119" s="107">
        <f t="shared" si="40"/>
        <v>9.4419560566150525E-3</v>
      </c>
      <c r="AH119" s="119">
        <f t="shared" si="47"/>
        <v>2.1107575220084815E-2</v>
      </c>
      <c r="AI119" s="122">
        <f t="shared" si="41"/>
        <v>2.1107575220084818E-2</v>
      </c>
      <c r="AJ119" s="87" t="b">
        <f t="shared" si="48"/>
        <v>1</v>
      </c>
      <c r="AK119" s="88">
        <f t="shared" si="54"/>
        <v>2.573792434018337E-3</v>
      </c>
      <c r="AL119" s="312">
        <f>+AC119/'MWh by month-WgtbyCDH&amp;DayLtHrs'!AC119-1</f>
        <v>0.10711431706091346</v>
      </c>
      <c r="AM119" s="89">
        <f t="shared" si="42"/>
        <v>303448.74412298261</v>
      </c>
      <c r="AN119" s="93"/>
      <c r="AO119" s="96">
        <f t="shared" si="63"/>
        <v>64.436896093611438</v>
      </c>
      <c r="AP119" s="92">
        <f t="shared" si="62"/>
        <v>6.2157777582261837E-3</v>
      </c>
      <c r="AR119" s="94">
        <f t="shared" si="43"/>
        <v>2.1107575220084818E-2</v>
      </c>
      <c r="AS119" s="95">
        <v>960152.42672691226</v>
      </c>
      <c r="AU119" s="141">
        <v>218.81519644821262</v>
      </c>
    </row>
    <row r="120" spans="1:47">
      <c r="A120" s="78">
        <v>2014</v>
      </c>
      <c r="B120" s="78">
        <v>8</v>
      </c>
      <c r="C120" s="317">
        <f t="shared" si="52"/>
        <v>326.45437890907908</v>
      </c>
      <c r="D120" s="324">
        <f t="shared" si="64"/>
        <v>0.16603274573816959</v>
      </c>
      <c r="E120" s="321">
        <f>$D120*'MWh Impact Summary'!B$20</f>
        <v>255041.45187735639</v>
      </c>
      <c r="F120" s="319">
        <f>$D120*'MWh Impact Summary'!N$20</f>
        <v>15759.393721444832</v>
      </c>
      <c r="G120" s="319">
        <f>$D120*'MWh Impact Summary'!C$20</f>
        <v>217611.38680101384</v>
      </c>
      <c r="H120" s="319">
        <f>$D120*'MWh Impact Summary'!D$20</f>
        <v>649.51290002455232</v>
      </c>
      <c r="I120" s="319">
        <f>$D120*'MWh Impact Summary'!E$20</f>
        <v>87749.911666189932</v>
      </c>
      <c r="J120" s="104">
        <f t="shared" si="44"/>
        <v>576811.65696602955</v>
      </c>
      <c r="K120" s="298">
        <f t="shared" si="53"/>
        <v>10.933333333333334</v>
      </c>
      <c r="L120" s="300">
        <f t="shared" si="65"/>
        <v>7.6968203684148764E-2</v>
      </c>
      <c r="M120" s="297">
        <f t="shared" si="66"/>
        <v>8.4931506849315067E-2</v>
      </c>
      <c r="N120" s="304">
        <f>$M120*'MWh Impact Summary'!F$20</f>
        <v>69436.910975051389</v>
      </c>
      <c r="O120" s="304">
        <f>$M120*'MWh Impact Summary'!G$20</f>
        <v>304.55870729542738</v>
      </c>
      <c r="P120" s="304">
        <f>$M120*'MWh Impact Summary'!H$20</f>
        <v>3430.6954612875843</v>
      </c>
      <c r="Q120" s="304">
        <f>$M120*'MWh Impact Summary'!I$20</f>
        <v>951.24712521510378</v>
      </c>
      <c r="R120" s="304">
        <f>$M120*'MWh Impact Summary'!J$20</f>
        <v>19082.497207732114</v>
      </c>
      <c r="S120" s="304">
        <f>$M120*'MWh Impact Summary'!K$20</f>
        <v>0</v>
      </c>
      <c r="T120" s="304">
        <f>$M120*'MWh Impact Summary'!L$20</f>
        <v>0</v>
      </c>
      <c r="U120" s="304">
        <f>$M120*'MWh Impact Summary'!M$20</f>
        <v>0</v>
      </c>
      <c r="V120" s="304">
        <f>$M120*'LED Impact Forecast'!$H$21+$D120*'LED Impact Forecast'!$J$21</f>
        <v>2501.1158103104576</v>
      </c>
      <c r="W120" s="304">
        <f>$M120*'CFL Impact Forecast'!$H$21+$D120*'CFL Impact Forecast'!$J$21</f>
        <v>304407.02827232005</v>
      </c>
      <c r="X120" s="304">
        <f>$M120*'EISA Incand Impact Forecast'!$G$21+$D120*'EISA Incand Impact Forecast'!$I$21</f>
        <v>62001.539886270097</v>
      </c>
      <c r="Y120" s="85">
        <f t="shared" si="36"/>
        <v>462115.5934454822</v>
      </c>
      <c r="Z120" s="81">
        <f t="shared" si="37"/>
        <v>1038927.2504115117</v>
      </c>
      <c r="AA120" s="81"/>
      <c r="AB120" s="81">
        <f>+'MWh by mo-WgtbyActulCDH&amp;Days'!AB120</f>
        <v>4712926</v>
      </c>
      <c r="AC120" s="308">
        <f t="shared" si="45"/>
        <v>220.44208850542356</v>
      </c>
      <c r="AD120" s="309">
        <f t="shared" si="38"/>
        <v>122.38928787891631</v>
      </c>
      <c r="AE120" s="107">
        <f t="shared" si="39"/>
        <v>1.1194142184047223E-2</v>
      </c>
      <c r="AF120" s="309">
        <f t="shared" si="46"/>
        <v>98.052800626507221</v>
      </c>
      <c r="AG120" s="107">
        <f t="shared" si="40"/>
        <v>8.9682439597415144E-3</v>
      </c>
      <c r="AH120" s="119">
        <f t="shared" si="47"/>
        <v>2.0162386143788735E-2</v>
      </c>
      <c r="AI120" s="122">
        <f t="shared" si="41"/>
        <v>2.0162386143788742E-2</v>
      </c>
      <c r="AJ120" s="87" t="b">
        <f t="shared" si="48"/>
        <v>1</v>
      </c>
      <c r="AK120" s="88">
        <f t="shared" si="54"/>
        <v>2.480776145037656E-3</v>
      </c>
      <c r="AL120" s="312">
        <f>+AC120/'MWh by month-WgtbyCDH&amp;DayLtHrs'!AC120-1</f>
        <v>8.6118423299366142E-2</v>
      </c>
      <c r="AM120" s="89">
        <f t="shared" si="42"/>
        <v>304407.02827232005</v>
      </c>
      <c r="AN120" s="93"/>
      <c r="AO120" s="96">
        <f t="shared" si="63"/>
        <v>64.589817084401503</v>
      </c>
      <c r="AP120" s="92">
        <f t="shared" si="62"/>
        <v>5.9076052211342834E-3</v>
      </c>
      <c r="AR120" s="94">
        <f t="shared" si="43"/>
        <v>2.0162386143788742E-2</v>
      </c>
      <c r="AS120" s="95">
        <v>998316.77050706814</v>
      </c>
      <c r="AU120" s="141">
        <v>220.44208850542356</v>
      </c>
    </row>
    <row r="121" spans="1:47">
      <c r="A121" s="78">
        <v>2014</v>
      </c>
      <c r="B121" s="78">
        <v>9</v>
      </c>
      <c r="C121" s="317">
        <f t="shared" si="52"/>
        <v>277.87653293728147</v>
      </c>
      <c r="D121" s="324">
        <f t="shared" si="64"/>
        <v>0.14132634365008559</v>
      </c>
      <c r="E121" s="321">
        <f>$D121*'MWh Impact Summary'!B$20</f>
        <v>217090.16322525221</v>
      </c>
      <c r="F121" s="319">
        <f>$D121*'MWh Impact Summary'!N$20</f>
        <v>13414.326691351551</v>
      </c>
      <c r="G121" s="319">
        <f>$D121*'MWh Impact Summary'!C$20</f>
        <v>185229.85629419505</v>
      </c>
      <c r="H121" s="319">
        <f>$D121*'MWh Impact Summary'!D$20</f>
        <v>552.86252664152039</v>
      </c>
      <c r="I121" s="319">
        <f>$D121*'MWh Impact Summary'!E$20</f>
        <v>74692.339250700214</v>
      </c>
      <c r="J121" s="104">
        <f t="shared" si="44"/>
        <v>490979.54798814055</v>
      </c>
      <c r="K121" s="298">
        <f t="shared" si="53"/>
        <v>11.683333333333334</v>
      </c>
      <c r="L121" s="300">
        <f t="shared" si="65"/>
        <v>8.2248034729555317E-2</v>
      </c>
      <c r="M121" s="297">
        <f>(30/365)</f>
        <v>8.2191780821917804E-2</v>
      </c>
      <c r="N121" s="304">
        <f>$M121*'MWh Impact Summary'!F$20</f>
        <v>67197.010621017471</v>
      </c>
      <c r="O121" s="304">
        <f>$M121*'MWh Impact Summary'!G$20</f>
        <v>294.73423286654264</v>
      </c>
      <c r="P121" s="304">
        <f>$M121*'MWh Impact Summary'!H$20</f>
        <v>3320.0278657621784</v>
      </c>
      <c r="Q121" s="304">
        <f>$M121*'MWh Impact Summary'!I$20</f>
        <v>920.56173407913263</v>
      </c>
      <c r="R121" s="304">
        <f>$M121*'MWh Impact Summary'!J$20</f>
        <v>18466.932781676242</v>
      </c>
      <c r="S121" s="304">
        <f>$M121*'MWh Impact Summary'!K$20</f>
        <v>0</v>
      </c>
      <c r="T121" s="304">
        <f>$M121*'MWh Impact Summary'!L$20</f>
        <v>0</v>
      </c>
      <c r="U121" s="304">
        <f>$M121*'MWh Impact Summary'!M$20</f>
        <v>0</v>
      </c>
      <c r="V121" s="304">
        <f>$M121*'LED Impact Forecast'!$H$21+$D121*'LED Impact Forecast'!$J$21</f>
        <v>2388.6865337498584</v>
      </c>
      <c r="W121" s="304">
        <f>$M121*'CFL Impact Forecast'!$H$21+$D121*'CFL Impact Forecast'!$J$21</f>
        <v>285770.51427603338</v>
      </c>
      <c r="X121" s="304">
        <f>$M121*'EISA Incand Impact Forecast'!$G$21+$D121*'EISA Incand Impact Forecast'!$I$21</f>
        <v>58106.520177217368</v>
      </c>
      <c r="Y121" s="85">
        <f t="shared" si="36"/>
        <v>436464.98822240217</v>
      </c>
      <c r="Z121" s="81">
        <f t="shared" si="37"/>
        <v>927444.53621054278</v>
      </c>
      <c r="AA121" s="81"/>
      <c r="AB121" s="81">
        <f>+'MWh by mo-WgtbyActulCDH&amp;Days'!AB121</f>
        <v>4718734</v>
      </c>
      <c r="AC121" s="308">
        <f t="shared" si="45"/>
        <v>196.5452039065018</v>
      </c>
      <c r="AD121" s="309">
        <f t="shared" si="38"/>
        <v>104.04899873316455</v>
      </c>
      <c r="AE121" s="107">
        <f t="shared" si="39"/>
        <v>8.9057630870040989E-3</v>
      </c>
      <c r="AF121" s="309">
        <f t="shared" si="46"/>
        <v>92.496205173337202</v>
      </c>
      <c r="AG121" s="107">
        <f t="shared" si="40"/>
        <v>7.916936248787778E-3</v>
      </c>
      <c r="AH121" s="119">
        <f t="shared" si="47"/>
        <v>1.6822699335791877E-2</v>
      </c>
      <c r="AI121" s="122">
        <f t="shared" si="41"/>
        <v>1.6822699335791877E-2</v>
      </c>
      <c r="AJ121" s="87" t="b">
        <f t="shared" si="48"/>
        <v>1</v>
      </c>
      <c r="AK121" s="88">
        <f t="shared" si="54"/>
        <v>2.1069229231523937E-3</v>
      </c>
      <c r="AL121" s="312">
        <f>+AC121/'MWh by month-WgtbyCDH&amp;DayLtHrs'!AC121-1</f>
        <v>3.6032834846541739E-2</v>
      </c>
      <c r="AM121" s="89">
        <f t="shared" si="42"/>
        <v>285770.51427603338</v>
      </c>
      <c r="AN121" s="93"/>
      <c r="AO121" s="96">
        <f t="shared" si="63"/>
        <v>60.560844132352749</v>
      </c>
      <c r="AP121" s="92">
        <f t="shared" si="62"/>
        <v>5.1835244621129314E-3</v>
      </c>
      <c r="AR121" s="94">
        <f t="shared" si="43"/>
        <v>1.6822699335791877E-2</v>
      </c>
      <c r="AS121" s="95">
        <v>942105.70075468137</v>
      </c>
      <c r="AU121" s="141">
        <v>196.5452039065018</v>
      </c>
    </row>
    <row r="122" spans="1:47">
      <c r="A122" s="78">
        <v>2014</v>
      </c>
      <c r="B122" s="78">
        <v>10</v>
      </c>
      <c r="C122" s="317">
        <f t="shared" si="52"/>
        <v>198.89039579254836</v>
      </c>
      <c r="D122" s="324">
        <f t="shared" si="64"/>
        <v>0.10115446643644242</v>
      </c>
      <c r="E122" s="321">
        <f>$D122*'MWh Impact Summary'!B$20</f>
        <v>155382.49318910533</v>
      </c>
      <c r="F122" s="319">
        <f>$D122*'MWh Impact Summary'!N$20</f>
        <v>9601.3172351464309</v>
      </c>
      <c r="G122" s="319">
        <f>$D122*'MWh Impact Summary'!C$20</f>
        <v>132578.44785066624</v>
      </c>
      <c r="H122" s="319">
        <f>$D122*'MWh Impact Summary'!D$20</f>
        <v>395.71188534808289</v>
      </c>
      <c r="I122" s="319">
        <f>$D122*'MWh Impact Summary'!E$20</f>
        <v>53461.113679563801</v>
      </c>
      <c r="J122" s="104">
        <f t="shared" si="44"/>
        <v>351419.08383982989</v>
      </c>
      <c r="K122" s="298">
        <f t="shared" si="53"/>
        <v>12.466666666666667</v>
      </c>
      <c r="L122" s="300">
        <f t="shared" si="65"/>
        <v>8.7762524932535488E-2</v>
      </c>
      <c r="M122" s="297">
        <f t="shared" si="66"/>
        <v>8.4931506849315067E-2</v>
      </c>
      <c r="N122" s="304">
        <f>$M122*'MWh Impact Summary'!F$20</f>
        <v>69436.910975051389</v>
      </c>
      <c r="O122" s="304">
        <f>$M122*'MWh Impact Summary'!G$20</f>
        <v>304.55870729542738</v>
      </c>
      <c r="P122" s="304">
        <f>$M122*'MWh Impact Summary'!H$20</f>
        <v>3430.6954612875843</v>
      </c>
      <c r="Q122" s="304">
        <f>$M122*'MWh Impact Summary'!I$20</f>
        <v>951.24712521510378</v>
      </c>
      <c r="R122" s="304">
        <f>$M122*'MWh Impact Summary'!J$20</f>
        <v>19082.497207732114</v>
      </c>
      <c r="S122" s="304">
        <f>$M122*'MWh Impact Summary'!K$20</f>
        <v>0</v>
      </c>
      <c r="T122" s="304">
        <f>$M122*'MWh Impact Summary'!L$20</f>
        <v>0</v>
      </c>
      <c r="U122" s="304">
        <f>$M122*'MWh Impact Summary'!M$20</f>
        <v>0</v>
      </c>
      <c r="V122" s="304">
        <f>$M122*'LED Impact Forecast'!$H$21+$D122*'LED Impact Forecast'!$J$21</f>
        <v>2394.6708742703677</v>
      </c>
      <c r="W122" s="304">
        <f>$M122*'CFL Impact Forecast'!$H$21+$D122*'CFL Impact Forecast'!$J$21</f>
        <v>274845.66311173828</v>
      </c>
      <c r="X122" s="304">
        <f>$M122*'EISA Incand Impact Forecast'!$G$21+$D122*'EISA Incand Impact Forecast'!$I$21</f>
        <v>55648.094221493287</v>
      </c>
      <c r="Y122" s="85">
        <f t="shared" si="36"/>
        <v>426094.33768408356</v>
      </c>
      <c r="Z122" s="81">
        <f t="shared" si="37"/>
        <v>777513.42152391351</v>
      </c>
      <c r="AA122" s="81"/>
      <c r="AB122" s="81">
        <f>+'MWh by mo-WgtbyActulCDH&amp;Days'!AB122</f>
        <v>4724910</v>
      </c>
      <c r="AC122" s="308">
        <f t="shared" si="45"/>
        <v>164.55623948898784</v>
      </c>
      <c r="AD122" s="309">
        <f t="shared" si="38"/>
        <v>74.375825960670127</v>
      </c>
      <c r="AE122" s="107">
        <f t="shared" si="39"/>
        <v>5.9659753444387797E-3</v>
      </c>
      <c r="AF122" s="309">
        <f t="shared" si="46"/>
        <v>90.1804135283177</v>
      </c>
      <c r="AG122" s="107">
        <f t="shared" si="40"/>
        <v>7.2337230102928638E-3</v>
      </c>
      <c r="AH122" s="119">
        <f t="shared" si="47"/>
        <v>1.3199698354731643E-2</v>
      </c>
      <c r="AI122" s="122">
        <f t="shared" si="41"/>
        <v>1.3199698354731644E-2</v>
      </c>
      <c r="AJ122" s="87" t="b">
        <f t="shared" si="48"/>
        <v>1</v>
      </c>
      <c r="AK122" s="88">
        <f t="shared" si="54"/>
        <v>1.6942590459490918E-3</v>
      </c>
      <c r="AL122" s="312">
        <f>+AC122/'MWh by month-WgtbyCDH&amp;DayLtHrs'!AC122-1</f>
        <v>-4.7003913446519441E-3</v>
      </c>
      <c r="AM122" s="89">
        <f t="shared" si="42"/>
        <v>274845.66311173828</v>
      </c>
      <c r="AN122" s="93"/>
      <c r="AO122" s="96">
        <f t="shared" si="63"/>
        <v>58.169502299882595</v>
      </c>
      <c r="AP122" s="92">
        <f t="shared" si="62"/>
        <v>4.6660028582793519E-3</v>
      </c>
      <c r="AR122" s="94">
        <f t="shared" si="43"/>
        <v>1.3199698354731644E-2</v>
      </c>
      <c r="AS122" s="95">
        <v>756171.3491331538</v>
      </c>
      <c r="AU122" s="141">
        <v>164.55623948898784</v>
      </c>
    </row>
    <row r="123" spans="1:47">
      <c r="A123" s="78">
        <v>2014</v>
      </c>
      <c r="B123" s="78">
        <v>11</v>
      </c>
      <c r="C123" s="317">
        <f t="shared" si="52"/>
        <v>78.117279066674627</v>
      </c>
      <c r="D123" s="324">
        <f t="shared" si="64"/>
        <v>3.9729981188725644E-2</v>
      </c>
      <c r="E123" s="321">
        <f>$D123*'MWh Impact Summary'!B$20</f>
        <v>61028.87740838703</v>
      </c>
      <c r="F123" s="319">
        <f>$D123*'MWh Impact Summary'!N$20</f>
        <v>3771.0658419520687</v>
      </c>
      <c r="G123" s="319">
        <f>$D123*'MWh Impact Summary'!C$20</f>
        <v>52072.235905144124</v>
      </c>
      <c r="H123" s="319">
        <f>$D123*'MWh Impact Summary'!D$20</f>
        <v>155.421963210223</v>
      </c>
      <c r="I123" s="319">
        <f>$D123*'MWh Impact Summary'!E$20</f>
        <v>20997.679248814529</v>
      </c>
      <c r="J123" s="104">
        <f t="shared" si="44"/>
        <v>138025.28036750798</v>
      </c>
      <c r="K123" s="298">
        <f t="shared" si="53"/>
        <v>13.15</v>
      </c>
      <c r="L123" s="300">
        <f>L111</f>
        <v>9.2573037662794788E-2</v>
      </c>
      <c r="M123" s="297">
        <f>(30/365)</f>
        <v>8.2191780821917804E-2</v>
      </c>
      <c r="N123" s="304">
        <f>$M123*'MWh Impact Summary'!F$20</f>
        <v>67197.010621017471</v>
      </c>
      <c r="O123" s="304">
        <f>$M123*'MWh Impact Summary'!G$20</f>
        <v>294.73423286654264</v>
      </c>
      <c r="P123" s="304">
        <f>$M123*'MWh Impact Summary'!H$20</f>
        <v>3320.0278657621784</v>
      </c>
      <c r="Q123" s="304">
        <f>$M123*'MWh Impact Summary'!I$20</f>
        <v>920.56173407913263</v>
      </c>
      <c r="R123" s="304">
        <f>$M123*'MWh Impact Summary'!J$20</f>
        <v>18466.932781676242</v>
      </c>
      <c r="S123" s="304">
        <f>$M123*'MWh Impact Summary'!K$20</f>
        <v>0</v>
      </c>
      <c r="T123" s="304">
        <f>$M123*'MWh Impact Summary'!L$20</f>
        <v>0</v>
      </c>
      <c r="U123" s="304">
        <f>$M123*'MWh Impact Summary'!M$20</f>
        <v>0</v>
      </c>
      <c r="V123" s="304">
        <f>$M123*'LED Impact Forecast'!$H$21+$D123*'LED Impact Forecast'!$J$21</f>
        <v>2221.998723584441</v>
      </c>
      <c r="W123" s="304">
        <f>$M123*'CFL Impact Forecast'!$H$21+$D123*'CFL Impact Forecast'!$J$21</f>
        <v>239478.79381070455</v>
      </c>
      <c r="X123" s="304">
        <f>$M123*'EISA Incand Impact Forecast'!$G$21+$D123*'EISA Incand Impact Forecast'!$I$21</f>
        <v>48157.320297311839</v>
      </c>
      <c r="Y123" s="85">
        <f t="shared" si="36"/>
        <v>380057.38006700238</v>
      </c>
      <c r="Z123" s="81">
        <f t="shared" si="37"/>
        <v>518082.66043451033</v>
      </c>
      <c r="AA123" s="81"/>
      <c r="AB123" s="81">
        <f>+'MWh by mo-WgtbyActulCDH&amp;Days'!AB123</f>
        <v>4731887</v>
      </c>
      <c r="AC123" s="308">
        <f t="shared" si="45"/>
        <v>109.48753857277453</v>
      </c>
      <c r="AD123" s="309">
        <f t="shared" si="38"/>
        <v>29.169183534498597</v>
      </c>
      <c r="AE123" s="107">
        <f t="shared" si="39"/>
        <v>2.2181888619390564E-3</v>
      </c>
      <c r="AF123" s="309">
        <f t="shared" si="46"/>
        <v>80.318355038275925</v>
      </c>
      <c r="AG123" s="107">
        <f t="shared" si="40"/>
        <v>6.1078596987282074E-3</v>
      </c>
      <c r="AH123" s="119">
        <f t="shared" si="47"/>
        <v>8.3260485606672634E-3</v>
      </c>
      <c r="AI123" s="122">
        <f t="shared" si="41"/>
        <v>8.3260485606672634E-3</v>
      </c>
      <c r="AJ123" s="87" t="b">
        <f t="shared" si="48"/>
        <v>1</v>
      </c>
      <c r="AK123" s="88">
        <f t="shared" si="54"/>
        <v>1.1163438600756458E-3</v>
      </c>
      <c r="AL123" s="312">
        <f>+AC123/'MWh by month-WgtbyCDH&amp;DayLtHrs'!AC123-1</f>
        <v>-0.1220221417573214</v>
      </c>
      <c r="AM123" s="89">
        <f t="shared" si="42"/>
        <v>239478.79381070455</v>
      </c>
      <c r="AN123" s="93"/>
      <c r="AO123" s="96">
        <f t="shared" si="63"/>
        <v>50.609575801515241</v>
      </c>
      <c r="AP123" s="92">
        <f t="shared" si="62"/>
        <v>3.8486369430810068E-3</v>
      </c>
      <c r="AR123" s="94">
        <f t="shared" si="43"/>
        <v>8.3260485606672634E-3</v>
      </c>
      <c r="AS123" s="95">
        <v>579143.12720011803</v>
      </c>
      <c r="AU123" s="141">
        <v>109.48753857277453</v>
      </c>
    </row>
    <row r="124" spans="1:47">
      <c r="A124" s="78">
        <v>2014</v>
      </c>
      <c r="B124" s="78">
        <v>12</v>
      </c>
      <c r="C124" s="317">
        <f t="shared" si="52"/>
        <v>42.633806123140985</v>
      </c>
      <c r="D124" s="324">
        <f t="shared" si="64"/>
        <v>2.1683298951445065E-2</v>
      </c>
      <c r="E124" s="321">
        <f>$D124*'MWh Impact Summary'!B$20</f>
        <v>33307.526304408842</v>
      </c>
      <c r="F124" s="319">
        <f>$D124*'MWh Impact Summary'!N$20</f>
        <v>2058.1219917575395</v>
      </c>
      <c r="G124" s="319">
        <f>$D124*'MWh Impact Summary'!C$20</f>
        <v>28419.290027799481</v>
      </c>
      <c r="H124" s="319">
        <f>$D124*'MWh Impact Summary'!D$20</f>
        <v>84.824125032913415</v>
      </c>
      <c r="I124" s="319">
        <f>$D124*'MWh Impact Summary'!E$20</f>
        <v>11459.833174242784</v>
      </c>
      <c r="J124" s="104">
        <f t="shared" si="44"/>
        <v>75329.595623241563</v>
      </c>
      <c r="K124" s="298">
        <f t="shared" si="53"/>
        <v>13.483333333333333</v>
      </c>
      <c r="L124" s="300">
        <f t="shared" si="65"/>
        <v>9.491962923853102E-2</v>
      </c>
      <c r="M124" s="297">
        <f t="shared" si="66"/>
        <v>8.4931506849315067E-2</v>
      </c>
      <c r="N124" s="304">
        <f>$M124*'MWh Impact Summary'!F$20</f>
        <v>69436.910975051389</v>
      </c>
      <c r="O124" s="304">
        <f>$M124*'MWh Impact Summary'!G$20</f>
        <v>304.55870729542738</v>
      </c>
      <c r="P124" s="304">
        <f>$M124*'MWh Impact Summary'!H$20</f>
        <v>3430.6954612875843</v>
      </c>
      <c r="Q124" s="304">
        <f>$M124*'MWh Impact Summary'!I$20</f>
        <v>951.24712521510378</v>
      </c>
      <c r="R124" s="304">
        <f>$M124*'MWh Impact Summary'!J$20</f>
        <v>19082.497207732114</v>
      </c>
      <c r="S124" s="304">
        <f>$M124*'MWh Impact Summary'!K$20</f>
        <v>0</v>
      </c>
      <c r="T124" s="304">
        <f>$M124*'MWh Impact Summary'!L$20</f>
        <v>0</v>
      </c>
      <c r="U124" s="304">
        <f>$M124*'MWh Impact Summary'!M$20</f>
        <v>0</v>
      </c>
      <c r="V124" s="304">
        <f>$M124*'LED Impact Forecast'!$H$21+$D124*'LED Impact Forecast'!$J$21</f>
        <v>2264.283579307898</v>
      </c>
      <c r="W124" s="304">
        <f>$M124*'CFL Impact Forecast'!$H$21+$D124*'CFL Impact Forecast'!$J$21</f>
        <v>238635.14355039079</v>
      </c>
      <c r="X124" s="304">
        <f>$M124*'EISA Incand Impact Forecast'!$G$21+$D124*'EISA Incand Impact Forecast'!$I$21</f>
        <v>47865.5859619244</v>
      </c>
      <c r="Y124" s="85">
        <f t="shared" si="36"/>
        <v>381970.9225682047</v>
      </c>
      <c r="Z124" s="81">
        <f t="shared" si="37"/>
        <v>457300.51819144626</v>
      </c>
      <c r="AA124" s="81">
        <f>SUM(Z113:Z124)</f>
        <v>8384948.4409866091</v>
      </c>
      <c r="AB124" s="81">
        <f>+'MWh by mo-WgtbyActulCDH&amp;Days'!AB124</f>
        <v>4739276</v>
      </c>
      <c r="AC124" s="308">
        <f t="shared" si="45"/>
        <v>96.491640957700341</v>
      </c>
      <c r="AD124" s="309">
        <f t="shared" si="38"/>
        <v>15.894747557061788</v>
      </c>
      <c r="AE124" s="107">
        <f t="shared" si="39"/>
        <v>1.1788440709810967E-3</v>
      </c>
      <c r="AF124" s="309">
        <f t="shared" si="46"/>
        <v>80.596893400638564</v>
      </c>
      <c r="AG124" s="107">
        <f t="shared" si="40"/>
        <v>5.97751990610422E-3</v>
      </c>
      <c r="AH124" s="119">
        <f t="shared" si="47"/>
        <v>7.156363977085317E-3</v>
      </c>
      <c r="AI124" s="122">
        <f t="shared" si="41"/>
        <v>7.1563639770853161E-3</v>
      </c>
      <c r="AJ124" s="87" t="b">
        <f t="shared" si="48"/>
        <v>1</v>
      </c>
      <c r="AK124" s="88">
        <f t="shared" si="54"/>
        <v>9.7911298162572762E-4</v>
      </c>
      <c r="AL124" s="312">
        <f>+AC124/'MWh by month-WgtbyCDH&amp;DayLtHrs'!AC124-1</f>
        <v>-0.15041917362753199</v>
      </c>
      <c r="AM124" s="89">
        <f t="shared" si="42"/>
        <v>238635.14355039079</v>
      </c>
      <c r="AN124" s="90">
        <f>SUM(AM113:AM124)</f>
        <v>3149052.5391629008</v>
      </c>
      <c r="AO124" s="96">
        <f t="shared" si="63"/>
        <v>50.352657990459043</v>
      </c>
      <c r="AP124" s="92">
        <f t="shared" si="62"/>
        <v>3.7344369337794104E-3</v>
      </c>
      <c r="AR124" s="94">
        <f t="shared" si="43"/>
        <v>7.1563639770853161E-3</v>
      </c>
      <c r="AS124" s="95">
        <v>475130.71205991617</v>
      </c>
      <c r="AU124" s="141">
        <v>96.491640957700341</v>
      </c>
    </row>
    <row r="125" spans="1:47">
      <c r="A125" s="78">
        <v>2015</v>
      </c>
      <c r="B125" s="78">
        <v>1</v>
      </c>
      <c r="C125" s="317">
        <f t="shared" si="52"/>
        <v>26.112829868525239</v>
      </c>
      <c r="D125" s="324">
        <f t="shared" si="64"/>
        <v>1.3280829182176284E-2</v>
      </c>
      <c r="E125" s="321">
        <f>$D125*'MWh Impact Summary'!B$21</f>
        <v>23985.466685329604</v>
      </c>
      <c r="F125" s="319">
        <f>$D125*'MWh Impact Summary'!N$21</f>
        <v>1826.9167860960506</v>
      </c>
      <c r="G125" s="319">
        <f>$D125*'MWh Impact Summary'!C$21</f>
        <v>19878.765482832459</v>
      </c>
      <c r="H125" s="319">
        <f>$D125*'MWh Impact Summary'!D$21</f>
        <v>64.754740061430709</v>
      </c>
      <c r="I125" s="319">
        <f>$D125*'MWh Impact Summary'!E$21</f>
        <v>7898.618877553411</v>
      </c>
      <c r="J125" s="104">
        <f t="shared" si="44"/>
        <v>53654.522571872949</v>
      </c>
      <c r="K125" s="298">
        <f t="shared" si="53"/>
        <v>13.3</v>
      </c>
      <c r="L125" s="300">
        <f t="shared" si="65"/>
        <v>9.3629003871876101E-2</v>
      </c>
      <c r="M125" s="297">
        <f>(31/365)</f>
        <v>8.4931506849315067E-2</v>
      </c>
      <c r="N125" s="304">
        <f>$M125*'MWh Impact Summary'!F$21</f>
        <v>81543.66993304163</v>
      </c>
      <c r="O125" s="304">
        <f>$M125*'MWh Impact Summary'!G$21</f>
        <v>720.92781252686359</v>
      </c>
      <c r="P125" s="304">
        <f>$M125*'MWh Impact Summary'!H$21</f>
        <v>4231.0324141611218</v>
      </c>
      <c r="Q125" s="304">
        <f>$M125*'MWh Impact Summary'!I$21</f>
        <v>1043.8450394124277</v>
      </c>
      <c r="R125" s="304">
        <f>$M125*'MWh Impact Summary'!J$21</f>
        <v>22934.702028285679</v>
      </c>
      <c r="S125" s="304">
        <f>$M125*'MWh Impact Summary'!K$21</f>
        <v>3389.0551970478264</v>
      </c>
      <c r="T125" s="304">
        <f>$M125*'MWh Impact Summary'!L$21</f>
        <v>1274.0601707877818</v>
      </c>
      <c r="U125" s="304">
        <f>$M125*'MWh Impact Summary'!M$21</f>
        <v>3736.4736000662137</v>
      </c>
      <c r="V125" s="304">
        <f>$M125*'LED Impact Forecast'!$H$22+$D125*'LED Impact Forecast'!$J$22</f>
        <v>5158.8837586842774</v>
      </c>
      <c r="W125" s="304">
        <f>$M125*'CFL Impact Forecast'!$H$22+$D125*'CFL Impact Forecast'!$J$22</f>
        <v>252386.70783925266</v>
      </c>
      <c r="X125" s="304">
        <f>$M125*'EISA Incand Impact Forecast'!$G$22+$D125*'EISA Incand Impact Forecast'!$I$22</f>
        <v>70202.424541672677</v>
      </c>
      <c r="Y125" s="85">
        <f t="shared" si="36"/>
        <v>446621.78233493917</v>
      </c>
      <c r="Z125" s="81">
        <f t="shared" si="37"/>
        <v>500276.30490681215</v>
      </c>
      <c r="AA125" s="81"/>
      <c r="AB125" s="81">
        <f>+'MWh by mo-WgtbyActulCDH&amp;Days'!AB125</f>
        <v>4746212</v>
      </c>
      <c r="AC125" s="308">
        <f t="shared" si="45"/>
        <v>105.40538536980904</v>
      </c>
      <c r="AD125" s="309">
        <f t="shared" si="38"/>
        <v>11.304704166580201</v>
      </c>
      <c r="AE125" s="107">
        <f t="shared" si="39"/>
        <v>8.4997775688572935E-4</v>
      </c>
      <c r="AF125" s="309">
        <f t="shared" si="46"/>
        <v>94.100681203228845</v>
      </c>
      <c r="AG125" s="107">
        <f t="shared" si="40"/>
        <v>7.0752391882126951E-3</v>
      </c>
      <c r="AH125" s="119">
        <f t="shared" si="47"/>
        <v>7.9252169450984237E-3</v>
      </c>
      <c r="AI125" s="122">
        <f t="shared" si="41"/>
        <v>7.9252169450984237E-3</v>
      </c>
      <c r="AJ125" s="87" t="b">
        <f t="shared" si="48"/>
        <v>1</v>
      </c>
      <c r="AK125" s="88">
        <f t="shared" si="54"/>
        <v>1.1215948732824265E-3</v>
      </c>
      <c r="AL125" s="312">
        <f>+AC125/'MWh by month-WgtbyCDH&amp;DayLtHrs'!AC125-1</f>
        <v>-0.15535503816070451</v>
      </c>
      <c r="AM125" s="89">
        <f t="shared" si="42"/>
        <v>252386.70783925266</v>
      </c>
      <c r="AN125" s="93"/>
      <c r="AO125" s="96">
        <f t="shared" si="63"/>
        <v>53.176450575585889</v>
      </c>
      <c r="AP125" s="92">
        <f t="shared" si="62"/>
        <v>3.9982293665854051E-3</v>
      </c>
      <c r="AR125" s="94">
        <f t="shared" si="43"/>
        <v>7.9252169450984237E-3</v>
      </c>
      <c r="AS125" s="95">
        <v>536870.30337730492</v>
      </c>
      <c r="AU125" s="141">
        <v>105.40538536980904</v>
      </c>
    </row>
    <row r="126" spans="1:47">
      <c r="A126" s="78">
        <v>2015</v>
      </c>
      <c r="B126" s="78">
        <v>2</v>
      </c>
      <c r="C126" s="317">
        <f t="shared" si="52"/>
        <v>35.042184420393127</v>
      </c>
      <c r="D126" s="324">
        <f t="shared" si="64"/>
        <v>1.7822245532205266E-2</v>
      </c>
      <c r="E126" s="321">
        <f>$D126*'MWh Impact Summary'!B$21</f>
        <v>32187.363500177551</v>
      </c>
      <c r="F126" s="319">
        <f>$D126*'MWh Impact Summary'!N$21</f>
        <v>2451.6360448644582</v>
      </c>
      <c r="G126" s="319">
        <f>$D126*'MWh Impact Summary'!C$21</f>
        <v>26676.364438723373</v>
      </c>
      <c r="H126" s="319">
        <f>$D126*'MWh Impact Summary'!D$21</f>
        <v>86.897802909609638</v>
      </c>
      <c r="I126" s="319">
        <f>$D126*'MWh Impact Summary'!E$21</f>
        <v>10599.573495756744</v>
      </c>
      <c r="J126" s="104">
        <f t="shared" si="44"/>
        <v>72001.835282431741</v>
      </c>
      <c r="K126" s="298">
        <f t="shared" si="53"/>
        <v>12.733333333333333</v>
      </c>
      <c r="L126" s="300">
        <f t="shared" si="65"/>
        <v>8.9639798193124468E-2</v>
      </c>
      <c r="M126" s="297">
        <f>(28/365)</f>
        <v>7.6712328767123292E-2</v>
      </c>
      <c r="N126" s="304">
        <f>$M126*'MWh Impact Summary'!F$21</f>
        <v>73652.347036295672</v>
      </c>
      <c r="O126" s="304">
        <f>$M126*'MWh Impact Summary'!G$21</f>
        <v>651.16060486297363</v>
      </c>
      <c r="P126" s="304">
        <f>$M126*'MWh Impact Summary'!H$21</f>
        <v>3821.5776644035941</v>
      </c>
      <c r="Q126" s="304">
        <f>$M126*'MWh Impact Summary'!I$21</f>
        <v>942.82777753380572</v>
      </c>
      <c r="R126" s="304">
        <f>$M126*'MWh Impact Summary'!J$21</f>
        <v>20715.214735225774</v>
      </c>
      <c r="S126" s="304">
        <f>$M126*'MWh Impact Summary'!K$21</f>
        <v>3061.082113462553</v>
      </c>
      <c r="T126" s="304">
        <f>$M126*'MWh Impact Summary'!L$21</f>
        <v>1150.764025227674</v>
      </c>
      <c r="U126" s="304">
        <f>$M126*'MWh Impact Summary'!M$21</f>
        <v>3374.8793807049674</v>
      </c>
      <c r="V126" s="304">
        <f>$M126*'LED Impact Forecast'!$H$22+$D126*'LED Impact Forecast'!$J$22</f>
        <v>4685.8027847320182</v>
      </c>
      <c r="W126" s="304">
        <f>$M126*'CFL Impact Forecast'!$H$22+$D126*'CFL Impact Forecast'!$J$22</f>
        <v>230821.45005331578</v>
      </c>
      <c r="X126" s="304">
        <f>$M126*'EISA Incand Impact Forecast'!$G$22+$D126*'EISA Incand Impact Forecast'!$I$22</f>
        <v>64264.389442121777</v>
      </c>
      <c r="Y126" s="85">
        <f t="shared" si="36"/>
        <v>407141.4956178866</v>
      </c>
      <c r="Z126" s="81">
        <f t="shared" si="37"/>
        <v>479143.33090031834</v>
      </c>
      <c r="AA126" s="81"/>
      <c r="AB126" s="81">
        <f>+'MWh by mo-WgtbyActulCDH&amp;Days'!AB126</f>
        <v>4753351</v>
      </c>
      <c r="AC126" s="308">
        <f t="shared" si="45"/>
        <v>100.80116761844819</v>
      </c>
      <c r="AD126" s="309">
        <f t="shared" si="38"/>
        <v>15.14759488252219</v>
      </c>
      <c r="AE126" s="107">
        <f t="shared" si="39"/>
        <v>1.1896016923446746E-3</v>
      </c>
      <c r="AF126" s="309">
        <f t="shared" si="46"/>
        <v>85.653572735926005</v>
      </c>
      <c r="AG126" s="107">
        <f t="shared" si="40"/>
        <v>6.7267203719313627E-3</v>
      </c>
      <c r="AH126" s="119">
        <f t="shared" si="47"/>
        <v>7.9163220642760376E-3</v>
      </c>
      <c r="AI126" s="122">
        <f t="shared" si="41"/>
        <v>7.9163220642760358E-3</v>
      </c>
      <c r="AJ126" s="87" t="b">
        <f t="shared" si="48"/>
        <v>1</v>
      </c>
      <c r="AK126" s="88">
        <f t="shared" si="54"/>
        <v>1.1145812178025268E-3</v>
      </c>
      <c r="AL126" s="312">
        <f>+AC126/'MWh by month-WgtbyCDH&amp;DayLtHrs'!AC126-1</f>
        <v>-0.18681776463816224</v>
      </c>
      <c r="AM126" s="89">
        <f t="shared" si="42"/>
        <v>230821.45005331578</v>
      </c>
      <c r="AN126" s="93"/>
      <c r="AO126" s="96">
        <f t="shared" si="63"/>
        <v>48.559731871960601</v>
      </c>
      <c r="AP126" s="92">
        <f t="shared" si="62"/>
        <v>3.8135915082691571E-3</v>
      </c>
      <c r="AR126" s="94">
        <f t="shared" si="43"/>
        <v>7.9163220642760358E-3</v>
      </c>
      <c r="AS126" s="95">
        <v>498744.60648130899</v>
      </c>
      <c r="AU126" s="141">
        <v>100.80116761844819</v>
      </c>
    </row>
    <row r="127" spans="1:47">
      <c r="A127" s="78">
        <v>2015</v>
      </c>
      <c r="B127" s="78">
        <v>3</v>
      </c>
      <c r="C127" s="317">
        <f t="shared" si="52"/>
        <v>64.582270600115152</v>
      </c>
      <c r="D127" s="324">
        <f t="shared" si="64"/>
        <v>3.2846156787895278E-2</v>
      </c>
      <c r="E127" s="321">
        <f>$D127*'MWh Impact Summary'!B$21</f>
        <v>59320.874364869735</v>
      </c>
      <c r="F127" s="319">
        <f>$D127*'MWh Impact Summary'!N$21</f>
        <v>4518.3319784793321</v>
      </c>
      <c r="G127" s="319">
        <f>$D127*'MWh Impact Summary'!C$21</f>
        <v>49164.177841787474</v>
      </c>
      <c r="H127" s="319">
        <f>$D127*'MWh Impact Summary'!D$21</f>
        <v>160.15147214389677</v>
      </c>
      <c r="I127" s="319">
        <f>$D127*'MWh Impact Summary'!E$21</f>
        <v>19534.870187784112</v>
      </c>
      <c r="J127" s="104">
        <f t="shared" si="44"/>
        <v>132698.40584506455</v>
      </c>
      <c r="K127" s="298">
        <f t="shared" si="53"/>
        <v>12</v>
      </c>
      <c r="L127" s="300">
        <f t="shared" si="65"/>
        <v>8.4477296726504739E-2</v>
      </c>
      <c r="M127" s="297">
        <f t="shared" ref="M127:M136" si="67">(31/365)</f>
        <v>8.4931506849315067E-2</v>
      </c>
      <c r="N127" s="304">
        <f>$M127*'MWh Impact Summary'!F$21</f>
        <v>81543.66993304163</v>
      </c>
      <c r="O127" s="304">
        <f>$M127*'MWh Impact Summary'!G$21</f>
        <v>720.92781252686359</v>
      </c>
      <c r="P127" s="304">
        <f>$M127*'MWh Impact Summary'!H$21</f>
        <v>4231.0324141611218</v>
      </c>
      <c r="Q127" s="304">
        <f>$M127*'MWh Impact Summary'!I$21</f>
        <v>1043.8450394124277</v>
      </c>
      <c r="R127" s="304">
        <f>$M127*'MWh Impact Summary'!J$21</f>
        <v>22934.702028285679</v>
      </c>
      <c r="S127" s="304">
        <f>$M127*'MWh Impact Summary'!K$21</f>
        <v>3389.0551970478264</v>
      </c>
      <c r="T127" s="304">
        <f>$M127*'MWh Impact Summary'!L$21</f>
        <v>1274.0601707877818</v>
      </c>
      <c r="U127" s="304">
        <f>$M127*'MWh Impact Summary'!M$21</f>
        <v>3736.4736000662137</v>
      </c>
      <c r="V127" s="304">
        <f>$M127*'LED Impact Forecast'!$H$22+$D127*'LED Impact Forecast'!$J$22</f>
        <v>5246.7460065396936</v>
      </c>
      <c r="W127" s="304">
        <f>$M127*'CFL Impact Forecast'!$H$22+$D127*'CFL Impact Forecast'!$J$22</f>
        <v>261987.82142181735</v>
      </c>
      <c r="X127" s="304">
        <f>$M127*'EISA Incand Impact Forecast'!$G$22+$D127*'EISA Incand Impact Forecast'!$I$22</f>
        <v>73075.939470574187</v>
      </c>
      <c r="Y127" s="85">
        <f t="shared" si="36"/>
        <v>459184.27309426077</v>
      </c>
      <c r="Z127" s="81">
        <f t="shared" si="37"/>
        <v>591882.67893932527</v>
      </c>
      <c r="AA127" s="81"/>
      <c r="AB127" s="81">
        <f>+'MWh by mo-WgtbyActulCDH&amp;Days'!AB127</f>
        <v>4761186</v>
      </c>
      <c r="AC127" s="308">
        <f t="shared" si="45"/>
        <v>124.31412655151998</v>
      </c>
      <c r="AD127" s="309">
        <f t="shared" si="38"/>
        <v>27.870872056891823</v>
      </c>
      <c r="AE127" s="107">
        <f t="shared" si="39"/>
        <v>2.3225726714076519E-3</v>
      </c>
      <c r="AF127" s="309">
        <f t="shared" si="46"/>
        <v>96.443254494628178</v>
      </c>
      <c r="AG127" s="107">
        <f t="shared" si="40"/>
        <v>8.0369378745523481E-3</v>
      </c>
      <c r="AH127" s="119">
        <f t="shared" si="47"/>
        <v>1.035951054596E-2</v>
      </c>
      <c r="AI127" s="122">
        <f t="shared" si="41"/>
        <v>1.0359510545959998E-2</v>
      </c>
      <c r="AJ127" s="87" t="b">
        <f t="shared" si="48"/>
        <v>1</v>
      </c>
      <c r="AK127" s="88">
        <f t="shared" si="54"/>
        <v>1.4440762932212865E-3</v>
      </c>
      <c r="AL127" s="312">
        <f>+AC127/'MWh by month-WgtbyCDH&amp;DayLtHrs'!AC127-1</f>
        <v>-4.8722877668886833E-2</v>
      </c>
      <c r="AM127" s="89">
        <f t="shared" si="42"/>
        <v>261987.82142181735</v>
      </c>
      <c r="AN127" s="93"/>
      <c r="AO127" s="96">
        <f t="shared" si="63"/>
        <v>55.025748084997595</v>
      </c>
      <c r="AP127" s="92">
        <f t="shared" si="62"/>
        <v>4.5854790070831326E-3</v>
      </c>
      <c r="AR127" s="94">
        <f t="shared" si="43"/>
        <v>1.0359510545959998E-2</v>
      </c>
      <c r="AS127" s="95">
        <v>603983.5175966213</v>
      </c>
      <c r="AU127" s="141">
        <v>124.31412655151998</v>
      </c>
    </row>
    <row r="128" spans="1:47">
      <c r="A128" s="78">
        <v>2015</v>
      </c>
      <c r="B128" s="78">
        <v>4</v>
      </c>
      <c r="C128" s="317">
        <f t="shared" si="52"/>
        <v>114.03392869270741</v>
      </c>
      <c r="D128" s="324">
        <f t="shared" si="64"/>
        <v>5.7996974497419709E-2</v>
      </c>
      <c r="E128" s="321">
        <f>$D128*'MWh Impact Summary'!B$21</f>
        <v>104743.79879267589</v>
      </c>
      <c r="F128" s="319">
        <f>$D128*'MWh Impact Summary'!N$21</f>
        <v>7978.0896809003334</v>
      </c>
      <c r="G128" s="319">
        <f>$D128*'MWh Impact Summary'!C$21</f>
        <v>86809.960352121489</v>
      </c>
      <c r="H128" s="319">
        <f>$D128*'MWh Impact Summary'!D$21</f>
        <v>282.78196763271865</v>
      </c>
      <c r="I128" s="319">
        <f>$D128*'MWh Impact Summary'!E$21</f>
        <v>34493.026852652918</v>
      </c>
      <c r="J128" s="104">
        <f t="shared" si="44"/>
        <v>234307.65764598336</v>
      </c>
      <c r="K128" s="298">
        <f t="shared" si="53"/>
        <v>11.2</v>
      </c>
      <c r="L128" s="300">
        <f t="shared" si="65"/>
        <v>7.8845476944737758E-2</v>
      </c>
      <c r="M128" s="297">
        <f>(30/365)</f>
        <v>8.2191780821917804E-2</v>
      </c>
      <c r="N128" s="304">
        <f>$M128*'MWh Impact Summary'!F$21</f>
        <v>78913.22896745964</v>
      </c>
      <c r="O128" s="304">
        <f>$M128*'MWh Impact Summary'!G$21</f>
        <v>697.67207663890019</v>
      </c>
      <c r="P128" s="304">
        <f>$M128*'MWh Impact Summary'!H$21</f>
        <v>4094.5474975752791</v>
      </c>
      <c r="Q128" s="304">
        <f>$M128*'MWh Impact Summary'!I$21</f>
        <v>1010.1726187862204</v>
      </c>
      <c r="R128" s="304">
        <f>$M128*'MWh Impact Summary'!J$21</f>
        <v>22194.872930599042</v>
      </c>
      <c r="S128" s="304">
        <f>$M128*'MWh Impact Summary'!K$21</f>
        <v>3279.7308358527348</v>
      </c>
      <c r="T128" s="304">
        <f>$M128*'MWh Impact Summary'!L$21</f>
        <v>1232.9614556010793</v>
      </c>
      <c r="U128" s="304">
        <f>$M128*'MWh Impact Summary'!M$21</f>
        <v>3615.942193612465</v>
      </c>
      <c r="V128" s="304">
        <f>$M128*'LED Impact Forecast'!$H$22+$D128*'LED Impact Forecast'!$J$22</f>
        <v>5195.1993587952902</v>
      </c>
      <c r="W128" s="304">
        <f>$M128*'CFL Impact Forecast'!$H$22+$D128*'CFL Impact Forecast'!$J$22</f>
        <v>266398.57616956666</v>
      </c>
      <c r="X128" s="304">
        <f>$M128*'EISA Incand Impact Forecast'!$G$22+$D128*'EISA Incand Impact Forecast'!$I$22</f>
        <v>74568.108381398823</v>
      </c>
      <c r="Y128" s="85">
        <f t="shared" si="36"/>
        <v>461201.01248588617</v>
      </c>
      <c r="Z128" s="81">
        <f t="shared" si="37"/>
        <v>695508.6701318695</v>
      </c>
      <c r="AA128" s="81"/>
      <c r="AB128" s="81">
        <f>+'MWh by mo-WgtbyActulCDH&amp;Days'!AB128</f>
        <v>4765589</v>
      </c>
      <c r="AC128" s="308">
        <f t="shared" si="45"/>
        <v>145.94390538753333</v>
      </c>
      <c r="AD128" s="309">
        <f t="shared" si="38"/>
        <v>49.166568423333061</v>
      </c>
      <c r="AE128" s="107">
        <f t="shared" si="39"/>
        <v>4.3898721806547381E-3</v>
      </c>
      <c r="AF128" s="309">
        <f t="shared" si="46"/>
        <v>96.777336964200259</v>
      </c>
      <c r="AG128" s="107">
        <f t="shared" si="40"/>
        <v>8.640833657517881E-3</v>
      </c>
      <c r="AH128" s="119">
        <f t="shared" si="47"/>
        <v>1.3030705838172618E-2</v>
      </c>
      <c r="AI128" s="122">
        <f t="shared" si="41"/>
        <v>1.303070583817262E-2</v>
      </c>
      <c r="AJ128" s="87" t="b">
        <f t="shared" si="48"/>
        <v>1</v>
      </c>
      <c r="AK128" s="88">
        <f t="shared" si="54"/>
        <v>1.7894744353674948E-3</v>
      </c>
      <c r="AL128" s="312">
        <f>+AC128/'MWh by month-WgtbyCDH&amp;DayLtHrs'!AC128-1</f>
        <v>2.7972461295404649E-3</v>
      </c>
      <c r="AM128" s="89">
        <f t="shared" si="42"/>
        <v>266398.57616956666</v>
      </c>
      <c r="AN128" s="93"/>
      <c r="AO128" s="96">
        <f t="shared" si="63"/>
        <v>55.900451375384378</v>
      </c>
      <c r="AP128" s="92">
        <f t="shared" si="62"/>
        <v>4.9911117299450344E-3</v>
      </c>
      <c r="AR128" s="94">
        <f t="shared" si="43"/>
        <v>1.303070583817262E-2</v>
      </c>
      <c r="AS128" s="95">
        <v>709662.42917555431</v>
      </c>
      <c r="AU128" s="141">
        <v>145.94390538753333</v>
      </c>
    </row>
    <row r="129" spans="1:47">
      <c r="A129" s="78">
        <v>2015</v>
      </c>
      <c r="B129" s="78">
        <v>5</v>
      </c>
      <c r="C129" s="317">
        <f t="shared" si="52"/>
        <v>208.47875842628665</v>
      </c>
      <c r="D129" s="324">
        <f t="shared" si="64"/>
        <v>0.10603105035770212</v>
      </c>
      <c r="E129" s="321">
        <f>$D129*'MWh Impact Summary'!B$21</f>
        <v>191494.3857103675</v>
      </c>
      <c r="F129" s="319">
        <f>$D129*'MWh Impact Summary'!N$21</f>
        <v>14585.678581413626</v>
      </c>
      <c r="G129" s="319">
        <f>$D129*'MWh Impact Summary'!C$21</f>
        <v>158707.43874847179</v>
      </c>
      <c r="H129" s="319">
        <f>$D129*'MWh Impact Summary'!D$21</f>
        <v>516.98677922671391</v>
      </c>
      <c r="I129" s="319">
        <f>$D129*'MWh Impact Summary'!E$21</f>
        <v>63060.735476226058</v>
      </c>
      <c r="J129" s="104">
        <f t="shared" si="44"/>
        <v>428365.22529570572</v>
      </c>
      <c r="K129" s="298">
        <f t="shared" si="53"/>
        <v>10.533333333333333</v>
      </c>
      <c r="L129" s="300">
        <f t="shared" si="65"/>
        <v>7.4152293793265281E-2</v>
      </c>
      <c r="M129" s="297">
        <f t="shared" si="67"/>
        <v>8.4931506849315067E-2</v>
      </c>
      <c r="N129" s="304">
        <f>$M129*'MWh Impact Summary'!F$21</f>
        <v>81543.66993304163</v>
      </c>
      <c r="O129" s="304">
        <f>$M129*'MWh Impact Summary'!G$21</f>
        <v>720.92781252686359</v>
      </c>
      <c r="P129" s="304">
        <f>$M129*'MWh Impact Summary'!H$21</f>
        <v>4231.0324141611218</v>
      </c>
      <c r="Q129" s="304">
        <f>$M129*'MWh Impact Summary'!I$21</f>
        <v>1043.8450394124277</v>
      </c>
      <c r="R129" s="304">
        <f>$M129*'MWh Impact Summary'!J$21</f>
        <v>22934.702028285679</v>
      </c>
      <c r="S129" s="304">
        <f>$M129*'MWh Impact Summary'!K$21</f>
        <v>3389.0551970478264</v>
      </c>
      <c r="T129" s="304">
        <f>$M129*'MWh Impact Summary'!L$21</f>
        <v>1274.0601707877818</v>
      </c>
      <c r="U129" s="304">
        <f>$M129*'MWh Impact Summary'!M$21</f>
        <v>3736.4736000662137</v>
      </c>
      <c r="V129" s="304">
        <f>$M129*'LED Impact Forecast'!$H$22+$D129*'LED Impact Forecast'!$J$22</f>
        <v>5575.3982728182864</v>
      </c>
      <c r="W129" s="304">
        <f>$M129*'CFL Impact Forecast'!$H$22+$D129*'CFL Impact Forecast'!$J$22</f>
        <v>297901.17231742083</v>
      </c>
      <c r="X129" s="304">
        <f>$M129*'EISA Incand Impact Forecast'!$G$22+$D129*'EISA Incand Impact Forecast'!$I$22</f>
        <v>83824.437450308353</v>
      </c>
      <c r="Y129" s="85">
        <f t="shared" si="36"/>
        <v>506174.77423587698</v>
      </c>
      <c r="Z129" s="81">
        <f t="shared" si="37"/>
        <v>934539.9995315827</v>
      </c>
      <c r="AA129" s="81"/>
      <c r="AB129" s="81">
        <f>+'MWh by mo-WgtbyActulCDH&amp;Days'!AB129</f>
        <v>4767866</v>
      </c>
      <c r="AC129" s="308">
        <f t="shared" si="45"/>
        <v>196.00802529508647</v>
      </c>
      <c r="AD129" s="309">
        <f t="shared" si="38"/>
        <v>89.844224920688987</v>
      </c>
      <c r="AE129" s="107">
        <f t="shared" si="39"/>
        <v>8.5295150241160422E-3</v>
      </c>
      <c r="AF129" s="309">
        <f t="shared" si="46"/>
        <v>106.16380037439747</v>
      </c>
      <c r="AG129" s="107">
        <f t="shared" si="40"/>
        <v>1.0078841807695962E-2</v>
      </c>
      <c r="AH129" s="119">
        <f t="shared" si="47"/>
        <v>1.8608356831812004E-2</v>
      </c>
      <c r="AI129" s="122">
        <f t="shared" si="41"/>
        <v>1.8608356831812008E-2</v>
      </c>
      <c r="AJ129" s="87" t="b">
        <f t="shared" si="48"/>
        <v>1</v>
      </c>
      <c r="AK129" s="88">
        <f t="shared" si="54"/>
        <v>2.5144961060239585E-3</v>
      </c>
      <c r="AL129" s="312">
        <f>+AC129/'MWh by month-WgtbyCDH&amp;DayLtHrs'!AC129-1</f>
        <v>8.3615965089925748E-2</v>
      </c>
      <c r="AM129" s="89">
        <f t="shared" si="42"/>
        <v>297901.17231742083</v>
      </c>
      <c r="AN129" s="93"/>
      <c r="AO129" s="96">
        <f t="shared" si="63"/>
        <v>62.481028686087413</v>
      </c>
      <c r="AP129" s="92">
        <f t="shared" si="62"/>
        <v>5.9317432296918434E-3</v>
      </c>
      <c r="AR129" s="94">
        <f t="shared" si="43"/>
        <v>1.8608356831812008E-2</v>
      </c>
      <c r="AS129" s="95">
        <v>853466.02375972236</v>
      </c>
      <c r="AU129" s="141">
        <v>196.00802529508647</v>
      </c>
    </row>
    <row r="130" spans="1:47">
      <c r="A130" s="78">
        <v>2015</v>
      </c>
      <c r="B130" s="78">
        <v>6</v>
      </c>
      <c r="C130" s="317">
        <f t="shared" si="52"/>
        <v>271.66325293295364</v>
      </c>
      <c r="D130" s="324">
        <f t="shared" si="64"/>
        <v>0.13816630657965029</v>
      </c>
      <c r="E130" s="321">
        <f>$D130*'MWh Impact Summary'!B$21</f>
        <v>249531.35817369103</v>
      </c>
      <c r="F130" s="319">
        <f>$D130*'MWh Impact Summary'!N$21</f>
        <v>19006.218760950389</v>
      </c>
      <c r="G130" s="319">
        <f>$D130*'MWh Impact Summary'!C$21</f>
        <v>206807.53953315492</v>
      </c>
      <c r="H130" s="319">
        <f>$D130*'MWh Impact Summary'!D$21</f>
        <v>673.6720384763729</v>
      </c>
      <c r="I130" s="319">
        <f>$D130*'MWh Impact Summary'!E$21</f>
        <v>82172.805810685575</v>
      </c>
      <c r="J130" s="104">
        <f t="shared" si="44"/>
        <v>558191.59431695833</v>
      </c>
      <c r="K130" s="298">
        <f t="shared" si="53"/>
        <v>10.199999999999999</v>
      </c>
      <c r="L130" s="300">
        <f t="shared" si="65"/>
        <v>7.1805702217529022E-2</v>
      </c>
      <c r="M130" s="297">
        <f>(30/365)</f>
        <v>8.2191780821917804E-2</v>
      </c>
      <c r="N130" s="304">
        <f>$M130*'MWh Impact Summary'!F$21</f>
        <v>78913.22896745964</v>
      </c>
      <c r="O130" s="304">
        <f>$M130*'MWh Impact Summary'!G$21</f>
        <v>697.67207663890019</v>
      </c>
      <c r="P130" s="304">
        <f>$M130*'MWh Impact Summary'!H$21</f>
        <v>4094.5474975752791</v>
      </c>
      <c r="Q130" s="304">
        <f>$M130*'MWh Impact Summary'!I$21</f>
        <v>1010.1726187862204</v>
      </c>
      <c r="R130" s="304">
        <f>$M130*'MWh Impact Summary'!J$21</f>
        <v>22194.872930599042</v>
      </c>
      <c r="S130" s="304">
        <f>$M130*'MWh Impact Summary'!K$21</f>
        <v>3279.7308358527348</v>
      </c>
      <c r="T130" s="304">
        <f>$M130*'MWh Impact Summary'!L$21</f>
        <v>1232.9614556010793</v>
      </c>
      <c r="U130" s="304">
        <f>$M130*'MWh Impact Summary'!M$21</f>
        <v>3615.942193612465</v>
      </c>
      <c r="V130" s="304">
        <f>$M130*'LED Impact Forecast'!$H$22+$D130*'LED Impact Forecast'!$J$22</f>
        <v>5555.2167256270732</v>
      </c>
      <c r="W130" s="304">
        <f>$M130*'CFL Impact Forecast'!$H$22+$D130*'CFL Impact Forecast'!$J$22</f>
        <v>305739.33645077213</v>
      </c>
      <c r="X130" s="304">
        <f>$M130*'EISA Incand Impact Forecast'!$G$22+$D130*'EISA Incand Impact Forecast'!$I$22</f>
        <v>86342.394875380909</v>
      </c>
      <c r="Y130" s="85">
        <f t="shared" si="36"/>
        <v>512676.07662790548</v>
      </c>
      <c r="Z130" s="81">
        <f t="shared" si="37"/>
        <v>1070867.6709448639</v>
      </c>
      <c r="AA130" s="81"/>
      <c r="AB130" s="81">
        <f>+'MWh by mo-WgtbyActulCDH&amp;Days'!AB130</f>
        <v>4772498</v>
      </c>
      <c r="AC130" s="308">
        <f t="shared" si="45"/>
        <v>224.38305284671966</v>
      </c>
      <c r="AD130" s="309">
        <f t="shared" si="38"/>
        <v>116.96004782337432</v>
      </c>
      <c r="AE130" s="107">
        <f t="shared" si="39"/>
        <v>1.1466671355232778E-2</v>
      </c>
      <c r="AF130" s="309">
        <f t="shared" si="46"/>
        <v>107.42300502334533</v>
      </c>
      <c r="AG130" s="107">
        <f t="shared" si="40"/>
        <v>1.0531667159151503E-2</v>
      </c>
      <c r="AH130" s="119">
        <f t="shared" si="47"/>
        <v>2.1998338514384281E-2</v>
      </c>
      <c r="AI130" s="122">
        <f t="shared" si="41"/>
        <v>2.1998338514384284E-2</v>
      </c>
      <c r="AJ130" s="87">
        <f>AH130-AI130</f>
        <v>0</v>
      </c>
      <c r="AK130" s="88">
        <f t="shared" si="54"/>
        <v>2.9402697128627607E-3</v>
      </c>
      <c r="AL130" s="312">
        <f>+AC130/'MWh by month-WgtbyCDH&amp;DayLtHrs'!AC130-1</f>
        <v>9.3107765028759948E-2</v>
      </c>
      <c r="AM130" s="89">
        <f t="shared" si="42"/>
        <v>305739.33645077213</v>
      </c>
      <c r="AN130" s="93"/>
      <c r="AO130" s="96">
        <f t="shared" si="63"/>
        <v>64.062747946834577</v>
      </c>
      <c r="AP130" s="92">
        <f t="shared" si="62"/>
        <v>6.2806615634151547E-3</v>
      </c>
      <c r="AR130" s="94">
        <f t="shared" si="43"/>
        <v>2.1998338514384284E-2</v>
      </c>
      <c r="AS130" s="95">
        <v>1041990.050347965</v>
      </c>
      <c r="AU130" s="141">
        <v>224.38305284671966</v>
      </c>
    </row>
    <row r="131" spans="1:47">
      <c r="A131" s="78">
        <v>2015</v>
      </c>
      <c r="B131" s="78">
        <v>7</v>
      </c>
      <c r="C131" s="317">
        <f t="shared" si="52"/>
        <v>322.31916585708109</v>
      </c>
      <c r="D131" s="324">
        <f t="shared" si="64"/>
        <v>0.16392960109808263</v>
      </c>
      <c r="E131" s="321">
        <f>$D131*'MWh Impact Summary'!B$21</f>
        <v>296060.42905471061</v>
      </c>
      <c r="F131" s="319">
        <f>$D131*'MWh Impact Summary'!N$21</f>
        <v>22550.229046394605</v>
      </c>
      <c r="G131" s="319">
        <f>$D131*'MWh Impact Summary'!C$21</f>
        <v>245370.0782701479</v>
      </c>
      <c r="H131" s="319">
        <f>$D131*'MWh Impact Summary'!D$21</f>
        <v>799.28885176286008</v>
      </c>
      <c r="I131" s="319">
        <f>$D131*'MWh Impact Summary'!E$21</f>
        <v>97495.225942732781</v>
      </c>
      <c r="J131" s="104">
        <f t="shared" si="44"/>
        <v>662275.25116574881</v>
      </c>
      <c r="K131" s="298">
        <f t="shared" si="53"/>
        <v>10.366666666666667</v>
      </c>
      <c r="L131" s="300">
        <f t="shared" si="65"/>
        <v>7.2978998005397158E-2</v>
      </c>
      <c r="M131" s="297">
        <f t="shared" si="67"/>
        <v>8.4931506849315067E-2</v>
      </c>
      <c r="N131" s="304">
        <f>$M131*'MWh Impact Summary'!F$21</f>
        <v>81543.66993304163</v>
      </c>
      <c r="O131" s="304">
        <f>$M131*'MWh Impact Summary'!G$21</f>
        <v>720.92781252686359</v>
      </c>
      <c r="P131" s="304">
        <f>$M131*'MWh Impact Summary'!H$21</f>
        <v>4231.0324141611218</v>
      </c>
      <c r="Q131" s="304">
        <f>$M131*'MWh Impact Summary'!I$21</f>
        <v>1043.8450394124277</v>
      </c>
      <c r="R131" s="304">
        <f>$M131*'MWh Impact Summary'!J$21</f>
        <v>22934.702028285679</v>
      </c>
      <c r="S131" s="304">
        <f>$M131*'MWh Impact Summary'!K$21</f>
        <v>3389.0551970478264</v>
      </c>
      <c r="T131" s="304">
        <f>$M131*'MWh Impact Summary'!L$21</f>
        <v>1274.0601707877818</v>
      </c>
      <c r="U131" s="304">
        <f>$M131*'MWh Impact Summary'!M$21</f>
        <v>3736.4736000662137</v>
      </c>
      <c r="V131" s="304">
        <f>$M131*'LED Impact Forecast'!$H$22+$D131*'LED Impact Forecast'!$J$22</f>
        <v>5835.4039787352049</v>
      </c>
      <c r="W131" s="304">
        <f>$M131*'CFL Impact Forecast'!$H$22+$D131*'CFL Impact Forecast'!$J$22</f>
        <v>326313.19654347003</v>
      </c>
      <c r="X131" s="304">
        <f>$M131*'EISA Incand Impact Forecast'!$G$22+$D131*'EISA Incand Impact Forecast'!$I$22</f>
        <v>92327.865211242635</v>
      </c>
      <c r="Y131" s="85">
        <f t="shared" si="36"/>
        <v>543350.23192877742</v>
      </c>
      <c r="Z131" s="81">
        <f t="shared" si="37"/>
        <v>1205625.4830945262</v>
      </c>
      <c r="AA131" s="81"/>
      <c r="AB131" s="262">
        <f>+'MWh by mo-WgtbyActulCDH&amp;Days'!AB131</f>
        <v>4784923.7420767779</v>
      </c>
      <c r="AC131" s="308">
        <f t="shared" si="45"/>
        <v>251.96336411648943</v>
      </c>
      <c r="AD131" s="309">
        <f t="shared" si="38"/>
        <v>138.40873687117627</v>
      </c>
      <c r="AE131" s="107">
        <f t="shared" si="39"/>
        <v>1.3351325100113467E-2</v>
      </c>
      <c r="AF131" s="309">
        <f t="shared" si="46"/>
        <v>113.55462724531316</v>
      </c>
      <c r="AG131" s="107">
        <f t="shared" si="40"/>
        <v>1.0953822563856574E-2</v>
      </c>
      <c r="AH131" s="119">
        <f t="shared" si="47"/>
        <v>2.4305147663970041E-2</v>
      </c>
      <c r="AI131" s="122">
        <f t="shared" si="41"/>
        <v>2.4305147663970041E-2</v>
      </c>
      <c r="AJ131" s="87" t="b">
        <f t="shared" si="48"/>
        <v>1</v>
      </c>
      <c r="AK131" s="88">
        <f t="shared" si="54"/>
        <v>3.1975724438852229E-3</v>
      </c>
      <c r="AL131" s="312">
        <f>+AC131/'MWh by month-WgtbyCDH&amp;DayLtHrs'!AC131-1</f>
        <v>0.10604024945449342</v>
      </c>
      <c r="AM131" s="89">
        <f t="shared" si="42"/>
        <v>326313.19654347003</v>
      </c>
      <c r="AN131" s="93"/>
      <c r="AO131" s="96">
        <f t="shared" si="63"/>
        <v>68.196112233513219</v>
      </c>
      <c r="AP131" s="92">
        <f t="shared" si="62"/>
        <v>6.5784031093421109E-3</v>
      </c>
      <c r="AR131" s="94">
        <f t="shared" si="43"/>
        <v>2.4305147663970041E-2</v>
      </c>
      <c r="AS131" s="95">
        <v>1096095.832950097</v>
      </c>
      <c r="AU131" s="141">
        <v>251.96336411648943</v>
      </c>
    </row>
    <row r="132" spans="1:47">
      <c r="A132" s="78">
        <v>2015</v>
      </c>
      <c r="B132" s="78">
        <v>8</v>
      </c>
      <c r="C132" s="317">
        <f t="shared" si="52"/>
        <v>326.45437890907908</v>
      </c>
      <c r="D132" s="324">
        <f t="shared" si="64"/>
        <v>0.16603274573816959</v>
      </c>
      <c r="E132" s="321">
        <f>$D132*'MWh Impact Summary'!B$21</f>
        <v>299858.75406945712</v>
      </c>
      <c r="F132" s="319">
        <f>$D132*'MWh Impact Summary'!N$21</f>
        <v>22839.538561173951</v>
      </c>
      <c r="G132" s="319">
        <f>$D132*'MWh Impact Summary'!C$21</f>
        <v>248518.06839209551</v>
      </c>
      <c r="H132" s="319">
        <f>$D132*'MWh Impact Summary'!D$21</f>
        <v>809.54337598060965</v>
      </c>
      <c r="I132" s="319">
        <f>$D132*'MWh Impact Summary'!E$21</f>
        <v>98746.046785960731</v>
      </c>
      <c r="J132" s="104">
        <f t="shared" si="44"/>
        <v>670771.95118466788</v>
      </c>
      <c r="K132" s="298">
        <f t="shared" si="53"/>
        <v>10.933333333333334</v>
      </c>
      <c r="L132" s="300">
        <f t="shared" si="65"/>
        <v>7.6968203684148764E-2</v>
      </c>
      <c r="M132" s="297">
        <f t="shared" si="67"/>
        <v>8.4931506849315067E-2</v>
      </c>
      <c r="N132" s="304">
        <f>$M132*'MWh Impact Summary'!F$21</f>
        <v>81543.66993304163</v>
      </c>
      <c r="O132" s="304">
        <f>$M132*'MWh Impact Summary'!G$21</f>
        <v>720.92781252686359</v>
      </c>
      <c r="P132" s="304">
        <f>$M132*'MWh Impact Summary'!H$21</f>
        <v>4231.0324141611218</v>
      </c>
      <c r="Q132" s="304">
        <f>$M132*'MWh Impact Summary'!I$21</f>
        <v>1043.8450394124277</v>
      </c>
      <c r="R132" s="304">
        <f>$M132*'MWh Impact Summary'!J$21</f>
        <v>22934.702028285679</v>
      </c>
      <c r="S132" s="304">
        <f>$M132*'MWh Impact Summary'!K$21</f>
        <v>3389.0551970478264</v>
      </c>
      <c r="T132" s="304">
        <f>$M132*'MWh Impact Summary'!L$21</f>
        <v>1274.0601707877818</v>
      </c>
      <c r="U132" s="304">
        <f>$M132*'MWh Impact Summary'!M$21</f>
        <v>3736.4736000662137</v>
      </c>
      <c r="V132" s="304">
        <f>$M132*'LED Impact Forecast'!$H$22+$D132*'LED Impact Forecast'!$J$22</f>
        <v>5844.8485952203946</v>
      </c>
      <c r="W132" s="304">
        <f>$M132*'CFL Impact Forecast'!$H$22+$D132*'CFL Impact Forecast'!$J$22</f>
        <v>327345.25340328645</v>
      </c>
      <c r="X132" s="304">
        <f>$M132*'EISA Incand Impact Forecast'!$G$22+$D132*'EISA Incand Impact Forecast'!$I$22</f>
        <v>92636.749255645875</v>
      </c>
      <c r="Y132" s="85">
        <f t="shared" si="36"/>
        <v>544700.6174494822</v>
      </c>
      <c r="Z132" s="81">
        <f t="shared" si="37"/>
        <v>1215472.5686341501</v>
      </c>
      <c r="AA132" s="81"/>
      <c r="AB132" s="262">
        <f>+'MWh by mo-WgtbyActulCDH&amp;Days'!AB132</f>
        <v>4793100.8139620237</v>
      </c>
      <c r="AC132" s="308">
        <f t="shared" si="45"/>
        <v>253.5879414623513</v>
      </c>
      <c r="AD132" s="309">
        <f t="shared" si="38"/>
        <v>139.94530414022341</v>
      </c>
      <c r="AE132" s="107">
        <f t="shared" si="39"/>
        <v>1.2799875378678971E-2</v>
      </c>
      <c r="AF132" s="309">
        <f t="shared" si="46"/>
        <v>113.64263732212788</v>
      </c>
      <c r="AG132" s="107">
        <f t="shared" si="40"/>
        <v>1.0394143657511696E-2</v>
      </c>
      <c r="AH132" s="119">
        <f t="shared" si="47"/>
        <v>2.3194019036190665E-2</v>
      </c>
      <c r="AI132" s="122">
        <f t="shared" si="41"/>
        <v>2.3194019036190668E-2</v>
      </c>
      <c r="AJ132" s="87" t="b">
        <f t="shared" si="48"/>
        <v>1</v>
      </c>
      <c r="AK132" s="88">
        <f t="shared" si="54"/>
        <v>3.031632892401926E-3</v>
      </c>
      <c r="AL132" s="312">
        <f>+AC132/'MWh by month-WgtbyCDH&amp;DayLtHrs'!AC132-1</f>
        <v>8.528857635131315E-2</v>
      </c>
      <c r="AM132" s="89">
        <f t="shared" si="42"/>
        <v>327345.25340328645</v>
      </c>
      <c r="AN132" s="93"/>
      <c r="AO132" s="96">
        <f t="shared" si="63"/>
        <v>68.295090403637829</v>
      </c>
      <c r="AP132" s="92">
        <f t="shared" si="62"/>
        <v>6.2465021710644353E-3</v>
      </c>
      <c r="AR132" s="94">
        <f t="shared" si="43"/>
        <v>2.3194019036190668E-2</v>
      </c>
      <c r="AS132" s="95">
        <v>1139559.6309116844</v>
      </c>
      <c r="AU132" s="141">
        <v>253.5879414623513</v>
      </c>
    </row>
    <row r="133" spans="1:47">
      <c r="A133" s="78">
        <v>2015</v>
      </c>
      <c r="B133" s="78">
        <v>9</v>
      </c>
      <c r="C133" s="317">
        <f t="shared" si="52"/>
        <v>277.87653293728147</v>
      </c>
      <c r="D133" s="324">
        <f>D121</f>
        <v>0.14132634365008559</v>
      </c>
      <c r="E133" s="321">
        <f>$D133*'MWh Impact Summary'!B$21</f>
        <v>255238.45393086364</v>
      </c>
      <c r="F133" s="319">
        <f>$D133*'MWh Impact Summary'!N$21</f>
        <v>19440.914869865934</v>
      </c>
      <c r="G133" s="319">
        <f>$D133*'MWh Impact Summary'!C$21</f>
        <v>211537.48786533778</v>
      </c>
      <c r="H133" s="319">
        <f>$D133*'MWh Impact Summary'!D$21</f>
        <v>689.07976462611862</v>
      </c>
      <c r="I133" s="319">
        <f>$D133*'MWh Impact Summary'!E$21</f>
        <v>84052.201149329543</v>
      </c>
      <c r="J133" s="104">
        <f t="shared" si="44"/>
        <v>570958.13758002303</v>
      </c>
      <c r="K133" s="298">
        <f t="shared" si="53"/>
        <v>11.683333333333334</v>
      </c>
      <c r="L133" s="300">
        <f>L121</f>
        <v>8.2248034729555317E-2</v>
      </c>
      <c r="M133" s="297">
        <f>(30/365)</f>
        <v>8.2191780821917804E-2</v>
      </c>
      <c r="N133" s="304">
        <f>$M133*'MWh Impact Summary'!F$21</f>
        <v>78913.22896745964</v>
      </c>
      <c r="O133" s="304">
        <f>$M133*'MWh Impact Summary'!G$21</f>
        <v>697.67207663890019</v>
      </c>
      <c r="P133" s="304">
        <f>$M133*'MWh Impact Summary'!H$21</f>
        <v>4094.5474975752791</v>
      </c>
      <c r="Q133" s="304">
        <f>$M133*'MWh Impact Summary'!I$21</f>
        <v>1010.1726187862204</v>
      </c>
      <c r="R133" s="304">
        <f>$M133*'MWh Impact Summary'!J$21</f>
        <v>22194.872930599042</v>
      </c>
      <c r="S133" s="304">
        <f>$M133*'MWh Impact Summary'!K$21</f>
        <v>3279.7308358527348</v>
      </c>
      <c r="T133" s="304">
        <f>$M133*'MWh Impact Summary'!L$21</f>
        <v>1232.9614556010793</v>
      </c>
      <c r="U133" s="304">
        <f>$M133*'MWh Impact Summary'!M$21</f>
        <v>3615.942193612465</v>
      </c>
      <c r="V133" s="304">
        <f>$M133*'LED Impact Forecast'!$H$22+$D133*'LED Impact Forecast'!$J$22</f>
        <v>5569.4075414370645</v>
      </c>
      <c r="W133" s="304">
        <f>$M133*'CFL Impact Forecast'!$H$22+$D133*'CFL Impact Forecast'!$J$22</f>
        <v>307290.03242938156</v>
      </c>
      <c r="X133" s="304">
        <f>$M133*'EISA Incand Impact Forecast'!$G$22+$D133*'EISA Incand Impact Forecast'!$I$22</f>
        <v>86806.502294421705</v>
      </c>
      <c r="Y133" s="85">
        <f t="shared" ref="Y133:Y196" si="68">SUM(N133:X133)</f>
        <v>514705.07084136573</v>
      </c>
      <c r="Z133" s="81">
        <f t="shared" ref="Z133:Z196" si="69">Y133+J133</f>
        <v>1085663.2084213886</v>
      </c>
      <c r="AA133" s="81"/>
      <c r="AB133" s="262">
        <f>+'MWh by mo-WgtbyActulCDH&amp;Days'!AB133</f>
        <v>4797009.9970391067</v>
      </c>
      <c r="AC133" s="308">
        <f t="shared" si="45"/>
        <v>226.32081423459621</v>
      </c>
      <c r="AD133" s="309">
        <f t="shared" ref="AD133:AD196" si="70">+J133*1000/AB133</f>
        <v>119.02375394932254</v>
      </c>
      <c r="AE133" s="107">
        <f t="shared" ref="AE133:AE196" si="71">+AD133/K133/1000</f>
        <v>1.0187482506361416E-2</v>
      </c>
      <c r="AF133" s="309">
        <f t="shared" si="46"/>
        <v>107.29706028527373</v>
      </c>
      <c r="AG133" s="107">
        <f t="shared" ref="AG133:AG196" si="72">+AF133/K133/1000</f>
        <v>9.1837712084399774E-3</v>
      </c>
      <c r="AH133" s="119">
        <f t="shared" si="47"/>
        <v>1.9371253714801393E-2</v>
      </c>
      <c r="AI133" s="122">
        <f t="shared" ref="AI133:AI196" si="73">+AC133/K133/1000</f>
        <v>1.9371253714801386E-2</v>
      </c>
      <c r="AJ133" s="87" t="b">
        <f t="shared" si="48"/>
        <v>1</v>
      </c>
      <c r="AK133" s="88">
        <f t="shared" si="54"/>
        <v>2.5485543790095093E-3</v>
      </c>
      <c r="AL133" s="312">
        <f>+AC133/'MWh by month-WgtbyCDH&amp;DayLtHrs'!AC133-1</f>
        <v>3.5455787236590597E-2</v>
      </c>
      <c r="AM133" s="89">
        <f t="shared" ref="AM133:AM196" si="74">+W133</f>
        <v>307290.03242938156</v>
      </c>
      <c r="AN133" s="93"/>
      <c r="AO133" s="96">
        <f t="shared" si="63"/>
        <v>64.058660002595872</v>
      </c>
      <c r="AP133" s="92">
        <f t="shared" si="62"/>
        <v>5.4829095579967931E-3</v>
      </c>
      <c r="AR133" s="94">
        <f t="shared" ref="AR133:AR196" si="75">AI133</f>
        <v>1.9371253714801386E-2</v>
      </c>
      <c r="AS133" s="95">
        <v>1076339.5223995293</v>
      </c>
      <c r="AU133" s="141">
        <v>226.32081423459621</v>
      </c>
    </row>
    <row r="134" spans="1:47">
      <c r="A134" s="78">
        <v>2015</v>
      </c>
      <c r="B134" s="78">
        <v>10</v>
      </c>
      <c r="C134" s="317">
        <f t="shared" si="52"/>
        <v>198.89039579254836</v>
      </c>
      <c r="D134" s="324">
        <f t="shared" si="64"/>
        <v>0.10115446643644242</v>
      </c>
      <c r="E134" s="321">
        <f>$D134*'MWh Impact Summary'!B$21</f>
        <v>182687.16896379826</v>
      </c>
      <c r="F134" s="319">
        <f>$D134*'MWh Impact Summary'!N$21</f>
        <v>13914.853522048203</v>
      </c>
      <c r="G134" s="319">
        <f>$D134*'MWh Impact Summary'!C$21</f>
        <v>151408.16045806403</v>
      </c>
      <c r="H134" s="319">
        <f>$D134*'MWh Impact Summary'!D$21</f>
        <v>493.20950448902482</v>
      </c>
      <c r="I134" s="319">
        <f>$D134*'MWh Impact Summary'!E$21</f>
        <v>60160.443838552623</v>
      </c>
      <c r="J134" s="104">
        <f t="shared" ref="J134:J197" si="76">SUM(E134:I134)</f>
        <v>408663.83628695214</v>
      </c>
      <c r="K134" s="298">
        <f t="shared" si="53"/>
        <v>12.466666666666667</v>
      </c>
      <c r="L134" s="300">
        <f t="shared" si="65"/>
        <v>8.7762524932535488E-2</v>
      </c>
      <c r="M134" s="297">
        <f t="shared" si="67"/>
        <v>8.4931506849315067E-2</v>
      </c>
      <c r="N134" s="304">
        <f>$M134*'MWh Impact Summary'!F$21</f>
        <v>81543.66993304163</v>
      </c>
      <c r="O134" s="304">
        <f>$M134*'MWh Impact Summary'!G$21</f>
        <v>720.92781252686359</v>
      </c>
      <c r="P134" s="304">
        <f>$M134*'MWh Impact Summary'!H$21</f>
        <v>4231.0324141611218</v>
      </c>
      <c r="Q134" s="304">
        <f>$M134*'MWh Impact Summary'!I$21</f>
        <v>1043.8450394124277</v>
      </c>
      <c r="R134" s="304">
        <f>$M134*'MWh Impact Summary'!J$21</f>
        <v>22934.702028285679</v>
      </c>
      <c r="S134" s="304">
        <f>$M134*'MWh Impact Summary'!K$21</f>
        <v>3389.0551970478264</v>
      </c>
      <c r="T134" s="304">
        <f>$M134*'MWh Impact Summary'!L$21</f>
        <v>1274.0601707877818</v>
      </c>
      <c r="U134" s="304">
        <f>$M134*'MWh Impact Summary'!M$21</f>
        <v>3736.4736000662137</v>
      </c>
      <c r="V134" s="304">
        <f>$M134*'LED Impact Forecast'!$H$22+$D134*'LED Impact Forecast'!$J$22</f>
        <v>5553.4989397832387</v>
      </c>
      <c r="W134" s="304">
        <f>$M134*'CFL Impact Forecast'!$H$22+$D134*'CFL Impact Forecast'!$J$22</f>
        <v>295508.13106268417</v>
      </c>
      <c r="X134" s="304">
        <f>$M134*'EISA Incand Impact Forecast'!$G$22+$D134*'EISA Incand Impact Forecast'!$I$22</f>
        <v>83108.224720208964</v>
      </c>
      <c r="Y134" s="85">
        <f t="shared" si="68"/>
        <v>503043.62091800588</v>
      </c>
      <c r="Z134" s="81">
        <f t="shared" si="69"/>
        <v>911707.45720495796</v>
      </c>
      <c r="AA134" s="81"/>
      <c r="AB134" s="262">
        <f>+'MWh by mo-WgtbyActulCDH&amp;Days'!AB134</f>
        <v>4802322.38639032</v>
      </c>
      <c r="AC134" s="308">
        <f t="shared" ref="AC134:AC197" si="77">+Z134*1000/AB134</f>
        <v>189.84719971918537</v>
      </c>
      <c r="AD134" s="309">
        <f t="shared" si="70"/>
        <v>85.097126641288554</v>
      </c>
      <c r="AE134" s="107">
        <f t="shared" si="71"/>
        <v>6.8259727252370497E-3</v>
      </c>
      <c r="AF134" s="309">
        <f t="shared" ref="AF134:AF197" si="78">+Y134*1000/AB134</f>
        <v>104.75007307789683</v>
      </c>
      <c r="AG134" s="107">
        <f t="shared" si="72"/>
        <v>8.4024122789756808E-3</v>
      </c>
      <c r="AH134" s="119">
        <f t="shared" ref="AH134:AH197" si="79">AE134+AG134</f>
        <v>1.5228385004212731E-2</v>
      </c>
      <c r="AI134" s="122">
        <f t="shared" si="73"/>
        <v>1.522838500421273E-2</v>
      </c>
      <c r="AJ134" s="87" t="b">
        <f t="shared" ref="AJ134:AJ197" si="80">AH134=AI134</f>
        <v>1</v>
      </c>
      <c r="AK134" s="88">
        <f t="shared" si="54"/>
        <v>2.0286866494810853E-3</v>
      </c>
      <c r="AL134" s="312">
        <f>+AC134/'MWh by month-WgtbyCDH&amp;DayLtHrs'!AC134-1</f>
        <v>-4.4716192868794469E-3</v>
      </c>
      <c r="AM134" s="89">
        <f t="shared" si="74"/>
        <v>295508.13106268417</v>
      </c>
      <c r="AN134" s="93"/>
      <c r="AO134" s="96">
        <f t="shared" si="63"/>
        <v>61.534421741478241</v>
      </c>
      <c r="AP134" s="92">
        <f t="shared" si="62"/>
        <v>4.9359161824715165E-3</v>
      </c>
      <c r="AR134" s="94">
        <f t="shared" si="75"/>
        <v>1.522838500421273E-2</v>
      </c>
      <c r="AS134" s="95">
        <v>866680.06276977342</v>
      </c>
      <c r="AU134" s="141">
        <v>189.84719971918537</v>
      </c>
    </row>
    <row r="135" spans="1:47">
      <c r="A135" s="78">
        <v>2015</v>
      </c>
      <c r="B135" s="78">
        <v>11</v>
      </c>
      <c r="C135" s="317">
        <f t="shared" si="52"/>
        <v>78.117279066674627</v>
      </c>
      <c r="D135" s="324">
        <f t="shared" si="64"/>
        <v>3.9729981188725644E-2</v>
      </c>
      <c r="E135" s="321">
        <f>$D135*'MWh Impact Summary'!B$21</f>
        <v>71753.211124035821</v>
      </c>
      <c r="F135" s="319">
        <f>$D135*'MWh Impact Summary'!N$21</f>
        <v>5465.2739335262813</v>
      </c>
      <c r="G135" s="319">
        <f>$D135*'MWh Impact Summary'!C$21</f>
        <v>59467.896759636147</v>
      </c>
      <c r="H135" s="319">
        <f>$D135*'MWh Impact Summary'!D$21</f>
        <v>193.71566106536434</v>
      </c>
      <c r="I135" s="319">
        <f>$D135*'MWh Impact Summary'!E$21</f>
        <v>23628.944783302075</v>
      </c>
      <c r="J135" s="104">
        <f t="shared" si="76"/>
        <v>160509.04226156569</v>
      </c>
      <c r="K135" s="298">
        <f t="shared" si="53"/>
        <v>13.15</v>
      </c>
      <c r="L135" s="300">
        <f t="shared" si="65"/>
        <v>9.2573037662794788E-2</v>
      </c>
      <c r="M135" s="297">
        <f>(30/365)</f>
        <v>8.2191780821917804E-2</v>
      </c>
      <c r="N135" s="304">
        <f>$M135*'MWh Impact Summary'!F$21</f>
        <v>78913.22896745964</v>
      </c>
      <c r="O135" s="304">
        <f>$M135*'MWh Impact Summary'!G$21</f>
        <v>697.67207663890019</v>
      </c>
      <c r="P135" s="304">
        <f>$M135*'MWh Impact Summary'!H$21</f>
        <v>4094.5474975752791</v>
      </c>
      <c r="Q135" s="304">
        <f>$M135*'MWh Impact Summary'!I$21</f>
        <v>1010.1726187862204</v>
      </c>
      <c r="R135" s="304">
        <f>$M135*'MWh Impact Summary'!J$21</f>
        <v>22194.872930599042</v>
      </c>
      <c r="S135" s="304">
        <f>$M135*'MWh Impact Summary'!K$21</f>
        <v>3279.7308358527348</v>
      </c>
      <c r="T135" s="304">
        <f>$M135*'MWh Impact Summary'!L$21</f>
        <v>1232.9614556010793</v>
      </c>
      <c r="U135" s="304">
        <f>$M135*'MWh Impact Summary'!M$21</f>
        <v>3615.942193612465</v>
      </c>
      <c r="V135" s="304">
        <f>$M135*'LED Impact Forecast'!$H$22+$D135*'LED Impact Forecast'!$J$22</f>
        <v>5113.1675561081438</v>
      </c>
      <c r="W135" s="304">
        <f>$M135*'CFL Impact Forecast'!$H$22+$D135*'CFL Impact Forecast'!$J$22</f>
        <v>257434.58225630064</v>
      </c>
      <c r="X135" s="304">
        <f>$M135*'EISA Incand Impact Forecast'!$G$22+$D135*'EISA Incand Impact Forecast'!$I$22</f>
        <v>71885.276842031541</v>
      </c>
      <c r="Y135" s="85">
        <f t="shared" si="68"/>
        <v>449472.1552305657</v>
      </c>
      <c r="Z135" s="81">
        <f t="shared" si="69"/>
        <v>609981.19749213138</v>
      </c>
      <c r="AA135" s="81"/>
      <c r="AB135" s="262">
        <f>+'MWh by mo-WgtbyActulCDH&amp;Days'!AB135</f>
        <v>4807951.5017482825</v>
      </c>
      <c r="AC135" s="308">
        <f t="shared" si="77"/>
        <v>126.86924925726228</v>
      </c>
      <c r="AD135" s="309">
        <f t="shared" si="70"/>
        <v>33.384080975692221</v>
      </c>
      <c r="AE135" s="107">
        <f t="shared" si="71"/>
        <v>2.5387133821819182E-3</v>
      </c>
      <c r="AF135" s="309">
        <f t="shared" si="78"/>
        <v>93.485168281570054</v>
      </c>
      <c r="AG135" s="107">
        <f t="shared" si="72"/>
        <v>7.1091382723627418E-3</v>
      </c>
      <c r="AH135" s="119">
        <f t="shared" si="79"/>
        <v>9.6478516545446605E-3</v>
      </c>
      <c r="AI135" s="122">
        <f t="shared" si="73"/>
        <v>9.6478516545446587E-3</v>
      </c>
      <c r="AJ135" s="87" t="b">
        <f t="shared" si="80"/>
        <v>1</v>
      </c>
      <c r="AK135" s="88">
        <f t="shared" si="54"/>
        <v>1.3218030938773953E-3</v>
      </c>
      <c r="AL135" s="312">
        <f>+AC135/'MWh by month-WgtbyCDH&amp;DayLtHrs'!AC135-1</f>
        <v>-0.12040118569986147</v>
      </c>
      <c r="AM135" s="89">
        <f t="shared" si="74"/>
        <v>257434.58225630064</v>
      </c>
      <c r="AN135" s="93"/>
      <c r="AO135" s="96">
        <f t="shared" si="63"/>
        <v>53.543506452319967</v>
      </c>
      <c r="AP135" s="92">
        <f t="shared" si="62"/>
        <v>4.0717495401003771E-3</v>
      </c>
      <c r="AR135" s="94">
        <f t="shared" si="75"/>
        <v>9.6478516545446587E-3</v>
      </c>
      <c r="AS135" s="95">
        <v>668118.62592751079</v>
      </c>
      <c r="AU135" s="141">
        <v>126.86924925726228</v>
      </c>
    </row>
    <row r="136" spans="1:47">
      <c r="A136" s="78">
        <v>2015</v>
      </c>
      <c r="B136" s="78">
        <v>12</v>
      </c>
      <c r="C136" s="317">
        <f t="shared" si="52"/>
        <v>42.633806123140985</v>
      </c>
      <c r="D136" s="324">
        <f t="shared" si="64"/>
        <v>2.1683298951445065E-2</v>
      </c>
      <c r="E136" s="321">
        <f>$D136*'MWh Impact Summary'!B$21</f>
        <v>39160.51004751373</v>
      </c>
      <c r="F136" s="319">
        <f>$D136*'MWh Impact Summary'!N$21</f>
        <v>2982.7642754036642</v>
      </c>
      <c r="G136" s="319">
        <f>$D136*'MWh Impact Summary'!C$21</f>
        <v>32455.595116636447</v>
      </c>
      <c r="H136" s="319">
        <f>$D136*'MWh Impact Summary'!D$21</f>
        <v>105.72354843321867</v>
      </c>
      <c r="I136" s="319">
        <f>$D136*'MWh Impact Summary'!E$21</f>
        <v>12895.890164401088</v>
      </c>
      <c r="J136" s="104">
        <f t="shared" si="76"/>
        <v>87600.483152388158</v>
      </c>
      <c r="K136" s="298">
        <f t="shared" si="53"/>
        <v>13.483333333333333</v>
      </c>
      <c r="L136" s="300">
        <f t="shared" si="65"/>
        <v>9.491962923853102E-2</v>
      </c>
      <c r="M136" s="297">
        <f t="shared" si="67"/>
        <v>8.4931506849315067E-2</v>
      </c>
      <c r="N136" s="304">
        <f>$M136*'MWh Impact Summary'!F$21</f>
        <v>81543.66993304163</v>
      </c>
      <c r="O136" s="304">
        <f>$M136*'MWh Impact Summary'!G$21</f>
        <v>720.92781252686359</v>
      </c>
      <c r="P136" s="304">
        <f>$M136*'MWh Impact Summary'!H$21</f>
        <v>4231.0324141611218</v>
      </c>
      <c r="Q136" s="304">
        <f>$M136*'MWh Impact Summary'!I$21</f>
        <v>1043.8450394124277</v>
      </c>
      <c r="R136" s="304">
        <f>$M136*'MWh Impact Summary'!J$21</f>
        <v>22934.702028285679</v>
      </c>
      <c r="S136" s="304">
        <f>$M136*'MWh Impact Summary'!K$21</f>
        <v>3389.0551970478264</v>
      </c>
      <c r="T136" s="304">
        <f>$M136*'MWh Impact Summary'!L$21</f>
        <v>1274.0601707877818</v>
      </c>
      <c r="U136" s="304">
        <f>$M136*'MWh Impact Summary'!M$21</f>
        <v>3736.4736000662137</v>
      </c>
      <c r="V136" s="304">
        <f>$M136*'LED Impact Forecast'!$H$22+$D136*'LED Impact Forecast'!$J$22</f>
        <v>5196.6168289574962</v>
      </c>
      <c r="W136" s="304">
        <f>$M136*'CFL Impact Forecast'!$H$22+$D136*'CFL Impact Forecast'!$J$22</f>
        <v>256509.97468428288</v>
      </c>
      <c r="X136" s="304">
        <f>$M136*'EISA Incand Impact Forecast'!$G$22+$D136*'EISA Incand Impact Forecast'!$I$22</f>
        <v>71436.476064253875</v>
      </c>
      <c r="Y136" s="85">
        <f t="shared" si="68"/>
        <v>452016.8337728238</v>
      </c>
      <c r="Z136" s="81">
        <f t="shared" si="69"/>
        <v>539617.31692521193</v>
      </c>
      <c r="AA136" s="81">
        <f>SUM(Z125:Z136)</f>
        <v>9840285.8871271405</v>
      </c>
      <c r="AB136" s="262">
        <f>+'MWh by mo-WgtbyActulCDH&amp;Days'!AB136</f>
        <v>4813839.2600633735</v>
      </c>
      <c r="AC136" s="308">
        <f t="shared" si="77"/>
        <v>112.09707839686112</v>
      </c>
      <c r="AD136" s="309">
        <f t="shared" si="70"/>
        <v>18.197633618376138</v>
      </c>
      <c r="AE136" s="107">
        <f t="shared" si="71"/>
        <v>1.3496390817089843E-3</v>
      </c>
      <c r="AF136" s="309">
        <f t="shared" si="78"/>
        <v>93.899444778484991</v>
      </c>
      <c r="AG136" s="107">
        <f t="shared" si="72"/>
        <v>6.964112097291841E-3</v>
      </c>
      <c r="AH136" s="119">
        <f t="shared" si="79"/>
        <v>8.3137511790008257E-3</v>
      </c>
      <c r="AI136" s="122">
        <f t="shared" si="73"/>
        <v>8.313751179000824E-3</v>
      </c>
      <c r="AJ136" s="87" t="b">
        <f t="shared" si="80"/>
        <v>0</v>
      </c>
      <c r="AK136" s="88">
        <f t="shared" si="54"/>
        <v>1.1573872019155079E-3</v>
      </c>
      <c r="AL136" s="312">
        <f>+AC136/'MWh by month-WgtbyCDH&amp;DayLtHrs'!AC136-1</f>
        <v>-0.14774945872920153</v>
      </c>
      <c r="AM136" s="89">
        <f t="shared" si="74"/>
        <v>256509.97468428288</v>
      </c>
      <c r="AN136" s="90">
        <f>SUM(AM125:AM136)</f>
        <v>3385636.2346315514</v>
      </c>
      <c r="AO136" s="96">
        <f t="shared" si="63"/>
        <v>53.285945131642379</v>
      </c>
      <c r="AP136" s="92">
        <f t="shared" si="62"/>
        <v>3.9519860419017835E-3</v>
      </c>
      <c r="AR136" s="94">
        <f t="shared" si="75"/>
        <v>8.313751179000824E-3</v>
      </c>
      <c r="AS136" s="95">
        <v>550596.06631922</v>
      </c>
      <c r="AU136" s="141">
        <v>112.09707839686112</v>
      </c>
    </row>
    <row r="137" spans="1:47">
      <c r="A137" s="78">
        <v>2016</v>
      </c>
      <c r="B137" s="78">
        <v>1</v>
      </c>
      <c r="C137" s="317">
        <f t="shared" si="52"/>
        <v>26.112829868525239</v>
      </c>
      <c r="D137" s="324">
        <f t="shared" si="64"/>
        <v>1.3280829182176284E-2</v>
      </c>
      <c r="E137" s="321">
        <f>$D137*'MWh Impact Summary'!B$22</f>
        <v>27470.366647375555</v>
      </c>
      <c r="F137" s="319">
        <f>$D137*'MWh Impact Summary'!N$22</f>
        <v>2436.9032296743749</v>
      </c>
      <c r="G137" s="319">
        <f>$D137*'MWh Impact Summary'!C$22</f>
        <v>22099.85470608377</v>
      </c>
      <c r="H137" s="319">
        <f>$D137*'MWh Impact Summary'!D$22</f>
        <v>76.293020643730046</v>
      </c>
      <c r="I137" s="319">
        <f>$D137*'MWh Impact Summary'!E$22</f>
        <v>8688.849208168589</v>
      </c>
      <c r="J137" s="104">
        <f t="shared" si="76"/>
        <v>60772.266811946021</v>
      </c>
      <c r="K137" s="298">
        <f t="shared" si="53"/>
        <v>13.3</v>
      </c>
      <c r="L137" s="300">
        <f t="shared" si="65"/>
        <v>9.3629003871876101E-2</v>
      </c>
      <c r="M137" s="297">
        <f>(31/366)</f>
        <v>8.4699453551912565E-2</v>
      </c>
      <c r="N137" s="304">
        <f>$M137*'MWh Impact Summary'!F$22</f>
        <v>91690.489145616724</v>
      </c>
      <c r="O137" s="304">
        <f>$M137*'MWh Impact Summary'!G$22</f>
        <v>1806.6680615811299</v>
      </c>
      <c r="P137" s="304">
        <f>$M137*'MWh Impact Summary'!H$22</f>
        <v>4959.6200007486323</v>
      </c>
      <c r="Q137" s="304">
        <f>$M137*'MWh Impact Summary'!I$22</f>
        <v>1133.3379182173751</v>
      </c>
      <c r="R137" s="304">
        <f>$M137*'MWh Impact Summary'!J$22</f>
        <v>26391.841511107759</v>
      </c>
      <c r="S137" s="304">
        <f>$M137*'MWh Impact Summary'!K$22</f>
        <v>6675.463536611971</v>
      </c>
      <c r="T137" s="304">
        <f>$M137*'MWh Impact Summary'!L$22</f>
        <v>2424.6605303305378</v>
      </c>
      <c r="U137" s="304">
        <f>$M137*'MWh Impact Summary'!M$22</f>
        <v>7359.7778208164382</v>
      </c>
      <c r="V137" s="304">
        <f>$M137*'LED Impact Forecast'!$H$23+$D137*'LED Impact Forecast'!$J$23</f>
        <v>9925.1367071212844</v>
      </c>
      <c r="W137" s="304">
        <f>$M137*'CFL Impact Forecast'!$H$23+$D137*'CFL Impact Forecast'!$J$23</f>
        <v>266939.59709591215</v>
      </c>
      <c r="X137" s="304">
        <f>$M137*'EISA Incand Impact Forecast'!$G$23+$D137*'EISA Incand Impact Forecast'!$I$23</f>
        <v>89894.180624124259</v>
      </c>
      <c r="Y137" s="85">
        <f t="shared" si="68"/>
        <v>509200.77295218827</v>
      </c>
      <c r="Z137" s="81">
        <f t="shared" si="69"/>
        <v>569973.03976413433</v>
      </c>
      <c r="AA137" s="81"/>
      <c r="AB137" s="262">
        <f>+'MWh by mo-WgtbyActulCDH&amp;Days'!AB137</f>
        <v>4820575.9363739984</v>
      </c>
      <c r="AC137" s="308">
        <f t="shared" si="77"/>
        <v>118.2375399303146</v>
      </c>
      <c r="AD137" s="309">
        <f t="shared" si="70"/>
        <v>12.606847732318572</v>
      </c>
      <c r="AE137" s="107">
        <f t="shared" si="71"/>
        <v>9.4788328814425352E-4</v>
      </c>
      <c r="AF137" s="309">
        <f t="shared" si="78"/>
        <v>105.63069219799601</v>
      </c>
      <c r="AG137" s="107">
        <f t="shared" si="72"/>
        <v>7.94215730812E-3</v>
      </c>
      <c r="AH137" s="119">
        <f t="shared" si="79"/>
        <v>8.8900405962642533E-3</v>
      </c>
      <c r="AI137" s="122">
        <f t="shared" si="73"/>
        <v>8.8900405962642551E-3</v>
      </c>
      <c r="AJ137" s="87" t="b">
        <f t="shared" si="80"/>
        <v>0</v>
      </c>
      <c r="AK137" s="88">
        <f t="shared" si="54"/>
        <v>9.6482365116583139E-4</v>
      </c>
      <c r="AL137" s="312">
        <f>+AC137/'MWh by month-WgtbyCDH&amp;DayLtHrs'!AC137-1</f>
        <v>-0.15513352442654482</v>
      </c>
      <c r="AM137" s="89">
        <f t="shared" si="74"/>
        <v>266939.59709591215</v>
      </c>
      <c r="AN137" s="93"/>
      <c r="AO137" s="96">
        <f t="shared" si="63"/>
        <v>55.375042447044649</v>
      </c>
      <c r="AP137" s="92">
        <f t="shared" si="62"/>
        <v>4.1635370260935823E-3</v>
      </c>
      <c r="AR137" s="94">
        <f t="shared" si="75"/>
        <v>8.8900405962642551E-3</v>
      </c>
      <c r="AS137" s="95">
        <v>607892.27708418097</v>
      </c>
      <c r="AU137" s="141">
        <v>118.2375399303146</v>
      </c>
    </row>
    <row r="138" spans="1:47">
      <c r="A138" s="78">
        <v>2016</v>
      </c>
      <c r="B138" s="78">
        <v>2</v>
      </c>
      <c r="C138" s="317">
        <f t="shared" si="52"/>
        <v>35.042184420393127</v>
      </c>
      <c r="D138" s="324">
        <f t="shared" si="64"/>
        <v>1.7822245532205266E-2</v>
      </c>
      <c r="E138" s="321">
        <f>$D138*'MWh Impact Summary'!B$22</f>
        <v>36863.934663528526</v>
      </c>
      <c r="F138" s="319">
        <f>$D138*'MWh Impact Summary'!N$22</f>
        <v>3270.2090435564064</v>
      </c>
      <c r="G138" s="319">
        <f>$D138*'MWh Impact Summary'!C$22</f>
        <v>29656.961278177139</v>
      </c>
      <c r="H138" s="319">
        <f>$D138*'MWh Impact Summary'!D$22</f>
        <v>102.38163051829498</v>
      </c>
      <c r="I138" s="319">
        <f>$D138*'MWh Impact Summary'!E$22</f>
        <v>11660.02527824941</v>
      </c>
      <c r="J138" s="104">
        <f t="shared" si="76"/>
        <v>81553.511894029783</v>
      </c>
      <c r="K138" s="298">
        <f t="shared" si="53"/>
        <v>12.733333333333333</v>
      </c>
      <c r="L138" s="300">
        <f t="shared" si="65"/>
        <v>8.9639798193124468E-2</v>
      </c>
      <c r="M138" s="297">
        <f>(29/366)</f>
        <v>7.9234972677595633E-2</v>
      </c>
      <c r="N138" s="304">
        <f>$M138*'MWh Impact Summary'!F$22</f>
        <v>85774.973716867273</v>
      </c>
      <c r="O138" s="304">
        <f>$M138*'MWh Impact Summary'!G$22</f>
        <v>1690.1088318017023</v>
      </c>
      <c r="P138" s="304">
        <f>$M138*'MWh Impact Summary'!H$22</f>
        <v>4639.6445168293658</v>
      </c>
      <c r="Q138" s="304">
        <f>$M138*'MWh Impact Summary'!I$22</f>
        <v>1060.2193428485123</v>
      </c>
      <c r="R138" s="304">
        <f>$M138*'MWh Impact Summary'!J$22</f>
        <v>24689.14205877823</v>
      </c>
      <c r="S138" s="304">
        <f>$M138*'MWh Impact Summary'!K$22</f>
        <v>6244.7884697337795</v>
      </c>
      <c r="T138" s="304">
        <f>$M138*'MWh Impact Summary'!L$22</f>
        <v>2268.2308186963096</v>
      </c>
      <c r="U138" s="304">
        <f>$M138*'MWh Impact Summary'!M$22</f>
        <v>6884.9534452798944</v>
      </c>
      <c r="V138" s="304">
        <f>$M138*'LED Impact Forecast'!$H$23+$D138*'LED Impact Forecast'!$J$23</f>
        <v>9339.0177786724034</v>
      </c>
      <c r="W138" s="304">
        <f>$M138*'CFL Impact Forecast'!$H$23+$D138*'CFL Impact Forecast'!$J$23</f>
        <v>252533.01867437322</v>
      </c>
      <c r="X138" s="304">
        <f>$M138*'EISA Incand Impact Forecast'!$G$23+$D138*'EISA Incand Impact Forecast'!$I$23</f>
        <v>85117.329619414071</v>
      </c>
      <c r="Y138" s="85">
        <f t="shared" si="68"/>
        <v>480241.42727329477</v>
      </c>
      <c r="Z138" s="81">
        <f t="shared" si="69"/>
        <v>561794.93916732457</v>
      </c>
      <c r="AA138" s="81"/>
      <c r="AB138" s="262">
        <f>+'MWh by mo-WgtbyActulCDH&amp;Days'!AB138</f>
        <v>4826494.7966620158</v>
      </c>
      <c r="AC138" s="308">
        <f t="shared" si="77"/>
        <v>116.39812386327644</v>
      </c>
      <c r="AD138" s="309">
        <f t="shared" si="70"/>
        <v>16.89704751167076</v>
      </c>
      <c r="AE138" s="107">
        <f t="shared" si="71"/>
        <v>1.3269932600788556E-3</v>
      </c>
      <c r="AF138" s="309">
        <f t="shared" si="78"/>
        <v>99.501076351605676</v>
      </c>
      <c r="AG138" s="107">
        <f t="shared" si="72"/>
        <v>7.814220655885263E-3</v>
      </c>
      <c r="AH138" s="119">
        <f t="shared" si="79"/>
        <v>9.1412139159641193E-3</v>
      </c>
      <c r="AI138" s="122">
        <f t="shared" si="73"/>
        <v>9.1412139159641193E-3</v>
      </c>
      <c r="AJ138" s="87" t="b">
        <f t="shared" si="80"/>
        <v>1</v>
      </c>
      <c r="AK138" s="88">
        <f t="shared" si="54"/>
        <v>1.2248918516880834E-3</v>
      </c>
      <c r="AL138" s="312">
        <f>+AC138/'MWh by month-WgtbyCDH&amp;DayLtHrs'!AC138-1</f>
        <v>-0.16313573041013618</v>
      </c>
      <c r="AM138" s="89">
        <f t="shared" si="74"/>
        <v>252533.01867437322</v>
      </c>
      <c r="AN138" s="93"/>
      <c r="AO138" s="96">
        <f t="shared" si="63"/>
        <v>52.32223990980453</v>
      </c>
      <c r="AP138" s="92">
        <f t="shared" si="62"/>
        <v>4.1090764327071623E-3</v>
      </c>
      <c r="AR138" s="94">
        <f t="shared" si="75"/>
        <v>9.1412139159641193E-3</v>
      </c>
      <c r="AS138" s="95">
        <v>582164.70607935276</v>
      </c>
      <c r="AU138" s="141">
        <v>116.39812386327644</v>
      </c>
    </row>
    <row r="139" spans="1:47">
      <c r="A139" s="78">
        <v>2016</v>
      </c>
      <c r="B139" s="78">
        <v>3</v>
      </c>
      <c r="C139" s="317">
        <f t="shared" si="52"/>
        <v>64.582270600115152</v>
      </c>
      <c r="D139" s="324">
        <f t="shared" si="64"/>
        <v>3.2846156787895278E-2</v>
      </c>
      <c r="E139" s="321">
        <f>$D139*'MWh Impact Summary'!B$22</f>
        <v>67939.73158932013</v>
      </c>
      <c r="F139" s="319">
        <f>$D139*'MWh Impact Summary'!N$22</f>
        <v>6026.9509125405784</v>
      </c>
      <c r="G139" s="319">
        <f>$D139*'MWh Impact Summary'!C$22</f>
        <v>54657.377390255904</v>
      </c>
      <c r="H139" s="319">
        <f>$D139*'MWh Impact Summary'!D$22</f>
        <v>188.68795641534257</v>
      </c>
      <c r="I139" s="319">
        <f>$D139*'MWh Impact Summary'!E$22</f>
        <v>21489.268439722411</v>
      </c>
      <c r="J139" s="104">
        <f t="shared" si="76"/>
        <v>150302.01628825438</v>
      </c>
      <c r="K139" s="298">
        <f t="shared" si="53"/>
        <v>12</v>
      </c>
      <c r="L139" s="300">
        <f t="shared" si="65"/>
        <v>8.4477296726504739E-2</v>
      </c>
      <c r="M139" s="297">
        <f>(31/366)</f>
        <v>8.4699453551912565E-2</v>
      </c>
      <c r="N139" s="304">
        <f>$M139*'MWh Impact Summary'!F$22</f>
        <v>91690.489145616724</v>
      </c>
      <c r="O139" s="304">
        <f>$M139*'MWh Impact Summary'!G$22</f>
        <v>1806.6680615811299</v>
      </c>
      <c r="P139" s="304">
        <f>$M139*'MWh Impact Summary'!H$22</f>
        <v>4959.6200007486323</v>
      </c>
      <c r="Q139" s="304">
        <f>$M139*'MWh Impact Summary'!I$22</f>
        <v>1133.3379182173751</v>
      </c>
      <c r="R139" s="304">
        <f>$M139*'MWh Impact Summary'!J$22</f>
        <v>26391.841511107759</v>
      </c>
      <c r="S139" s="304">
        <f>$M139*'MWh Impact Summary'!K$22</f>
        <v>6675.463536611971</v>
      </c>
      <c r="T139" s="304">
        <f>$M139*'MWh Impact Summary'!L$22</f>
        <v>2424.6605303305378</v>
      </c>
      <c r="U139" s="304">
        <f>$M139*'MWh Impact Summary'!M$22</f>
        <v>7359.7778208164382</v>
      </c>
      <c r="V139" s="304">
        <f>$M139*'LED Impact Forecast'!$H$23+$D139*'LED Impact Forecast'!$J$23</f>
        <v>10121.623706875236</v>
      </c>
      <c r="W139" s="304">
        <f>$M139*'CFL Impact Forecast'!$H$23+$D139*'CFL Impact Forecast'!$J$23</f>
        <v>277143.44750988809</v>
      </c>
      <c r="X139" s="304">
        <f>$M139*'EISA Incand Impact Forecast'!$G$23+$D139*'EISA Incand Impact Forecast'!$I$23</f>
        <v>93601.108184246099</v>
      </c>
      <c r="Y139" s="85">
        <f t="shared" si="68"/>
        <v>523308.03792604001</v>
      </c>
      <c r="Z139" s="81">
        <f t="shared" si="69"/>
        <v>673610.05421429442</v>
      </c>
      <c r="AA139" s="81"/>
      <c r="AB139" s="262">
        <f>+'MWh by mo-WgtbyActulCDH&amp;Days'!AB139</f>
        <v>4833093.7745679663</v>
      </c>
      <c r="AC139" s="308">
        <f t="shared" si="77"/>
        <v>139.3745053652531</v>
      </c>
      <c r="AD139" s="309">
        <f t="shared" si="70"/>
        <v>31.098510250132687</v>
      </c>
      <c r="AE139" s="107">
        <f t="shared" si="71"/>
        <v>2.5915425208443907E-3</v>
      </c>
      <c r="AF139" s="309">
        <f t="shared" si="78"/>
        <v>108.27599511512041</v>
      </c>
      <c r="AG139" s="107">
        <f t="shared" si="72"/>
        <v>9.0229995929266994E-3</v>
      </c>
      <c r="AH139" s="119">
        <f t="shared" si="79"/>
        <v>1.161454211377109E-2</v>
      </c>
      <c r="AI139" s="122">
        <f t="shared" si="73"/>
        <v>1.1614542113771092E-2</v>
      </c>
      <c r="AJ139" s="87" t="b">
        <f t="shared" si="80"/>
        <v>1</v>
      </c>
      <c r="AK139" s="88">
        <f t="shared" si="54"/>
        <v>1.2550315678110935E-3</v>
      </c>
      <c r="AL139" s="312">
        <f>+AC139/'MWh by month-WgtbyCDH&amp;DayLtHrs'!AC139-1</f>
        <v>-4.9736161740022156E-2</v>
      </c>
      <c r="AM139" s="89">
        <f t="shared" si="74"/>
        <v>277143.44750988809</v>
      </c>
      <c r="AN139" s="93"/>
      <c r="AO139" s="96">
        <f t="shared" si="63"/>
        <v>57.342865757795515</v>
      </c>
      <c r="AP139" s="92">
        <f t="shared" si="62"/>
        <v>4.7785721464829595E-3</v>
      </c>
      <c r="AR139" s="94">
        <f t="shared" si="75"/>
        <v>1.1614542113771092E-2</v>
      </c>
      <c r="AS139" s="95">
        <v>682340.71158247255</v>
      </c>
      <c r="AU139" s="141">
        <v>139.3745053652531</v>
      </c>
    </row>
    <row r="140" spans="1:47">
      <c r="A140" s="78">
        <v>2016</v>
      </c>
      <c r="B140" s="78">
        <v>4</v>
      </c>
      <c r="C140" s="317">
        <f t="shared" si="52"/>
        <v>114.03392869270741</v>
      </c>
      <c r="D140" s="324">
        <f t="shared" si="64"/>
        <v>5.7996974497419709E-2</v>
      </c>
      <c r="E140" s="321">
        <f>$D140*'MWh Impact Summary'!B$22</f>
        <v>119962.25025021646</v>
      </c>
      <c r="F140" s="319">
        <f>$D140*'MWh Impact Summary'!N$22</f>
        <v>10641.881807634596</v>
      </c>
      <c r="G140" s="319">
        <f>$D140*'MWh Impact Summary'!C$22</f>
        <v>96509.389000016454</v>
      </c>
      <c r="H140" s="319">
        <f>$D140*'MWh Impact Summary'!D$22</f>
        <v>333.16928573585164</v>
      </c>
      <c r="I140" s="319">
        <f>$D140*'MWh Impact Summary'!E$22</f>
        <v>37943.938516608665</v>
      </c>
      <c r="J140" s="104">
        <f t="shared" si="76"/>
        <v>265390.62886021199</v>
      </c>
      <c r="K140" s="298">
        <f t="shared" si="53"/>
        <v>11.2</v>
      </c>
      <c r="L140" s="300">
        <f t="shared" si="65"/>
        <v>7.8845476944737758E-2</v>
      </c>
      <c r="M140" s="297">
        <f>(30/366)</f>
        <v>8.1967213114754092E-2</v>
      </c>
      <c r="N140" s="304">
        <f>$M140*'MWh Impact Summary'!F$22</f>
        <v>88732.731431241991</v>
      </c>
      <c r="O140" s="304">
        <f>$M140*'MWh Impact Summary'!G$22</f>
        <v>1748.388446691416</v>
      </c>
      <c r="P140" s="304">
        <f>$M140*'MWh Impact Summary'!H$22</f>
        <v>4799.6322587889981</v>
      </c>
      <c r="Q140" s="304">
        <f>$M140*'MWh Impact Summary'!I$22</f>
        <v>1096.7786305329437</v>
      </c>
      <c r="R140" s="304">
        <f>$M140*'MWh Impact Summary'!J$22</f>
        <v>25540.491784942991</v>
      </c>
      <c r="S140" s="304">
        <f>$M140*'MWh Impact Summary'!K$22</f>
        <v>6460.1260031728743</v>
      </c>
      <c r="T140" s="304">
        <f>$M140*'MWh Impact Summary'!L$22</f>
        <v>2346.4456745134235</v>
      </c>
      <c r="U140" s="304">
        <f>$M140*'MWh Impact Summary'!M$22</f>
        <v>7122.3656330481654</v>
      </c>
      <c r="V140" s="304">
        <f>$M140*'LED Impact Forecast'!$H$23+$D140*'LED Impact Forecast'!$J$23</f>
        <v>10058.340312189419</v>
      </c>
      <c r="W140" s="304">
        <f>$M140*'CFL Impact Forecast'!$H$23+$D140*'CFL Impact Forecast'!$J$23</f>
        <v>281872.75763250678</v>
      </c>
      <c r="X140" s="304">
        <f>$M140*'EISA Incand Impact Forecast'!$G$23+$D140*'EISA Incand Impact Forecast'!$I$23</f>
        <v>95547.642480227791</v>
      </c>
      <c r="Y140" s="85">
        <f t="shared" si="68"/>
        <v>525325.70028785674</v>
      </c>
      <c r="Z140" s="81">
        <f t="shared" si="69"/>
        <v>790716.32914806879</v>
      </c>
      <c r="AA140" s="81"/>
      <c r="AB140" s="262">
        <f>+'MWh by mo-WgtbyActulCDH&amp;Days'!AB140</f>
        <v>4838808.8957821839</v>
      </c>
      <c r="AC140" s="308">
        <f t="shared" si="77"/>
        <v>163.41135725308513</v>
      </c>
      <c r="AD140" s="309">
        <f t="shared" si="70"/>
        <v>54.846272001265326</v>
      </c>
      <c r="AE140" s="107">
        <f t="shared" si="71"/>
        <v>4.8969885715415473E-3</v>
      </c>
      <c r="AF140" s="309">
        <f t="shared" si="78"/>
        <v>108.56508525181978</v>
      </c>
      <c r="AG140" s="107">
        <f t="shared" si="72"/>
        <v>9.6933111831981958E-3</v>
      </c>
      <c r="AH140" s="119">
        <f t="shared" si="79"/>
        <v>1.4590299754739744E-2</v>
      </c>
      <c r="AI140" s="122">
        <f t="shared" si="73"/>
        <v>1.4590299754739744E-2</v>
      </c>
      <c r="AJ140" s="87" t="b">
        <f t="shared" si="80"/>
        <v>1</v>
      </c>
      <c r="AK140" s="88">
        <f t="shared" si="54"/>
        <v>1.559593916567124E-3</v>
      </c>
      <c r="AL140" s="312">
        <f>+AC140/'MWh by month-WgtbyCDH&amp;DayLtHrs'!AC140-1</f>
        <v>9.9837204328179219E-4</v>
      </c>
      <c r="AM140" s="89">
        <f t="shared" si="74"/>
        <v>281872.75763250678</v>
      </c>
      <c r="AN140" s="93"/>
      <c r="AO140" s="96">
        <f t="shared" si="63"/>
        <v>58.252508768884255</v>
      </c>
      <c r="AP140" s="92">
        <f t="shared" si="62"/>
        <v>5.2011168543646662E-3</v>
      </c>
      <c r="AR140" s="94">
        <f t="shared" si="75"/>
        <v>1.4590299754739744E-2</v>
      </c>
      <c r="AS140" s="95">
        <v>799569.9281839102</v>
      </c>
      <c r="AU140" s="141">
        <v>163.41135725308513</v>
      </c>
    </row>
    <row r="141" spans="1:47">
      <c r="A141" s="78">
        <v>2016</v>
      </c>
      <c r="B141" s="78">
        <v>5</v>
      </c>
      <c r="C141" s="317">
        <f t="shared" si="52"/>
        <v>208.47875842628665</v>
      </c>
      <c r="D141" s="324">
        <f t="shared" si="64"/>
        <v>0.10603105035770212</v>
      </c>
      <c r="E141" s="321">
        <f>$D141*'MWh Impact Summary'!B$22</f>
        <v>219317.01623280137</v>
      </c>
      <c r="F141" s="319">
        <f>$D141*'MWh Impact Summary'!N$22</f>
        <v>19455.66843139756</v>
      </c>
      <c r="G141" s="319">
        <f>$D141*'MWh Impact Summary'!C$22</f>
        <v>176440.09836249432</v>
      </c>
      <c r="H141" s="319">
        <f>$D141*'MWh Impact Summary'!D$22</f>
        <v>609.10572697321311</v>
      </c>
      <c r="I141" s="319">
        <f>$D141*'MWh Impact Summary'!E$22</f>
        <v>69369.75058592204</v>
      </c>
      <c r="J141" s="104">
        <f t="shared" si="76"/>
        <v>485191.63933958852</v>
      </c>
      <c r="K141" s="298">
        <f t="shared" si="53"/>
        <v>10.533333333333333</v>
      </c>
      <c r="L141" s="300">
        <f t="shared" si="65"/>
        <v>7.4152293793265281E-2</v>
      </c>
      <c r="M141" s="297">
        <f>(31/366)</f>
        <v>8.4699453551912565E-2</v>
      </c>
      <c r="N141" s="304">
        <f>$M141*'MWh Impact Summary'!F$22</f>
        <v>91690.489145616724</v>
      </c>
      <c r="O141" s="304">
        <f>$M141*'MWh Impact Summary'!G$22</f>
        <v>1806.6680615811299</v>
      </c>
      <c r="P141" s="304">
        <f>$M141*'MWh Impact Summary'!H$22</f>
        <v>4959.6200007486323</v>
      </c>
      <c r="Q141" s="304">
        <f>$M141*'MWh Impact Summary'!I$22</f>
        <v>1133.3379182173751</v>
      </c>
      <c r="R141" s="304">
        <f>$M141*'MWh Impact Summary'!J$22</f>
        <v>26391.841511107759</v>
      </c>
      <c r="S141" s="304">
        <f>$M141*'MWh Impact Summary'!K$22</f>
        <v>6675.463536611971</v>
      </c>
      <c r="T141" s="304">
        <f>$M141*'MWh Impact Summary'!L$22</f>
        <v>2424.6605303305378</v>
      </c>
      <c r="U141" s="304">
        <f>$M141*'MWh Impact Summary'!M$22</f>
        <v>7359.7778208164382</v>
      </c>
      <c r="V141" s="304">
        <f>$M141*'LED Impact Forecast'!$H$23+$D141*'LED Impact Forecast'!$J$23</f>
        <v>10856.591219539852</v>
      </c>
      <c r="W141" s="304">
        <f>$M141*'CFL Impact Forecast'!$H$23+$D141*'CFL Impact Forecast'!$J$23</f>
        <v>315311.35972674127</v>
      </c>
      <c r="X141" s="304">
        <f>$M141*'EISA Incand Impact Forecast'!$G$23+$D141*'EISA Incand Impact Forecast'!$I$23</f>
        <v>107467.01957737813</v>
      </c>
      <c r="Y141" s="85">
        <f t="shared" si="68"/>
        <v>576076.8290486898</v>
      </c>
      <c r="Z141" s="81">
        <f t="shared" si="69"/>
        <v>1061268.4683882783</v>
      </c>
      <c r="AA141" s="81"/>
      <c r="AB141" s="262">
        <f>+'MWh by mo-WgtbyActulCDH&amp;Days'!AB141</f>
        <v>4843834.8322112709</v>
      </c>
      <c r="AC141" s="308">
        <f t="shared" si="77"/>
        <v>219.09674981708574</v>
      </c>
      <c r="AD141" s="309">
        <f t="shared" si="70"/>
        <v>100.16684221210171</v>
      </c>
      <c r="AE141" s="107">
        <f t="shared" si="71"/>
        <v>9.5095103365919354E-3</v>
      </c>
      <c r="AF141" s="309">
        <f t="shared" si="78"/>
        <v>118.92990760498404</v>
      </c>
      <c r="AG141" s="107">
        <f t="shared" si="72"/>
        <v>1.1290814013131395E-2</v>
      </c>
      <c r="AH141" s="119">
        <f t="shared" si="79"/>
        <v>2.0800324349723329E-2</v>
      </c>
      <c r="AI141" s="122">
        <f t="shared" si="73"/>
        <v>2.0800324349723329E-2</v>
      </c>
      <c r="AJ141" s="87" t="b">
        <f t="shared" si="80"/>
        <v>1</v>
      </c>
      <c r="AK141" s="88">
        <f t="shared" si="54"/>
        <v>2.191967517911321E-3</v>
      </c>
      <c r="AL141" s="312">
        <f>+AC141/'MWh by month-WgtbyCDH&amp;DayLtHrs'!AC141-1</f>
        <v>8.1412326063777574E-2</v>
      </c>
      <c r="AM141" s="89">
        <f t="shared" si="74"/>
        <v>315311.35972674127</v>
      </c>
      <c r="AN141" s="93"/>
      <c r="AO141" s="96">
        <f t="shared" si="63"/>
        <v>65.095398717961174</v>
      </c>
      <c r="AP141" s="92">
        <f t="shared" si="62"/>
        <v>6.1799429162621372E-3</v>
      </c>
      <c r="AR141" s="94">
        <f t="shared" si="75"/>
        <v>2.0800324349723329E-2</v>
      </c>
      <c r="AS141" s="95">
        <v>958692.5151507766</v>
      </c>
      <c r="AU141" s="141">
        <v>219.09674981708574</v>
      </c>
    </row>
    <row r="142" spans="1:47">
      <c r="A142" s="78">
        <v>2016</v>
      </c>
      <c r="B142" s="78">
        <v>6</v>
      </c>
      <c r="C142" s="317">
        <f t="shared" si="52"/>
        <v>271.66325293295364</v>
      </c>
      <c r="D142" s="324">
        <f t="shared" si="64"/>
        <v>0.13816630657965029</v>
      </c>
      <c r="E142" s="321">
        <f>$D142*'MWh Impact Summary'!B$22</f>
        <v>285786.30505619821</v>
      </c>
      <c r="F142" s="319">
        <f>$D142*'MWh Impact Summary'!N$22</f>
        <v>25352.175991240038</v>
      </c>
      <c r="G142" s="319">
        <f>$D142*'MWh Impact Summary'!C$22</f>
        <v>229914.50750563288</v>
      </c>
      <c r="H142" s="319">
        <f>$D142*'MWh Impact Summary'!D$22</f>
        <v>793.70984563946161</v>
      </c>
      <c r="I142" s="319">
        <f>$D142*'MWh Impact Summary'!E$22</f>
        <v>90393.91946485755</v>
      </c>
      <c r="J142" s="104">
        <f t="shared" si="76"/>
        <v>632240.61786356813</v>
      </c>
      <c r="K142" s="298">
        <f t="shared" si="53"/>
        <v>10.199999999999999</v>
      </c>
      <c r="L142" s="300">
        <f t="shared" si="65"/>
        <v>7.1805702217529022E-2</v>
      </c>
      <c r="M142" s="297">
        <f>(30/366)</f>
        <v>8.1967213114754092E-2</v>
      </c>
      <c r="N142" s="304">
        <f>$M142*'MWh Impact Summary'!F$22</f>
        <v>88732.731431241991</v>
      </c>
      <c r="O142" s="304">
        <f>$M142*'MWh Impact Summary'!G$22</f>
        <v>1748.388446691416</v>
      </c>
      <c r="P142" s="304">
        <f>$M142*'MWh Impact Summary'!H$22</f>
        <v>4799.6322587889981</v>
      </c>
      <c r="Q142" s="304">
        <f>$M142*'MWh Impact Summary'!I$22</f>
        <v>1096.7786305329437</v>
      </c>
      <c r="R142" s="304">
        <f>$M142*'MWh Impact Summary'!J$22</f>
        <v>25540.491784942991</v>
      </c>
      <c r="S142" s="304">
        <f>$M142*'MWh Impact Summary'!K$22</f>
        <v>6460.1260031728743</v>
      </c>
      <c r="T142" s="304">
        <f>$M142*'MWh Impact Summary'!L$22</f>
        <v>2346.4456745134235</v>
      </c>
      <c r="U142" s="304">
        <f>$M142*'MWh Impact Summary'!M$22</f>
        <v>7122.3656330481654</v>
      </c>
      <c r="V142" s="304">
        <f>$M142*'LED Impact Forecast'!$H$23+$D142*'LED Impact Forecast'!$J$23</f>
        <v>10863.449832998635</v>
      </c>
      <c r="W142" s="304">
        <f>$M142*'CFL Impact Forecast'!$H$23+$D142*'CFL Impact Forecast'!$J$23</f>
        <v>323683.2444712923</v>
      </c>
      <c r="X142" s="304">
        <f>$M142*'EISA Incand Impact Forecast'!$G$23+$D142*'EISA Incand Impact Forecast'!$I$23</f>
        <v>110736.85436366759</v>
      </c>
      <c r="Y142" s="85">
        <f t="shared" si="68"/>
        <v>583130.50853089127</v>
      </c>
      <c r="Z142" s="81">
        <f t="shared" si="69"/>
        <v>1215371.1263944595</v>
      </c>
      <c r="AA142" s="81"/>
      <c r="AB142" s="262">
        <f>+'MWh by mo-WgtbyActulCDH&amp;Days'!AB142</f>
        <v>4848895.9460375952</v>
      </c>
      <c r="AC142" s="308">
        <f t="shared" si="77"/>
        <v>250.64904256970755</v>
      </c>
      <c r="AD142" s="309">
        <f t="shared" si="70"/>
        <v>130.38857193465256</v>
      </c>
      <c r="AE142" s="107">
        <f t="shared" si="71"/>
        <v>1.2783193326926724E-2</v>
      </c>
      <c r="AF142" s="309">
        <f t="shared" si="78"/>
        <v>120.26047063505497</v>
      </c>
      <c r="AG142" s="107">
        <f t="shared" si="72"/>
        <v>1.1790242219123037E-2</v>
      </c>
      <c r="AH142" s="119">
        <f t="shared" si="79"/>
        <v>2.4573435546049759E-2</v>
      </c>
      <c r="AI142" s="122">
        <f t="shared" si="73"/>
        <v>2.4573435546049762E-2</v>
      </c>
      <c r="AJ142" s="87" t="b">
        <f t="shared" si="80"/>
        <v>1</v>
      </c>
      <c r="AK142" s="88">
        <f t="shared" si="54"/>
        <v>2.5750970316654777E-3</v>
      </c>
      <c r="AL142" s="312">
        <f>+AC142/'MWh by month-WgtbyCDH&amp;DayLtHrs'!AC142-1</f>
        <v>9.0758914153000081E-2</v>
      </c>
      <c r="AM142" s="89">
        <f t="shared" si="74"/>
        <v>323683.2444712923</v>
      </c>
      <c r="AN142" s="93"/>
      <c r="AO142" s="96">
        <f t="shared" si="63"/>
        <v>66.754009175181153</v>
      </c>
      <c r="AP142" s="92">
        <f t="shared" si="62"/>
        <v>6.5445107034491331E-3</v>
      </c>
      <c r="AR142" s="94">
        <f t="shared" si="75"/>
        <v>2.4573435546049762E-2</v>
      </c>
      <c r="AS142" s="95">
        <v>1168219.7004325814</v>
      </c>
      <c r="AU142" s="141">
        <v>250.64904256970755</v>
      </c>
    </row>
    <row r="143" spans="1:47">
      <c r="A143" s="78">
        <v>2016</v>
      </c>
      <c r="B143" s="78">
        <v>7</v>
      </c>
      <c r="C143" s="317">
        <f t="shared" si="52"/>
        <v>322.31916585708109</v>
      </c>
      <c r="D143" s="324">
        <f t="shared" si="64"/>
        <v>0.16392960109808263</v>
      </c>
      <c r="E143" s="321">
        <f>$D143*'MWh Impact Summary'!B$22</f>
        <v>339075.68456387776</v>
      </c>
      <c r="F143" s="319">
        <f>$D143*'MWh Impact Summary'!N$22</f>
        <v>30079.490435075983</v>
      </c>
      <c r="G143" s="319">
        <f>$D143*'MWh Impact Summary'!C$22</f>
        <v>272785.70611810533</v>
      </c>
      <c r="H143" s="319">
        <f>$D143*'MWh Impact Summary'!D$22</f>
        <v>941.70960782171767</v>
      </c>
      <c r="I143" s="319">
        <f>$D143*'MWh Impact Summary'!E$22</f>
        <v>107249.29634725285</v>
      </c>
      <c r="J143" s="104">
        <f t="shared" si="76"/>
        <v>750131.88707213383</v>
      </c>
      <c r="K143" s="298">
        <f t="shared" si="53"/>
        <v>10.366666666666667</v>
      </c>
      <c r="L143" s="300">
        <f t="shared" si="65"/>
        <v>7.2978998005397158E-2</v>
      </c>
      <c r="M143" s="297">
        <f>(31/366)</f>
        <v>8.4699453551912565E-2</v>
      </c>
      <c r="N143" s="304">
        <f>$M143*'MWh Impact Summary'!F$22</f>
        <v>91690.489145616724</v>
      </c>
      <c r="O143" s="304">
        <f>$M143*'MWh Impact Summary'!G$22</f>
        <v>1806.6680615811299</v>
      </c>
      <c r="P143" s="304">
        <f>$M143*'MWh Impact Summary'!H$22</f>
        <v>4959.6200007486323</v>
      </c>
      <c r="Q143" s="304">
        <f>$M143*'MWh Impact Summary'!I$22</f>
        <v>1133.3379182173751</v>
      </c>
      <c r="R143" s="304">
        <f>$M143*'MWh Impact Summary'!J$22</f>
        <v>26391.841511107759</v>
      </c>
      <c r="S143" s="304">
        <f>$M143*'MWh Impact Summary'!K$22</f>
        <v>6675.463536611971</v>
      </c>
      <c r="T143" s="304">
        <f>$M143*'MWh Impact Summary'!L$22</f>
        <v>2424.6605303305378</v>
      </c>
      <c r="U143" s="304">
        <f>$M143*'MWh Impact Summary'!M$22</f>
        <v>7359.7778208164382</v>
      </c>
      <c r="V143" s="304">
        <f>$M143*'LED Impact Forecast'!$H$23+$D143*'LED Impact Forecast'!$J$23</f>
        <v>11438.043917615501</v>
      </c>
      <c r="W143" s="304">
        <f>$M143*'CFL Impact Forecast'!$H$23+$D143*'CFL Impact Forecast'!$J$23</f>
        <v>345507.02845493314</v>
      </c>
      <c r="X143" s="304">
        <f>$M143*'EISA Incand Impact Forecast'!$G$23+$D143*'EISA Incand Impact Forecast'!$I$23</f>
        <v>118436.71749175873</v>
      </c>
      <c r="Y143" s="85">
        <f t="shared" si="68"/>
        <v>617823.64838933793</v>
      </c>
      <c r="Z143" s="81">
        <f t="shared" si="69"/>
        <v>1367955.5354614719</v>
      </c>
      <c r="AA143" s="81"/>
      <c r="AB143" s="262">
        <f>+'MWh by mo-WgtbyActulCDH&amp;Days'!AB143</f>
        <v>4855525.4877184592</v>
      </c>
      <c r="AC143" s="308">
        <f t="shared" si="77"/>
        <v>281.73171759093253</v>
      </c>
      <c r="AD143" s="309">
        <f t="shared" si="70"/>
        <v>154.49036133566045</v>
      </c>
      <c r="AE143" s="107">
        <f t="shared" si="71"/>
        <v>1.4902607202796828E-2</v>
      </c>
      <c r="AF143" s="309">
        <f t="shared" si="78"/>
        <v>127.24135625527202</v>
      </c>
      <c r="AG143" s="107">
        <f t="shared" si="72"/>
        <v>1.2274085812405661E-2</v>
      </c>
      <c r="AH143" s="119">
        <f t="shared" si="79"/>
        <v>2.7176693015202487E-2</v>
      </c>
      <c r="AI143" s="122">
        <f t="shared" si="73"/>
        <v>2.7176693015202494E-2</v>
      </c>
      <c r="AJ143" s="87" t="b">
        <f t="shared" si="80"/>
        <v>1</v>
      </c>
      <c r="AK143" s="88">
        <f t="shared" si="54"/>
        <v>2.8715453512324525E-3</v>
      </c>
      <c r="AL143" s="312">
        <f>+AC143/'MWh by month-WgtbyCDH&amp;DayLtHrs'!AC143-1</f>
        <v>0.10388087755667952</v>
      </c>
      <c r="AM143" s="89">
        <f t="shared" si="74"/>
        <v>345507.02845493314</v>
      </c>
      <c r="AN143" s="93"/>
      <c r="AO143" s="96">
        <f t="shared" si="63"/>
        <v>71.157494555194248</v>
      </c>
      <c r="AP143" s="92">
        <f t="shared" si="62"/>
        <v>6.8640669988933355E-3</v>
      </c>
      <c r="AR143" s="94">
        <f t="shared" si="75"/>
        <v>2.7176693015202494E-2</v>
      </c>
      <c r="AS143" s="95">
        <v>1227840.8440896038</v>
      </c>
      <c r="AU143" s="141">
        <v>281.73171759093253</v>
      </c>
    </row>
    <row r="144" spans="1:47">
      <c r="A144" s="78">
        <v>2016</v>
      </c>
      <c r="B144" s="78">
        <v>8</v>
      </c>
      <c r="C144" s="317">
        <f t="shared" si="52"/>
        <v>326.45437890907908</v>
      </c>
      <c r="D144" s="324">
        <f t="shared" si="64"/>
        <v>0.16603274573816959</v>
      </c>
      <c r="E144" s="321">
        <f>$D144*'MWh Impact Summary'!B$22</f>
        <v>343425.8763766893</v>
      </c>
      <c r="F144" s="319">
        <f>$D144*'MWh Impact Summary'!N$22</f>
        <v>30465.397060001073</v>
      </c>
      <c r="G144" s="319">
        <f>$D144*'MWh Impact Summary'!C$22</f>
        <v>276285.42668029573</v>
      </c>
      <c r="H144" s="319">
        <f>$D144*'MWh Impact Summary'!D$22</f>
        <v>953.79132766329542</v>
      </c>
      <c r="I144" s="319">
        <f>$D144*'MWh Impact Summary'!E$22</f>
        <v>108625.25762120767</v>
      </c>
      <c r="J144" s="104">
        <f t="shared" si="76"/>
        <v>759755.74906585715</v>
      </c>
      <c r="K144" s="298">
        <f t="shared" si="53"/>
        <v>10.933333333333334</v>
      </c>
      <c r="L144" s="300">
        <f t="shared" si="65"/>
        <v>7.6968203684148764E-2</v>
      </c>
      <c r="M144" s="297">
        <f>(31/366)</f>
        <v>8.4699453551912565E-2</v>
      </c>
      <c r="N144" s="304">
        <f>$M144*'MWh Impact Summary'!F$22</f>
        <v>91690.489145616724</v>
      </c>
      <c r="O144" s="304">
        <f>$M144*'MWh Impact Summary'!G$22</f>
        <v>1806.6680615811299</v>
      </c>
      <c r="P144" s="304">
        <f>$M144*'MWh Impact Summary'!H$22</f>
        <v>4959.6200007486323</v>
      </c>
      <c r="Q144" s="304">
        <f>$M144*'MWh Impact Summary'!I$22</f>
        <v>1133.3379182173751</v>
      </c>
      <c r="R144" s="304">
        <f>$M144*'MWh Impact Summary'!J$22</f>
        <v>26391.841511107759</v>
      </c>
      <c r="S144" s="304">
        <f>$M144*'MWh Impact Summary'!K$22</f>
        <v>6675.463536611971</v>
      </c>
      <c r="T144" s="304">
        <f>$M144*'MWh Impact Summary'!L$22</f>
        <v>2424.6605303305378</v>
      </c>
      <c r="U144" s="304">
        <f>$M144*'MWh Impact Summary'!M$22</f>
        <v>7359.7778208164382</v>
      </c>
      <c r="V144" s="304">
        <f>$M144*'LED Impact Forecast'!$H$23+$D144*'LED Impact Forecast'!$J$23</f>
        <v>11459.164983856095</v>
      </c>
      <c r="W144" s="304">
        <f>$M144*'CFL Impact Forecast'!$H$23+$D144*'CFL Impact Forecast'!$J$23</f>
        <v>346603.87557852175</v>
      </c>
      <c r="X144" s="304">
        <f>$M144*'EISA Incand Impact Forecast'!$G$23+$D144*'EISA Incand Impact Forecast'!$I$23</f>
        <v>118835.18793837584</v>
      </c>
      <c r="Y144" s="85">
        <f t="shared" si="68"/>
        <v>619340.08702578431</v>
      </c>
      <c r="Z144" s="81">
        <f t="shared" si="69"/>
        <v>1379095.8360916413</v>
      </c>
      <c r="AA144" s="81"/>
      <c r="AB144" s="262">
        <f>+'MWh by mo-WgtbyActulCDH&amp;Days'!AB144</f>
        <v>4862964.3023347482</v>
      </c>
      <c r="AC144" s="308">
        <f t="shared" si="77"/>
        <v>283.59160181980496</v>
      </c>
      <c r="AD144" s="309">
        <f t="shared" si="70"/>
        <v>156.23305083713905</v>
      </c>
      <c r="AE144" s="107">
        <f t="shared" si="71"/>
        <v>1.4289608308274913E-2</v>
      </c>
      <c r="AF144" s="309">
        <f t="shared" si="78"/>
        <v>127.35855098266589</v>
      </c>
      <c r="AG144" s="107">
        <f t="shared" si="72"/>
        <v>1.1648647955731636E-2</v>
      </c>
      <c r="AH144" s="119">
        <f t="shared" si="79"/>
        <v>2.5938256264006549E-2</v>
      </c>
      <c r="AI144" s="122">
        <f t="shared" si="73"/>
        <v>2.5938256264006553E-2</v>
      </c>
      <c r="AJ144" s="87" t="b">
        <f t="shared" si="80"/>
        <v>0</v>
      </c>
      <c r="AK144" s="88">
        <f t="shared" si="54"/>
        <v>2.7442372278158843E-3</v>
      </c>
      <c r="AL144" s="312">
        <f>+AC144/'MWh by month-WgtbyCDH&amp;DayLtHrs'!AC144-1</f>
        <v>8.338538037608445E-2</v>
      </c>
      <c r="AM144" s="89">
        <f t="shared" si="74"/>
        <v>346603.87557852175</v>
      </c>
      <c r="AN144" s="93"/>
      <c r="AO144" s="96">
        <f t="shared" si="63"/>
        <v>71.274196977369215</v>
      </c>
      <c r="AP144" s="92">
        <f t="shared" si="62"/>
        <v>6.5189814308569405E-3</v>
      </c>
      <c r="AR144" s="94">
        <f t="shared" si="75"/>
        <v>2.5938256264006553E-2</v>
      </c>
      <c r="AS144" s="95">
        <v>1276453.2668340718</v>
      </c>
      <c r="AU144" s="141">
        <v>283.59160181980496</v>
      </c>
    </row>
    <row r="145" spans="1:47">
      <c r="A145" s="78">
        <v>2016</v>
      </c>
      <c r="B145" s="78">
        <v>9</v>
      </c>
      <c r="C145" s="317">
        <f t="shared" si="52"/>
        <v>277.87653293728147</v>
      </c>
      <c r="D145" s="324">
        <f t="shared" si="64"/>
        <v>0.14132634365008559</v>
      </c>
      <c r="E145" s="321">
        <f>$D145*'MWh Impact Summary'!B$22</f>
        <v>292322.59701157233</v>
      </c>
      <c r="F145" s="319">
        <f>$D145*'MWh Impact Summary'!N$22</f>
        <v>25932.012117222996</v>
      </c>
      <c r="G145" s="319">
        <f>$D145*'MWh Impact Summary'!C$22</f>
        <v>235172.94123476959</v>
      </c>
      <c r="H145" s="319">
        <f>$D145*'MWh Impact Summary'!D$22</f>
        <v>811.86298729519717</v>
      </c>
      <c r="I145" s="319">
        <f>$D145*'MWh Impact Summary'!E$22</f>
        <v>92461.342004564955</v>
      </c>
      <c r="J145" s="104">
        <f t="shared" si="76"/>
        <v>646700.75535542495</v>
      </c>
      <c r="K145" s="298">
        <f t="shared" si="53"/>
        <v>11.683333333333334</v>
      </c>
      <c r="L145" s="300">
        <f t="shared" si="65"/>
        <v>8.2248034729555317E-2</v>
      </c>
      <c r="M145" s="297">
        <f>(30/366)</f>
        <v>8.1967213114754092E-2</v>
      </c>
      <c r="N145" s="304">
        <f>$M145*'MWh Impact Summary'!F$22</f>
        <v>88732.731431241991</v>
      </c>
      <c r="O145" s="304">
        <f>$M145*'MWh Impact Summary'!G$22</f>
        <v>1748.388446691416</v>
      </c>
      <c r="P145" s="304">
        <f>$M145*'MWh Impact Summary'!H$22</f>
        <v>4799.6322587889981</v>
      </c>
      <c r="Q145" s="304">
        <f>$M145*'MWh Impact Summary'!I$22</f>
        <v>1096.7786305329437</v>
      </c>
      <c r="R145" s="304">
        <f>$M145*'MWh Impact Summary'!J$22</f>
        <v>25540.491784942991</v>
      </c>
      <c r="S145" s="304">
        <f>$M145*'MWh Impact Summary'!K$22</f>
        <v>6460.1260031728743</v>
      </c>
      <c r="T145" s="304">
        <f>$M145*'MWh Impact Summary'!L$22</f>
        <v>2346.4456745134235</v>
      </c>
      <c r="U145" s="304">
        <f>$M145*'MWh Impact Summary'!M$22</f>
        <v>7122.3656330481654</v>
      </c>
      <c r="V145" s="304">
        <f>$M145*'LED Impact Forecast'!$H$23+$D145*'LED Impact Forecast'!$J$23</f>
        <v>10895.184860164733</v>
      </c>
      <c r="W145" s="304">
        <f>$M145*'CFL Impact Forecast'!$H$23+$D145*'CFL Impact Forecast'!$J$23</f>
        <v>325331.28973887657</v>
      </c>
      <c r="X145" s="304">
        <f>$M145*'EISA Incand Impact Forecast'!$G$23+$D145*'EISA Incand Impact Forecast'!$I$23</f>
        <v>111335.56800360579</v>
      </c>
      <c r="Y145" s="85">
        <f t="shared" si="68"/>
        <v>585409.00246557989</v>
      </c>
      <c r="Z145" s="81">
        <f t="shared" si="69"/>
        <v>1232109.7578210048</v>
      </c>
      <c r="AA145" s="81"/>
      <c r="AB145" s="262">
        <f>+'MWh by mo-WgtbyActulCDH&amp;Days'!AB145</f>
        <v>4867498.8173319157</v>
      </c>
      <c r="AC145" s="308">
        <f t="shared" si="77"/>
        <v>253.12995525212617</v>
      </c>
      <c r="AD145" s="309">
        <f t="shared" si="70"/>
        <v>132.86099896987943</v>
      </c>
      <c r="AE145" s="107">
        <f t="shared" si="71"/>
        <v>1.1371840140075274E-2</v>
      </c>
      <c r="AF145" s="309">
        <f t="shared" si="78"/>
        <v>120.26895628224673</v>
      </c>
      <c r="AG145" s="107">
        <f t="shared" si="72"/>
        <v>1.0294061878651646E-2</v>
      </c>
      <c r="AH145" s="119">
        <f t="shared" si="79"/>
        <v>2.166590201872692E-2</v>
      </c>
      <c r="AI145" s="122">
        <f t="shared" si="73"/>
        <v>2.1665902018726917E-2</v>
      </c>
      <c r="AJ145" s="87" t="b">
        <f t="shared" si="80"/>
        <v>1</v>
      </c>
      <c r="AK145" s="88">
        <f t="shared" si="54"/>
        <v>2.2946483039255304E-3</v>
      </c>
      <c r="AL145" s="312">
        <f>+AC145/'MWh by month-WgtbyCDH&amp;DayLtHrs'!AC145-1</f>
        <v>3.3826093335802998E-2</v>
      </c>
      <c r="AM145" s="89">
        <f t="shared" si="74"/>
        <v>325331.28973887657</v>
      </c>
      <c r="AN145" s="93"/>
      <c r="AO145" s="96">
        <f t="shared" si="63"/>
        <v>66.837466622581445</v>
      </c>
      <c r="AP145" s="92">
        <f t="shared" si="62"/>
        <v>5.7207532059270856E-3</v>
      </c>
      <c r="AR145" s="94">
        <f t="shared" si="75"/>
        <v>2.1665902018726917E-2</v>
      </c>
      <c r="AS145" s="95">
        <v>1206323.4397606517</v>
      </c>
      <c r="AU145" s="141">
        <v>253.12995525212617</v>
      </c>
    </row>
    <row r="146" spans="1:47">
      <c r="A146" s="78">
        <v>2016</v>
      </c>
      <c r="B146" s="78">
        <v>10</v>
      </c>
      <c r="C146" s="317">
        <f t="shared" ref="C146:C209" si="81">+C134</f>
        <v>198.89039579254836</v>
      </c>
      <c r="D146" s="324">
        <f t="shared" si="64"/>
        <v>0.10115446643644242</v>
      </c>
      <c r="E146" s="321">
        <f>$D146*'MWh Impact Summary'!B$22</f>
        <v>209230.1800521595</v>
      </c>
      <c r="F146" s="319">
        <f>$D146*'MWh Impact Summary'!N$22</f>
        <v>18560.86262187441</v>
      </c>
      <c r="G146" s="319">
        <f>$D146*'MWh Impact Summary'!C$22</f>
        <v>168325.25894670692</v>
      </c>
      <c r="H146" s="319">
        <f>$D146*'MWh Impact Summary'!D$22</f>
        <v>581.09171424312979</v>
      </c>
      <c r="I146" s="319">
        <f>$D146*'MWh Impact Summary'!E$22</f>
        <v>66179.294496051487</v>
      </c>
      <c r="J146" s="104">
        <f t="shared" si="76"/>
        <v>462876.68783103541</v>
      </c>
      <c r="K146" s="298">
        <f t="shared" ref="K146:K209" si="82">+K134</f>
        <v>12.466666666666667</v>
      </c>
      <c r="L146" s="300">
        <f t="shared" si="65"/>
        <v>8.7762524932535488E-2</v>
      </c>
      <c r="M146" s="297">
        <f>(31/366)</f>
        <v>8.4699453551912565E-2</v>
      </c>
      <c r="N146" s="304">
        <f>$M146*'MWh Impact Summary'!F$22</f>
        <v>91690.489145616724</v>
      </c>
      <c r="O146" s="304">
        <f>$M146*'MWh Impact Summary'!G$22</f>
        <v>1806.6680615811299</v>
      </c>
      <c r="P146" s="304">
        <f>$M146*'MWh Impact Summary'!H$22</f>
        <v>4959.6200007486323</v>
      </c>
      <c r="Q146" s="304">
        <f>$M146*'MWh Impact Summary'!I$22</f>
        <v>1133.3379182173751</v>
      </c>
      <c r="R146" s="304">
        <f>$M146*'MWh Impact Summary'!J$22</f>
        <v>26391.841511107759</v>
      </c>
      <c r="S146" s="304">
        <f>$M146*'MWh Impact Summary'!K$22</f>
        <v>6675.463536611971</v>
      </c>
      <c r="T146" s="304">
        <f>$M146*'MWh Impact Summary'!L$22</f>
        <v>2424.6605303305378</v>
      </c>
      <c r="U146" s="304">
        <f>$M146*'MWh Impact Summary'!M$22</f>
        <v>7359.7778208164382</v>
      </c>
      <c r="V146" s="304">
        <f>$M146*'LED Impact Forecast'!$H$23+$D146*'LED Impact Forecast'!$J$23</f>
        <v>10807.617577848487</v>
      </c>
      <c r="W146" s="304">
        <f>$M146*'CFL Impact Forecast'!$H$23+$D146*'CFL Impact Forecast'!$J$23</f>
        <v>312768.08859596867</v>
      </c>
      <c r="X146" s="304">
        <f>$M146*'EISA Incand Impact Forecast'!$G$23+$D146*'EISA Incand Impact Forecast'!$I$23</f>
        <v>106543.08190041941</v>
      </c>
      <c r="Y146" s="85">
        <f t="shared" si="68"/>
        <v>572560.64659926714</v>
      </c>
      <c r="Z146" s="81">
        <f t="shared" si="69"/>
        <v>1035437.3344303025</v>
      </c>
      <c r="AA146" s="81"/>
      <c r="AB146" s="262">
        <f>+'MWh by mo-WgtbyActulCDH&amp;Days'!AB146</f>
        <v>4872985.9866431234</v>
      </c>
      <c r="AC146" s="308">
        <f t="shared" si="77"/>
        <v>212.48518614016967</v>
      </c>
      <c r="AD146" s="309">
        <f t="shared" si="70"/>
        <v>94.988306779412568</v>
      </c>
      <c r="AE146" s="107">
        <f t="shared" si="71"/>
        <v>7.619382896744323E-3</v>
      </c>
      <c r="AF146" s="309">
        <f t="shared" si="78"/>
        <v>117.49687936075713</v>
      </c>
      <c r="AG146" s="107">
        <f t="shared" si="72"/>
        <v>9.4248833711837263E-3</v>
      </c>
      <c r="AH146" s="119">
        <f t="shared" si="79"/>
        <v>1.704426626792805E-2</v>
      </c>
      <c r="AI146" s="122">
        <f t="shared" si="73"/>
        <v>1.7044266267928047E-2</v>
      </c>
      <c r="AJ146" s="87" t="b">
        <f t="shared" si="80"/>
        <v>0</v>
      </c>
      <c r="AK146" s="88">
        <f t="shared" si="54"/>
        <v>1.815881263715317E-3</v>
      </c>
      <c r="AL146" s="312">
        <f>+AC146/'MWh by month-WgtbyCDH&amp;DayLtHrs'!AC146-1</f>
        <v>-5.620837852153282E-3</v>
      </c>
      <c r="AM146" s="89">
        <f t="shared" si="74"/>
        <v>312768.08859596867</v>
      </c>
      <c r="AN146" s="93"/>
      <c r="AO146" s="96">
        <f t="shared" si="63"/>
        <v>64.184073061828499</v>
      </c>
      <c r="AP146" s="92">
        <f t="shared" si="62"/>
        <v>5.1484550584354411E-3</v>
      </c>
      <c r="AR146" s="94">
        <f t="shared" si="75"/>
        <v>1.7044266267928047E-2</v>
      </c>
      <c r="AS146" s="95">
        <v>973350.79860718851</v>
      </c>
      <c r="AU146" s="141">
        <v>212.48518614016967</v>
      </c>
    </row>
    <row r="147" spans="1:47">
      <c r="A147" s="78">
        <v>2016</v>
      </c>
      <c r="B147" s="78">
        <v>11</v>
      </c>
      <c r="C147" s="317">
        <f t="shared" si="81"/>
        <v>78.117279066674627</v>
      </c>
      <c r="D147" s="324">
        <f t="shared" si="64"/>
        <v>3.9729981188725644E-2</v>
      </c>
      <c r="E147" s="321">
        <f>$D147*'MWh Impact Summary'!B$22</f>
        <v>82178.389253914313</v>
      </c>
      <c r="F147" s="319">
        <f>$D147*'MWh Impact Summary'!N$22</f>
        <v>7290.0658645353069</v>
      </c>
      <c r="G147" s="319">
        <f>$D147*'MWh Impact Summary'!C$22</f>
        <v>66112.34883772512</v>
      </c>
      <c r="H147" s="319">
        <f>$D147*'MWh Impact Summary'!D$22</f>
        <v>228.23275816802223</v>
      </c>
      <c r="I147" s="319">
        <f>$D147*'MWh Impact Summary'!E$22</f>
        <v>25992.941469008769</v>
      </c>
      <c r="J147" s="104">
        <f t="shared" si="76"/>
        <v>181801.97818335154</v>
      </c>
      <c r="K147" s="298">
        <f t="shared" si="82"/>
        <v>13.15</v>
      </c>
      <c r="L147" s="300">
        <f t="shared" si="65"/>
        <v>9.2573037662794788E-2</v>
      </c>
      <c r="M147" s="297">
        <f>(30/366)</f>
        <v>8.1967213114754092E-2</v>
      </c>
      <c r="N147" s="304">
        <f>$M147*'MWh Impact Summary'!F$22</f>
        <v>88732.731431241991</v>
      </c>
      <c r="O147" s="304">
        <f>$M147*'MWh Impact Summary'!G$22</f>
        <v>1748.388446691416</v>
      </c>
      <c r="P147" s="304">
        <f>$M147*'MWh Impact Summary'!H$22</f>
        <v>4799.6322587889981</v>
      </c>
      <c r="Q147" s="304">
        <f>$M147*'MWh Impact Summary'!I$22</f>
        <v>1096.7786305329437</v>
      </c>
      <c r="R147" s="304">
        <f>$M147*'MWh Impact Summary'!J$22</f>
        <v>25540.491784942991</v>
      </c>
      <c r="S147" s="304">
        <f>$M147*'MWh Impact Summary'!K$22</f>
        <v>6460.1260031728743</v>
      </c>
      <c r="T147" s="304">
        <f>$M147*'MWh Impact Summary'!L$22</f>
        <v>2346.4456745134235</v>
      </c>
      <c r="U147" s="304">
        <f>$M147*'MWh Impact Summary'!M$22</f>
        <v>7122.3656330481654</v>
      </c>
      <c r="V147" s="304">
        <f>$M147*'LED Impact Forecast'!$H$23+$D147*'LED Impact Forecast'!$J$23</f>
        <v>9874.8919804220695</v>
      </c>
      <c r="W147" s="304">
        <f>$M147*'CFL Impact Forecast'!$H$23+$D147*'CFL Impact Forecast'!$J$23</f>
        <v>272346.02386186802</v>
      </c>
      <c r="X147" s="304">
        <f>$M147*'EISA Incand Impact Forecast'!$G$23+$D147*'EISA Incand Impact Forecast'!$I$23</f>
        <v>92086.702684015749</v>
      </c>
      <c r="Y147" s="85">
        <f t="shared" si="68"/>
        <v>512154.57838923868</v>
      </c>
      <c r="Z147" s="81">
        <f t="shared" si="69"/>
        <v>693956.55657259026</v>
      </c>
      <c r="AA147" s="81"/>
      <c r="AB147" s="262">
        <f>+'MWh by mo-WgtbyActulCDH&amp;Days'!AB147</f>
        <v>4878687.6758089541</v>
      </c>
      <c r="AC147" s="308">
        <f t="shared" si="77"/>
        <v>142.24246409820088</v>
      </c>
      <c r="AD147" s="309">
        <f t="shared" si="70"/>
        <v>37.26452486081849</v>
      </c>
      <c r="AE147" s="107">
        <f t="shared" si="71"/>
        <v>2.8338041719253603E-3</v>
      </c>
      <c r="AF147" s="309">
        <f t="shared" si="78"/>
        <v>104.97793923738239</v>
      </c>
      <c r="AG147" s="107">
        <f t="shared" si="72"/>
        <v>7.9831132499910556E-3</v>
      </c>
      <c r="AH147" s="119">
        <f t="shared" si="79"/>
        <v>1.0816917421916416E-2</v>
      </c>
      <c r="AI147" s="122">
        <f t="shared" si="73"/>
        <v>1.0816917421916417E-2</v>
      </c>
      <c r="AJ147" s="87" t="b">
        <f t="shared" si="80"/>
        <v>1</v>
      </c>
      <c r="AK147" s="88">
        <f t="shared" si="54"/>
        <v>1.1690657673717585E-3</v>
      </c>
      <c r="AL147" s="312">
        <f>+AC147/'MWh by month-WgtbyCDH&amp;DayLtHrs'!AC147-1</f>
        <v>-0.1207732246334402</v>
      </c>
      <c r="AM147" s="89">
        <f t="shared" si="74"/>
        <v>272346.02386186802</v>
      </c>
      <c r="AN147" s="93"/>
      <c r="AO147" s="96">
        <f t="shared" si="63"/>
        <v>55.823623474054273</v>
      </c>
      <c r="AP147" s="92">
        <f t="shared" si="62"/>
        <v>4.2451424695098307E-3</v>
      </c>
      <c r="AR147" s="94">
        <f t="shared" si="75"/>
        <v>1.0816917421916417E-2</v>
      </c>
      <c r="AS147" s="95">
        <v>753485.54449138115</v>
      </c>
      <c r="AU147" s="141">
        <v>142.24246409820088</v>
      </c>
    </row>
    <row r="148" spans="1:47">
      <c r="A148" s="78">
        <v>2016</v>
      </c>
      <c r="B148" s="78">
        <v>12</v>
      </c>
      <c r="C148" s="317">
        <f t="shared" si="81"/>
        <v>42.633806123140985</v>
      </c>
      <c r="D148" s="324">
        <f t="shared" si="64"/>
        <v>2.1683298951445065E-2</v>
      </c>
      <c r="E148" s="321">
        <f>$D148*'MWh Impact Summary'!B$22</f>
        <v>44850.224647136303</v>
      </c>
      <c r="F148" s="319">
        <f>$D148*'MWh Impact Summary'!N$22</f>
        <v>3978.6748643440305</v>
      </c>
      <c r="G148" s="319">
        <f>$D148*'MWh Impact Summary'!C$22</f>
        <v>36081.915504088276</v>
      </c>
      <c r="H148" s="319">
        <f>$D148*'MWh Impact Summary'!D$22</f>
        <v>124.56182907215788</v>
      </c>
      <c r="I148" s="319">
        <f>$D148*'MWh Impact Summary'!E$22</f>
        <v>14186.080728874589</v>
      </c>
      <c r="J148" s="104">
        <f t="shared" si="76"/>
        <v>99221.457573515348</v>
      </c>
      <c r="K148" s="298">
        <f t="shared" si="82"/>
        <v>13.483333333333333</v>
      </c>
      <c r="L148" s="300">
        <f t="shared" si="65"/>
        <v>9.491962923853102E-2</v>
      </c>
      <c r="M148" s="297">
        <f>(31/366)</f>
        <v>8.4699453551912565E-2</v>
      </c>
      <c r="N148" s="304">
        <f>$M148*'MWh Impact Summary'!F$22</f>
        <v>91690.489145616724</v>
      </c>
      <c r="O148" s="304">
        <f>$M148*'MWh Impact Summary'!G$22</f>
        <v>1806.6680615811299</v>
      </c>
      <c r="P148" s="304">
        <f>$M148*'MWh Impact Summary'!H$22</f>
        <v>4959.6200007486323</v>
      </c>
      <c r="Q148" s="304">
        <f>$M148*'MWh Impact Summary'!I$22</f>
        <v>1133.3379182173751</v>
      </c>
      <c r="R148" s="304">
        <f>$M148*'MWh Impact Summary'!J$22</f>
        <v>26391.841511107759</v>
      </c>
      <c r="S148" s="304">
        <f>$M148*'MWh Impact Summary'!K$22</f>
        <v>6675.463536611971</v>
      </c>
      <c r="T148" s="304">
        <f>$M148*'MWh Impact Summary'!L$22</f>
        <v>2424.6605303305378</v>
      </c>
      <c r="U148" s="304">
        <f>$M148*'MWh Impact Summary'!M$22</f>
        <v>7359.7778208164382</v>
      </c>
      <c r="V148" s="304">
        <f>$M148*'LED Impact Forecast'!$H$23+$D148*'LED Impact Forecast'!$J$23</f>
        <v>10009.519453413983</v>
      </c>
      <c r="W148" s="304">
        <f>$M148*'CFL Impact Forecast'!$H$23+$D148*'CFL Impact Forecast'!$J$23</f>
        <v>271321.7135808164</v>
      </c>
      <c r="X148" s="304">
        <f>$M148*'EISA Incand Impact Forecast'!$G$23+$D148*'EISA Incand Impact Forecast'!$I$23</f>
        <v>91486.14715739552</v>
      </c>
      <c r="Y148" s="85">
        <f t="shared" si="68"/>
        <v>515259.23871665646</v>
      </c>
      <c r="Z148" s="81">
        <f t="shared" si="69"/>
        <v>614480.69629017182</v>
      </c>
      <c r="AA148" s="81">
        <f>SUM(Z137:Z148)</f>
        <v>11195769.673743743</v>
      </c>
      <c r="AB148" s="262">
        <f>+'MWh by mo-WgtbyActulCDH&amp;Days'!AB148</f>
        <v>4884563.5171767101</v>
      </c>
      <c r="AC148" s="308">
        <f t="shared" si="77"/>
        <v>125.80053348253792</v>
      </c>
      <c r="AD148" s="309">
        <f t="shared" si="70"/>
        <v>20.313270003471182</v>
      </c>
      <c r="AE148" s="107">
        <f t="shared" si="71"/>
        <v>1.5065466009990989E-3</v>
      </c>
      <c r="AF148" s="309">
        <f t="shared" si="78"/>
        <v>105.48726347906671</v>
      </c>
      <c r="AG148" s="107">
        <f t="shared" si="72"/>
        <v>7.8235300478912279E-3</v>
      </c>
      <c r="AH148" s="119">
        <f t="shared" si="79"/>
        <v>9.3300766488903265E-3</v>
      </c>
      <c r="AI148" s="122">
        <f t="shared" si="73"/>
        <v>9.3300766488903283E-3</v>
      </c>
      <c r="AJ148" s="87" t="b">
        <f t="shared" si="80"/>
        <v>1</v>
      </c>
      <c r="AK148" s="88">
        <f t="shared" si="54"/>
        <v>1.0163254698895043E-3</v>
      </c>
      <c r="AL148" s="312">
        <f>+AC148/'MWh by month-WgtbyCDH&amp;DayLtHrs'!AC148-1</f>
        <v>-0.14759407093520904</v>
      </c>
      <c r="AM148" s="89">
        <f t="shared" si="74"/>
        <v>271321.7135808164</v>
      </c>
      <c r="AN148" s="90">
        <f>SUM(AM137:AM148)</f>
        <v>3591361.4449216984</v>
      </c>
      <c r="AO148" s="96">
        <f t="shared" si="63"/>
        <v>55.546767408532141</v>
      </c>
      <c r="AP148" s="92">
        <f t="shared" si="62"/>
        <v>4.1196613652805048E-3</v>
      </c>
      <c r="AR148" s="94">
        <f t="shared" si="75"/>
        <v>9.3300766488903283E-3</v>
      </c>
      <c r="AS148" s="95">
        <v>622720.01777752733</v>
      </c>
      <c r="AU148" s="141">
        <v>125.80053348253792</v>
      </c>
    </row>
    <row r="149" spans="1:47">
      <c r="A149" s="78">
        <v>2017</v>
      </c>
      <c r="B149" s="78">
        <v>1</v>
      </c>
      <c r="C149" s="317">
        <f t="shared" si="81"/>
        <v>26.112829868525239</v>
      </c>
      <c r="D149" s="324">
        <f t="shared" si="64"/>
        <v>1.3280829182176284E-2</v>
      </c>
      <c r="E149" s="321">
        <f>$D149*'MWh Impact Summary'!B$23</f>
        <v>30957.787989516721</v>
      </c>
      <c r="F149" s="319">
        <f>$D149*'MWh Impact Summary'!N$23</f>
        <v>3018.7763612055201</v>
      </c>
      <c r="G149" s="319">
        <f>$D149*'MWh Impact Summary'!C$23</f>
        <v>24294.878037527571</v>
      </c>
      <c r="H149" s="319">
        <f>$D149*'MWh Impact Summary'!D$23</f>
        <v>87.700181019450525</v>
      </c>
      <c r="I149" s="319">
        <f>$D149*'MWh Impact Summary'!E$23</f>
        <v>9469.8056842779806</v>
      </c>
      <c r="J149" s="104">
        <f t="shared" si="76"/>
        <v>67828.948253547234</v>
      </c>
      <c r="K149" s="298">
        <f t="shared" si="82"/>
        <v>13.3</v>
      </c>
      <c r="L149" s="300">
        <f t="shared" si="65"/>
        <v>9.3629003871876101E-2</v>
      </c>
      <c r="M149" s="297">
        <f>(31/365)</f>
        <v>8.4931506849315067E-2</v>
      </c>
      <c r="N149" s="304">
        <f>$M149*'MWh Impact Summary'!F$23</f>
        <v>103076.02811420627</v>
      </c>
      <c r="O149" s="304">
        <f>$M149*'MWh Impact Summary'!G$23</f>
        <v>3417.8947403267753</v>
      </c>
      <c r="P149" s="304">
        <f>$M149*'MWh Impact Summary'!H$23</f>
        <v>6150.5175305832354</v>
      </c>
      <c r="Q149" s="304">
        <f>$M149*'MWh Impact Summary'!I$23</f>
        <v>1229.0408678070755</v>
      </c>
      <c r="R149" s="304">
        <f>$M149*'MWh Impact Summary'!J$23</f>
        <v>30397.083715572728</v>
      </c>
      <c r="S149" s="304">
        <f>$M149*'MWh Impact Summary'!K$23</f>
        <v>10000.576722944348</v>
      </c>
      <c r="T149" s="304">
        <f>$M149*'MWh Impact Summary'!L$23</f>
        <v>3576.4208897997401</v>
      </c>
      <c r="U149" s="304">
        <f>$M149*'MWh Impact Summary'!M$23</f>
        <v>11025.754594752025</v>
      </c>
      <c r="V149" s="304">
        <f>$M149*'LED Impact Forecast'!$H$24+$D149*'LED Impact Forecast'!$J$24</f>
        <v>22314.029129604685</v>
      </c>
      <c r="W149" s="304">
        <f>$M149*'CFL Impact Forecast'!$H$24+$D149*'CFL Impact Forecast'!$J$24</f>
        <v>280584.2621962995</v>
      </c>
      <c r="X149" s="304">
        <f>$M149*'EISA Incand Impact Forecast'!$G$24+$D149*'EISA Incand Impact Forecast'!$I$24</f>
        <v>105683.13113678625</v>
      </c>
      <c r="Y149" s="85">
        <f t="shared" si="68"/>
        <v>577454.73963868269</v>
      </c>
      <c r="Z149" s="81">
        <f t="shared" si="69"/>
        <v>645283.68789222988</v>
      </c>
      <c r="AA149" s="81"/>
      <c r="AB149" s="262">
        <f>+'MWh by mo-WgtbyActulCDH&amp;Days'!AB149</f>
        <v>4891015.7222528467</v>
      </c>
      <c r="AC149" s="308">
        <f t="shared" si="77"/>
        <v>131.93245013635047</v>
      </c>
      <c r="AD149" s="309">
        <f t="shared" si="70"/>
        <v>13.868069968563626</v>
      </c>
      <c r="AE149" s="107">
        <f t="shared" si="71"/>
        <v>1.0427120277115506E-3</v>
      </c>
      <c r="AF149" s="309">
        <f t="shared" si="78"/>
        <v>118.06438016778687</v>
      </c>
      <c r="AG149" s="107">
        <f t="shared" si="72"/>
        <v>8.8770210652471329E-3</v>
      </c>
      <c r="AH149" s="119">
        <f t="shared" si="79"/>
        <v>9.9197330929586842E-3</v>
      </c>
      <c r="AI149" s="122">
        <f t="shared" si="73"/>
        <v>9.9197330929586807E-3</v>
      </c>
      <c r="AJ149" s="87" t="b">
        <f t="shared" si="80"/>
        <v>1</v>
      </c>
      <c r="AK149" s="88">
        <f t="shared" si="54"/>
        <v>1.0296924966944256E-3</v>
      </c>
      <c r="AL149" s="312">
        <f>+AC149/'MWh by month-WgtbyCDH&amp;DayLtHrs'!AC149-1</f>
        <v>-0.15121697660480349</v>
      </c>
      <c r="AM149" s="89">
        <f t="shared" si="74"/>
        <v>280584.2621962995</v>
      </c>
      <c r="AN149" s="93"/>
      <c r="AO149" s="96">
        <f t="shared" si="63"/>
        <v>57.367278726934821</v>
      </c>
      <c r="AP149" s="92">
        <f t="shared" si="62"/>
        <v>4.3133292275890842E-3</v>
      </c>
      <c r="AR149" s="94">
        <f t="shared" si="75"/>
        <v>9.9197330929586807E-3</v>
      </c>
      <c r="AS149" s="95">
        <v>677896.61789944256</v>
      </c>
      <c r="AU149" s="141">
        <v>131.93245013635047</v>
      </c>
    </row>
    <row r="150" spans="1:47">
      <c r="A150" s="78">
        <v>2017</v>
      </c>
      <c r="B150" s="78">
        <v>2</v>
      </c>
      <c r="C150" s="317">
        <f t="shared" si="81"/>
        <v>35.042184420393127</v>
      </c>
      <c r="D150" s="324">
        <f t="shared" si="64"/>
        <v>1.7822245532205266E-2</v>
      </c>
      <c r="E150" s="321">
        <f>$D150*'MWh Impact Summary'!B$23</f>
        <v>41543.889399886924</v>
      </c>
      <c r="F150" s="319">
        <f>$D150*'MWh Impact Summary'!N$23</f>
        <v>4051.0553052234727</v>
      </c>
      <c r="G150" s="319">
        <f>$D150*'MWh Impact Summary'!C$23</f>
        <v>32602.578921871587</v>
      </c>
      <c r="H150" s="319">
        <f>$D150*'MWh Impact Summary'!D$23</f>
        <v>117.68950100232894</v>
      </c>
      <c r="I150" s="319">
        <f>$D150*'MWh Impact Summary'!E$23</f>
        <v>12708.031985983196</v>
      </c>
      <c r="J150" s="104">
        <f t="shared" si="76"/>
        <v>91023.24511396751</v>
      </c>
      <c r="K150" s="298">
        <f t="shared" si="82"/>
        <v>12.733333333333333</v>
      </c>
      <c r="L150" s="300">
        <f t="shared" si="65"/>
        <v>8.9639798193124468E-2</v>
      </c>
      <c r="M150" s="297">
        <f>(28/365)</f>
        <v>7.6712328767123292E-2</v>
      </c>
      <c r="N150" s="304">
        <f>$M150*'MWh Impact Summary'!F$23</f>
        <v>93100.928619283091</v>
      </c>
      <c r="O150" s="304">
        <f>$M150*'MWh Impact Summary'!G$23</f>
        <v>3087.130733198378</v>
      </c>
      <c r="P150" s="304">
        <f>$M150*'MWh Impact Summary'!H$23</f>
        <v>5555.3061566558263</v>
      </c>
      <c r="Q150" s="304">
        <f>$M150*'MWh Impact Summary'!I$23</f>
        <v>1110.1014289870359</v>
      </c>
      <c r="R150" s="304">
        <f>$M150*'MWh Impact Summary'!J$23</f>
        <v>27455.43045277537</v>
      </c>
      <c r="S150" s="304">
        <f>$M150*'MWh Impact Summary'!K$23</f>
        <v>9032.7789755626382</v>
      </c>
      <c r="T150" s="304">
        <f>$M150*'MWh Impact Summary'!L$23</f>
        <v>3230.3156423997652</v>
      </c>
      <c r="U150" s="304">
        <f>$M150*'MWh Impact Summary'!M$23</f>
        <v>9958.7460855824738</v>
      </c>
      <c r="V150" s="304">
        <f>$M150*'LED Impact Forecast'!$H$24+$D150*'LED Impact Forecast'!$J$24</f>
        <v>20336.467341647425</v>
      </c>
      <c r="W150" s="304">
        <f>$M150*'CFL Impact Forecast'!$H$24+$D150*'CFL Impact Forecast'!$J$24</f>
        <v>256623.9884996514</v>
      </c>
      <c r="X150" s="304">
        <f>$M150*'EISA Incand Impact Forecast'!$G$24+$D150*'EISA Incand Impact Forecast'!$I$24</f>
        <v>96756.801327746987</v>
      </c>
      <c r="Y150" s="85">
        <f t="shared" si="68"/>
        <v>526247.99526349036</v>
      </c>
      <c r="Z150" s="81">
        <f t="shared" si="69"/>
        <v>617271.24037745781</v>
      </c>
      <c r="AA150" s="81"/>
      <c r="AB150" s="262">
        <f>+'MWh by mo-WgtbyActulCDH&amp;Days'!AB150</f>
        <v>4896910.5000386564</v>
      </c>
      <c r="AC150" s="308">
        <f t="shared" si="77"/>
        <v>126.05320035409777</v>
      </c>
      <c r="AD150" s="309">
        <f t="shared" si="70"/>
        <v>18.587892327876723</v>
      </c>
      <c r="AE150" s="107">
        <f t="shared" si="71"/>
        <v>1.4597821199903186E-3</v>
      </c>
      <c r="AF150" s="309">
        <f t="shared" si="78"/>
        <v>107.46530802622105</v>
      </c>
      <c r="AG150" s="107">
        <f t="shared" si="72"/>
        <v>8.4396838764047941E-3</v>
      </c>
      <c r="AH150" s="119">
        <f t="shared" si="79"/>
        <v>9.8994659963951119E-3</v>
      </c>
      <c r="AI150" s="122">
        <f t="shared" si="73"/>
        <v>9.8994659963951136E-3</v>
      </c>
      <c r="AJ150" s="87" t="b">
        <f t="shared" si="80"/>
        <v>1</v>
      </c>
      <c r="AK150" s="88">
        <f t="shared" ref="AK150:AK213" si="83">AI150-AI138</f>
        <v>7.5825208043099439E-4</v>
      </c>
      <c r="AL150" s="312">
        <f>+AC150/'MWh by month-WgtbyCDH&amp;DayLtHrs'!AC150-1</f>
        <v>-0.18409328095580635</v>
      </c>
      <c r="AM150" s="89">
        <f t="shared" si="74"/>
        <v>256623.9884996514</v>
      </c>
      <c r="AN150" s="93"/>
      <c r="AO150" s="96">
        <f t="shared" si="63"/>
        <v>52.405284617234805</v>
      </c>
      <c r="AP150" s="92">
        <f t="shared" si="62"/>
        <v>4.115598268369226E-3</v>
      </c>
      <c r="AR150" s="94">
        <f t="shared" si="75"/>
        <v>9.8994659963951136E-3</v>
      </c>
      <c r="AS150" s="95">
        <v>629113.27704088669</v>
      </c>
      <c r="AU150" s="141">
        <v>126.05320035409777</v>
      </c>
    </row>
    <row r="151" spans="1:47">
      <c r="A151" s="78">
        <v>2017</v>
      </c>
      <c r="B151" s="78">
        <v>3</v>
      </c>
      <c r="C151" s="317">
        <f t="shared" si="81"/>
        <v>64.582270600115152</v>
      </c>
      <c r="D151" s="324">
        <f t="shared" si="64"/>
        <v>3.2846156787895278E-2</v>
      </c>
      <c r="E151" s="321">
        <f>$D151*'MWh Impact Summary'!B$23</f>
        <v>76564.824692930866</v>
      </c>
      <c r="F151" s="319">
        <f>$D151*'MWh Impact Summary'!N$23</f>
        <v>7466.0399819629538</v>
      </c>
      <c r="G151" s="319">
        <f>$D151*'MWh Impact Summary'!C$23</f>
        <v>60086.110755372254</v>
      </c>
      <c r="H151" s="319">
        <f>$D151*'MWh Impact Summary'!D$23</f>
        <v>216.90015409261014</v>
      </c>
      <c r="I151" s="319">
        <f>$D151*'MWh Impact Summary'!E$23</f>
        <v>23420.730587676026</v>
      </c>
      <c r="J151" s="104">
        <f t="shared" si="76"/>
        <v>167754.60617203469</v>
      </c>
      <c r="K151" s="298">
        <f t="shared" si="82"/>
        <v>12</v>
      </c>
      <c r="L151" s="300">
        <f t="shared" si="65"/>
        <v>8.4477296726504739E-2</v>
      </c>
      <c r="M151" s="297">
        <f t="shared" ref="M151:M160" si="84">(31/365)</f>
        <v>8.4931506849315067E-2</v>
      </c>
      <c r="N151" s="304">
        <f>$M151*'MWh Impact Summary'!F$23</f>
        <v>103076.02811420627</v>
      </c>
      <c r="O151" s="304">
        <f>$M151*'MWh Impact Summary'!G$23</f>
        <v>3417.8947403267753</v>
      </c>
      <c r="P151" s="304">
        <f>$M151*'MWh Impact Summary'!H$23</f>
        <v>6150.5175305832354</v>
      </c>
      <c r="Q151" s="304">
        <f>$M151*'MWh Impact Summary'!I$23</f>
        <v>1229.0408678070755</v>
      </c>
      <c r="R151" s="304">
        <f>$M151*'MWh Impact Summary'!J$23</f>
        <v>30397.083715572728</v>
      </c>
      <c r="S151" s="304">
        <f>$M151*'MWh Impact Summary'!K$23</f>
        <v>10000.576722944348</v>
      </c>
      <c r="T151" s="304">
        <f>$M151*'MWh Impact Summary'!L$23</f>
        <v>3576.4208897997401</v>
      </c>
      <c r="U151" s="304">
        <f>$M151*'MWh Impact Summary'!M$23</f>
        <v>11025.754594752025</v>
      </c>
      <c r="V151" s="304">
        <f>$M151*'LED Impact Forecast'!$H$24+$D151*'LED Impact Forecast'!$J$24</f>
        <v>22924.697903904245</v>
      </c>
      <c r="W151" s="304">
        <f>$M151*'CFL Impact Forecast'!$H$24+$D151*'CFL Impact Forecast'!$J$24</f>
        <v>291306.1741448461</v>
      </c>
      <c r="X151" s="304">
        <f>$M151*'EISA Incand Impact Forecast'!$G$24+$D151*'EISA Incand Impact Forecast'!$I$24</f>
        <v>110051.99247598143</v>
      </c>
      <c r="Y151" s="85">
        <f t="shared" si="68"/>
        <v>593156.18170072406</v>
      </c>
      <c r="Z151" s="81">
        <f t="shared" si="69"/>
        <v>760910.78787275869</v>
      </c>
      <c r="AA151" s="81"/>
      <c r="AB151" s="262">
        <f>+'MWh by mo-WgtbyActulCDH&amp;Days'!AB151</f>
        <v>4903267.7157294145</v>
      </c>
      <c r="AC151" s="308">
        <f t="shared" si="77"/>
        <v>155.18442638402112</v>
      </c>
      <c r="AD151" s="309">
        <f t="shared" si="70"/>
        <v>34.212818042524397</v>
      </c>
      <c r="AE151" s="107">
        <f t="shared" si="71"/>
        <v>2.8510681702103662E-3</v>
      </c>
      <c r="AF151" s="309">
        <f t="shared" si="78"/>
        <v>120.97160834149672</v>
      </c>
      <c r="AG151" s="107">
        <f t="shared" si="72"/>
        <v>1.0080967361791393E-2</v>
      </c>
      <c r="AH151" s="119">
        <f t="shared" si="79"/>
        <v>1.293203553200176E-2</v>
      </c>
      <c r="AI151" s="122">
        <f t="shared" si="73"/>
        <v>1.293203553200176E-2</v>
      </c>
      <c r="AJ151" s="87" t="b">
        <f t="shared" si="80"/>
        <v>1</v>
      </c>
      <c r="AK151" s="88">
        <f t="shared" si="83"/>
        <v>1.3174934182306683E-3</v>
      </c>
      <c r="AL151" s="312">
        <f>+AC151/'MWh by month-WgtbyCDH&amp;DayLtHrs'!AC151-1</f>
        <v>-4.7043838329327792E-2</v>
      </c>
      <c r="AM151" s="89">
        <f t="shared" si="74"/>
        <v>291306.1741448461</v>
      </c>
      <c r="AN151" s="93"/>
      <c r="AO151" s="96">
        <f t="shared" si="63"/>
        <v>59.410619822032523</v>
      </c>
      <c r="AP151" s="92">
        <f t="shared" si="62"/>
        <v>4.9508849851693766E-3</v>
      </c>
      <c r="AR151" s="94">
        <f t="shared" si="75"/>
        <v>1.293203553200176E-2</v>
      </c>
      <c r="AS151" s="95">
        <v>759520.3270257822</v>
      </c>
      <c r="AU151" s="141">
        <v>155.18442638402112</v>
      </c>
    </row>
    <row r="152" spans="1:47">
      <c r="A152" s="78">
        <v>2017</v>
      </c>
      <c r="B152" s="78">
        <v>4</v>
      </c>
      <c r="C152" s="317">
        <f t="shared" si="81"/>
        <v>114.03392869270741</v>
      </c>
      <c r="D152" s="324">
        <f t="shared" si="64"/>
        <v>5.7996974497419709E-2</v>
      </c>
      <c r="E152" s="321">
        <f>$D152*'MWh Impact Summary'!B$23</f>
        <v>135191.71249745056</v>
      </c>
      <c r="F152" s="319">
        <f>$D152*'MWh Impact Summary'!N$23</f>
        <v>13182.903961238982</v>
      </c>
      <c r="G152" s="319">
        <f>$D152*'MWh Impact Summary'!C$23</f>
        <v>106094.98869629433</v>
      </c>
      <c r="H152" s="319">
        <f>$D152*'MWh Impact Summary'!D$23</f>
        <v>382.98400591059192</v>
      </c>
      <c r="I152" s="319">
        <f>$D152*'MWh Impact Summary'!E$23</f>
        <v>41354.351541820783</v>
      </c>
      <c r="J152" s="104">
        <f t="shared" si="76"/>
        <v>296206.94070271525</v>
      </c>
      <c r="K152" s="298">
        <f t="shared" si="82"/>
        <v>11.2</v>
      </c>
      <c r="L152" s="300">
        <f t="shared" si="65"/>
        <v>7.8845476944737758E-2</v>
      </c>
      <c r="M152" s="297">
        <f>(30/365)</f>
        <v>8.2191780821917804E-2</v>
      </c>
      <c r="N152" s="304">
        <f>$M152*'MWh Impact Summary'!F$23</f>
        <v>99750.99494923187</v>
      </c>
      <c r="O152" s="304">
        <f>$M152*'MWh Impact Summary'!G$23</f>
        <v>3307.6400712839759</v>
      </c>
      <c r="P152" s="304">
        <f>$M152*'MWh Impact Summary'!H$23</f>
        <v>5952.1137392740984</v>
      </c>
      <c r="Q152" s="304">
        <f>$M152*'MWh Impact Summary'!I$23</f>
        <v>1189.3943882003955</v>
      </c>
      <c r="R152" s="304">
        <f>$M152*'MWh Impact Summary'!J$23</f>
        <v>29416.532627973607</v>
      </c>
      <c r="S152" s="304">
        <f>$M152*'MWh Impact Summary'!K$23</f>
        <v>9677.9774738171109</v>
      </c>
      <c r="T152" s="304">
        <f>$M152*'MWh Impact Summary'!L$23</f>
        <v>3461.0524739997481</v>
      </c>
      <c r="U152" s="304">
        <f>$M152*'MWh Impact Summary'!M$23</f>
        <v>10670.085091695506</v>
      </c>
      <c r="V152" s="304">
        <f>$M152*'LED Impact Forecast'!$H$24+$D152*'LED Impact Forecast'!$J$24</f>
        <v>23003.263956478826</v>
      </c>
      <c r="W152" s="304">
        <f>$M152*'CFL Impact Forecast'!$H$24+$D152*'CFL Impact Forecast'!$J$24</f>
        <v>296272.63478032389</v>
      </c>
      <c r="X152" s="304">
        <f>$M152*'EISA Incand Impact Forecast'!$G$24+$D152*'EISA Incand Impact Forecast'!$I$24</f>
        <v>112354.60184695825</v>
      </c>
      <c r="Y152" s="85">
        <f t="shared" si="68"/>
        <v>595056.29139923723</v>
      </c>
      <c r="Z152" s="81">
        <f t="shared" si="69"/>
        <v>891263.23210195242</v>
      </c>
      <c r="AA152" s="81"/>
      <c r="AB152" s="262">
        <f>+'MWh by mo-WgtbyActulCDH&amp;Days'!AB152</f>
        <v>4909023.0862381933</v>
      </c>
      <c r="AC152" s="308">
        <f t="shared" si="77"/>
        <v>181.55612969115847</v>
      </c>
      <c r="AD152" s="309">
        <f t="shared" si="70"/>
        <v>60.339284517339678</v>
      </c>
      <c r="AE152" s="107">
        <f t="shared" si="71"/>
        <v>5.3874361176196144E-3</v>
      </c>
      <c r="AF152" s="309">
        <f t="shared" si="78"/>
        <v>121.21684517381881</v>
      </c>
      <c r="AG152" s="107">
        <f t="shared" si="72"/>
        <v>1.0822932604805251E-2</v>
      </c>
      <c r="AH152" s="119">
        <f t="shared" si="79"/>
        <v>1.6210368722424866E-2</v>
      </c>
      <c r="AI152" s="122">
        <f t="shared" si="73"/>
        <v>1.6210368722424862E-2</v>
      </c>
      <c r="AJ152" s="87" t="b">
        <f t="shared" si="80"/>
        <v>1</v>
      </c>
      <c r="AK152" s="88">
        <f t="shared" si="83"/>
        <v>1.6200689676851183E-3</v>
      </c>
      <c r="AL152" s="312">
        <f>+AC152/'MWh by month-WgtbyCDH&amp;DayLtHrs'!AC152-1</f>
        <v>2.592264508193054E-3</v>
      </c>
      <c r="AM152" s="89">
        <f t="shared" si="74"/>
        <v>296272.63478032389</v>
      </c>
      <c r="AN152" s="93"/>
      <c r="AO152" s="96">
        <f t="shared" si="63"/>
        <v>60.352666829146841</v>
      </c>
      <c r="AP152" s="92">
        <f t="shared" si="62"/>
        <v>5.3886309668881105E-3</v>
      </c>
      <c r="AR152" s="94">
        <f t="shared" si="75"/>
        <v>1.6210368722424862E-2</v>
      </c>
      <c r="AS152" s="95">
        <v>888047.99240206345</v>
      </c>
      <c r="AU152" s="141">
        <v>181.55612969115847</v>
      </c>
    </row>
    <row r="153" spans="1:47">
      <c r="A153" s="78">
        <v>2017</v>
      </c>
      <c r="B153" s="78">
        <v>5</v>
      </c>
      <c r="C153" s="317">
        <f t="shared" si="81"/>
        <v>208.47875842628665</v>
      </c>
      <c r="D153" s="324">
        <f t="shared" si="64"/>
        <v>0.10603105035770212</v>
      </c>
      <c r="E153" s="321">
        <f>$D153*'MWh Impact Summary'!B$23</f>
        <v>247159.77686730729</v>
      </c>
      <c r="F153" s="319">
        <f>$D153*'MWh Impact Summary'!N$23</f>
        <v>24101.208138660222</v>
      </c>
      <c r="G153" s="319">
        <f>$D153*'MWh Impact Summary'!C$23</f>
        <v>193964.65396064939</v>
      </c>
      <c r="H153" s="319">
        <f>$D153*'MWh Impact Summary'!D$23</f>
        <v>700.17784149597537</v>
      </c>
      <c r="I153" s="319">
        <f>$D153*'MWh Impact Summary'!E$23</f>
        <v>75604.72539883951</v>
      </c>
      <c r="J153" s="104">
        <f t="shared" si="76"/>
        <v>541530.54220695235</v>
      </c>
      <c r="K153" s="298">
        <f t="shared" si="82"/>
        <v>10.533333333333333</v>
      </c>
      <c r="L153" s="300">
        <f t="shared" si="65"/>
        <v>7.4152293793265281E-2</v>
      </c>
      <c r="M153" s="297">
        <f t="shared" si="84"/>
        <v>8.4931506849315067E-2</v>
      </c>
      <c r="N153" s="304">
        <f>$M153*'MWh Impact Summary'!F$23</f>
        <v>103076.02811420627</v>
      </c>
      <c r="O153" s="304">
        <f>$M153*'MWh Impact Summary'!G$23</f>
        <v>3417.8947403267753</v>
      </c>
      <c r="P153" s="304">
        <f>$M153*'MWh Impact Summary'!H$23</f>
        <v>6150.5175305832354</v>
      </c>
      <c r="Q153" s="304">
        <f>$M153*'MWh Impact Summary'!I$23</f>
        <v>1229.0408678070755</v>
      </c>
      <c r="R153" s="304">
        <f>$M153*'MWh Impact Summary'!J$23</f>
        <v>30397.083715572728</v>
      </c>
      <c r="S153" s="304">
        <f>$M153*'MWh Impact Summary'!K$23</f>
        <v>10000.576722944348</v>
      </c>
      <c r="T153" s="304">
        <f>$M153*'MWh Impact Summary'!L$23</f>
        <v>3576.4208897997401</v>
      </c>
      <c r="U153" s="304">
        <f>$M153*'MWh Impact Summary'!M$23</f>
        <v>11025.754594752025</v>
      </c>
      <c r="V153" s="304">
        <f>$M153*'LED Impact Forecast'!$H$24+$D153*'LED Impact Forecast'!$J$24</f>
        <v>25208.928976040967</v>
      </c>
      <c r="W153" s="304">
        <f>$M153*'CFL Impact Forecast'!$H$24+$D153*'CFL Impact Forecast'!$J$24</f>
        <v>331411.91633491596</v>
      </c>
      <c r="X153" s="304">
        <f>$M153*'EISA Incand Impact Forecast'!$G$24+$D153*'EISA Incand Impact Forecast'!$I$24</f>
        <v>126393.89375019178</v>
      </c>
      <c r="Y153" s="85">
        <f t="shared" si="68"/>
        <v>651888.0562371409</v>
      </c>
      <c r="Z153" s="81">
        <f t="shared" si="69"/>
        <v>1193418.5984440933</v>
      </c>
      <c r="AA153" s="81"/>
      <c r="AB153" s="262">
        <f>+'MWh by mo-WgtbyActulCDH&amp;Days'!AB153</f>
        <v>4914208.6423511496</v>
      </c>
      <c r="AC153" s="308">
        <f t="shared" si="77"/>
        <v>242.85061650803559</v>
      </c>
      <c r="AD153" s="309">
        <f t="shared" si="70"/>
        <v>110.19689671699876</v>
      </c>
      <c r="AE153" s="107">
        <f t="shared" si="71"/>
        <v>1.0461730700980896E-2</v>
      </c>
      <c r="AF153" s="309">
        <f t="shared" si="78"/>
        <v>132.65371979103682</v>
      </c>
      <c r="AG153" s="107">
        <f t="shared" si="72"/>
        <v>1.2593707575098433E-2</v>
      </c>
      <c r="AH153" s="119">
        <f t="shared" si="79"/>
        <v>2.3055438276079331E-2</v>
      </c>
      <c r="AI153" s="122">
        <f t="shared" si="73"/>
        <v>2.3055438276079331E-2</v>
      </c>
      <c r="AJ153" s="87" t="b">
        <f t="shared" si="80"/>
        <v>1</v>
      </c>
      <c r="AK153" s="88">
        <f t="shared" si="83"/>
        <v>2.2551139263560019E-3</v>
      </c>
      <c r="AL153" s="312">
        <f>+AC153/'MWh by month-WgtbyCDH&amp;DayLtHrs'!AC153-1</f>
        <v>8.2325703890978374E-2</v>
      </c>
      <c r="AM153" s="89">
        <f t="shared" si="74"/>
        <v>331411.91633491596</v>
      </c>
      <c r="AN153" s="93"/>
      <c r="AO153" s="96">
        <f t="shared" si="63"/>
        <v>67.43952901770885</v>
      </c>
      <c r="AP153" s="92">
        <f t="shared" si="62"/>
        <v>6.4024869320609664E-3</v>
      </c>
      <c r="AR153" s="94">
        <f t="shared" si="75"/>
        <v>2.3055438276079331E-2</v>
      </c>
      <c r="AS153" s="95">
        <v>1062138.4092348372</v>
      </c>
      <c r="AU153" s="141">
        <v>242.85061650803559</v>
      </c>
    </row>
    <row r="154" spans="1:47">
      <c r="A154" s="78">
        <v>2017</v>
      </c>
      <c r="B154" s="78">
        <v>6</v>
      </c>
      <c r="C154" s="317">
        <f t="shared" si="81"/>
        <v>271.66325293295364</v>
      </c>
      <c r="D154" s="324">
        <f t="shared" si="64"/>
        <v>0.13816630657965029</v>
      </c>
      <c r="E154" s="321">
        <f>$D154*'MWh Impact Summary'!B$23</f>
        <v>322067.48296467983</v>
      </c>
      <c r="F154" s="319">
        <f>$D154*'MWh Impact Summary'!N$23</f>
        <v>31405.658072727005</v>
      </c>
      <c r="G154" s="319">
        <f>$D154*'MWh Impact Summary'!C$23</f>
        <v>252750.30054246887</v>
      </c>
      <c r="H154" s="319">
        <f>$D154*'MWh Impact Summary'!D$23</f>
        <v>912.38355162991581</v>
      </c>
      <c r="I154" s="319">
        <f>$D154*'MWh Impact Summary'!E$23</f>
        <v>98518.553132181914</v>
      </c>
      <c r="J154" s="104">
        <f t="shared" si="76"/>
        <v>705654.3782636876</v>
      </c>
      <c r="K154" s="298">
        <f t="shared" si="82"/>
        <v>10.199999999999999</v>
      </c>
      <c r="L154" s="300">
        <f t="shared" si="65"/>
        <v>7.1805702217529022E-2</v>
      </c>
      <c r="M154" s="297">
        <f>(30/365)</f>
        <v>8.2191780821917804E-2</v>
      </c>
      <c r="N154" s="304">
        <f>$M154*'MWh Impact Summary'!F$23</f>
        <v>99750.99494923187</v>
      </c>
      <c r="O154" s="304">
        <f>$M154*'MWh Impact Summary'!G$23</f>
        <v>3307.6400712839759</v>
      </c>
      <c r="P154" s="304">
        <f>$M154*'MWh Impact Summary'!H$23</f>
        <v>5952.1137392740984</v>
      </c>
      <c r="Q154" s="304">
        <f>$M154*'MWh Impact Summary'!I$23</f>
        <v>1189.3943882003955</v>
      </c>
      <c r="R154" s="304">
        <f>$M154*'MWh Impact Summary'!J$23</f>
        <v>29416.532627973607</v>
      </c>
      <c r="S154" s="304">
        <f>$M154*'MWh Impact Summary'!K$23</f>
        <v>9677.9774738171109</v>
      </c>
      <c r="T154" s="304">
        <f>$M154*'MWh Impact Summary'!L$23</f>
        <v>3461.0524739997481</v>
      </c>
      <c r="U154" s="304">
        <f>$M154*'MWh Impact Summary'!M$23</f>
        <v>10670.085091695506</v>
      </c>
      <c r="V154" s="304">
        <f>$M154*'LED Impact Forecast'!$H$24+$D154*'LED Impact Forecast'!$J$24</f>
        <v>25505.491813106175</v>
      </c>
      <c r="W154" s="304">
        <f>$M154*'CFL Impact Forecast'!$H$24+$D154*'CFL Impact Forecast'!$J$24</f>
        <v>340205.88940715743</v>
      </c>
      <c r="X154" s="304">
        <f>$M154*'EISA Incand Impact Forecast'!$G$24+$D154*'EISA Incand Impact Forecast'!$I$24</f>
        <v>130256.10099797568</v>
      </c>
      <c r="Y154" s="85">
        <f t="shared" si="68"/>
        <v>659393.27303371555</v>
      </c>
      <c r="Z154" s="81">
        <f t="shared" si="69"/>
        <v>1365047.651297403</v>
      </c>
      <c r="AA154" s="81"/>
      <c r="AB154" s="262">
        <f>+'MWh by mo-WgtbyActulCDH&amp;Days'!AB154</f>
        <v>4919416.2556081917</v>
      </c>
      <c r="AC154" s="308">
        <f t="shared" si="77"/>
        <v>277.48163204145061</v>
      </c>
      <c r="AD154" s="309">
        <f t="shared" si="70"/>
        <v>143.44270571924736</v>
      </c>
      <c r="AE154" s="107">
        <f t="shared" si="71"/>
        <v>1.4063010364632096E-2</v>
      </c>
      <c r="AF154" s="309">
        <f t="shared" si="78"/>
        <v>134.03892632220328</v>
      </c>
      <c r="AG154" s="107">
        <f t="shared" si="72"/>
        <v>1.3141071208059147E-2</v>
      </c>
      <c r="AH154" s="119">
        <f t="shared" si="79"/>
        <v>2.7204081572691243E-2</v>
      </c>
      <c r="AI154" s="122">
        <f t="shared" si="73"/>
        <v>2.7204081572691236E-2</v>
      </c>
      <c r="AJ154" s="87" t="b">
        <f t="shared" si="80"/>
        <v>1</v>
      </c>
      <c r="AK154" s="88">
        <f t="shared" si="83"/>
        <v>2.6306460266414741E-3</v>
      </c>
      <c r="AL154" s="312">
        <f>+AC154/'MWh by month-WgtbyCDH&amp;DayLtHrs'!AC154-1</f>
        <v>9.1211625646280936E-2</v>
      </c>
      <c r="AM154" s="89">
        <f t="shared" si="74"/>
        <v>340205.88940715743</v>
      </c>
      <c r="AN154" s="93"/>
      <c r="AO154" s="96">
        <f t="shared" si="63"/>
        <v>69.155743635094666</v>
      </c>
      <c r="AP154" s="92">
        <f t="shared" si="62"/>
        <v>6.7799748661857518E-3</v>
      </c>
      <c r="AR154" s="94">
        <f t="shared" si="75"/>
        <v>2.7204081572691236E-2</v>
      </c>
      <c r="AS154" s="95">
        <v>1292227.9054156456</v>
      </c>
      <c r="AU154" s="141">
        <v>277.48163204145061</v>
      </c>
    </row>
    <row r="155" spans="1:47">
      <c r="A155" s="78">
        <v>2017</v>
      </c>
      <c r="B155" s="78">
        <v>7</v>
      </c>
      <c r="C155" s="317">
        <f t="shared" si="81"/>
        <v>322.31916585708109</v>
      </c>
      <c r="D155" s="324">
        <f t="shared" si="64"/>
        <v>0.16392960109808263</v>
      </c>
      <c r="E155" s="321">
        <f>$D155*'MWh Impact Summary'!B$23</f>
        <v>382122.06228895142</v>
      </c>
      <c r="F155" s="319">
        <f>$D155*'MWh Impact Summary'!N$23</f>
        <v>37261.740054671056</v>
      </c>
      <c r="G155" s="319">
        <f>$D155*'MWh Impact Summary'!C$23</f>
        <v>299879.59417198377</v>
      </c>
      <c r="H155" s="319">
        <f>$D155*'MWh Impact Summary'!D$23</f>
        <v>1082.5119044556757</v>
      </c>
      <c r="I155" s="319">
        <f>$D155*'MWh Impact Summary'!E$23</f>
        <v>116888.89654445968</v>
      </c>
      <c r="J155" s="104">
        <f t="shared" si="76"/>
        <v>837234.80496452167</v>
      </c>
      <c r="K155" s="298">
        <f t="shared" si="82"/>
        <v>10.366666666666667</v>
      </c>
      <c r="L155" s="300">
        <f t="shared" si="65"/>
        <v>7.2978998005397158E-2</v>
      </c>
      <c r="M155" s="297">
        <f t="shared" si="84"/>
        <v>8.4931506849315067E-2</v>
      </c>
      <c r="N155" s="304">
        <f>$M155*'MWh Impact Summary'!F$23</f>
        <v>103076.02811420627</v>
      </c>
      <c r="O155" s="304">
        <f>$M155*'MWh Impact Summary'!G$23</f>
        <v>3417.8947403267753</v>
      </c>
      <c r="P155" s="304">
        <f>$M155*'MWh Impact Summary'!H$23</f>
        <v>6150.5175305832354</v>
      </c>
      <c r="Q155" s="304">
        <f>$M155*'MWh Impact Summary'!I$23</f>
        <v>1229.0408678070755</v>
      </c>
      <c r="R155" s="304">
        <f>$M155*'MWh Impact Summary'!J$23</f>
        <v>30397.083715572728</v>
      </c>
      <c r="S155" s="304">
        <f>$M155*'MWh Impact Summary'!K$23</f>
        <v>10000.576722944348</v>
      </c>
      <c r="T155" s="304">
        <f>$M155*'MWh Impact Summary'!L$23</f>
        <v>3576.4208897997401</v>
      </c>
      <c r="U155" s="304">
        <f>$M155*'MWh Impact Summary'!M$23</f>
        <v>11025.754594752025</v>
      </c>
      <c r="V155" s="304">
        <f>$M155*'LED Impact Forecast'!$H$24+$D155*'LED Impact Forecast'!$J$24</f>
        <v>27016.046021401053</v>
      </c>
      <c r="W155" s="304">
        <f>$M155*'CFL Impact Forecast'!$H$24+$D155*'CFL Impact Forecast'!$J$24</f>
        <v>363140.65482050925</v>
      </c>
      <c r="X155" s="304">
        <f>$M155*'EISA Incand Impact Forecast'!$G$24+$D155*'EISA Incand Impact Forecast'!$I$24</f>
        <v>139322.41429544144</v>
      </c>
      <c r="Y155" s="85">
        <f t="shared" si="68"/>
        <v>698352.43231334398</v>
      </c>
      <c r="Z155" s="81">
        <f t="shared" si="69"/>
        <v>1535587.2372778656</v>
      </c>
      <c r="AA155" s="81"/>
      <c r="AB155" s="262">
        <f>+'MWh by mo-WgtbyActulCDH&amp;Days'!AB155</f>
        <v>4925689.6397420345</v>
      </c>
      <c r="AC155" s="308">
        <f t="shared" si="77"/>
        <v>311.75070895418548</v>
      </c>
      <c r="AD155" s="309">
        <f t="shared" si="70"/>
        <v>169.97311365487673</v>
      </c>
      <c r="AE155" s="107">
        <f t="shared" si="71"/>
        <v>1.6396120288251773E-2</v>
      </c>
      <c r="AF155" s="309">
        <f t="shared" si="78"/>
        <v>141.77759529930873</v>
      </c>
      <c r="AG155" s="107">
        <f t="shared" si="72"/>
        <v>1.3676295366492801E-2</v>
      </c>
      <c r="AH155" s="119">
        <f t="shared" si="79"/>
        <v>3.0072415654744576E-2</v>
      </c>
      <c r="AI155" s="122">
        <f t="shared" si="73"/>
        <v>3.007241565474458E-2</v>
      </c>
      <c r="AJ155" s="87" t="b">
        <f t="shared" si="80"/>
        <v>1</v>
      </c>
      <c r="AK155" s="88">
        <f t="shared" si="83"/>
        <v>2.8957226395420858E-3</v>
      </c>
      <c r="AL155" s="312">
        <f>+AC155/'MWh by month-WgtbyCDH&amp;DayLtHrs'!AC155-1</f>
        <v>0.10439172808203345</v>
      </c>
      <c r="AM155" s="89">
        <f t="shared" si="74"/>
        <v>363140.65482050925</v>
      </c>
      <c r="AN155" s="93"/>
      <c r="AO155" s="96">
        <f t="shared" si="63"/>
        <v>73.7238196841666</v>
      </c>
      <c r="AP155" s="92">
        <f t="shared" si="62"/>
        <v>7.1116224775723408E-3</v>
      </c>
      <c r="AR155" s="94">
        <f t="shared" si="75"/>
        <v>3.007241565474458E-2</v>
      </c>
      <c r="AS155" s="95">
        <v>1357227.0173592614</v>
      </c>
      <c r="AU155" s="141">
        <v>311.75070895418548</v>
      </c>
    </row>
    <row r="156" spans="1:47">
      <c r="A156" s="78">
        <v>2017</v>
      </c>
      <c r="B156" s="78">
        <v>8</v>
      </c>
      <c r="C156" s="317">
        <f t="shared" si="81"/>
        <v>326.45437890907908</v>
      </c>
      <c r="D156" s="324">
        <f t="shared" si="64"/>
        <v>0.16603274573816959</v>
      </c>
      <c r="E156" s="321">
        <f>$D156*'MWh Impact Summary'!B$23</f>
        <v>387024.52018416178</v>
      </c>
      <c r="F156" s="319">
        <f>$D156*'MWh Impact Summary'!N$23</f>
        <v>37739.791781457156</v>
      </c>
      <c r="G156" s="319">
        <f>$D156*'MWh Impact Summary'!C$23</f>
        <v>303726.91739444988</v>
      </c>
      <c r="H156" s="319">
        <f>$D156*'MWh Impact Summary'!D$23</f>
        <v>1096.4000557989104</v>
      </c>
      <c r="I156" s="319">
        <f>$D156*'MWh Impact Summary'!E$23</f>
        <v>118388.52964675748</v>
      </c>
      <c r="J156" s="104">
        <f t="shared" si="76"/>
        <v>847976.15906262526</v>
      </c>
      <c r="K156" s="298">
        <f t="shared" si="82"/>
        <v>10.933333333333334</v>
      </c>
      <c r="L156" s="300">
        <f>L144</f>
        <v>7.6968203684148764E-2</v>
      </c>
      <c r="M156" s="297">
        <f t="shared" si="84"/>
        <v>8.4931506849315067E-2</v>
      </c>
      <c r="N156" s="304">
        <f>$M156*'MWh Impact Summary'!F$23</f>
        <v>103076.02811420627</v>
      </c>
      <c r="O156" s="304">
        <f>$M156*'MWh Impact Summary'!G$23</f>
        <v>3417.8947403267753</v>
      </c>
      <c r="P156" s="304">
        <f>$M156*'MWh Impact Summary'!H$23</f>
        <v>6150.5175305832354</v>
      </c>
      <c r="Q156" s="304">
        <f>$M156*'MWh Impact Summary'!I$23</f>
        <v>1229.0408678070755</v>
      </c>
      <c r="R156" s="304">
        <f>$M156*'MWh Impact Summary'!J$23</f>
        <v>30397.083715572728</v>
      </c>
      <c r="S156" s="304">
        <f>$M156*'MWh Impact Summary'!K$23</f>
        <v>10000.576722944348</v>
      </c>
      <c r="T156" s="304">
        <f>$M156*'MWh Impact Summary'!L$23</f>
        <v>3576.4208897997401</v>
      </c>
      <c r="U156" s="304">
        <f>$M156*'MWh Impact Summary'!M$23</f>
        <v>11025.754594752025</v>
      </c>
      <c r="V156" s="304">
        <f>$M156*'LED Impact Forecast'!$H$24+$D156*'LED Impact Forecast'!$J$24</f>
        <v>27081.688917110154</v>
      </c>
      <c r="W156" s="304">
        <f>$M156*'CFL Impact Forecast'!$H$24+$D156*'CFL Impact Forecast'!$J$24</f>
        <v>364293.19016775687</v>
      </c>
      <c r="X156" s="304">
        <f>$M156*'EISA Incand Impact Forecast'!$G$24+$D156*'EISA Incand Impact Forecast'!$I$24</f>
        <v>139792.03829019255</v>
      </c>
      <c r="Y156" s="85">
        <f t="shared" si="68"/>
        <v>700040.23455105186</v>
      </c>
      <c r="Z156" s="81">
        <f t="shared" si="69"/>
        <v>1548016.393613677</v>
      </c>
      <c r="AA156" s="81"/>
      <c r="AB156" s="262">
        <f>+'MWh by mo-WgtbyActulCDH&amp;Days'!AB156</f>
        <v>4932512.8426490845</v>
      </c>
      <c r="AC156" s="308">
        <f t="shared" si="77"/>
        <v>313.8393032104687</v>
      </c>
      <c r="AD156" s="309">
        <f t="shared" si="70"/>
        <v>171.91565153780851</v>
      </c>
      <c r="AE156" s="107">
        <f t="shared" si="71"/>
        <v>1.5723992518701997E-2</v>
      </c>
      <c r="AF156" s="309">
        <f t="shared" si="78"/>
        <v>141.92365167266024</v>
      </c>
      <c r="AG156" s="107">
        <f t="shared" si="72"/>
        <v>1.298082179932868E-2</v>
      </c>
      <c r="AH156" s="119">
        <f t="shared" si="79"/>
        <v>2.8704814318030677E-2</v>
      </c>
      <c r="AI156" s="122">
        <f t="shared" si="73"/>
        <v>2.8704814318030673E-2</v>
      </c>
      <c r="AJ156" s="87" t="b">
        <f t="shared" si="80"/>
        <v>1</v>
      </c>
      <c r="AK156" s="88">
        <f t="shared" si="83"/>
        <v>2.7665580540241208E-3</v>
      </c>
      <c r="AL156" s="312">
        <f>+AC156/'MWh by month-WgtbyCDH&amp;DayLtHrs'!AC156-1</f>
        <v>8.3990309463137347E-2</v>
      </c>
      <c r="AM156" s="89">
        <f t="shared" si="74"/>
        <v>364293.19016775687</v>
      </c>
      <c r="AN156" s="93"/>
      <c r="AO156" s="96">
        <f t="shared" si="63"/>
        <v>73.855497550434634</v>
      </c>
      <c r="AP156" s="92">
        <f t="shared" si="62"/>
        <v>6.7550759954665826E-3</v>
      </c>
      <c r="AR156" s="94">
        <f t="shared" si="75"/>
        <v>2.8704814318030673E-2</v>
      </c>
      <c r="AS156" s="95">
        <v>1410892.9277387722</v>
      </c>
      <c r="AU156" s="141">
        <v>313.8393032104687</v>
      </c>
    </row>
    <row r="157" spans="1:47">
      <c r="A157" s="78">
        <v>2017</v>
      </c>
      <c r="B157" s="78">
        <v>9</v>
      </c>
      <c r="C157" s="317">
        <f t="shared" si="81"/>
        <v>277.87653293728147</v>
      </c>
      <c r="D157" s="324">
        <f t="shared" si="64"/>
        <v>0.14132634365008559</v>
      </c>
      <c r="E157" s="321">
        <f>$D157*'MWh Impact Summary'!B$23</f>
        <v>329433.57105478499</v>
      </c>
      <c r="F157" s="319">
        <f>$D157*'MWh Impact Summary'!N$23</f>
        <v>32123.944941559395</v>
      </c>
      <c r="G157" s="319">
        <f>$D157*'MWh Impact Summary'!C$23</f>
        <v>258531.01755698523</v>
      </c>
      <c r="H157" s="319">
        <f>$D157*'MWh Impact Summary'!D$23</f>
        <v>933.25091008350421</v>
      </c>
      <c r="I157" s="319">
        <f>$D157*'MWh Impact Summary'!E$23</f>
        <v>100771.79625440342</v>
      </c>
      <c r="J157" s="104">
        <f t="shared" si="76"/>
        <v>721793.5807178166</v>
      </c>
      <c r="K157" s="298">
        <f t="shared" si="82"/>
        <v>11.683333333333334</v>
      </c>
      <c r="L157" s="300">
        <f t="shared" si="65"/>
        <v>8.2248034729555317E-2</v>
      </c>
      <c r="M157" s="297">
        <f>(30/365)</f>
        <v>8.2191780821917804E-2</v>
      </c>
      <c r="N157" s="304">
        <f>$M157*'MWh Impact Summary'!F$23</f>
        <v>99750.99494923187</v>
      </c>
      <c r="O157" s="304">
        <f>$M157*'MWh Impact Summary'!G$23</f>
        <v>3307.6400712839759</v>
      </c>
      <c r="P157" s="304">
        <f>$M157*'MWh Impact Summary'!H$23</f>
        <v>5952.1137392740984</v>
      </c>
      <c r="Q157" s="304">
        <f>$M157*'MWh Impact Summary'!I$23</f>
        <v>1189.3943882003955</v>
      </c>
      <c r="R157" s="304">
        <f>$M157*'MWh Impact Summary'!J$23</f>
        <v>29416.532627973607</v>
      </c>
      <c r="S157" s="304">
        <f>$M157*'MWh Impact Summary'!K$23</f>
        <v>9677.9774738171109</v>
      </c>
      <c r="T157" s="304">
        <f>$M157*'MWh Impact Summary'!L$23</f>
        <v>3461.0524739997481</v>
      </c>
      <c r="U157" s="304">
        <f>$M157*'MWh Impact Summary'!M$23</f>
        <v>10670.085091695506</v>
      </c>
      <c r="V157" s="304">
        <f>$M157*'LED Impact Forecast'!$H$24+$D157*'LED Impact Forecast'!$J$24</f>
        <v>25604.122206802203</v>
      </c>
      <c r="W157" s="304">
        <f>$M157*'CFL Impact Forecast'!$H$24+$D157*'CFL Impact Forecast'!$J$24</f>
        <v>341937.60787904472</v>
      </c>
      <c r="X157" s="304">
        <f>$M157*'EISA Incand Impact Forecast'!$G$24+$D157*'EISA Incand Impact Forecast'!$I$24</f>
        <v>130961.72494998212</v>
      </c>
      <c r="Y157" s="85">
        <f t="shared" si="68"/>
        <v>661929.24585130543</v>
      </c>
      <c r="Z157" s="81">
        <f t="shared" si="69"/>
        <v>1383722.826569122</v>
      </c>
      <c r="AA157" s="81"/>
      <c r="AB157" s="262">
        <f>+'MWh by mo-WgtbyActulCDH&amp;Days'!AB157</f>
        <v>4937360.4766257806</v>
      </c>
      <c r="AC157" s="308">
        <f t="shared" si="77"/>
        <v>280.25558051106003</v>
      </c>
      <c r="AD157" s="309">
        <f t="shared" si="70"/>
        <v>146.19017269144067</v>
      </c>
      <c r="AE157" s="107">
        <f t="shared" si="71"/>
        <v>1.2512710929367246E-2</v>
      </c>
      <c r="AF157" s="309">
        <f t="shared" si="78"/>
        <v>134.06540781961937</v>
      </c>
      <c r="AG157" s="107">
        <f t="shared" si="72"/>
        <v>1.1474927916087251E-2</v>
      </c>
      <c r="AH157" s="119">
        <f t="shared" si="79"/>
        <v>2.3987638845454497E-2</v>
      </c>
      <c r="AI157" s="122">
        <f t="shared" si="73"/>
        <v>2.3987638845454493E-2</v>
      </c>
      <c r="AJ157" s="87" t="b">
        <f t="shared" si="80"/>
        <v>1</v>
      </c>
      <c r="AK157" s="88">
        <f t="shared" si="83"/>
        <v>2.3217368267275766E-3</v>
      </c>
      <c r="AL157" s="312">
        <f>+AC157/'MWh by month-WgtbyCDH&amp;DayLtHrs'!AC157-1</f>
        <v>3.4571337057496931E-2</v>
      </c>
      <c r="AM157" s="89">
        <f t="shared" si="74"/>
        <v>341937.60787904472</v>
      </c>
      <c r="AN157" s="93"/>
      <c r="AO157" s="96">
        <f t="shared" si="63"/>
        <v>69.255143410700839</v>
      </c>
      <c r="AP157" s="92">
        <f t="shared" si="62"/>
        <v>5.9276870251669753E-3</v>
      </c>
      <c r="AR157" s="94">
        <f t="shared" si="75"/>
        <v>2.3987638845454493E-2</v>
      </c>
      <c r="AS157" s="95">
        <v>1334004.0496220316</v>
      </c>
      <c r="AU157" s="141">
        <v>280.25558051106003</v>
      </c>
    </row>
    <row r="158" spans="1:47">
      <c r="A158" s="78">
        <v>2017</v>
      </c>
      <c r="B158" s="78">
        <v>10</v>
      </c>
      <c r="C158" s="317">
        <f t="shared" si="81"/>
        <v>198.89039579254836</v>
      </c>
      <c r="D158" s="324">
        <f t="shared" si="64"/>
        <v>0.10115446643644242</v>
      </c>
      <c r="E158" s="321">
        <f>$D158*'MWh Impact Summary'!B$23</f>
        <v>235792.39542774681</v>
      </c>
      <c r="F158" s="319">
        <f>$D158*'MWh Impact Summary'!N$23</f>
        <v>22992.74449809999</v>
      </c>
      <c r="G158" s="319">
        <f>$D158*'MWh Impact Summary'!C$23</f>
        <v>185043.82454694269</v>
      </c>
      <c r="H158" s="319">
        <f>$D158*'MWh Impact Summary'!D$23</f>
        <v>667.9752367651663</v>
      </c>
      <c r="I158" s="319">
        <f>$D158*'MWh Impact Summary'!E$23</f>
        <v>72127.510120791922</v>
      </c>
      <c r="J158" s="104">
        <f t="shared" si="76"/>
        <v>516624.44983034657</v>
      </c>
      <c r="K158" s="298">
        <f t="shared" si="82"/>
        <v>12.466666666666667</v>
      </c>
      <c r="L158" s="300">
        <f t="shared" si="65"/>
        <v>8.7762524932535488E-2</v>
      </c>
      <c r="M158" s="297">
        <f t="shared" si="84"/>
        <v>8.4931506849315067E-2</v>
      </c>
      <c r="N158" s="304">
        <f>$M158*'MWh Impact Summary'!F$23</f>
        <v>103076.02811420627</v>
      </c>
      <c r="O158" s="304">
        <f>$M158*'MWh Impact Summary'!G$23</f>
        <v>3417.8947403267753</v>
      </c>
      <c r="P158" s="304">
        <f>$M158*'MWh Impact Summary'!H$23</f>
        <v>6150.5175305832354</v>
      </c>
      <c r="Q158" s="304">
        <f>$M158*'MWh Impact Summary'!I$23</f>
        <v>1229.0408678070755</v>
      </c>
      <c r="R158" s="304">
        <f>$M158*'MWh Impact Summary'!J$23</f>
        <v>30397.083715572728</v>
      </c>
      <c r="S158" s="304">
        <f>$M158*'MWh Impact Summary'!K$23</f>
        <v>10000.576722944348</v>
      </c>
      <c r="T158" s="304">
        <f>$M158*'MWh Impact Summary'!L$23</f>
        <v>3576.4208897997401</v>
      </c>
      <c r="U158" s="304">
        <f>$M158*'MWh Impact Summary'!M$23</f>
        <v>11025.754594752025</v>
      </c>
      <c r="V158" s="304">
        <f>$M158*'LED Impact Forecast'!$H$24+$D158*'LED Impact Forecast'!$J$24</f>
        <v>25056.722093233948</v>
      </c>
      <c r="W158" s="304">
        <f>$M158*'CFL Impact Forecast'!$H$24+$D158*'CFL Impact Forecast'!$J$24</f>
        <v>328739.52032565308</v>
      </c>
      <c r="X158" s="304">
        <f>$M158*'EISA Incand Impact Forecast'!$G$24+$D158*'EISA Incand Impact Forecast'!$I$24</f>
        <v>125304.97158184001</v>
      </c>
      <c r="Y158" s="85">
        <f t="shared" si="68"/>
        <v>647974.53117671935</v>
      </c>
      <c r="Z158" s="81">
        <f t="shared" si="69"/>
        <v>1164598.9810070659</v>
      </c>
      <c r="AA158" s="81"/>
      <c r="AB158" s="262">
        <f>+'MWh by mo-WgtbyActulCDH&amp;Days'!AB158</f>
        <v>4942855.5525092389</v>
      </c>
      <c r="AC158" s="308">
        <f t="shared" si="77"/>
        <v>235.61258641593471</v>
      </c>
      <c r="AD158" s="309">
        <f t="shared" si="70"/>
        <v>104.51943099330151</v>
      </c>
      <c r="AE158" s="107">
        <f t="shared" si="71"/>
        <v>8.3839115770027953E-3</v>
      </c>
      <c r="AF158" s="309">
        <f t="shared" si="78"/>
        <v>131.09315542263323</v>
      </c>
      <c r="AG158" s="107">
        <f t="shared" si="72"/>
        <v>1.0515493750478602E-2</v>
      </c>
      <c r="AH158" s="119">
        <f t="shared" si="79"/>
        <v>1.8899405327481397E-2</v>
      </c>
      <c r="AI158" s="122">
        <f t="shared" si="73"/>
        <v>1.8899405327481394E-2</v>
      </c>
      <c r="AJ158" s="87" t="b">
        <f t="shared" si="80"/>
        <v>1</v>
      </c>
      <c r="AK158" s="88">
        <f t="shared" si="83"/>
        <v>1.8551390595533471E-3</v>
      </c>
      <c r="AL158" s="312">
        <f>+AC158/'MWh by month-WgtbyCDH&amp;DayLtHrs'!AC158-1</f>
        <v>-4.1836104990027323E-3</v>
      </c>
      <c r="AM158" s="89">
        <f t="shared" si="74"/>
        <v>328739.52032565308</v>
      </c>
      <c r="AN158" s="93"/>
      <c r="AO158" s="96">
        <f t="shared" si="63"/>
        <v>66.508016840340105</v>
      </c>
      <c r="AP158" s="92">
        <f t="shared" si="62"/>
        <v>5.334867660989848E-3</v>
      </c>
      <c r="AR158" s="94">
        <f t="shared" si="75"/>
        <v>1.8899405327481394E-2</v>
      </c>
      <c r="AS158" s="95">
        <v>1078209.4451565538</v>
      </c>
      <c r="AU158" s="141">
        <v>235.61258641593471</v>
      </c>
    </row>
    <row r="159" spans="1:47">
      <c r="A159" s="78">
        <v>2017</v>
      </c>
      <c r="B159" s="78">
        <v>11</v>
      </c>
      <c r="C159" s="317">
        <f t="shared" si="81"/>
        <v>78.117279066674627</v>
      </c>
      <c r="D159" s="324">
        <f t="shared" si="64"/>
        <v>3.9729981188725644E-2</v>
      </c>
      <c r="E159" s="321">
        <f>$D159*'MWh Impact Summary'!B$23</f>
        <v>92611.110164622121</v>
      </c>
      <c r="F159" s="319">
        <f>$D159*'MWh Impact Summary'!N$23</f>
        <v>9030.7560166971034</v>
      </c>
      <c r="G159" s="319">
        <f>$D159*'MWh Impact Summary'!C$23</f>
        <v>72678.824053302407</v>
      </c>
      <c r="H159" s="319">
        <f>$D159*'MWh Impact Summary'!D$23</f>
        <v>262.35760541418529</v>
      </c>
      <c r="I159" s="319">
        <f>$D159*'MWh Impact Summary'!E$23</f>
        <v>28329.195153129658</v>
      </c>
      <c r="J159" s="104">
        <f t="shared" si="76"/>
        <v>202912.24299316548</v>
      </c>
      <c r="K159" s="298">
        <f t="shared" si="82"/>
        <v>13.15</v>
      </c>
      <c r="L159" s="300">
        <f t="shared" si="65"/>
        <v>9.2573037662794788E-2</v>
      </c>
      <c r="M159" s="297">
        <f>(30/365)</f>
        <v>8.2191780821917804E-2</v>
      </c>
      <c r="N159" s="304">
        <f>$M159*'MWh Impact Summary'!F$23</f>
        <v>99750.99494923187</v>
      </c>
      <c r="O159" s="304">
        <f>$M159*'MWh Impact Summary'!G$23</f>
        <v>3307.6400712839759</v>
      </c>
      <c r="P159" s="304">
        <f>$M159*'MWh Impact Summary'!H$23</f>
        <v>5952.1137392740984</v>
      </c>
      <c r="Q159" s="304">
        <f>$M159*'MWh Impact Summary'!I$23</f>
        <v>1189.3943882003955</v>
      </c>
      <c r="R159" s="304">
        <f>$M159*'MWh Impact Summary'!J$23</f>
        <v>29416.532627973607</v>
      </c>
      <c r="S159" s="304">
        <f>$M159*'MWh Impact Summary'!K$23</f>
        <v>9677.9774738171109</v>
      </c>
      <c r="T159" s="304">
        <f>$M159*'MWh Impact Summary'!L$23</f>
        <v>3461.0524739997481</v>
      </c>
      <c r="U159" s="304">
        <f>$M159*'MWh Impact Summary'!M$23</f>
        <v>10670.085091695506</v>
      </c>
      <c r="V159" s="304">
        <f>$M159*'LED Impact Forecast'!$H$24+$D159*'LED Impact Forecast'!$J$24</f>
        <v>22433.118511497989</v>
      </c>
      <c r="W159" s="304">
        <f>$M159*'CFL Impact Forecast'!$H$24+$D159*'CFL Impact Forecast'!$J$24</f>
        <v>286262.21748665906</v>
      </c>
      <c r="X159" s="304">
        <f>$M159*'EISA Incand Impact Forecast'!$G$24+$D159*'EISA Incand Impact Forecast'!$I$24</f>
        <v>108275.65349209591</v>
      </c>
      <c r="Y159" s="85">
        <f t="shared" si="68"/>
        <v>580396.78030572925</v>
      </c>
      <c r="Z159" s="81">
        <f t="shared" si="69"/>
        <v>783309.02329889475</v>
      </c>
      <c r="AA159" s="81"/>
      <c r="AB159" s="262">
        <f>+'MWh by mo-WgtbyActulCDH&amp;Days'!AB159</f>
        <v>4948496.4210517863</v>
      </c>
      <c r="AC159" s="308">
        <f t="shared" si="77"/>
        <v>158.29232895199408</v>
      </c>
      <c r="AD159" s="309">
        <f t="shared" si="70"/>
        <v>41.00482767451151</v>
      </c>
      <c r="AE159" s="107">
        <f t="shared" si="71"/>
        <v>3.1182378459704571E-3</v>
      </c>
      <c r="AF159" s="309">
        <f t="shared" si="78"/>
        <v>117.28750127748256</v>
      </c>
      <c r="AG159" s="107">
        <f t="shared" si="72"/>
        <v>8.9192016180595097E-3</v>
      </c>
      <c r="AH159" s="119">
        <f t="shared" si="79"/>
        <v>1.2037439464029968E-2</v>
      </c>
      <c r="AI159" s="122">
        <f t="shared" si="73"/>
        <v>1.2037439464029968E-2</v>
      </c>
      <c r="AJ159" s="87" t="b">
        <f t="shared" si="80"/>
        <v>1</v>
      </c>
      <c r="AK159" s="88">
        <f t="shared" si="83"/>
        <v>1.2205220421135504E-3</v>
      </c>
      <c r="AL159" s="312">
        <f>+AC159/'MWh by month-WgtbyCDH&amp;DayLtHrs'!AC159-1</f>
        <v>-0.11810392293395311</v>
      </c>
      <c r="AM159" s="89">
        <f t="shared" si="74"/>
        <v>286262.21748665906</v>
      </c>
      <c r="AN159" s="93"/>
      <c r="AO159" s="96">
        <f t="shared" si="63"/>
        <v>57.848322627626551</v>
      </c>
      <c r="AP159" s="92">
        <f t="shared" si="62"/>
        <v>4.399111986891753E-3</v>
      </c>
      <c r="AR159" s="94">
        <f t="shared" si="75"/>
        <v>1.2037439464029968E-2</v>
      </c>
      <c r="AS159" s="95">
        <v>837522.03634758166</v>
      </c>
      <c r="AU159" s="141">
        <v>158.29232895199408</v>
      </c>
    </row>
    <row r="160" spans="1:47">
      <c r="A160" s="78">
        <v>2017</v>
      </c>
      <c r="B160" s="78">
        <v>12</v>
      </c>
      <c r="C160" s="317">
        <f t="shared" si="81"/>
        <v>42.633806123140985</v>
      </c>
      <c r="D160" s="324">
        <f t="shared" si="64"/>
        <v>2.1683298951445065E-2</v>
      </c>
      <c r="E160" s="321">
        <f>$D160*'MWh Impact Summary'!B$23</f>
        <v>50544.055845024304</v>
      </c>
      <c r="F160" s="319">
        <f>$D160*'MWh Impact Summary'!N$23</f>
        <v>4928.6855067319357</v>
      </c>
      <c r="G160" s="319">
        <f>$D160*'MWh Impact Summary'!C$23</f>
        <v>39665.678720090546</v>
      </c>
      <c r="H160" s="319">
        <f>$D160*'MWh Impact Summary'!D$23</f>
        <v>143.18603281884697</v>
      </c>
      <c r="I160" s="319">
        <f>$D160*'MWh Impact Summary'!E$23</f>
        <v>15461.13008816257</v>
      </c>
      <c r="J160" s="104">
        <f t="shared" si="76"/>
        <v>110742.73619282819</v>
      </c>
      <c r="K160" s="298">
        <f t="shared" si="82"/>
        <v>13.483333333333333</v>
      </c>
      <c r="L160" s="300">
        <f t="shared" si="65"/>
        <v>9.491962923853102E-2</v>
      </c>
      <c r="M160" s="297">
        <f t="shared" si="84"/>
        <v>8.4931506849315067E-2</v>
      </c>
      <c r="N160" s="304">
        <f>$M160*'MWh Impact Summary'!F$23</f>
        <v>103076.02811420627</v>
      </c>
      <c r="O160" s="304">
        <f>$M160*'MWh Impact Summary'!G$23</f>
        <v>3417.8947403267753</v>
      </c>
      <c r="P160" s="304">
        <f>$M160*'MWh Impact Summary'!H$23</f>
        <v>6150.5175305832354</v>
      </c>
      <c r="Q160" s="304">
        <f>$M160*'MWh Impact Summary'!I$23</f>
        <v>1229.0408678070755</v>
      </c>
      <c r="R160" s="304">
        <f>$M160*'MWh Impact Summary'!J$23</f>
        <v>30397.083715572728</v>
      </c>
      <c r="S160" s="304">
        <f>$M160*'MWh Impact Summary'!K$23</f>
        <v>10000.576722944348</v>
      </c>
      <c r="T160" s="304">
        <f>$M160*'MWh Impact Summary'!L$23</f>
        <v>3576.4208897997401</v>
      </c>
      <c r="U160" s="304">
        <f>$M160*'MWh Impact Summary'!M$23</f>
        <v>11025.754594752025</v>
      </c>
      <c r="V160" s="304">
        <f>$M160*'LED Impact Forecast'!$H$24+$D160*'LED Impact Forecast'!$J$24</f>
        <v>22576.285199039914</v>
      </c>
      <c r="W160" s="304">
        <f>$M160*'CFL Impact Forecast'!$H$24+$D160*'CFL Impact Forecast'!$J$24</f>
        <v>285188.86390969431</v>
      </c>
      <c r="X160" s="304">
        <f>$M160*'EISA Incand Impact Forecast'!$G$24+$D160*'EISA Incand Impact Forecast'!$I$24</f>
        <v>107559.3698621723</v>
      </c>
      <c r="Y160" s="85">
        <f t="shared" si="68"/>
        <v>584197.83614689868</v>
      </c>
      <c r="Z160" s="81">
        <f t="shared" si="69"/>
        <v>694940.57233972684</v>
      </c>
      <c r="AA160" s="81">
        <f>SUM(Z149:Z160)</f>
        <v>12583370.232092246</v>
      </c>
      <c r="AB160" s="262">
        <f>+'MWh by mo-WgtbyActulCDH&amp;Days'!AB160</f>
        <v>4954254.5070241485</v>
      </c>
      <c r="AC160" s="308">
        <f t="shared" si="77"/>
        <v>140.27147199532021</v>
      </c>
      <c r="AD160" s="309">
        <f t="shared" si="70"/>
        <v>22.353057566141789</v>
      </c>
      <c r="AE160" s="107">
        <f t="shared" si="71"/>
        <v>1.6578287440896259E-3</v>
      </c>
      <c r="AF160" s="309">
        <f t="shared" si="78"/>
        <v>117.91841442917843</v>
      </c>
      <c r="AG160" s="107">
        <f t="shared" si="72"/>
        <v>8.7454942716325163E-3</v>
      </c>
      <c r="AH160" s="119">
        <f t="shared" si="79"/>
        <v>1.0403323015722141E-2</v>
      </c>
      <c r="AI160" s="122">
        <f t="shared" si="73"/>
        <v>1.0403323015722141E-2</v>
      </c>
      <c r="AJ160" s="87" t="b">
        <f t="shared" si="80"/>
        <v>1</v>
      </c>
      <c r="AK160" s="88">
        <f t="shared" si="83"/>
        <v>1.0732463668318131E-3</v>
      </c>
      <c r="AL160" s="312">
        <f>+AC160/'MWh by month-WgtbyCDH&amp;DayLtHrs'!AC160-1</f>
        <v>-0.14401474363913047</v>
      </c>
      <c r="AM160" s="89">
        <f t="shared" si="74"/>
        <v>285188.86390969431</v>
      </c>
      <c r="AN160" s="90">
        <f>SUM(AM149:AM160)</f>
        <v>3765966.9199525118</v>
      </c>
      <c r="AO160" s="96">
        <f t="shared" si="63"/>
        <v>57.564435477699654</v>
      </c>
      <c r="AP160" s="92">
        <f t="shared" si="62"/>
        <v>4.2693030020543631E-3</v>
      </c>
      <c r="AR160" s="94">
        <f t="shared" si="75"/>
        <v>1.0403323015722141E-2</v>
      </c>
      <c r="AS160" s="95">
        <v>693785.17810445942</v>
      </c>
      <c r="AU160" s="141">
        <v>140.27147199532021</v>
      </c>
    </row>
    <row r="161" spans="1:47">
      <c r="A161" s="78">
        <v>2018</v>
      </c>
      <c r="B161" s="78">
        <v>1</v>
      </c>
      <c r="C161" s="317">
        <f t="shared" si="81"/>
        <v>26.112829868525239</v>
      </c>
      <c r="D161" s="324">
        <f t="shared" si="64"/>
        <v>1.3280829182176284E-2</v>
      </c>
      <c r="E161" s="321">
        <f>$D161*'MWh Impact Summary'!B$24</f>
        <v>34436.708096721777</v>
      </c>
      <c r="F161" s="319">
        <f>$D161*'MWh Impact Summary'!N$24</f>
        <v>3746.203134958469</v>
      </c>
      <c r="G161" s="319">
        <f>$D161*'MWh Impact Summary'!C$24</f>
        <v>26459.338190352402</v>
      </c>
      <c r="H161" s="319">
        <f>$D161*'MWh Impact Summary'!D$24</f>
        <v>98.953301802887808</v>
      </c>
      <c r="I161" s="319">
        <f>$D161*'MWh Impact Summary'!E$24</f>
        <v>10239.888238488184</v>
      </c>
      <c r="J161" s="104">
        <f t="shared" si="76"/>
        <v>74981.090962323724</v>
      </c>
      <c r="K161" s="298">
        <f t="shared" si="82"/>
        <v>13.3</v>
      </c>
      <c r="L161" s="300">
        <f t="shared" si="65"/>
        <v>9.3629003871876101E-2</v>
      </c>
      <c r="M161" s="297">
        <f>(31/365)</f>
        <v>8.4931506849315067E-2</v>
      </c>
      <c r="N161" s="304">
        <f>$M161*'MWh Impact Summary'!F$24</f>
        <v>113983.79641755276</v>
      </c>
      <c r="O161" s="304">
        <f>$M161*'MWh Impact Summary'!G$24</f>
        <v>5624.0090521658503</v>
      </c>
      <c r="P161" s="304">
        <f>$M161*'MWh Impact Summary'!H$24</f>
        <v>7316.5057456947579</v>
      </c>
      <c r="Q161" s="304">
        <f>$M161*'MWh Impact Summary'!I$24</f>
        <v>1321.6387820043992</v>
      </c>
      <c r="R161" s="304">
        <f>$M161*'MWh Impact Summary'!J$24</f>
        <v>34717.908095217281</v>
      </c>
      <c r="S161" s="304">
        <f>$M161*'MWh Impact Summary'!K$24</f>
        <v>13300.229568617904</v>
      </c>
      <c r="T161" s="304">
        <f>$M161*'MWh Impact Summary'!L$24</f>
        <v>4853.8089668765797</v>
      </c>
      <c r="U161" s="304">
        <f>$M161*'MWh Impact Summary'!M$24</f>
        <v>15461.815569925069</v>
      </c>
      <c r="V161" s="304">
        <f>$M161*'LED Impact Forecast'!$H$25+$D161*'LED Impact Forecast'!$J$25</f>
        <v>36765.834155854347</v>
      </c>
      <c r="W161" s="304">
        <f>$M161*'CFL Impact Forecast'!$H$25+$D161*'CFL Impact Forecast'!$J$25</f>
        <v>288886.92506874562</v>
      </c>
      <c r="X161" s="304">
        <f>$M161*'EISA Incand Impact Forecast'!$G$25+$D161*'EISA Incand Impact Forecast'!$I$25</f>
        <v>106718.79552258462</v>
      </c>
      <c r="Y161" s="85">
        <f t="shared" si="68"/>
        <v>628951.26694523916</v>
      </c>
      <c r="Z161" s="81">
        <f t="shared" si="69"/>
        <v>703932.35790756287</v>
      </c>
      <c r="AA161" s="81"/>
      <c r="AB161" s="262">
        <f>+'MWh by mo-WgtbyActulCDH&amp;Days'!AB161</f>
        <v>4960404.0012794416</v>
      </c>
      <c r="AC161" s="308">
        <f t="shared" si="77"/>
        <v>141.91028749392123</v>
      </c>
      <c r="AD161" s="309">
        <f t="shared" si="70"/>
        <v>15.115924215645295</v>
      </c>
      <c r="AE161" s="107">
        <f t="shared" si="71"/>
        <v>1.1365356553116764E-3</v>
      </c>
      <c r="AF161" s="309">
        <f t="shared" si="78"/>
        <v>126.79436327827597</v>
      </c>
      <c r="AG161" s="107">
        <f t="shared" si="72"/>
        <v>9.5334107728027029E-3</v>
      </c>
      <c r="AH161" s="119">
        <f t="shared" si="79"/>
        <v>1.0669946428114379E-2</v>
      </c>
      <c r="AI161" s="122">
        <f t="shared" si="73"/>
        <v>1.0669946428114377E-2</v>
      </c>
      <c r="AJ161" s="87" t="b">
        <f t="shared" si="80"/>
        <v>1</v>
      </c>
      <c r="AK161" s="88">
        <f t="shared" si="83"/>
        <v>7.5021333515569617E-4</v>
      </c>
      <c r="AL161" s="312">
        <f>+AC161/'MWh by month-WgtbyCDH&amp;DayLtHrs'!AC161-1</f>
        <v>-0.14781110827697486</v>
      </c>
      <c r="AM161" s="89">
        <f t="shared" si="74"/>
        <v>288886.92506874562</v>
      </c>
      <c r="AN161" s="93"/>
      <c r="AO161" s="96">
        <f t="shared" si="63"/>
        <v>58.238588025135201</v>
      </c>
      <c r="AP161" s="92">
        <f t="shared" si="62"/>
        <v>4.3788412048973834E-3</v>
      </c>
      <c r="AR161" s="94">
        <f t="shared" si="75"/>
        <v>1.0669946428114377E-2</v>
      </c>
      <c r="AS161" s="95">
        <v>720512.05106462038</v>
      </c>
      <c r="AU161" s="141">
        <v>141.91028749392123</v>
      </c>
    </row>
    <row r="162" spans="1:47">
      <c r="A162" s="78">
        <v>2018</v>
      </c>
      <c r="B162" s="78">
        <v>2</v>
      </c>
      <c r="C162" s="317">
        <f t="shared" si="81"/>
        <v>35.042184420393127</v>
      </c>
      <c r="D162" s="324">
        <f t="shared" si="64"/>
        <v>1.7822245532205266E-2</v>
      </c>
      <c r="E162" s="321">
        <f>$D162*'MWh Impact Summary'!B$24</f>
        <v>46212.435880459474</v>
      </c>
      <c r="F162" s="319">
        <f>$D162*'MWh Impact Summary'!N$24</f>
        <v>5027.2276805088959</v>
      </c>
      <c r="G162" s="319">
        <f>$D162*'MWh Impact Summary'!C$24</f>
        <v>35507.182223304713</v>
      </c>
      <c r="H162" s="319">
        <f>$D162*'MWh Impact Summary'!D$24</f>
        <v>132.7906576285387</v>
      </c>
      <c r="I162" s="319">
        <f>$D162*'MWh Impact Summary'!E$24</f>
        <v>13741.446404084538</v>
      </c>
      <c r="J162" s="104">
        <f t="shared" si="76"/>
        <v>100621.08284598617</v>
      </c>
      <c r="K162" s="298">
        <f t="shared" si="82"/>
        <v>12.733333333333333</v>
      </c>
      <c r="L162" s="300">
        <f t="shared" si="65"/>
        <v>8.9639798193124468E-2</v>
      </c>
      <c r="M162" s="297">
        <f>(28/365)</f>
        <v>7.6712328767123292E-2</v>
      </c>
      <c r="N162" s="304">
        <f>$M162*'MWh Impact Summary'!F$24</f>
        <v>102953.10644166057</v>
      </c>
      <c r="O162" s="304">
        <f>$M162*'MWh Impact Summary'!G$24</f>
        <v>5079.7501116336716</v>
      </c>
      <c r="P162" s="304">
        <f>$M162*'MWh Impact Summary'!H$24</f>
        <v>6608.4568025630078</v>
      </c>
      <c r="Q162" s="304">
        <f>$M162*'MWh Impact Summary'!I$24</f>
        <v>1193.738254713651</v>
      </c>
      <c r="R162" s="304">
        <f>$M162*'MWh Impact Summary'!J$24</f>
        <v>31358.110537615612</v>
      </c>
      <c r="S162" s="304">
        <f>$M162*'MWh Impact Summary'!K$24</f>
        <v>12013.110578106494</v>
      </c>
      <c r="T162" s="304">
        <f>$M162*'MWh Impact Summary'!L$24</f>
        <v>4384.0855184691691</v>
      </c>
      <c r="U162" s="304">
        <f>$M162*'MWh Impact Summary'!M$24</f>
        <v>13965.510837351676</v>
      </c>
      <c r="V162" s="304">
        <f>$M162*'LED Impact Forecast'!$H$25+$D162*'LED Impact Forecast'!$J$25</f>
        <v>33544.11023507631</v>
      </c>
      <c r="W162" s="304">
        <f>$M162*'CFL Impact Forecast'!$H$25+$D162*'CFL Impact Forecast'!$J$25</f>
        <v>264222.33914019313</v>
      </c>
      <c r="X162" s="304">
        <f>$M162*'EISA Incand Impact Forecast'!$G$25+$D162*'EISA Incand Impact Forecast'!$I$25</f>
        <v>97706.405930005436</v>
      </c>
      <c r="Y162" s="85">
        <f t="shared" si="68"/>
        <v>573028.72438738868</v>
      </c>
      <c r="Z162" s="81">
        <f t="shared" si="69"/>
        <v>673649.8072333748</v>
      </c>
      <c r="AA162" s="81"/>
      <c r="AB162" s="262">
        <f>+'MWh by mo-WgtbyActulCDH&amp;Days'!AB162</f>
        <v>4966174.0780797284</v>
      </c>
      <c r="AC162" s="308">
        <f t="shared" si="77"/>
        <v>135.64764276121693</v>
      </c>
      <c r="AD162" s="309">
        <f t="shared" si="70"/>
        <v>20.261287917819697</v>
      </c>
      <c r="AE162" s="107">
        <f t="shared" si="71"/>
        <v>1.5912006218183009E-3</v>
      </c>
      <c r="AF162" s="309">
        <f t="shared" si="78"/>
        <v>115.38635484339724</v>
      </c>
      <c r="AG162" s="107">
        <f t="shared" si="72"/>
        <v>9.0617556159736067E-3</v>
      </c>
      <c r="AH162" s="119">
        <f t="shared" si="79"/>
        <v>1.0652956237791908E-2</v>
      </c>
      <c r="AI162" s="122">
        <f t="shared" si="73"/>
        <v>1.0652956237791906E-2</v>
      </c>
      <c r="AJ162" s="87" t="b">
        <f t="shared" si="80"/>
        <v>1</v>
      </c>
      <c r="AK162" s="88">
        <f t="shared" si="83"/>
        <v>7.534902413967922E-4</v>
      </c>
      <c r="AL162" s="312">
        <f>+AC162/'MWh by month-WgtbyCDH&amp;DayLtHrs'!AC162-1</f>
        <v>-0.18135788790701324</v>
      </c>
      <c r="AM162" s="89">
        <f t="shared" si="74"/>
        <v>264222.33914019313</v>
      </c>
      <c r="AN162" s="93"/>
      <c r="AO162" s="96">
        <f t="shared" si="63"/>
        <v>53.204405440890234</v>
      </c>
      <c r="AP162" s="92">
        <f t="shared" si="62"/>
        <v>4.1783564482374535E-3</v>
      </c>
      <c r="AR162" s="94">
        <f t="shared" si="75"/>
        <v>1.0652956237791906E-2</v>
      </c>
      <c r="AS162" s="95">
        <v>669054.7350160582</v>
      </c>
      <c r="AU162" s="141">
        <v>135.64764276121693</v>
      </c>
    </row>
    <row r="163" spans="1:47">
      <c r="A163" s="78">
        <v>2018</v>
      </c>
      <c r="B163" s="78">
        <v>3</v>
      </c>
      <c r="C163" s="317">
        <f t="shared" si="81"/>
        <v>64.582270600115152</v>
      </c>
      <c r="D163" s="324">
        <f t="shared" si="64"/>
        <v>3.2846156787895278E-2</v>
      </c>
      <c r="E163" s="321">
        <f>$D163*'MWh Impact Summary'!B$24</f>
        <v>85168.892535861567</v>
      </c>
      <c r="F163" s="319">
        <f>$D163*'MWh Impact Summary'!N$24</f>
        <v>9265.1124295228055</v>
      </c>
      <c r="G163" s="319">
        <f>$D163*'MWh Impact Summary'!C$24</f>
        <v>65439.255243989661</v>
      </c>
      <c r="H163" s="319">
        <f>$D163*'MWh Impact Summary'!D$24</f>
        <v>244.73138093362394</v>
      </c>
      <c r="I163" s="319">
        <f>$D163*'MWh Impact Summary'!E$24</f>
        <v>25325.299343756233</v>
      </c>
      <c r="J163" s="104">
        <f t="shared" si="76"/>
        <v>185443.2909340639</v>
      </c>
      <c r="K163" s="298">
        <f t="shared" si="82"/>
        <v>12</v>
      </c>
      <c r="L163" s="300">
        <f t="shared" si="65"/>
        <v>8.4477296726504739E-2</v>
      </c>
      <c r="M163" s="297">
        <f t="shared" ref="M163:M172" si="85">(31/365)</f>
        <v>8.4931506849315067E-2</v>
      </c>
      <c r="N163" s="304">
        <f>$M163*'MWh Impact Summary'!F$24</f>
        <v>113983.79641755276</v>
      </c>
      <c r="O163" s="304">
        <f>$M163*'MWh Impact Summary'!G$24</f>
        <v>5624.0090521658503</v>
      </c>
      <c r="P163" s="304">
        <f>$M163*'MWh Impact Summary'!H$24</f>
        <v>7316.5057456947579</v>
      </c>
      <c r="Q163" s="304">
        <f>$M163*'MWh Impact Summary'!I$24</f>
        <v>1321.6387820043992</v>
      </c>
      <c r="R163" s="304">
        <f>$M163*'MWh Impact Summary'!J$24</f>
        <v>34717.908095217281</v>
      </c>
      <c r="S163" s="304">
        <f>$M163*'MWh Impact Summary'!K$24</f>
        <v>13300.229568617904</v>
      </c>
      <c r="T163" s="304">
        <f>$M163*'MWh Impact Summary'!L$24</f>
        <v>4853.8089668765797</v>
      </c>
      <c r="U163" s="304">
        <f>$M163*'MWh Impact Summary'!M$24</f>
        <v>15461.815569925069</v>
      </c>
      <c r="V163" s="304">
        <f>$M163*'LED Impact Forecast'!$H$25+$D163*'LED Impact Forecast'!$J$25</f>
        <v>37894.961311547908</v>
      </c>
      <c r="W163" s="304">
        <f>$M163*'CFL Impact Forecast'!$H$25+$D163*'CFL Impact Forecast'!$J$25</f>
        <v>299941.84411366232</v>
      </c>
      <c r="X163" s="304">
        <f>$M163*'EISA Incand Impact Forecast'!$G$25+$D163*'EISA Incand Impact Forecast'!$I$25</f>
        <v>111135.22419214762</v>
      </c>
      <c r="Y163" s="85">
        <f t="shared" si="68"/>
        <v>645551.74181541242</v>
      </c>
      <c r="Z163" s="81">
        <f t="shared" si="69"/>
        <v>830995.03274947638</v>
      </c>
      <c r="AA163" s="81"/>
      <c r="AB163" s="262">
        <f>+'MWh by mo-WgtbyActulCDH&amp;Days'!AB163</f>
        <v>4972258.3870254578</v>
      </c>
      <c r="AC163" s="308">
        <f t="shared" si="77"/>
        <v>167.12627704904946</v>
      </c>
      <c r="AD163" s="309">
        <f t="shared" si="70"/>
        <v>37.295586130028376</v>
      </c>
      <c r="AE163" s="107">
        <f t="shared" si="71"/>
        <v>3.1079655108356978E-3</v>
      </c>
      <c r="AF163" s="309">
        <f t="shared" si="78"/>
        <v>129.83069091902107</v>
      </c>
      <c r="AG163" s="107">
        <f t="shared" si="72"/>
        <v>1.0819224243251754E-2</v>
      </c>
      <c r="AH163" s="119">
        <f t="shared" si="79"/>
        <v>1.3927189754087452E-2</v>
      </c>
      <c r="AI163" s="122">
        <f t="shared" si="73"/>
        <v>1.3927189754087455E-2</v>
      </c>
      <c r="AJ163" s="87" t="b">
        <f t="shared" si="80"/>
        <v>1</v>
      </c>
      <c r="AK163" s="88">
        <f t="shared" si="83"/>
        <v>9.9515422208569515E-4</v>
      </c>
      <c r="AL163" s="312">
        <f>+AC163/'MWh by month-WgtbyCDH&amp;DayLtHrs'!AC163-1</f>
        <v>-4.5340359218282389E-2</v>
      </c>
      <c r="AM163" s="89">
        <f t="shared" si="74"/>
        <v>299941.84411366232</v>
      </c>
      <c r="AN163" s="93"/>
      <c r="AO163" s="96">
        <f t="shared" si="63"/>
        <v>60.323060622980975</v>
      </c>
      <c r="AP163" s="92">
        <f t="shared" si="62"/>
        <v>5.0269217185817472E-3</v>
      </c>
      <c r="AR163" s="94">
        <f t="shared" si="75"/>
        <v>1.3927189754087455E-2</v>
      </c>
      <c r="AS163" s="95">
        <v>809172.95227528678</v>
      </c>
      <c r="AU163" s="141">
        <v>167.12627704904946</v>
      </c>
    </row>
    <row r="164" spans="1:47">
      <c r="A164" s="78">
        <v>2018</v>
      </c>
      <c r="B164" s="78">
        <v>4</v>
      </c>
      <c r="C164" s="317">
        <f t="shared" si="81"/>
        <v>114.03392869270741</v>
      </c>
      <c r="D164" s="324">
        <f t="shared" si="64"/>
        <v>5.7996974497419709E-2</v>
      </c>
      <c r="E164" s="321">
        <f>$D164*'MWh Impact Summary'!B$24</f>
        <v>150384.05011195102</v>
      </c>
      <c r="F164" s="319">
        <f>$D164*'MWh Impact Summary'!N$24</f>
        <v>16359.554414865011</v>
      </c>
      <c r="G164" s="319">
        <f>$D164*'MWh Impact Summary'!C$24</f>
        <v>115547.1199271165</v>
      </c>
      <c r="H164" s="319">
        <f>$D164*'MWh Impact Summary'!D$24</f>
        <v>432.12603990115707</v>
      </c>
      <c r="I164" s="319">
        <f>$D164*'MWh Impact Summary'!E$24</f>
        <v>44717.278482962138</v>
      </c>
      <c r="J164" s="104">
        <f t="shared" si="76"/>
        <v>327440.12897679582</v>
      </c>
      <c r="K164" s="298">
        <f t="shared" si="82"/>
        <v>11.2</v>
      </c>
      <c r="L164" s="300">
        <f t="shared" si="65"/>
        <v>7.8845476944737758E-2</v>
      </c>
      <c r="M164" s="297">
        <f>(30/365)</f>
        <v>8.2191780821917804E-2</v>
      </c>
      <c r="N164" s="304">
        <f>$M164*'MWh Impact Summary'!F$24</f>
        <v>110306.89975892202</v>
      </c>
      <c r="O164" s="304">
        <f>$M164*'MWh Impact Summary'!G$24</f>
        <v>5442.5894053217908</v>
      </c>
      <c r="P164" s="304">
        <f>$M164*'MWh Impact Summary'!H$24</f>
        <v>7080.4894313175073</v>
      </c>
      <c r="Q164" s="304">
        <f>$M164*'MWh Impact Summary'!I$24</f>
        <v>1279.005272907483</v>
      </c>
      <c r="R164" s="304">
        <f>$M164*'MWh Impact Summary'!J$24</f>
        <v>33597.975576016725</v>
      </c>
      <c r="S164" s="304">
        <f>$M164*'MWh Impact Summary'!K$24</f>
        <v>12871.189905114099</v>
      </c>
      <c r="T164" s="304">
        <f>$M164*'MWh Impact Summary'!L$24</f>
        <v>4697.2344840741098</v>
      </c>
      <c r="U164" s="304">
        <f>$M164*'MWh Impact Summary'!M$24</f>
        <v>14963.047325733936</v>
      </c>
      <c r="V164" s="304">
        <f>$M164*'LED Impact Forecast'!$H$25+$D164*'LED Impact Forecast'!$J$25</f>
        <v>38185.15993302592</v>
      </c>
      <c r="W164" s="304">
        <f>$M164*'CFL Impact Forecast'!$H$25+$D164*'CFL Impact Forecast'!$J$25</f>
        <v>305075.84226077737</v>
      </c>
      <c r="X164" s="304">
        <f>$M164*'EISA Incand Impact Forecast'!$G$25+$D164*'EISA Incand Impact Forecast'!$I$25</f>
        <v>113466.61340074633</v>
      </c>
      <c r="Y164" s="85">
        <f t="shared" si="68"/>
        <v>646966.04675395729</v>
      </c>
      <c r="Z164" s="81">
        <f t="shared" si="69"/>
        <v>974406.17573075311</v>
      </c>
      <c r="AA164" s="81"/>
      <c r="AB164" s="262">
        <f>+'MWh by mo-WgtbyActulCDH&amp;Days'!AB164</f>
        <v>4977933.1022701599</v>
      </c>
      <c r="AC164" s="308">
        <f t="shared" si="77"/>
        <v>195.74513271108049</v>
      </c>
      <c r="AD164" s="309">
        <f t="shared" si="70"/>
        <v>65.778330533905418</v>
      </c>
      <c r="AE164" s="107">
        <f t="shared" si="71"/>
        <v>5.8730652262415561E-3</v>
      </c>
      <c r="AF164" s="309">
        <f t="shared" si="78"/>
        <v>129.96680217717508</v>
      </c>
      <c r="AG164" s="107">
        <f t="shared" si="72"/>
        <v>1.1604178765819205E-2</v>
      </c>
      <c r="AH164" s="119">
        <f t="shared" si="79"/>
        <v>1.747724399206076E-2</v>
      </c>
      <c r="AI164" s="122">
        <f t="shared" si="73"/>
        <v>1.747724399206076E-2</v>
      </c>
      <c r="AJ164" s="87" t="b">
        <f t="shared" si="80"/>
        <v>1</v>
      </c>
      <c r="AK164" s="88">
        <f t="shared" si="83"/>
        <v>1.2668752696358976E-3</v>
      </c>
      <c r="AL164" s="312">
        <f>+AC164/'MWh by month-WgtbyCDH&amp;DayLtHrs'!AC164-1</f>
        <v>2.6550644798313261E-3</v>
      </c>
      <c r="AM164" s="89">
        <f t="shared" si="74"/>
        <v>305075.84226077737</v>
      </c>
      <c r="AN164" s="93"/>
      <c r="AO164" s="96">
        <f t="shared" si="63"/>
        <v>61.285645265431377</v>
      </c>
      <c r="AP164" s="92">
        <f t="shared" si="62"/>
        <v>5.4719326129849446E-3</v>
      </c>
      <c r="AR164" s="94">
        <f t="shared" si="75"/>
        <v>1.747724399206076E-2</v>
      </c>
      <c r="AS164" s="95">
        <v>948781.63662367896</v>
      </c>
      <c r="AU164" s="141">
        <v>195.74513271108049</v>
      </c>
    </row>
    <row r="165" spans="1:47">
      <c r="A165" s="78">
        <v>2018</v>
      </c>
      <c r="B165" s="78">
        <v>5</v>
      </c>
      <c r="C165" s="317">
        <f t="shared" si="81"/>
        <v>208.47875842628665</v>
      </c>
      <c r="D165" s="324">
        <f t="shared" si="64"/>
        <v>0.10603105035770212</v>
      </c>
      <c r="E165" s="321">
        <f>$D165*'MWh Impact Summary'!B$24</f>
        <v>274934.66561992624</v>
      </c>
      <c r="F165" s="319">
        <f>$D165*'MWh Impact Summary'!N$24</f>
        <v>29908.814261842115</v>
      </c>
      <c r="G165" s="319">
        <f>$D165*'MWh Impact Summary'!C$24</f>
        <v>211245.2002513443</v>
      </c>
      <c r="H165" s="319">
        <f>$D165*'MWh Impact Summary'!D$24</f>
        <v>790.02013975181512</v>
      </c>
      <c r="I165" s="319">
        <f>$D165*'MWh Impact Summary'!E$24</f>
        <v>81752.885349171003</v>
      </c>
      <c r="J165" s="104">
        <f t="shared" si="76"/>
        <v>598631.58562203543</v>
      </c>
      <c r="K165" s="298">
        <f t="shared" si="82"/>
        <v>10.533333333333333</v>
      </c>
      <c r="L165" s="300">
        <f t="shared" si="65"/>
        <v>7.4152293793265281E-2</v>
      </c>
      <c r="M165" s="297">
        <f t="shared" si="85"/>
        <v>8.4931506849315067E-2</v>
      </c>
      <c r="N165" s="304">
        <f>$M165*'MWh Impact Summary'!F$24</f>
        <v>113983.79641755276</v>
      </c>
      <c r="O165" s="304">
        <f>$M165*'MWh Impact Summary'!G$24</f>
        <v>5624.0090521658503</v>
      </c>
      <c r="P165" s="304">
        <f>$M165*'MWh Impact Summary'!H$24</f>
        <v>7316.5057456947579</v>
      </c>
      <c r="Q165" s="304">
        <f>$M165*'MWh Impact Summary'!I$24</f>
        <v>1321.6387820043992</v>
      </c>
      <c r="R165" s="304">
        <f>$M165*'MWh Impact Summary'!J$24</f>
        <v>34717.908095217281</v>
      </c>
      <c r="S165" s="304">
        <f>$M165*'MWh Impact Summary'!K$24</f>
        <v>13300.229568617904</v>
      </c>
      <c r="T165" s="304">
        <f>$M165*'MWh Impact Summary'!L$24</f>
        <v>4853.8089668765797</v>
      </c>
      <c r="U165" s="304">
        <f>$M165*'MWh Impact Summary'!M$24</f>
        <v>15461.815569925069</v>
      </c>
      <c r="V165" s="304">
        <f>$M165*'LED Impact Forecast'!$H$25+$D165*'LED Impact Forecast'!$J$25</f>
        <v>42118.50677837964</v>
      </c>
      <c r="W165" s="304">
        <f>$M165*'CFL Impact Forecast'!$H$25+$D165*'CFL Impact Forecast'!$J$25</f>
        <v>341293.21271985781</v>
      </c>
      <c r="X165" s="304">
        <f>$M165*'EISA Incand Impact Forecast'!$G$25+$D165*'EISA Incand Impact Forecast'!$I$25</f>
        <v>127655.05297570118</v>
      </c>
      <c r="Y165" s="85">
        <f t="shared" si="68"/>
        <v>707646.48467199318</v>
      </c>
      <c r="Z165" s="81">
        <f t="shared" si="69"/>
        <v>1306278.0702940286</v>
      </c>
      <c r="AA165" s="81"/>
      <c r="AB165" s="262">
        <f>+'MWh by mo-WgtbyActulCDH&amp;Days'!AB165</f>
        <v>4983179.119985274</v>
      </c>
      <c r="AC165" s="308">
        <f t="shared" si="77"/>
        <v>262.13749071453981</v>
      </c>
      <c r="AD165" s="309">
        <f t="shared" si="70"/>
        <v>120.13045712549149</v>
      </c>
      <c r="AE165" s="107">
        <f t="shared" si="71"/>
        <v>1.1404790233432736E-2</v>
      </c>
      <c r="AF165" s="309">
        <f t="shared" si="78"/>
        <v>142.00703358904835</v>
      </c>
      <c r="AG165" s="107">
        <f t="shared" si="72"/>
        <v>1.3481680404023578E-2</v>
      </c>
      <c r="AH165" s="119">
        <f t="shared" si="79"/>
        <v>2.4886470637456314E-2</v>
      </c>
      <c r="AI165" s="122">
        <f t="shared" si="73"/>
        <v>2.4886470637456314E-2</v>
      </c>
      <c r="AJ165" s="87" t="b">
        <f t="shared" si="80"/>
        <v>1</v>
      </c>
      <c r="AK165" s="88">
        <f t="shared" si="83"/>
        <v>1.8310323613769837E-3</v>
      </c>
      <c r="AL165" s="312">
        <f>+AC165/'MWh by month-WgtbyCDH&amp;DayLtHrs'!AC165-1</f>
        <v>8.032173366056794E-2</v>
      </c>
      <c r="AM165" s="89">
        <f t="shared" si="74"/>
        <v>341293.21271985781</v>
      </c>
      <c r="AN165" s="93"/>
      <c r="AO165" s="96">
        <f t="shared" si="63"/>
        <v>68.489051768395271</v>
      </c>
      <c r="AP165" s="92">
        <f t="shared" si="62"/>
        <v>6.5021251678856265E-3</v>
      </c>
      <c r="AR165" s="94">
        <f t="shared" si="75"/>
        <v>2.4886470637456314E-2</v>
      </c>
      <c r="AS165" s="95">
        <v>1138391.8949239727</v>
      </c>
      <c r="AU165" s="141">
        <v>262.13749071453981</v>
      </c>
    </row>
    <row r="166" spans="1:47">
      <c r="A166" s="78">
        <v>2018</v>
      </c>
      <c r="B166" s="78">
        <v>6</v>
      </c>
      <c r="C166" s="317">
        <f t="shared" si="81"/>
        <v>271.66325293295364</v>
      </c>
      <c r="D166" s="324">
        <f t="shared" si="64"/>
        <v>0.13816630657965029</v>
      </c>
      <c r="E166" s="321">
        <f>$D166*'MWh Impact Summary'!B$24</f>
        <v>358260.21878747712</v>
      </c>
      <c r="F166" s="319">
        <f>$D166*'MWh Impact Summary'!N$24</f>
        <v>38973.398705328553</v>
      </c>
      <c r="G166" s="319">
        <f>$D166*'MWh Impact Summary'!C$24</f>
        <v>275268.13139116194</v>
      </c>
      <c r="H166" s="319">
        <f>$D166*'MWh Impact Summary'!D$24</f>
        <v>1029.4547159988449</v>
      </c>
      <c r="I166" s="319">
        <f>$D166*'MWh Impact Summary'!E$24</f>
        <v>106530.060607893</v>
      </c>
      <c r="J166" s="104">
        <f t="shared" si="76"/>
        <v>780061.26420785952</v>
      </c>
      <c r="K166" s="298">
        <f t="shared" si="82"/>
        <v>10.199999999999999</v>
      </c>
      <c r="L166" s="300">
        <f t="shared" si="65"/>
        <v>7.1805702217529022E-2</v>
      </c>
      <c r="M166" s="297">
        <f>(30/365)</f>
        <v>8.2191780821917804E-2</v>
      </c>
      <c r="N166" s="304">
        <f>$M166*'MWh Impact Summary'!F$24</f>
        <v>110306.89975892202</v>
      </c>
      <c r="O166" s="304">
        <f>$M166*'MWh Impact Summary'!G$24</f>
        <v>5442.5894053217908</v>
      </c>
      <c r="P166" s="304">
        <f>$M166*'MWh Impact Summary'!H$24</f>
        <v>7080.4894313175073</v>
      </c>
      <c r="Q166" s="304">
        <f>$M166*'MWh Impact Summary'!I$24</f>
        <v>1279.005272907483</v>
      </c>
      <c r="R166" s="304">
        <f>$M166*'MWh Impact Summary'!J$24</f>
        <v>33597.975576016725</v>
      </c>
      <c r="S166" s="304">
        <f>$M166*'MWh Impact Summary'!K$24</f>
        <v>12871.189905114099</v>
      </c>
      <c r="T166" s="304">
        <f>$M166*'MWh Impact Summary'!L$24</f>
        <v>4697.2344840741098</v>
      </c>
      <c r="U166" s="304">
        <f>$M166*'MWh Impact Summary'!M$24</f>
        <v>14963.047325733936</v>
      </c>
      <c r="V166" s="304">
        <f>$M166*'LED Impact Forecast'!$H$25+$D166*'LED Impact Forecast'!$J$25</f>
        <v>42811.781665718103</v>
      </c>
      <c r="W166" s="304">
        <f>$M166*'CFL Impact Forecast'!$H$25+$D166*'CFL Impact Forecast'!$J$25</f>
        <v>350373.60031084158</v>
      </c>
      <c r="X166" s="304">
        <f>$M166*'EISA Incand Impact Forecast'!$G$25+$D166*'EISA Incand Impact Forecast'!$I$25</f>
        <v>131563.02066581999</v>
      </c>
      <c r="Y166" s="85">
        <f t="shared" si="68"/>
        <v>714986.83380178735</v>
      </c>
      <c r="Z166" s="81">
        <f t="shared" si="69"/>
        <v>1495048.0980096469</v>
      </c>
      <c r="AA166" s="81"/>
      <c r="AB166" s="262">
        <f>+'MWh by mo-WgtbyActulCDH&amp;Days'!AB166</f>
        <v>4988439.4249103442</v>
      </c>
      <c r="AC166" s="308">
        <f t="shared" si="77"/>
        <v>299.70256640663064</v>
      </c>
      <c r="AD166" s="309">
        <f t="shared" si="70"/>
        <v>156.37380706930793</v>
      </c>
      <c r="AE166" s="107">
        <f t="shared" si="71"/>
        <v>1.5330765398951758E-2</v>
      </c>
      <c r="AF166" s="309">
        <f t="shared" si="78"/>
        <v>143.32875933732274</v>
      </c>
      <c r="AG166" s="107">
        <f t="shared" si="72"/>
        <v>1.4051839150717916E-2</v>
      </c>
      <c r="AH166" s="119">
        <f t="shared" si="79"/>
        <v>2.9382604549669674E-2</v>
      </c>
      <c r="AI166" s="122">
        <f t="shared" si="73"/>
        <v>2.9382604549669671E-2</v>
      </c>
      <c r="AJ166" s="87" t="b">
        <f t="shared" si="80"/>
        <v>1</v>
      </c>
      <c r="AK166" s="88">
        <f t="shared" si="83"/>
        <v>2.1785229769784344E-3</v>
      </c>
      <c r="AL166" s="312">
        <f>+AC166/'MWh by month-WgtbyCDH&amp;DayLtHrs'!AC166-1</f>
        <v>8.8371718926350429E-2</v>
      </c>
      <c r="AM166" s="89">
        <f t="shared" si="74"/>
        <v>350373.60031084158</v>
      </c>
      <c r="AN166" s="93"/>
      <c r="AO166" s="96">
        <f t="shared" si="63"/>
        <v>70.2371163537059</v>
      </c>
      <c r="AP166" s="92">
        <f t="shared" si="62"/>
        <v>6.8859917993829324E-3</v>
      </c>
      <c r="AR166" s="94">
        <f t="shared" si="75"/>
        <v>2.9382604549669671E-2</v>
      </c>
      <c r="AS166" s="95">
        <v>1387807.9406546159</v>
      </c>
      <c r="AU166" s="141">
        <v>299.70256640663064</v>
      </c>
    </row>
    <row r="167" spans="1:47">
      <c r="A167" s="78">
        <v>2018</v>
      </c>
      <c r="B167" s="78">
        <v>7</v>
      </c>
      <c r="C167" s="317">
        <f t="shared" si="81"/>
        <v>322.31916585708109</v>
      </c>
      <c r="D167" s="324">
        <f t="shared" si="64"/>
        <v>0.16392960109808263</v>
      </c>
      <c r="E167" s="321">
        <f>$D167*'MWh Impact Summary'!B$24</f>
        <v>425063.50650175702</v>
      </c>
      <c r="F167" s="319">
        <f>$D167*'MWh Impact Summary'!N$24</f>
        <v>46240.605697293955</v>
      </c>
      <c r="G167" s="319">
        <f>$D167*'MWh Impact Summary'!C$24</f>
        <v>326596.23095558607</v>
      </c>
      <c r="H167" s="319">
        <f>$D167*'MWh Impact Summary'!D$24</f>
        <v>1221.4128402205258</v>
      </c>
      <c r="I167" s="319">
        <f>$D167*'MWh Impact Summary'!E$24</f>
        <v>126394.27638126176</v>
      </c>
      <c r="J167" s="104">
        <f t="shared" si="76"/>
        <v>925516.03237611928</v>
      </c>
      <c r="K167" s="298">
        <f t="shared" si="82"/>
        <v>10.366666666666667</v>
      </c>
      <c r="L167" s="300">
        <f t="shared" si="65"/>
        <v>7.2978998005397158E-2</v>
      </c>
      <c r="M167" s="297">
        <f t="shared" si="85"/>
        <v>8.4931506849315067E-2</v>
      </c>
      <c r="N167" s="304">
        <f>$M167*'MWh Impact Summary'!F$24</f>
        <v>113983.79641755276</v>
      </c>
      <c r="O167" s="304">
        <f>$M167*'MWh Impact Summary'!G$24</f>
        <v>5624.0090521658503</v>
      </c>
      <c r="P167" s="304">
        <f>$M167*'MWh Impact Summary'!H$24</f>
        <v>7316.5057456947579</v>
      </c>
      <c r="Q167" s="304">
        <f>$M167*'MWh Impact Summary'!I$24</f>
        <v>1321.6387820043992</v>
      </c>
      <c r="R167" s="304">
        <f>$M167*'MWh Impact Summary'!J$24</f>
        <v>34717.908095217281</v>
      </c>
      <c r="S167" s="304">
        <f>$M167*'MWh Impact Summary'!K$24</f>
        <v>13300.229568617904</v>
      </c>
      <c r="T167" s="304">
        <f>$M167*'MWh Impact Summary'!L$24</f>
        <v>4853.8089668765797</v>
      </c>
      <c r="U167" s="304">
        <f>$M167*'MWh Impact Summary'!M$24</f>
        <v>15461.815569925069</v>
      </c>
      <c r="V167" s="304">
        <f>$M167*'LED Impact Forecast'!$H$25+$D167*'LED Impact Forecast'!$J$25</f>
        <v>45459.867947162536</v>
      </c>
      <c r="W167" s="304">
        <f>$M167*'CFL Impact Forecast'!$H$25+$D167*'CFL Impact Forecast'!$J$25</f>
        <v>374007.39998783974</v>
      </c>
      <c r="X167" s="304">
        <f>$M167*'EISA Incand Impact Forecast'!$G$25+$D167*'EISA Incand Impact Forecast'!$I$25</f>
        <v>140724.33679087335</v>
      </c>
      <c r="Y167" s="85">
        <f t="shared" si="68"/>
        <v>756771.31692393019</v>
      </c>
      <c r="Z167" s="81">
        <f t="shared" si="69"/>
        <v>1682287.3493000495</v>
      </c>
      <c r="AA167" s="81"/>
      <c r="AB167" s="262">
        <f>+'MWh by mo-WgtbyActulCDH&amp;Days'!AB167</f>
        <v>4994424.4728166815</v>
      </c>
      <c r="AC167" s="308">
        <f t="shared" si="77"/>
        <v>336.83307425235688</v>
      </c>
      <c r="AD167" s="309">
        <f t="shared" si="70"/>
        <v>185.30984649251496</v>
      </c>
      <c r="AE167" s="107">
        <f t="shared" si="71"/>
        <v>1.7875547893168645E-2</v>
      </c>
      <c r="AF167" s="309">
        <f t="shared" si="78"/>
        <v>151.52322775984186</v>
      </c>
      <c r="AG167" s="107">
        <f t="shared" si="72"/>
        <v>1.4616388529888282E-2</v>
      </c>
      <c r="AH167" s="119">
        <f t="shared" si="79"/>
        <v>3.2491936423056929E-2</v>
      </c>
      <c r="AI167" s="122">
        <f t="shared" si="73"/>
        <v>3.2491936423056936E-2</v>
      </c>
      <c r="AJ167" s="87" t="b">
        <f t="shared" si="80"/>
        <v>1</v>
      </c>
      <c r="AK167" s="88">
        <f t="shared" si="83"/>
        <v>2.4195207683123561E-3</v>
      </c>
      <c r="AL167" s="312">
        <f>+AC167/'MWh by month-WgtbyCDH&amp;DayLtHrs'!AC167-1</f>
        <v>0.10127916220050026</v>
      </c>
      <c r="AM167" s="89">
        <f t="shared" si="74"/>
        <v>374007.39998783974</v>
      </c>
      <c r="AN167" s="93"/>
      <c r="AO167" s="96">
        <f t="shared" si="63"/>
        <v>74.884984651076849</v>
      </c>
      <c r="AP167" s="92">
        <f t="shared" si="62"/>
        <v>7.2236319599109497E-3</v>
      </c>
      <c r="AR167" s="94">
        <f t="shared" si="75"/>
        <v>3.2491936423056936E-2</v>
      </c>
      <c r="AS167" s="95">
        <v>1458921.5818659998</v>
      </c>
      <c r="AU167" s="141">
        <v>336.83307425235688</v>
      </c>
    </row>
    <row r="168" spans="1:47">
      <c r="A168" s="78">
        <v>2018</v>
      </c>
      <c r="B168" s="78">
        <v>8</v>
      </c>
      <c r="C168" s="317">
        <f t="shared" si="81"/>
        <v>326.45437890907908</v>
      </c>
      <c r="D168" s="324">
        <f t="shared" si="64"/>
        <v>0.16603274573816959</v>
      </c>
      <c r="E168" s="321">
        <f>$D168*'MWh Impact Summary'!B$24</f>
        <v>430516.8842285829</v>
      </c>
      <c r="F168" s="319">
        <f>$D168*'MWh Impact Summary'!N$24</f>
        <v>46833.852318863239</v>
      </c>
      <c r="G168" s="319">
        <f>$D168*'MWh Impact Summary'!C$24</f>
        <v>330786.31687055068</v>
      </c>
      <c r="H168" s="319">
        <f>$D168*'MWh Impact Summary'!D$24</f>
        <v>1237.0830294422162</v>
      </c>
      <c r="I168" s="319">
        <f>$D168*'MWh Impact Summary'!E$24</f>
        <v>128015.85932374616</v>
      </c>
      <c r="J168" s="104">
        <f t="shared" si="76"/>
        <v>937389.99577118515</v>
      </c>
      <c r="K168" s="298">
        <f t="shared" si="82"/>
        <v>10.933333333333334</v>
      </c>
      <c r="L168" s="300">
        <f t="shared" si="65"/>
        <v>7.6968203684148764E-2</v>
      </c>
      <c r="M168" s="297">
        <f t="shared" si="85"/>
        <v>8.4931506849315067E-2</v>
      </c>
      <c r="N168" s="304">
        <f>$M168*'MWh Impact Summary'!F$24</f>
        <v>113983.79641755276</v>
      </c>
      <c r="O168" s="304">
        <f>$M168*'MWh Impact Summary'!G$24</f>
        <v>5624.0090521658503</v>
      </c>
      <c r="P168" s="304">
        <f>$M168*'MWh Impact Summary'!H$24</f>
        <v>7316.5057456947579</v>
      </c>
      <c r="Q168" s="304">
        <f>$M168*'MWh Impact Summary'!I$24</f>
        <v>1321.6387820043992</v>
      </c>
      <c r="R168" s="304">
        <f>$M168*'MWh Impact Summary'!J$24</f>
        <v>34717.908095217281</v>
      </c>
      <c r="S168" s="304">
        <f>$M168*'MWh Impact Summary'!K$24</f>
        <v>13300.229568617904</v>
      </c>
      <c r="T168" s="304">
        <f>$M168*'MWh Impact Summary'!L$24</f>
        <v>4853.8089668765797</v>
      </c>
      <c r="U168" s="304">
        <f>$M168*'MWh Impact Summary'!M$24</f>
        <v>15461.815569925069</v>
      </c>
      <c r="V168" s="304">
        <f>$M168*'LED Impact Forecast'!$H$25+$D168*'LED Impact Forecast'!$J$25</f>
        <v>45581.241724966254</v>
      </c>
      <c r="W168" s="304">
        <f>$M168*'CFL Impact Forecast'!$H$25+$D168*'CFL Impact Forecast'!$J$25</f>
        <v>375195.73141803342</v>
      </c>
      <c r="X168" s="304">
        <f>$M168*'EISA Incand Impact Forecast'!$G$25+$D168*'EISA Incand Impact Forecast'!$I$25</f>
        <v>141199.0739622562</v>
      </c>
      <c r="Y168" s="85">
        <f t="shared" si="68"/>
        <v>758555.75930331054</v>
      </c>
      <c r="Z168" s="81">
        <f t="shared" si="69"/>
        <v>1695945.7550744957</v>
      </c>
      <c r="AA168" s="81"/>
      <c r="AB168" s="262">
        <f>+'MWh by mo-WgtbyActulCDH&amp;Days'!AB168</f>
        <v>5000782.228093843</v>
      </c>
      <c r="AC168" s="308">
        <f t="shared" si="77"/>
        <v>339.13609465872349</v>
      </c>
      <c r="AD168" s="309">
        <f t="shared" si="70"/>
        <v>187.44867363050355</v>
      </c>
      <c r="AE168" s="107">
        <f t="shared" si="71"/>
        <v>1.714469575888752E-2</v>
      </c>
      <c r="AF168" s="309">
        <f t="shared" si="78"/>
        <v>151.68742102821994</v>
      </c>
      <c r="AG168" s="107">
        <f t="shared" si="72"/>
        <v>1.3873849484288409E-2</v>
      </c>
      <c r="AH168" s="119">
        <f t="shared" si="79"/>
        <v>3.1018545243175929E-2</v>
      </c>
      <c r="AI168" s="122">
        <f t="shared" si="73"/>
        <v>3.1018545243175929E-2</v>
      </c>
      <c r="AJ168" s="87" t="b">
        <f t="shared" si="80"/>
        <v>1</v>
      </c>
      <c r="AK168" s="88">
        <f t="shared" si="83"/>
        <v>2.3137309251452555E-3</v>
      </c>
      <c r="AL168" s="312">
        <f>+AC168/'MWh by month-WgtbyCDH&amp;DayLtHrs'!AC168-1</f>
        <v>8.1438434073271226E-2</v>
      </c>
      <c r="AM168" s="89">
        <f t="shared" si="74"/>
        <v>375195.73141803342</v>
      </c>
      <c r="AN168" s="93"/>
      <c r="AO168" s="96">
        <f t="shared" si="63"/>
        <v>75.027408574247687</v>
      </c>
      <c r="AP168" s="92">
        <f t="shared" si="62"/>
        <v>6.8622629793519225E-3</v>
      </c>
      <c r="AR168" s="94">
        <f t="shared" si="75"/>
        <v>3.1018545243175929E-2</v>
      </c>
      <c r="AS168" s="95">
        <v>1516703.6736954609</v>
      </c>
      <c r="AU168" s="141">
        <v>339.13609465872349</v>
      </c>
    </row>
    <row r="169" spans="1:47">
      <c r="A169" s="78">
        <v>2018</v>
      </c>
      <c r="B169" s="78">
        <v>9</v>
      </c>
      <c r="C169" s="317">
        <f t="shared" si="81"/>
        <v>277.87653293728147</v>
      </c>
      <c r="D169" s="324">
        <f t="shared" si="64"/>
        <v>0.14132634365008559</v>
      </c>
      <c r="E169" s="321">
        <f>$D169*'MWh Impact Summary'!B$24</f>
        <v>366454.0802306651</v>
      </c>
      <c r="F169" s="319">
        <f>$D169*'MWh Impact Summary'!N$24</f>
        <v>39864.769313101846</v>
      </c>
      <c r="G169" s="319">
        <f>$D169*'MWh Impact Summary'!C$24</f>
        <v>281563.85949621967</v>
      </c>
      <c r="H169" s="319">
        <f>$D169*'MWh Impact Summary'!D$24</f>
        <v>1052.9996391094257</v>
      </c>
      <c r="I169" s="319">
        <f>$D169*'MWh Impact Summary'!E$24</f>
        <v>108966.53697445632</v>
      </c>
      <c r="J169" s="104">
        <f t="shared" si="76"/>
        <v>797902.24565355235</v>
      </c>
      <c r="K169" s="298">
        <f t="shared" si="82"/>
        <v>11.683333333333334</v>
      </c>
      <c r="L169" s="300">
        <f t="shared" si="65"/>
        <v>8.2248034729555317E-2</v>
      </c>
      <c r="M169" s="297">
        <f>(30/365)</f>
        <v>8.2191780821917804E-2</v>
      </c>
      <c r="N169" s="304">
        <f>$M169*'MWh Impact Summary'!F$24</f>
        <v>110306.89975892202</v>
      </c>
      <c r="O169" s="304">
        <f>$M169*'MWh Impact Summary'!G$24</f>
        <v>5442.5894053217908</v>
      </c>
      <c r="P169" s="304">
        <f>$M169*'MWh Impact Summary'!H$24</f>
        <v>7080.4894313175073</v>
      </c>
      <c r="Q169" s="304">
        <f>$M169*'MWh Impact Summary'!I$24</f>
        <v>1279.005272907483</v>
      </c>
      <c r="R169" s="304">
        <f>$M169*'MWh Impact Summary'!J$24</f>
        <v>33597.975576016725</v>
      </c>
      <c r="S169" s="304">
        <f>$M169*'MWh Impact Summary'!K$24</f>
        <v>12871.189905114099</v>
      </c>
      <c r="T169" s="304">
        <f>$M169*'MWh Impact Summary'!L$24</f>
        <v>4697.2344840741098</v>
      </c>
      <c r="U169" s="304">
        <f>$M169*'MWh Impact Summary'!M$24</f>
        <v>14963.047325733936</v>
      </c>
      <c r="V169" s="304">
        <f>$M169*'LED Impact Forecast'!$H$25+$D169*'LED Impact Forecast'!$J$25</f>
        <v>42994.149359279436</v>
      </c>
      <c r="W169" s="304">
        <f>$M169*'CFL Impact Forecast'!$H$25+$D169*'CFL Impact Forecast'!$J$25</f>
        <v>352159.10345684498</v>
      </c>
      <c r="X169" s="304">
        <f>$M169*'EISA Incand Impact Forecast'!$G$25+$D169*'EISA Incand Impact Forecast'!$I$25</f>
        <v>132276.32731705508</v>
      </c>
      <c r="Y169" s="85">
        <f t="shared" si="68"/>
        <v>717668.01129258715</v>
      </c>
      <c r="Z169" s="81">
        <f t="shared" si="69"/>
        <v>1515570.2569461395</v>
      </c>
      <c r="AA169" s="81"/>
      <c r="AB169" s="262">
        <f>+'MWh by mo-WgtbyActulCDH&amp;Days'!AB169</f>
        <v>5005798.6680340152</v>
      </c>
      <c r="AC169" s="308">
        <f t="shared" si="77"/>
        <v>302.76292704783646</v>
      </c>
      <c r="AD169" s="309">
        <f t="shared" si="70"/>
        <v>159.39559270507411</v>
      </c>
      <c r="AE169" s="107">
        <f t="shared" si="71"/>
        <v>1.3642989389877954E-2</v>
      </c>
      <c r="AF169" s="309">
        <f t="shared" si="78"/>
        <v>143.36733434276238</v>
      </c>
      <c r="AG169" s="107">
        <f t="shared" si="72"/>
        <v>1.2271098517212186E-2</v>
      </c>
      <c r="AH169" s="119">
        <f t="shared" si="79"/>
        <v>2.5914087907090141E-2</v>
      </c>
      <c r="AI169" s="122">
        <f t="shared" si="73"/>
        <v>2.5914087907090138E-2</v>
      </c>
      <c r="AJ169" s="87" t="b">
        <f t="shared" si="80"/>
        <v>1</v>
      </c>
      <c r="AK169" s="88">
        <f t="shared" si="83"/>
        <v>1.9264490616356447E-3</v>
      </c>
      <c r="AL169" s="312">
        <f>+AC169/'MWh by month-WgtbyCDH&amp;DayLtHrs'!AC169-1</f>
        <v>3.3223257953931995E-2</v>
      </c>
      <c r="AM169" s="89">
        <f t="shared" si="74"/>
        <v>352159.10345684498</v>
      </c>
      <c r="AN169" s="93"/>
      <c r="AO169" s="96">
        <f t="shared" si="63"/>
        <v>70.350233161724915</v>
      </c>
      <c r="AP169" s="92">
        <f t="shared" ref="AP169:AP232" si="86">+AO169/K169/1000</f>
        <v>6.0214179596340869E-3</v>
      </c>
      <c r="AR169" s="94">
        <f t="shared" si="75"/>
        <v>2.5914087907090138E-2</v>
      </c>
      <c r="AS169" s="95">
        <v>1433185.8171820336</v>
      </c>
      <c r="AU169" s="141">
        <v>302.76292704783646</v>
      </c>
    </row>
    <row r="170" spans="1:47">
      <c r="A170" s="78">
        <v>2018</v>
      </c>
      <c r="B170" s="78">
        <v>10</v>
      </c>
      <c r="C170" s="317">
        <f t="shared" si="81"/>
        <v>198.89039579254836</v>
      </c>
      <c r="D170" s="324">
        <f t="shared" si="64"/>
        <v>0.10115446643644242</v>
      </c>
      <c r="E170" s="321">
        <f>$D170*'MWh Impact Summary'!B$24</f>
        <v>262289.86048750539</v>
      </c>
      <c r="F170" s="319">
        <f>$D170*'MWh Impact Summary'!N$24</f>
        <v>28533.24698941391</v>
      </c>
      <c r="G170" s="319">
        <f>$D170*'MWh Impact Summary'!C$24</f>
        <v>201529.60332465442</v>
      </c>
      <c r="H170" s="319">
        <f>$D170*'MWh Impact Summary'!D$24</f>
        <v>753.68550477472058</v>
      </c>
      <c r="I170" s="319">
        <f>$D170*'MWh Impact Summary'!E$24</f>
        <v>77992.903675261317</v>
      </c>
      <c r="J170" s="104">
        <f t="shared" si="76"/>
        <v>571099.2999816098</v>
      </c>
      <c r="K170" s="298">
        <f t="shared" si="82"/>
        <v>12.466666666666667</v>
      </c>
      <c r="L170" s="300">
        <f t="shared" si="65"/>
        <v>8.7762524932535488E-2</v>
      </c>
      <c r="M170" s="297">
        <f t="shared" si="85"/>
        <v>8.4931506849315067E-2</v>
      </c>
      <c r="N170" s="304">
        <f>$M170*'MWh Impact Summary'!F$24</f>
        <v>113983.79641755276</v>
      </c>
      <c r="O170" s="304">
        <f>$M170*'MWh Impact Summary'!G$24</f>
        <v>5624.0090521658503</v>
      </c>
      <c r="P170" s="304">
        <f>$M170*'MWh Impact Summary'!H$24</f>
        <v>7316.5057456947579</v>
      </c>
      <c r="Q170" s="304">
        <f>$M170*'MWh Impact Summary'!I$24</f>
        <v>1321.6387820043992</v>
      </c>
      <c r="R170" s="304">
        <f>$M170*'MWh Impact Summary'!J$24</f>
        <v>34717.908095217281</v>
      </c>
      <c r="S170" s="304">
        <f>$M170*'MWh Impact Summary'!K$24</f>
        <v>13300.229568617904</v>
      </c>
      <c r="T170" s="304">
        <f>$M170*'MWh Impact Summary'!L$24</f>
        <v>4853.8089668765797</v>
      </c>
      <c r="U170" s="304">
        <f>$M170*'MWh Impact Summary'!M$24</f>
        <v>15461.815569925069</v>
      </c>
      <c r="V170" s="304">
        <f>$M170*'LED Impact Forecast'!$H$25+$D170*'LED Impact Forecast'!$J$25</f>
        <v>41837.076104512293</v>
      </c>
      <c r="W170" s="304">
        <f>$M170*'CFL Impact Forecast'!$H$25+$D170*'CFL Impact Forecast'!$J$25</f>
        <v>338537.81595106004</v>
      </c>
      <c r="X170" s="304">
        <f>$M170*'EISA Incand Impact Forecast'!$G$25+$D170*'EISA Incand Impact Forecast'!$I$25</f>
        <v>126554.27483012667</v>
      </c>
      <c r="Y170" s="85">
        <f t="shared" si="68"/>
        <v>703508.87908375356</v>
      </c>
      <c r="Z170" s="81">
        <f t="shared" si="69"/>
        <v>1274608.1790653635</v>
      </c>
      <c r="AA170" s="81"/>
      <c r="AB170" s="262">
        <f>+'MWh by mo-WgtbyActulCDH&amp;Days'!AB170</f>
        <v>5011255.4649064513</v>
      </c>
      <c r="AC170" s="308">
        <f t="shared" si="77"/>
        <v>254.34907240139222</v>
      </c>
      <c r="AD170" s="309">
        <f t="shared" si="70"/>
        <v>113.96331797111264</v>
      </c>
      <c r="AE170" s="107">
        <f t="shared" si="71"/>
        <v>9.1414426180036895E-3</v>
      </c>
      <c r="AF170" s="309">
        <f t="shared" si="78"/>
        <v>140.38575443027958</v>
      </c>
      <c r="AG170" s="107">
        <f t="shared" si="72"/>
        <v>1.1260889392803173E-2</v>
      </c>
      <c r="AH170" s="119">
        <f t="shared" si="79"/>
        <v>2.0402332010806865E-2</v>
      </c>
      <c r="AI170" s="122">
        <f t="shared" si="73"/>
        <v>2.0402332010806861E-2</v>
      </c>
      <c r="AJ170" s="87" t="b">
        <f t="shared" si="80"/>
        <v>1</v>
      </c>
      <c r="AK170" s="88">
        <f t="shared" si="83"/>
        <v>1.5029266833254673E-3</v>
      </c>
      <c r="AL170" s="312">
        <f>+AC170/'MWh by month-WgtbyCDH&amp;DayLtHrs'!AC170-1</f>
        <v>-4.072853101288576E-3</v>
      </c>
      <c r="AM170" s="89">
        <f t="shared" si="74"/>
        <v>338537.81595106004</v>
      </c>
      <c r="AN170" s="93"/>
      <c r="AO170" s="96">
        <f t="shared" si="63"/>
        <v>67.555489501946553</v>
      </c>
      <c r="AP170" s="92">
        <f t="shared" si="86"/>
        <v>5.4188895322417026E-3</v>
      </c>
      <c r="AR170" s="94">
        <f t="shared" si="75"/>
        <v>2.0402332010806861E-2</v>
      </c>
      <c r="AS170" s="95">
        <v>1155848.495995641</v>
      </c>
      <c r="AU170" s="141">
        <v>254.34907240139222</v>
      </c>
    </row>
    <row r="171" spans="1:47">
      <c r="A171" s="78">
        <v>2018</v>
      </c>
      <c r="B171" s="78">
        <v>11</v>
      </c>
      <c r="C171" s="317">
        <f t="shared" si="81"/>
        <v>78.117279066674627</v>
      </c>
      <c r="D171" s="324">
        <f t="shared" si="64"/>
        <v>3.9729981188725644E-2</v>
      </c>
      <c r="E171" s="321">
        <f>$D171*'MWh Impact Summary'!B$24</f>
        <v>103018.39938733366</v>
      </c>
      <c r="F171" s="319">
        <f>$D171*'MWh Impact Summary'!N$24</f>
        <v>11206.874061808818</v>
      </c>
      <c r="G171" s="319">
        <f>$D171*'MWh Impact Summary'!C$24</f>
        <v>79153.868643958398</v>
      </c>
      <c r="H171" s="319">
        <f>$D171*'MWh Impact Summary'!D$24</f>
        <v>296.02163880454316</v>
      </c>
      <c r="I171" s="319">
        <f>$D171*'MWh Impact Summary'!E$24</f>
        <v>30632.919188192027</v>
      </c>
      <c r="J171" s="104">
        <f t="shared" si="76"/>
        <v>224308.08292009745</v>
      </c>
      <c r="K171" s="298">
        <f t="shared" si="82"/>
        <v>13.15</v>
      </c>
      <c r="L171" s="300">
        <f t="shared" si="65"/>
        <v>9.2573037662794788E-2</v>
      </c>
      <c r="M171" s="297">
        <f>(30/365)</f>
        <v>8.2191780821917804E-2</v>
      </c>
      <c r="N171" s="304">
        <f>$M171*'MWh Impact Summary'!F$24</f>
        <v>110306.89975892202</v>
      </c>
      <c r="O171" s="304">
        <f>$M171*'MWh Impact Summary'!G$24</f>
        <v>5442.5894053217908</v>
      </c>
      <c r="P171" s="304">
        <f>$M171*'MWh Impact Summary'!H$24</f>
        <v>7080.4894313175073</v>
      </c>
      <c r="Q171" s="304">
        <f>$M171*'MWh Impact Summary'!I$24</f>
        <v>1279.005272907483</v>
      </c>
      <c r="R171" s="304">
        <f>$M171*'MWh Impact Summary'!J$24</f>
        <v>33597.975576016725</v>
      </c>
      <c r="S171" s="304">
        <f>$M171*'MWh Impact Summary'!K$24</f>
        <v>12871.189905114099</v>
      </c>
      <c r="T171" s="304">
        <f>$M171*'MWh Impact Summary'!L$24</f>
        <v>4697.2344840741098</v>
      </c>
      <c r="U171" s="304">
        <f>$M171*'MWh Impact Summary'!M$24</f>
        <v>14963.047325733936</v>
      </c>
      <c r="V171" s="304">
        <f>$M171*'LED Impact Forecast'!$H$25+$D171*'LED Impact Forecast'!$J$25</f>
        <v>37130.960452528074</v>
      </c>
      <c r="W171" s="304">
        <f>$M171*'CFL Impact Forecast'!$H$25+$D171*'CFL Impact Forecast'!$J$25</f>
        <v>294754.51586690597</v>
      </c>
      <c r="X171" s="304">
        <f>$M171*'EISA Incand Impact Forecast'!$G$25+$D171*'EISA Incand Impact Forecast'!$I$25</f>
        <v>109343.25423288601</v>
      </c>
      <c r="Y171" s="85">
        <f t="shared" si="68"/>
        <v>631467.16171172773</v>
      </c>
      <c r="Z171" s="81">
        <f t="shared" si="69"/>
        <v>855775.24463182525</v>
      </c>
      <c r="AA171" s="81"/>
      <c r="AB171" s="262">
        <f>+'MWh by mo-WgtbyActulCDH&amp;Days'!AB171</f>
        <v>5016812.6063650586</v>
      </c>
      <c r="AC171" s="308">
        <f t="shared" si="77"/>
        <v>170.58146512111378</v>
      </c>
      <c r="AD171" s="309">
        <f t="shared" si="70"/>
        <v>44.711273974137995</v>
      </c>
      <c r="AE171" s="107">
        <f t="shared" si="71"/>
        <v>3.4000968801625852E-3</v>
      </c>
      <c r="AF171" s="309">
        <f t="shared" si="78"/>
        <v>125.87019114697578</v>
      </c>
      <c r="AG171" s="107">
        <f t="shared" si="72"/>
        <v>9.5718776537624169E-3</v>
      </c>
      <c r="AH171" s="119">
        <f t="shared" si="79"/>
        <v>1.2971974533925002E-2</v>
      </c>
      <c r="AI171" s="122">
        <f t="shared" si="73"/>
        <v>1.2971974533925002E-2</v>
      </c>
      <c r="AJ171" s="87" t="b">
        <f t="shared" si="80"/>
        <v>1</v>
      </c>
      <c r="AK171" s="88">
        <f t="shared" si="83"/>
        <v>9.3453506989503443E-4</v>
      </c>
      <c r="AL171" s="312">
        <f>+AC171/'MWh by month-WgtbyCDH&amp;DayLtHrs'!AC171-1</f>
        <v>-0.1156942711475285</v>
      </c>
      <c r="AM171" s="89">
        <f t="shared" si="74"/>
        <v>294754.51586690597</v>
      </c>
      <c r="AN171" s="93"/>
      <c r="AO171" s="96">
        <f t="shared" ref="AO171:AO234" si="87">+AM171*1000/AB171</f>
        <v>58.753343804976396</v>
      </c>
      <c r="AP171" s="92">
        <f t="shared" si="86"/>
        <v>4.4679348901122736E-3</v>
      </c>
      <c r="AR171" s="94">
        <f t="shared" si="75"/>
        <v>1.2971974533925002E-2</v>
      </c>
      <c r="AS171" s="95">
        <v>893899.58279067918</v>
      </c>
      <c r="AU171" s="141">
        <v>170.58146512111378</v>
      </c>
    </row>
    <row r="172" spans="1:47">
      <c r="A172" s="78">
        <v>2018</v>
      </c>
      <c r="B172" s="78">
        <v>12</v>
      </c>
      <c r="C172" s="317">
        <f t="shared" si="81"/>
        <v>42.633806123140985</v>
      </c>
      <c r="D172" s="324">
        <f t="shared" si="64"/>
        <v>2.1683298951445065E-2</v>
      </c>
      <c r="E172" s="321">
        <f>$D172*'MWh Impact Summary'!B$24</f>
        <v>56224.007275614073</v>
      </c>
      <c r="F172" s="319">
        <f>$D172*'MWh Impact Summary'!N$24</f>
        <v>6116.3381739116912</v>
      </c>
      <c r="G172" s="319">
        <f>$D172*'MWh Impact Summary'!C$24</f>
        <v>43199.542149730754</v>
      </c>
      <c r="H172" s="319">
        <f>$D172*'MWh Impact Summary'!D$24</f>
        <v>161.55873972870319</v>
      </c>
      <c r="I172" s="319">
        <f>$D172*'MWh Impact Summary'!E$24</f>
        <v>16718.42584968339</v>
      </c>
      <c r="J172" s="104">
        <f t="shared" si="76"/>
        <v>122419.87218866861</v>
      </c>
      <c r="K172" s="298">
        <f t="shared" si="82"/>
        <v>13.483333333333333</v>
      </c>
      <c r="L172" s="300">
        <f t="shared" si="65"/>
        <v>9.491962923853102E-2</v>
      </c>
      <c r="M172" s="297">
        <f t="shared" si="85"/>
        <v>8.4931506849315067E-2</v>
      </c>
      <c r="N172" s="304">
        <f>$M172*'MWh Impact Summary'!F$24</f>
        <v>113983.79641755276</v>
      </c>
      <c r="O172" s="304">
        <f>$M172*'MWh Impact Summary'!G$24</f>
        <v>5624.0090521658503</v>
      </c>
      <c r="P172" s="304">
        <f>$M172*'MWh Impact Summary'!H$24</f>
        <v>7316.5057456947579</v>
      </c>
      <c r="Q172" s="304">
        <f>$M172*'MWh Impact Summary'!I$24</f>
        <v>1321.6387820043992</v>
      </c>
      <c r="R172" s="304">
        <f>$M172*'MWh Impact Summary'!J$24</f>
        <v>34717.908095217281</v>
      </c>
      <c r="S172" s="304">
        <f>$M172*'MWh Impact Summary'!K$24</f>
        <v>13300.229568617904</v>
      </c>
      <c r="T172" s="304">
        <f>$M172*'MWh Impact Summary'!L$24</f>
        <v>4853.8089668765797</v>
      </c>
      <c r="U172" s="304">
        <f>$M172*'MWh Impact Summary'!M$24</f>
        <v>15461.815569925069</v>
      </c>
      <c r="V172" s="304">
        <f>$M172*'LED Impact Forecast'!$H$25+$D172*'LED Impact Forecast'!$J$25</f>
        <v>37250.745882484589</v>
      </c>
      <c r="W172" s="304">
        <f>$M172*'CFL Impact Forecast'!$H$25+$D172*'CFL Impact Forecast'!$J$25</f>
        <v>293634.53905960335</v>
      </c>
      <c r="X172" s="304">
        <f>$M172*'EISA Incand Impact Forecast'!$G$25+$D172*'EISA Incand Impact Forecast'!$I$25</f>
        <v>108615.46237795014</v>
      </c>
      <c r="Y172" s="85">
        <f t="shared" si="68"/>
        <v>636080.45951809268</v>
      </c>
      <c r="Z172" s="81">
        <f t="shared" si="69"/>
        <v>758500.33170676127</v>
      </c>
      <c r="AA172" s="81">
        <f>SUM(Z161:Z172)</f>
        <v>13766996.658649476</v>
      </c>
      <c r="AB172" s="262">
        <f>+'MWh by mo-WgtbyActulCDH&amp;Days'!AB172</f>
        <v>5022446.1507833218</v>
      </c>
      <c r="AC172" s="308">
        <f t="shared" si="77"/>
        <v>151.02209340531454</v>
      </c>
      <c r="AD172" s="309">
        <f t="shared" si="70"/>
        <v>24.374551466236326</v>
      </c>
      <c r="AE172" s="107">
        <f t="shared" si="71"/>
        <v>1.8077541260496659E-3</v>
      </c>
      <c r="AF172" s="309">
        <f t="shared" si="78"/>
        <v>126.6475419390782</v>
      </c>
      <c r="AG172" s="107">
        <f t="shared" si="72"/>
        <v>9.3928955702653784E-3</v>
      </c>
      <c r="AH172" s="119">
        <f t="shared" si="79"/>
        <v>1.1200649696315044E-2</v>
      </c>
      <c r="AI172" s="122">
        <f t="shared" si="73"/>
        <v>1.1200649696315047E-2</v>
      </c>
      <c r="AJ172" s="87" t="b">
        <f t="shared" si="80"/>
        <v>1</v>
      </c>
      <c r="AK172" s="88">
        <f t="shared" si="83"/>
        <v>7.9732668059290593E-4</v>
      </c>
      <c r="AL172" s="312">
        <f>+AC172/'MWh by month-WgtbyCDH&amp;DayLtHrs'!AC172-1</f>
        <v>-0.14078124586120555</v>
      </c>
      <c r="AM172" s="89">
        <f t="shared" si="74"/>
        <v>293634.53905960335</v>
      </c>
      <c r="AN172" s="90">
        <f>SUM(AM161:AM172)</f>
        <v>3878082.8693543654</v>
      </c>
      <c r="AO172" s="96">
        <f t="shared" si="87"/>
        <v>58.464447451329441</v>
      </c>
      <c r="AP172" s="92">
        <f t="shared" si="86"/>
        <v>4.3360529630157808E-3</v>
      </c>
      <c r="AR172" s="94">
        <f t="shared" si="75"/>
        <v>1.1200649696315047E-2</v>
      </c>
      <c r="AS172" s="95">
        <v>738281.07191137853</v>
      </c>
      <c r="AU172" s="141">
        <v>151.02209340531454</v>
      </c>
    </row>
    <row r="173" spans="1:47">
      <c r="A173" s="78">
        <v>2019</v>
      </c>
      <c r="B173" s="78">
        <v>1</v>
      </c>
      <c r="C173" s="317">
        <f t="shared" si="81"/>
        <v>26.112829868525239</v>
      </c>
      <c r="D173" s="324">
        <f t="shared" si="64"/>
        <v>1.3280829182176284E-2</v>
      </c>
      <c r="E173" s="321">
        <f>$D173*'MWh Impact Summary'!B$25</f>
        <v>37901.875731165361</v>
      </c>
      <c r="F173" s="319">
        <f>$D173*'MWh Impact Summary'!N$25</f>
        <v>4428.7198558267801</v>
      </c>
      <c r="G173" s="319">
        <f>$D173*'MWh Impact Summary'!C$25</f>
        <v>28612.968655251218</v>
      </c>
      <c r="H173" s="319">
        <f>$D173*'MWh Impact Summary'!D$25</f>
        <v>110.15232217588711</v>
      </c>
      <c r="I173" s="319">
        <f>$D173*'MWh Impact Summary'!E$25</f>
        <v>11006.117751685633</v>
      </c>
      <c r="J173" s="104">
        <f t="shared" si="76"/>
        <v>82059.834316104883</v>
      </c>
      <c r="K173" s="298">
        <f t="shared" si="82"/>
        <v>13.3</v>
      </c>
      <c r="L173" s="300">
        <f t="shared" si="65"/>
        <v>9.3629003871876101E-2</v>
      </c>
      <c r="M173" s="297">
        <f>(31/365)</f>
        <v>8.4931506849315067E-2</v>
      </c>
      <c r="N173" s="304">
        <f>$M173*'MWh Impact Summary'!F$25</f>
        <v>124811.28459773332</v>
      </c>
      <c r="O173" s="304">
        <f>$M173*'MWh Impact Summary'!G$25</f>
        <v>8441.7535575178408</v>
      </c>
      <c r="P173" s="304">
        <f>$M173*'MWh Impact Summary'!H$25</f>
        <v>8478.4823916279402</v>
      </c>
      <c r="Q173" s="304">
        <f>$M173*'MWh Impact Summary'!I$25</f>
        <v>1414.2366962017231</v>
      </c>
      <c r="R173" s="304">
        <f>$M173*'MWh Impact Summary'!J$25</f>
        <v>39021.332976499914</v>
      </c>
      <c r="S173" s="304">
        <f>$M173*'MWh Impact Summary'!K$25</f>
        <v>17312.223108981307</v>
      </c>
      <c r="T173" s="304">
        <f>$M173*'MWh Impact Summary'!L$25</f>
        <v>6126.1590904431287</v>
      </c>
      <c r="U173" s="304">
        <f>$M173*'MWh Impact Summary'!M$25</f>
        <v>19857.320630166058</v>
      </c>
      <c r="V173" s="304">
        <f>$M173*'LED Impact Forecast'!$H$26+$D173*'LED Impact Forecast'!$J$26</f>
        <v>55701.29965919377</v>
      </c>
      <c r="W173" s="304">
        <f>$M173*'CFL Impact Forecast'!$H$26+$D173*'CFL Impact Forecast'!$J$26</f>
        <v>296268.45155328227</v>
      </c>
      <c r="X173" s="304">
        <f>$M173*'EISA Incand Impact Forecast'!$G$26+$D173*'EISA Incand Impact Forecast'!$I$26</f>
        <v>107518.75789663031</v>
      </c>
      <c r="Y173" s="85">
        <f t="shared" si="68"/>
        <v>684951.3021582776</v>
      </c>
      <c r="Z173" s="81">
        <f t="shared" si="69"/>
        <v>767011.13647438248</v>
      </c>
      <c r="AA173" s="81"/>
      <c r="AB173" s="262">
        <f>+'MWh by mo-WgtbyActulCDH&amp;Days'!AB173</f>
        <v>5028344.8487463314</v>
      </c>
      <c r="AC173" s="308">
        <f t="shared" si="77"/>
        <v>152.53749683966365</v>
      </c>
      <c r="AD173" s="309">
        <f t="shared" si="70"/>
        <v>16.319452381346533</v>
      </c>
      <c r="AE173" s="107">
        <f t="shared" si="71"/>
        <v>1.2270264948380852E-3</v>
      </c>
      <c r="AF173" s="309">
        <f t="shared" si="78"/>
        <v>136.21804445831711</v>
      </c>
      <c r="AG173" s="107">
        <f t="shared" si="72"/>
        <v>1.0241958229948655E-2</v>
      </c>
      <c r="AH173" s="119">
        <f t="shared" si="79"/>
        <v>1.1468984724786739E-2</v>
      </c>
      <c r="AI173" s="122">
        <f t="shared" si="73"/>
        <v>1.1468984724786739E-2</v>
      </c>
      <c r="AJ173" s="87" t="b">
        <f t="shared" si="80"/>
        <v>1</v>
      </c>
      <c r="AK173" s="88">
        <f t="shared" si="83"/>
        <v>7.990382966723622E-4</v>
      </c>
      <c r="AL173" s="312">
        <f>+AC173/'MWh by month-WgtbyCDH&amp;DayLtHrs'!AC173-1</f>
        <v>-0.14509688800756215</v>
      </c>
      <c r="AM173" s="89">
        <f t="shared" si="74"/>
        <v>296268.45155328227</v>
      </c>
      <c r="AN173" s="93"/>
      <c r="AO173" s="96">
        <f t="shared" si="87"/>
        <v>58.919676447240491</v>
      </c>
      <c r="AP173" s="92">
        <f t="shared" si="86"/>
        <v>4.4300508606947737E-3</v>
      </c>
      <c r="AR173" s="94">
        <f t="shared" si="75"/>
        <v>1.1468984724786739E-2</v>
      </c>
      <c r="AS173" s="95">
        <v>761448.87440197717</v>
      </c>
      <c r="AU173" s="141">
        <v>152.53749683966365</v>
      </c>
    </row>
    <row r="174" spans="1:47">
      <c r="A174" s="78">
        <v>2019</v>
      </c>
      <c r="B174" s="78">
        <v>2</v>
      </c>
      <c r="C174" s="317">
        <f t="shared" si="81"/>
        <v>35.042184420393127</v>
      </c>
      <c r="D174" s="324">
        <f t="shared" si="64"/>
        <v>1.7822245532205266E-2</v>
      </c>
      <c r="E174" s="321">
        <f>$D174*'MWh Impact Summary'!B$25</f>
        <v>50862.527192091315</v>
      </c>
      <c r="F174" s="319">
        <f>$D174*'MWh Impact Summary'!N$25</f>
        <v>5943.1328858461866</v>
      </c>
      <c r="G174" s="319">
        <f>$D174*'MWh Impact Summary'!C$25</f>
        <v>38397.252595008307</v>
      </c>
      <c r="H174" s="319">
        <f>$D174*'MWh Impact Summary'!D$25</f>
        <v>147.8192140590082</v>
      </c>
      <c r="I174" s="319">
        <f>$D174*'MWh Impact Summary'!E$25</f>
        <v>14769.690223119136</v>
      </c>
      <c r="J174" s="104">
        <f t="shared" si="76"/>
        <v>110120.42211012395</v>
      </c>
      <c r="K174" s="298">
        <f t="shared" si="82"/>
        <v>12.733333333333333</v>
      </c>
      <c r="L174" s="300">
        <f t="shared" si="65"/>
        <v>8.9639798193124468E-2</v>
      </c>
      <c r="M174" s="297">
        <f>(28/365)</f>
        <v>7.6712328767123292E-2</v>
      </c>
      <c r="N174" s="304">
        <f>$M174*'MWh Impact Summary'!F$25</f>
        <v>112732.77318504945</v>
      </c>
      <c r="O174" s="304">
        <f>$M174*'MWh Impact Summary'!G$25</f>
        <v>7624.8096648548253</v>
      </c>
      <c r="P174" s="304">
        <f>$M174*'MWh Impact Summary'!H$25</f>
        <v>7657.9840956639473</v>
      </c>
      <c r="Q174" s="304">
        <f>$M174*'MWh Impact Summary'!I$25</f>
        <v>1277.3750804402662</v>
      </c>
      <c r="R174" s="304">
        <f>$M174*'MWh Impact Summary'!J$25</f>
        <v>35245.074946516055</v>
      </c>
      <c r="S174" s="304">
        <f>$M174*'MWh Impact Summary'!K$25</f>
        <v>15636.84667907989</v>
      </c>
      <c r="T174" s="304">
        <f>$M174*'MWh Impact Summary'!L$25</f>
        <v>5533.3049849163754</v>
      </c>
      <c r="U174" s="304">
        <f>$M174*'MWh Impact Summary'!M$25</f>
        <v>17935.64444014999</v>
      </c>
      <c r="V174" s="304">
        <f>$M174*'LED Impact Forecast'!$H$26+$D174*'LED Impact Forecast'!$J$26</f>
        <v>50856.838970649922</v>
      </c>
      <c r="W174" s="304">
        <f>$M174*'CFL Impact Forecast'!$H$26+$D174*'CFL Impact Forecast'!$J$26</f>
        <v>270978.09701814718</v>
      </c>
      <c r="X174" s="304">
        <f>$M174*'EISA Incand Impact Forecast'!$G$26+$D174*'EISA Incand Impact Forecast'!$I$26</f>
        <v>98440.162569035485</v>
      </c>
      <c r="Y174" s="85">
        <f t="shared" si="68"/>
        <v>623918.9116345034</v>
      </c>
      <c r="Z174" s="81">
        <f t="shared" si="69"/>
        <v>734039.33374462731</v>
      </c>
      <c r="AA174" s="81"/>
      <c r="AB174" s="262">
        <f>+'MWh by mo-WgtbyActulCDH&amp;Days'!AB174</f>
        <v>5033985.8735689241</v>
      </c>
      <c r="AC174" s="308">
        <f t="shared" si="77"/>
        <v>145.81672499295644</v>
      </c>
      <c r="AD174" s="309">
        <f t="shared" si="70"/>
        <v>21.875393550131744</v>
      </c>
      <c r="AE174" s="107">
        <f t="shared" si="71"/>
        <v>1.7179628442511841E-3</v>
      </c>
      <c r="AF174" s="309">
        <f t="shared" si="78"/>
        <v>123.94133144282468</v>
      </c>
      <c r="AG174" s="107">
        <f t="shared" si="72"/>
        <v>9.7336124169757621E-3</v>
      </c>
      <c r="AH174" s="119">
        <f t="shared" si="79"/>
        <v>1.1451575261226947E-2</v>
      </c>
      <c r="AI174" s="122">
        <f t="shared" si="73"/>
        <v>1.1451575261226947E-2</v>
      </c>
      <c r="AJ174" s="87" t="b">
        <f t="shared" si="80"/>
        <v>1</v>
      </c>
      <c r="AK174" s="88">
        <f t="shared" si="83"/>
        <v>7.9861902343504078E-4</v>
      </c>
      <c r="AL174" s="312">
        <f>+AC174/'MWh by month-WgtbyCDH&amp;DayLtHrs'!AC174-1</f>
        <v>-0.17927231084695094</v>
      </c>
      <c r="AM174" s="89">
        <f t="shared" si="74"/>
        <v>270978.09701814718</v>
      </c>
      <c r="AN174" s="93"/>
      <c r="AO174" s="96">
        <f t="shared" si="87"/>
        <v>53.829729328587277</v>
      </c>
      <c r="AP174" s="92">
        <f t="shared" si="86"/>
        <v>4.2274656540775349E-3</v>
      </c>
      <c r="AR174" s="94">
        <f t="shared" si="75"/>
        <v>1.1451575261226947E-2</v>
      </c>
      <c r="AS174" s="95">
        <v>707451.56583231059</v>
      </c>
      <c r="AU174" s="141">
        <v>145.81672499295644</v>
      </c>
    </row>
    <row r="175" spans="1:47">
      <c r="A175" s="78">
        <v>2019</v>
      </c>
      <c r="B175" s="78">
        <v>3</v>
      </c>
      <c r="C175" s="317">
        <f t="shared" si="81"/>
        <v>64.582270600115152</v>
      </c>
      <c r="D175" s="324">
        <f t="shared" si="64"/>
        <v>3.2846156787895278E-2</v>
      </c>
      <c r="E175" s="321">
        <f>$D175*'MWh Impact Summary'!B$25</f>
        <v>93738.947752747001</v>
      </c>
      <c r="F175" s="319">
        <f>$D175*'MWh Impact Summary'!N$25</f>
        <v>10953.113300288253</v>
      </c>
      <c r="G175" s="319">
        <f>$D175*'MWh Impact Summary'!C$25</f>
        <v>70765.615740229608</v>
      </c>
      <c r="H175" s="319">
        <f>$D175*'MWh Impact Summary'!D$25</f>
        <v>272.42880659858463</v>
      </c>
      <c r="I175" s="319">
        <f>$D175*'MWh Impact Summary'!E$25</f>
        <v>27220.338755886674</v>
      </c>
      <c r="J175" s="104">
        <f t="shared" si="76"/>
        <v>202950.44435575014</v>
      </c>
      <c r="K175" s="298">
        <f t="shared" si="82"/>
        <v>12</v>
      </c>
      <c r="L175" s="300">
        <f t="shared" si="65"/>
        <v>8.4477296726504739E-2</v>
      </c>
      <c r="M175" s="297">
        <f t="shared" ref="M175:M184" si="88">(31/365)</f>
        <v>8.4931506849315067E-2</v>
      </c>
      <c r="N175" s="304">
        <f>$M175*'MWh Impact Summary'!F$25</f>
        <v>124811.28459773332</v>
      </c>
      <c r="O175" s="304">
        <f>$M175*'MWh Impact Summary'!G$25</f>
        <v>8441.7535575178408</v>
      </c>
      <c r="P175" s="304">
        <f>$M175*'MWh Impact Summary'!H$25</f>
        <v>8478.4823916279402</v>
      </c>
      <c r="Q175" s="304">
        <f>$M175*'MWh Impact Summary'!I$25</f>
        <v>1414.2366962017231</v>
      </c>
      <c r="R175" s="304">
        <f>$M175*'MWh Impact Summary'!J$25</f>
        <v>39021.332976499914</v>
      </c>
      <c r="S175" s="304">
        <f>$M175*'MWh Impact Summary'!K$25</f>
        <v>17312.223108981307</v>
      </c>
      <c r="T175" s="304">
        <f>$M175*'MWh Impact Summary'!L$25</f>
        <v>6126.1590904431287</v>
      </c>
      <c r="U175" s="304">
        <f>$M175*'MWh Impact Summary'!M$25</f>
        <v>19857.320630166058</v>
      </c>
      <c r="V175" s="304">
        <f>$M175*'LED Impact Forecast'!$H$26+$D175*'LED Impact Forecast'!$J$26</f>
        <v>57534.670994640495</v>
      </c>
      <c r="W175" s="304">
        <f>$M175*'CFL Impact Forecast'!$H$26+$D175*'CFL Impact Forecast'!$J$26</f>
        <v>307620.78864882176</v>
      </c>
      <c r="X175" s="304">
        <f>$M175*'EISA Incand Impact Forecast'!$G$26+$D175*'EISA Incand Impact Forecast'!$I$26</f>
        <v>111972.82854006067</v>
      </c>
      <c r="Y175" s="85">
        <f t="shared" si="68"/>
        <v>702591.08123269421</v>
      </c>
      <c r="Z175" s="81">
        <f t="shared" si="69"/>
        <v>905541.52558844432</v>
      </c>
      <c r="AA175" s="81"/>
      <c r="AB175" s="262">
        <f>+'MWh by mo-WgtbyActulCDH&amp;Days'!AB175</f>
        <v>5039839.6897841692</v>
      </c>
      <c r="AC175" s="308">
        <f t="shared" si="77"/>
        <v>179.67665269670991</v>
      </c>
      <c r="AD175" s="309">
        <f t="shared" si="70"/>
        <v>40.269226175414616</v>
      </c>
      <c r="AE175" s="107">
        <f t="shared" si="71"/>
        <v>3.3557688479512178E-3</v>
      </c>
      <c r="AF175" s="309">
        <f t="shared" si="78"/>
        <v>139.40742652129529</v>
      </c>
      <c r="AG175" s="107">
        <f t="shared" si="72"/>
        <v>1.1617285543441274E-2</v>
      </c>
      <c r="AH175" s="119">
        <f t="shared" si="79"/>
        <v>1.4973054391392493E-2</v>
      </c>
      <c r="AI175" s="122">
        <f t="shared" si="73"/>
        <v>1.4973054391392493E-2</v>
      </c>
      <c r="AJ175" s="87" t="b">
        <f t="shared" si="80"/>
        <v>1</v>
      </c>
      <c r="AK175" s="88">
        <f t="shared" si="83"/>
        <v>1.0458646373050374E-3</v>
      </c>
      <c r="AL175" s="312">
        <f>+AC175/'MWh by month-WgtbyCDH&amp;DayLtHrs'!AC175-1</f>
        <v>-4.4031382959066168E-2</v>
      </c>
      <c r="AM175" s="89">
        <f t="shared" si="74"/>
        <v>307620.78864882176</v>
      </c>
      <c r="AN175" s="93"/>
      <c r="AO175" s="96">
        <f t="shared" si="87"/>
        <v>61.037812228903576</v>
      </c>
      <c r="AP175" s="92">
        <f t="shared" si="86"/>
        <v>5.0864843524086314E-3</v>
      </c>
      <c r="AR175" s="94">
        <f t="shared" si="75"/>
        <v>1.4973054391392493E-2</v>
      </c>
      <c r="AS175" s="95">
        <v>857008.83732047398</v>
      </c>
      <c r="AU175" s="141">
        <v>179.67665269670991</v>
      </c>
    </row>
    <row r="176" spans="1:47">
      <c r="A176" s="78">
        <v>2019</v>
      </c>
      <c r="B176" s="78">
        <v>4</v>
      </c>
      <c r="C176" s="317">
        <f t="shared" si="81"/>
        <v>114.03392869270741</v>
      </c>
      <c r="D176" s="324">
        <f t="shared" si="64"/>
        <v>5.7996974497419709E-2</v>
      </c>
      <c r="E176" s="321">
        <f>$D176*'MWh Impact Summary'!B$25</f>
        <v>165516.33109888082</v>
      </c>
      <c r="F176" s="319">
        <f>$D176*'MWh Impact Summary'!N$25</f>
        <v>19340.084042291142</v>
      </c>
      <c r="G176" s="319">
        <f>$D176*'MWh Impact Summary'!C$25</f>
        <v>124951.95824227472</v>
      </c>
      <c r="H176" s="319">
        <f>$D176*'MWh Impact Summary'!D$25</f>
        <v>481.03181905541396</v>
      </c>
      <c r="I176" s="319">
        <f>$D176*'MWh Impact Summary'!E$25</f>
        <v>48063.379311946737</v>
      </c>
      <c r="J176" s="104">
        <f t="shared" si="76"/>
        <v>358352.78451444884</v>
      </c>
      <c r="K176" s="298">
        <f t="shared" si="82"/>
        <v>11.2</v>
      </c>
      <c r="L176" s="300">
        <f t="shared" si="65"/>
        <v>7.8845476944737758E-2</v>
      </c>
      <c r="M176" s="297">
        <f>(30/365)</f>
        <v>8.2191780821917804E-2</v>
      </c>
      <c r="N176" s="304">
        <f>$M176*'MWh Impact Summary'!F$25</f>
        <v>120785.11412683869</v>
      </c>
      <c r="O176" s="304">
        <f>$M176*'MWh Impact Summary'!G$25</f>
        <v>8169.4389266301687</v>
      </c>
      <c r="P176" s="304">
        <f>$M176*'MWh Impact Summary'!H$25</f>
        <v>8204.9829596399431</v>
      </c>
      <c r="Q176" s="304">
        <f>$M176*'MWh Impact Summary'!I$25</f>
        <v>1368.6161576145707</v>
      </c>
      <c r="R176" s="304">
        <f>$M176*'MWh Impact Summary'!J$25</f>
        <v>37762.580299838621</v>
      </c>
      <c r="S176" s="304">
        <f>$M176*'MWh Impact Summary'!K$25</f>
        <v>16753.764299014165</v>
      </c>
      <c r="T176" s="304">
        <f>$M176*'MWh Impact Summary'!L$25</f>
        <v>5928.5410552675439</v>
      </c>
      <c r="U176" s="304">
        <f>$M176*'MWh Impact Summary'!M$25</f>
        <v>19216.761900160702</v>
      </c>
      <c r="V176" s="304">
        <f>$M176*'LED Impact Forecast'!$H$26+$D176*'LED Impact Forecast'!$J$26</f>
        <v>58134.759792232078</v>
      </c>
      <c r="W176" s="304">
        <f>$M176*'CFL Impact Forecast'!$H$26+$D176*'CFL Impact Forecast'!$J$26</f>
        <v>312905.51013522752</v>
      </c>
      <c r="X176" s="304">
        <f>$M176*'EISA Incand Impact Forecast'!$G$26+$D176*'EISA Incand Impact Forecast'!$I$26</f>
        <v>114327.6247082574</v>
      </c>
      <c r="Y176" s="85">
        <f t="shared" si="68"/>
        <v>703557.69436072139</v>
      </c>
      <c r="Z176" s="81">
        <f t="shared" si="69"/>
        <v>1061910.4788751702</v>
      </c>
      <c r="AA176" s="81"/>
      <c r="AB176" s="262">
        <f>+'MWh by mo-WgtbyActulCDH&amp;Days'!AB176</f>
        <v>5045414.9673927901</v>
      </c>
      <c r="AC176" s="308">
        <f t="shared" si="77"/>
        <v>210.4703945538717</v>
      </c>
      <c r="AD176" s="309">
        <f t="shared" si="70"/>
        <v>71.025433354915307</v>
      </c>
      <c r="AE176" s="107">
        <f t="shared" si="71"/>
        <v>6.3415565495460102E-3</v>
      </c>
      <c r="AF176" s="309">
        <f t="shared" si="78"/>
        <v>139.44496119895638</v>
      </c>
      <c r="AG176" s="107">
        <f t="shared" si="72"/>
        <v>1.2450442964192534E-2</v>
      </c>
      <c r="AH176" s="119">
        <f t="shared" si="79"/>
        <v>1.8791999513738545E-2</v>
      </c>
      <c r="AI176" s="122">
        <f t="shared" si="73"/>
        <v>1.8791999513738545E-2</v>
      </c>
      <c r="AJ176" s="87" t="b">
        <f t="shared" si="80"/>
        <v>1</v>
      </c>
      <c r="AK176" s="88">
        <f t="shared" si="83"/>
        <v>1.3147555216777851E-3</v>
      </c>
      <c r="AL176" s="312">
        <f>+AC176/'MWh by month-WgtbyCDH&amp;DayLtHrs'!AC176-1</f>
        <v>2.6874859508694282E-3</v>
      </c>
      <c r="AM176" s="89">
        <f t="shared" si="74"/>
        <v>312905.51013522752</v>
      </c>
      <c r="AN176" s="93"/>
      <c r="AO176" s="96">
        <f t="shared" si="87"/>
        <v>62.017794801310643</v>
      </c>
      <c r="AP176" s="92">
        <f t="shared" si="86"/>
        <v>5.5373031072598784E-3</v>
      </c>
      <c r="AR176" s="94">
        <f t="shared" si="75"/>
        <v>1.8791999513738545E-2</v>
      </c>
      <c r="AS176" s="95">
        <v>1007481.0355190123</v>
      </c>
      <c r="AU176" s="141">
        <v>210.4703945538717</v>
      </c>
    </row>
    <row r="177" spans="1:47">
      <c r="A177" s="78">
        <v>2019</v>
      </c>
      <c r="B177" s="78">
        <v>5</v>
      </c>
      <c r="C177" s="317">
        <f t="shared" si="81"/>
        <v>208.47875842628665</v>
      </c>
      <c r="D177" s="324">
        <f t="shared" si="64"/>
        <v>0.10603105035770212</v>
      </c>
      <c r="E177" s="321">
        <f>$D177*'MWh Impact Summary'!B$25</f>
        <v>302599.75782957999</v>
      </c>
      <c r="F177" s="319">
        <f>$D177*'MWh Impact Summary'!N$25</f>
        <v>35357.868971278782</v>
      </c>
      <c r="G177" s="319">
        <f>$D177*'MWh Impact Summary'!C$25</f>
        <v>228439.28483320388</v>
      </c>
      <c r="H177" s="319">
        <f>$D177*'MWh Impact Summary'!D$25</f>
        <v>879.43051291737368</v>
      </c>
      <c r="I177" s="319">
        <f>$D177*'MWh Impact Summary'!E$25</f>
        <v>87870.283516480558</v>
      </c>
      <c r="J177" s="104">
        <f t="shared" si="76"/>
        <v>655146.62566346058</v>
      </c>
      <c r="K177" s="298">
        <f t="shared" si="82"/>
        <v>10.533333333333333</v>
      </c>
      <c r="L177" s="300">
        <f t="shared" si="65"/>
        <v>7.4152293793265281E-2</v>
      </c>
      <c r="M177" s="297">
        <f t="shared" si="88"/>
        <v>8.4931506849315067E-2</v>
      </c>
      <c r="N177" s="304">
        <f>$M177*'MWh Impact Summary'!F$25</f>
        <v>124811.28459773332</v>
      </c>
      <c r="O177" s="304">
        <f>$M177*'MWh Impact Summary'!G$25</f>
        <v>8441.7535575178408</v>
      </c>
      <c r="P177" s="304">
        <f>$M177*'MWh Impact Summary'!H$25</f>
        <v>8478.4823916279402</v>
      </c>
      <c r="Q177" s="304">
        <f>$M177*'MWh Impact Summary'!I$25</f>
        <v>1414.2366962017231</v>
      </c>
      <c r="R177" s="304">
        <f>$M177*'MWh Impact Summary'!J$25</f>
        <v>39021.332976499914</v>
      </c>
      <c r="S177" s="304">
        <f>$M177*'MWh Impact Summary'!K$25</f>
        <v>17312.223108981307</v>
      </c>
      <c r="T177" s="304">
        <f>$M177*'MWh Impact Summary'!L$25</f>
        <v>6126.1590904431287</v>
      </c>
      <c r="U177" s="304">
        <f>$M177*'MWh Impact Summary'!M$25</f>
        <v>19857.320630166058</v>
      </c>
      <c r="V177" s="304">
        <f>$M177*'LED Impact Forecast'!$H$26+$D177*'LED Impact Forecast'!$J$26</f>
        <v>64392.470095299737</v>
      </c>
      <c r="W177" s="304">
        <f>$M177*'CFL Impact Forecast'!$H$26+$D177*'CFL Impact Forecast'!$J$26</f>
        <v>350084.6614164199</v>
      </c>
      <c r="X177" s="304">
        <f>$M177*'EISA Incand Impact Forecast'!$G$26+$D177*'EISA Incand Impact Forecast'!$I$26</f>
        <v>128633.4586384072</v>
      </c>
      <c r="Y177" s="85">
        <f t="shared" si="68"/>
        <v>768573.38319929806</v>
      </c>
      <c r="Z177" s="81">
        <f t="shared" si="69"/>
        <v>1423720.0088627585</v>
      </c>
      <c r="AA177" s="81"/>
      <c r="AB177" s="262">
        <f>+'MWh by mo-WgtbyActulCDH&amp;Days'!AB177</f>
        <v>5050667.5493750526</v>
      </c>
      <c r="AC177" s="308">
        <f t="shared" si="77"/>
        <v>281.8874920878377</v>
      </c>
      <c r="AD177" s="309">
        <f t="shared" si="70"/>
        <v>129.71485833482063</v>
      </c>
      <c r="AE177" s="107">
        <f t="shared" si="71"/>
        <v>1.2314701740647528E-2</v>
      </c>
      <c r="AF177" s="309">
        <f t="shared" si="78"/>
        <v>152.17263375301704</v>
      </c>
      <c r="AG177" s="107">
        <f t="shared" si="72"/>
        <v>1.4446769027185162E-2</v>
      </c>
      <c r="AH177" s="119">
        <f t="shared" si="79"/>
        <v>2.6761470767832689E-2</v>
      </c>
      <c r="AI177" s="122">
        <f t="shared" si="73"/>
        <v>2.6761470767832696E-2</v>
      </c>
      <c r="AJ177" s="87" t="b">
        <f t="shared" si="80"/>
        <v>1</v>
      </c>
      <c r="AK177" s="88">
        <f t="shared" si="83"/>
        <v>1.8750001303763815E-3</v>
      </c>
      <c r="AL177" s="312">
        <f>+AC177/'MWh by month-WgtbyCDH&amp;DayLtHrs'!AC177-1</f>
        <v>7.8956278045534178E-2</v>
      </c>
      <c r="AM177" s="89">
        <f t="shared" si="74"/>
        <v>350084.6614164199</v>
      </c>
      <c r="AN177" s="93"/>
      <c r="AO177" s="96">
        <f t="shared" si="87"/>
        <v>69.314532780867324</v>
      </c>
      <c r="AP177" s="92">
        <f t="shared" si="86"/>
        <v>6.580493618436772E-3</v>
      </c>
      <c r="AR177" s="94">
        <f t="shared" si="75"/>
        <v>2.6761470767832696E-2</v>
      </c>
      <c r="AS177" s="95">
        <v>1212333.667608062</v>
      </c>
      <c r="AU177" s="141">
        <v>281.8874920878377</v>
      </c>
    </row>
    <row r="178" spans="1:47">
      <c r="A178" s="78">
        <v>2019</v>
      </c>
      <c r="B178" s="78">
        <v>6</v>
      </c>
      <c r="C178" s="317">
        <f t="shared" si="81"/>
        <v>271.66325293295364</v>
      </c>
      <c r="D178" s="324">
        <f t="shared" ref="D178:D216" si="89">D166</f>
        <v>0.13816630657965029</v>
      </c>
      <c r="E178" s="321">
        <f>$D178*'MWh Impact Summary'!B$25</f>
        <v>394309.88158812159</v>
      </c>
      <c r="F178" s="319">
        <f>$D178*'MWh Impact Summary'!N$25</f>
        <v>46073.920307382316</v>
      </c>
      <c r="G178" s="319">
        <f>$D178*'MWh Impact Summary'!C$25</f>
        <v>297673.2962337177</v>
      </c>
      <c r="H178" s="319">
        <f>$D178*'MWh Impact Summary'!D$25</f>
        <v>1145.963050005895</v>
      </c>
      <c r="I178" s="319">
        <f>$D178*'MWh Impact Summary'!E$25</f>
        <v>114501.48320347126</v>
      </c>
      <c r="J178" s="104">
        <f t="shared" si="76"/>
        <v>853704.54438269872</v>
      </c>
      <c r="K178" s="298">
        <f t="shared" si="82"/>
        <v>10.199999999999999</v>
      </c>
      <c r="L178" s="300">
        <f t="shared" ref="L178:L216" si="90">L166</f>
        <v>7.1805702217529022E-2</v>
      </c>
      <c r="M178" s="297">
        <f>(30/365)</f>
        <v>8.2191780821917804E-2</v>
      </c>
      <c r="N178" s="304">
        <f>$M178*'MWh Impact Summary'!F$25</f>
        <v>120785.11412683869</v>
      </c>
      <c r="O178" s="304">
        <f>$M178*'MWh Impact Summary'!G$25</f>
        <v>8169.4389266301687</v>
      </c>
      <c r="P178" s="304">
        <f>$M178*'MWh Impact Summary'!H$25</f>
        <v>8204.9829596399431</v>
      </c>
      <c r="Q178" s="304">
        <f>$M178*'MWh Impact Summary'!I$25</f>
        <v>1368.6161576145707</v>
      </c>
      <c r="R178" s="304">
        <f>$M178*'MWh Impact Summary'!J$25</f>
        <v>37762.580299838621</v>
      </c>
      <c r="S178" s="304">
        <f>$M178*'MWh Impact Summary'!K$25</f>
        <v>16753.764299014165</v>
      </c>
      <c r="T178" s="304">
        <f>$M178*'MWh Impact Summary'!L$25</f>
        <v>5928.5410552675439</v>
      </c>
      <c r="U178" s="304">
        <f>$M178*'MWh Impact Summary'!M$25</f>
        <v>19216.761900160702</v>
      </c>
      <c r="V178" s="304">
        <f>$M178*'LED Impact Forecast'!$H$26+$D178*'LED Impact Forecast'!$J$26</f>
        <v>65647.03652909123</v>
      </c>
      <c r="W178" s="304">
        <f>$M178*'CFL Impact Forecast'!$H$26+$D178*'CFL Impact Forecast'!$J$26</f>
        <v>359421.94476194453</v>
      </c>
      <c r="X178" s="304">
        <f>$M178*'EISA Incand Impact Forecast'!$G$26+$D178*'EISA Incand Impact Forecast'!$I$26</f>
        <v>132578.27073508437</v>
      </c>
      <c r="Y178" s="85">
        <f t="shared" si="68"/>
        <v>775837.05175112444</v>
      </c>
      <c r="Z178" s="81">
        <f t="shared" si="69"/>
        <v>1629541.596133823</v>
      </c>
      <c r="AA178" s="81"/>
      <c r="AB178" s="262">
        <f>+'MWh by mo-WgtbyActulCDH&amp;Days'!AB178</f>
        <v>5055929.9660004415</v>
      </c>
      <c r="AC178" s="308">
        <f t="shared" si="77"/>
        <v>322.30303961723843</v>
      </c>
      <c r="AD178" s="309">
        <f t="shared" si="70"/>
        <v>168.85213009744928</v>
      </c>
      <c r="AE178" s="107">
        <f t="shared" si="71"/>
        <v>1.6554130401710714E-2</v>
      </c>
      <c r="AF178" s="309">
        <f t="shared" si="78"/>
        <v>153.45090951978915</v>
      </c>
      <c r="AG178" s="107">
        <f t="shared" si="72"/>
        <v>1.5044206815665604E-2</v>
      </c>
      <c r="AH178" s="119">
        <f t="shared" si="79"/>
        <v>3.1598337217376316E-2</v>
      </c>
      <c r="AI178" s="122">
        <f t="shared" si="73"/>
        <v>3.1598337217376316E-2</v>
      </c>
      <c r="AJ178" s="87" t="b">
        <f t="shared" si="80"/>
        <v>1</v>
      </c>
      <c r="AK178" s="88">
        <f t="shared" si="83"/>
        <v>2.215732667706645E-3</v>
      </c>
      <c r="AL178" s="312">
        <f>+AC178/'MWh by month-WgtbyCDH&amp;DayLtHrs'!AC178-1</f>
        <v>8.6411339232804085E-2</v>
      </c>
      <c r="AM178" s="89">
        <f t="shared" si="74"/>
        <v>359421.94476194453</v>
      </c>
      <c r="AN178" s="93"/>
      <c r="AO178" s="96">
        <f t="shared" si="87"/>
        <v>71.08918580339234</v>
      </c>
      <c r="AP178" s="92">
        <f t="shared" si="86"/>
        <v>6.9695280199404261E-3</v>
      </c>
      <c r="AR178" s="94">
        <f t="shared" si="75"/>
        <v>3.1598337217376316E-2</v>
      </c>
      <c r="AS178" s="95">
        <v>1480669.7439639654</v>
      </c>
      <c r="AU178" s="141">
        <v>322.30303961723843</v>
      </c>
    </row>
    <row r="179" spans="1:47">
      <c r="A179" s="78">
        <v>2019</v>
      </c>
      <c r="B179" s="78">
        <v>7</v>
      </c>
      <c r="C179" s="317">
        <f t="shared" si="81"/>
        <v>322.31916585708109</v>
      </c>
      <c r="D179" s="324">
        <f t="shared" si="89"/>
        <v>0.16392960109808263</v>
      </c>
      <c r="E179" s="321">
        <f>$D179*'MWh Impact Summary'!B$25</f>
        <v>467835.19946311775</v>
      </c>
      <c r="F179" s="319">
        <f>$D179*'MWh Impact Summary'!N$25</f>
        <v>54665.131926790986</v>
      </c>
      <c r="G179" s="319">
        <f>$D179*'MWh Impact Summary'!C$25</f>
        <v>353179.19337312464</v>
      </c>
      <c r="H179" s="319">
        <f>$D179*'MWh Impact Summary'!D$25</f>
        <v>1359.645996995022</v>
      </c>
      <c r="I179" s="319">
        <f>$D179*'MWh Impact Summary'!E$25</f>
        <v>135852.09687763633</v>
      </c>
      <c r="J179" s="104">
        <f t="shared" si="76"/>
        <v>1012891.2676376647</v>
      </c>
      <c r="K179" s="298">
        <f t="shared" si="82"/>
        <v>10.366666666666667</v>
      </c>
      <c r="L179" s="300">
        <f t="shared" si="90"/>
        <v>7.2978998005397158E-2</v>
      </c>
      <c r="M179" s="297">
        <f t="shared" si="88"/>
        <v>8.4931506849315067E-2</v>
      </c>
      <c r="N179" s="304">
        <f>$M179*'MWh Impact Summary'!F$25</f>
        <v>124811.28459773332</v>
      </c>
      <c r="O179" s="304">
        <f>$M179*'MWh Impact Summary'!G$25</f>
        <v>8441.7535575178408</v>
      </c>
      <c r="P179" s="304">
        <f>$M179*'MWh Impact Summary'!H$25</f>
        <v>8478.4823916279402</v>
      </c>
      <c r="Q179" s="304">
        <f>$M179*'MWh Impact Summary'!I$25</f>
        <v>1414.2366962017231</v>
      </c>
      <c r="R179" s="304">
        <f>$M179*'MWh Impact Summary'!J$25</f>
        <v>39021.332976499914</v>
      </c>
      <c r="S179" s="304">
        <f>$M179*'MWh Impact Summary'!K$25</f>
        <v>17312.223108981307</v>
      </c>
      <c r="T179" s="304">
        <f>$M179*'MWh Impact Summary'!L$25</f>
        <v>6126.1590904431287</v>
      </c>
      <c r="U179" s="304">
        <f>$M179*'MWh Impact Summary'!M$25</f>
        <v>19857.320630166058</v>
      </c>
      <c r="V179" s="304">
        <f>$M179*'LED Impact Forecast'!$H$26+$D179*'LED Impact Forecast'!$J$26</f>
        <v>69817.860634648212</v>
      </c>
      <c r="W179" s="304">
        <f>$M179*'CFL Impact Forecast'!$H$26+$D179*'CFL Impact Forecast'!$J$26</f>
        <v>383678.98084687348</v>
      </c>
      <c r="X179" s="304">
        <f>$M179*'EISA Incand Impact Forecast'!$G$26+$D179*'EISA Incand Impact Forecast'!$I$26</f>
        <v>141814.13418582364</v>
      </c>
      <c r="Y179" s="85">
        <f t="shared" si="68"/>
        <v>820773.76871651656</v>
      </c>
      <c r="Z179" s="81">
        <f t="shared" si="69"/>
        <v>1833665.0363541814</v>
      </c>
      <c r="AA179" s="81"/>
      <c r="AB179" s="262">
        <f>+'MWh by mo-WgtbyActulCDH&amp;Days'!AB179</f>
        <v>5061685.0368930642</v>
      </c>
      <c r="AC179" s="308">
        <f t="shared" si="77"/>
        <v>362.26375663226008</v>
      </c>
      <c r="AD179" s="309">
        <f t="shared" si="70"/>
        <v>200.10950113549382</v>
      </c>
      <c r="AE179" s="107">
        <f t="shared" si="71"/>
        <v>1.9303167312105511E-2</v>
      </c>
      <c r="AF179" s="309">
        <f t="shared" si="78"/>
        <v>162.15425549676624</v>
      </c>
      <c r="AG179" s="107">
        <f t="shared" si="72"/>
        <v>1.56418895977588E-2</v>
      </c>
      <c r="AH179" s="119">
        <f t="shared" si="79"/>
        <v>3.4945056909864311E-2</v>
      </c>
      <c r="AI179" s="122">
        <f t="shared" si="73"/>
        <v>3.4945056909864311E-2</v>
      </c>
      <c r="AJ179" s="87" t="b">
        <f t="shared" si="80"/>
        <v>1</v>
      </c>
      <c r="AK179" s="88">
        <f t="shared" si="83"/>
        <v>2.4531204868073753E-3</v>
      </c>
      <c r="AL179" s="312">
        <f>+AC179/'MWh by month-WgtbyCDH&amp;DayLtHrs'!AC179-1</f>
        <v>9.9188945720966704E-2</v>
      </c>
      <c r="AM179" s="89">
        <f t="shared" si="74"/>
        <v>383678.98084687348</v>
      </c>
      <c r="AN179" s="93"/>
      <c r="AO179" s="96">
        <f t="shared" si="87"/>
        <v>75.800643076437098</v>
      </c>
      <c r="AP179" s="92">
        <f t="shared" si="86"/>
        <v>7.3119591392061508E-3</v>
      </c>
      <c r="AR179" s="94">
        <f t="shared" si="75"/>
        <v>3.4945056909864311E-2</v>
      </c>
      <c r="AS179" s="95">
        <v>1557805.0600731373</v>
      </c>
      <c r="AU179" s="141">
        <v>362.26375663226008</v>
      </c>
    </row>
    <row r="180" spans="1:47">
      <c r="A180" s="78">
        <v>2019</v>
      </c>
      <c r="B180" s="78">
        <v>8</v>
      </c>
      <c r="C180" s="317">
        <f t="shared" si="81"/>
        <v>326.45437890907908</v>
      </c>
      <c r="D180" s="324">
        <f t="shared" si="89"/>
        <v>0.16603274573816959</v>
      </c>
      <c r="E180" s="321">
        <f>$D180*'MWh Impact Summary'!B$25</f>
        <v>473837.31918770709</v>
      </c>
      <c r="F180" s="319">
        <f>$D180*'MWh Impact Summary'!N$25</f>
        <v>55366.461512426271</v>
      </c>
      <c r="G180" s="319">
        <f>$D180*'MWh Impact Summary'!C$25</f>
        <v>357710.32699729846</v>
      </c>
      <c r="H180" s="319">
        <f>$D180*'MWh Impact Summary'!D$25</f>
        <v>1377.0896567845973</v>
      </c>
      <c r="I180" s="319">
        <f>$D180*'MWh Impact Summary'!E$25</f>
        <v>137595.01949489946</v>
      </c>
      <c r="J180" s="104">
        <f t="shared" si="76"/>
        <v>1025886.2168491159</v>
      </c>
      <c r="K180" s="298">
        <f t="shared" si="82"/>
        <v>10.933333333333334</v>
      </c>
      <c r="L180" s="300">
        <f t="shared" si="90"/>
        <v>7.6968203684148764E-2</v>
      </c>
      <c r="M180" s="297">
        <f t="shared" si="88"/>
        <v>8.4931506849315067E-2</v>
      </c>
      <c r="N180" s="304">
        <f>$M180*'MWh Impact Summary'!F$25</f>
        <v>124811.28459773332</v>
      </c>
      <c r="O180" s="304">
        <f>$M180*'MWh Impact Summary'!G$25</f>
        <v>8441.7535575178408</v>
      </c>
      <c r="P180" s="304">
        <f>$M180*'MWh Impact Summary'!H$25</f>
        <v>8478.4823916279402</v>
      </c>
      <c r="Q180" s="304">
        <f>$M180*'MWh Impact Summary'!I$25</f>
        <v>1414.2366962017231</v>
      </c>
      <c r="R180" s="304">
        <f>$M180*'MWh Impact Summary'!J$25</f>
        <v>39021.332976499914</v>
      </c>
      <c r="S180" s="304">
        <f>$M180*'MWh Impact Summary'!K$25</f>
        <v>17312.223108981307</v>
      </c>
      <c r="T180" s="304">
        <f>$M180*'MWh Impact Summary'!L$25</f>
        <v>6126.1590904431287</v>
      </c>
      <c r="U180" s="304">
        <f>$M180*'MWh Impact Summary'!M$25</f>
        <v>19857.320630166058</v>
      </c>
      <c r="V180" s="304">
        <f>$M180*'LED Impact Forecast'!$H$26+$D180*'LED Impact Forecast'!$J$26</f>
        <v>70014.936051688841</v>
      </c>
      <c r="W180" s="304">
        <f>$M180*'CFL Impact Forecast'!$H$26+$D180*'CFL Impact Forecast'!$J$26</f>
        <v>384899.28277056658</v>
      </c>
      <c r="X180" s="304">
        <f>$M180*'EISA Incand Impact Forecast'!$G$26+$D180*'EISA Incand Impact Forecast'!$I$26</f>
        <v>142292.9176229873</v>
      </c>
      <c r="Y180" s="85">
        <f t="shared" si="68"/>
        <v>822669.9294944139</v>
      </c>
      <c r="Z180" s="81">
        <f t="shared" si="69"/>
        <v>1848556.1463435297</v>
      </c>
      <c r="AA180" s="81"/>
      <c r="AB180" s="262">
        <f>+'MWh by mo-WgtbyActulCDH&amp;Days'!AB180</f>
        <v>5067694.0549152512</v>
      </c>
      <c r="AC180" s="308">
        <f t="shared" si="77"/>
        <v>364.77264142466936</v>
      </c>
      <c r="AD180" s="309">
        <f t="shared" si="70"/>
        <v>202.43649394226745</v>
      </c>
      <c r="AE180" s="107">
        <f t="shared" si="71"/>
        <v>1.8515532982524462E-2</v>
      </c>
      <c r="AF180" s="309">
        <f t="shared" si="78"/>
        <v>162.33614748240197</v>
      </c>
      <c r="AG180" s="107">
        <f t="shared" si="72"/>
        <v>1.4847818367292863E-2</v>
      </c>
      <c r="AH180" s="119">
        <f t="shared" si="79"/>
        <v>3.3363351349817327E-2</v>
      </c>
      <c r="AI180" s="122">
        <f t="shared" si="73"/>
        <v>3.336335134981732E-2</v>
      </c>
      <c r="AJ180" s="87" t="b">
        <f t="shared" si="80"/>
        <v>1</v>
      </c>
      <c r="AK180" s="88">
        <f t="shared" si="83"/>
        <v>2.3448061066413915E-3</v>
      </c>
      <c r="AL180" s="312">
        <f>+AC180/'MWh by month-WgtbyCDH&amp;DayLtHrs'!AC180-1</f>
        <v>7.9721065362400756E-2</v>
      </c>
      <c r="AM180" s="89">
        <f t="shared" si="74"/>
        <v>384899.28277056658</v>
      </c>
      <c r="AN180" s="93"/>
      <c r="AO180" s="96">
        <f t="shared" si="87"/>
        <v>75.951562702812652</v>
      </c>
      <c r="AP180" s="92">
        <f t="shared" si="86"/>
        <v>6.9467892715987176E-3</v>
      </c>
      <c r="AR180" s="94">
        <f t="shared" si="75"/>
        <v>3.336335134981732E-2</v>
      </c>
      <c r="AS180" s="95">
        <v>1619595.3729790451</v>
      </c>
      <c r="AU180" s="141">
        <v>364.77264142466936</v>
      </c>
    </row>
    <row r="181" spans="1:47">
      <c r="A181" s="78">
        <v>2019</v>
      </c>
      <c r="B181" s="78">
        <v>9</v>
      </c>
      <c r="C181" s="317">
        <f t="shared" si="81"/>
        <v>277.87653293728147</v>
      </c>
      <c r="D181" s="324">
        <f t="shared" si="89"/>
        <v>0.14132634365008559</v>
      </c>
      <c r="E181" s="321">
        <f>$D181*'MWh Impact Summary'!B$25</f>
        <v>403328.2441245704</v>
      </c>
      <c r="F181" s="319">
        <f>$D181*'MWh Impact Summary'!N$25</f>
        <v>47127.688767695588</v>
      </c>
      <c r="G181" s="319">
        <f>$D181*'MWh Impact Summary'!C$25</f>
        <v>304481.45861616475</v>
      </c>
      <c r="H181" s="319">
        <f>$D181*'MWh Impact Summary'!D$25</f>
        <v>1172.172665135761</v>
      </c>
      <c r="I181" s="319">
        <f>$D181*'MWh Impact Summary'!E$25</f>
        <v>117120.27602279154</v>
      </c>
      <c r="J181" s="104">
        <f t="shared" si="76"/>
        <v>873229.84019635804</v>
      </c>
      <c r="K181" s="298">
        <f t="shared" si="82"/>
        <v>11.683333333333334</v>
      </c>
      <c r="L181" s="300">
        <f t="shared" si="90"/>
        <v>8.2248034729555317E-2</v>
      </c>
      <c r="M181" s="297">
        <f>(30/365)</f>
        <v>8.2191780821917804E-2</v>
      </c>
      <c r="N181" s="304">
        <f>$M181*'MWh Impact Summary'!F$25</f>
        <v>120785.11412683869</v>
      </c>
      <c r="O181" s="304">
        <f>$M181*'MWh Impact Summary'!G$25</f>
        <v>8169.4389266301687</v>
      </c>
      <c r="P181" s="304">
        <f>$M181*'MWh Impact Summary'!H$25</f>
        <v>8204.9829596399431</v>
      </c>
      <c r="Q181" s="304">
        <f>$M181*'MWh Impact Summary'!I$25</f>
        <v>1368.6161576145707</v>
      </c>
      <c r="R181" s="304">
        <f>$M181*'MWh Impact Summary'!J$25</f>
        <v>37762.580299838621</v>
      </c>
      <c r="S181" s="304">
        <f>$M181*'MWh Impact Summary'!K$25</f>
        <v>16753.764299014165</v>
      </c>
      <c r="T181" s="304">
        <f>$M181*'MWh Impact Summary'!L$25</f>
        <v>5928.5410552675439</v>
      </c>
      <c r="U181" s="304">
        <f>$M181*'MWh Impact Summary'!M$25</f>
        <v>19216.761900160702</v>
      </c>
      <c r="V181" s="304">
        <f>$M181*'LED Impact Forecast'!$H$26+$D181*'LED Impact Forecast'!$J$26</f>
        <v>65943.148176217015</v>
      </c>
      <c r="W181" s="304">
        <f>$M181*'CFL Impact Forecast'!$H$26+$D181*'CFL Impact Forecast'!$J$26</f>
        <v>361255.48452069081</v>
      </c>
      <c r="X181" s="304">
        <f>$M181*'EISA Incand Impact Forecast'!$G$26+$D181*'EISA Incand Impact Forecast'!$I$26</f>
        <v>133297.65702041614</v>
      </c>
      <c r="Y181" s="85">
        <f t="shared" si="68"/>
        <v>778686.08944232832</v>
      </c>
      <c r="Z181" s="81">
        <f t="shared" si="69"/>
        <v>1651915.9296386864</v>
      </c>
      <c r="AA181" s="81"/>
      <c r="AB181" s="262">
        <f>+'MWh by mo-WgtbyActulCDH&amp;Days'!AB181</f>
        <v>5072789.4203578094</v>
      </c>
      <c r="AC181" s="308">
        <f t="shared" si="77"/>
        <v>325.64251987463109</v>
      </c>
      <c r="AD181" s="309">
        <f t="shared" si="70"/>
        <v>172.13997425005763</v>
      </c>
      <c r="AE181" s="107">
        <f t="shared" si="71"/>
        <v>1.4733806640518484E-2</v>
      </c>
      <c r="AF181" s="309">
        <f t="shared" si="78"/>
        <v>153.50254562457349</v>
      </c>
      <c r="AG181" s="107">
        <f t="shared" si="72"/>
        <v>1.3138591636910713E-2</v>
      </c>
      <c r="AH181" s="119">
        <f t="shared" si="79"/>
        <v>2.7872398277429197E-2</v>
      </c>
      <c r="AI181" s="122">
        <f t="shared" si="73"/>
        <v>2.7872398277429194E-2</v>
      </c>
      <c r="AJ181" s="87" t="b">
        <f t="shared" si="80"/>
        <v>1</v>
      </c>
      <c r="AK181" s="88">
        <f t="shared" si="83"/>
        <v>1.9583103703390559E-3</v>
      </c>
      <c r="AL181" s="312">
        <f>+AC181/'MWh by month-WgtbyCDH&amp;DayLtHrs'!AC181-1</f>
        <v>3.2269428152786883E-2</v>
      </c>
      <c r="AM181" s="89">
        <f t="shared" si="74"/>
        <v>361255.48452069081</v>
      </c>
      <c r="AN181" s="93"/>
      <c r="AO181" s="96">
        <f t="shared" si="87"/>
        <v>71.214366413658396</v>
      </c>
      <c r="AP181" s="92">
        <f t="shared" si="86"/>
        <v>6.0953808627952979E-3</v>
      </c>
      <c r="AR181" s="94">
        <f t="shared" si="75"/>
        <v>2.7872398277429194E-2</v>
      </c>
      <c r="AS181" s="95">
        <v>1529578.6557736564</v>
      </c>
      <c r="AU181" s="141">
        <v>325.64251987463109</v>
      </c>
    </row>
    <row r="182" spans="1:47">
      <c r="A182" s="78">
        <v>2019</v>
      </c>
      <c r="B182" s="78">
        <v>10</v>
      </c>
      <c r="C182" s="317">
        <f t="shared" si="81"/>
        <v>198.89039579254836</v>
      </c>
      <c r="D182" s="324">
        <f t="shared" si="89"/>
        <v>0.10115446643644242</v>
      </c>
      <c r="E182" s="321">
        <f>$D182*'MWh Impact Summary'!B$25</f>
        <v>288682.57877089287</v>
      </c>
      <c r="F182" s="319">
        <f>$D182*'MWh Impact Summary'!N$25</f>
        <v>33731.688576633467</v>
      </c>
      <c r="G182" s="319">
        <f>$D182*'MWh Impact Summary'!C$25</f>
        <v>217932.89694358563</v>
      </c>
      <c r="H182" s="319">
        <f>$D182*'MWh Impact Summary'!D$25</f>
        <v>838.98371280844208</v>
      </c>
      <c r="I182" s="319">
        <f>$D182*'MWh Impact Summary'!E$25</f>
        <v>83828.950243751417</v>
      </c>
      <c r="J182" s="104">
        <f t="shared" si="76"/>
        <v>625015.09824767185</v>
      </c>
      <c r="K182" s="298">
        <f t="shared" si="82"/>
        <v>12.466666666666667</v>
      </c>
      <c r="L182" s="300">
        <f t="shared" si="90"/>
        <v>8.7762524932535488E-2</v>
      </c>
      <c r="M182" s="297">
        <f t="shared" si="88"/>
        <v>8.4931506849315067E-2</v>
      </c>
      <c r="N182" s="304">
        <f>$M182*'MWh Impact Summary'!F$25</f>
        <v>124811.28459773332</v>
      </c>
      <c r="O182" s="304">
        <f>$M182*'MWh Impact Summary'!G$25</f>
        <v>8441.7535575178408</v>
      </c>
      <c r="P182" s="304">
        <f>$M182*'MWh Impact Summary'!H$25</f>
        <v>8478.4823916279402</v>
      </c>
      <c r="Q182" s="304">
        <f>$M182*'MWh Impact Summary'!I$25</f>
        <v>1414.2366962017231</v>
      </c>
      <c r="R182" s="304">
        <f>$M182*'MWh Impact Summary'!J$25</f>
        <v>39021.332976499914</v>
      </c>
      <c r="S182" s="304">
        <f>$M182*'MWh Impact Summary'!K$25</f>
        <v>17312.223108981307</v>
      </c>
      <c r="T182" s="304">
        <f>$M182*'MWh Impact Summary'!L$25</f>
        <v>6126.1590904431287</v>
      </c>
      <c r="U182" s="304">
        <f>$M182*'MWh Impact Summary'!M$25</f>
        <v>19857.320630166058</v>
      </c>
      <c r="V182" s="304">
        <f>$M182*'LED Impact Forecast'!$H$26+$D182*'LED Impact Forecast'!$J$26</f>
        <v>63935.509222662746</v>
      </c>
      <c r="W182" s="304">
        <f>$M182*'CFL Impact Forecast'!$H$26+$D182*'CFL Impact Forecast'!$J$26</f>
        <v>347255.13432316307</v>
      </c>
      <c r="X182" s="304">
        <f>$M182*'EISA Incand Impact Forecast'!$G$26+$D182*'EISA Incand Impact Forecast'!$I$26</f>
        <v>127523.29837318587</v>
      </c>
      <c r="Y182" s="85">
        <f t="shared" si="68"/>
        <v>764176.73496818298</v>
      </c>
      <c r="Z182" s="81">
        <f t="shared" si="69"/>
        <v>1389191.8332158548</v>
      </c>
      <c r="AA182" s="81"/>
      <c r="AB182" s="262">
        <f>+'MWh by mo-WgtbyActulCDH&amp;Days'!AB182</f>
        <v>5078184.2010707669</v>
      </c>
      <c r="AC182" s="308">
        <f t="shared" si="77"/>
        <v>273.56074104656051</v>
      </c>
      <c r="AD182" s="309">
        <f t="shared" si="70"/>
        <v>123.07846141459058</v>
      </c>
      <c r="AE182" s="107">
        <f t="shared" si="71"/>
        <v>9.8726038567853412E-3</v>
      </c>
      <c r="AF182" s="309">
        <f t="shared" si="78"/>
        <v>150.48227963196993</v>
      </c>
      <c r="AG182" s="107">
        <f t="shared" si="72"/>
        <v>1.2070771093473525E-2</v>
      </c>
      <c r="AH182" s="119">
        <f t="shared" si="79"/>
        <v>2.1943374950258866E-2</v>
      </c>
      <c r="AI182" s="122">
        <f t="shared" si="73"/>
        <v>2.1943374950258863E-2</v>
      </c>
      <c r="AJ182" s="87" t="b">
        <f t="shared" si="80"/>
        <v>1</v>
      </c>
      <c r="AK182" s="88">
        <f t="shared" si="83"/>
        <v>1.5410429394520017E-3</v>
      </c>
      <c r="AL182" s="312">
        <f>+AC182/'MWh by month-WgtbyCDH&amp;DayLtHrs'!AC182-1</f>
        <v>-3.9789602487109166E-3</v>
      </c>
      <c r="AM182" s="89">
        <f t="shared" si="74"/>
        <v>347255.13432316307</v>
      </c>
      <c r="AN182" s="93"/>
      <c r="AO182" s="96">
        <f t="shared" si="87"/>
        <v>68.381752329886368</v>
      </c>
      <c r="AP182" s="92">
        <f t="shared" si="86"/>
        <v>5.4851672991887467E-3</v>
      </c>
      <c r="AR182" s="94">
        <f t="shared" si="75"/>
        <v>2.1943374950258863E-2</v>
      </c>
      <c r="AS182" s="95">
        <v>1231148.637096449</v>
      </c>
      <c r="AU182" s="141">
        <v>273.56074104656051</v>
      </c>
    </row>
    <row r="183" spans="1:47">
      <c r="A183" s="78">
        <v>2019</v>
      </c>
      <c r="B183" s="78">
        <v>11</v>
      </c>
      <c r="C183" s="317">
        <f t="shared" si="81"/>
        <v>78.117279066674627</v>
      </c>
      <c r="D183" s="324">
        <f t="shared" si="89"/>
        <v>3.9729981188725644E-2</v>
      </c>
      <c r="E183" s="321">
        <f>$D183*'MWh Impact Summary'!B$25</f>
        <v>113384.54769356952</v>
      </c>
      <c r="F183" s="319">
        <f>$D183*'MWh Impact Summary'!N$25</f>
        <v>13248.642396385443</v>
      </c>
      <c r="G183" s="319">
        <f>$D183*'MWh Impact Summary'!C$25</f>
        <v>85596.515912754563</v>
      </c>
      <c r="H183" s="319">
        <f>$D183*'MWh Impact Summary'!D$25</f>
        <v>329.52382926630668</v>
      </c>
      <c r="I183" s="319">
        <f>$D183*'MWh Impact Summary'!E$25</f>
        <v>32925.116740618694</v>
      </c>
      <c r="J183" s="104">
        <f t="shared" si="76"/>
        <v>245484.34657259451</v>
      </c>
      <c r="K183" s="298">
        <f t="shared" si="82"/>
        <v>13.15</v>
      </c>
      <c r="L183" s="300">
        <f t="shared" si="90"/>
        <v>9.2573037662794788E-2</v>
      </c>
      <c r="M183" s="297">
        <f>(30/365)</f>
        <v>8.2191780821917804E-2</v>
      </c>
      <c r="N183" s="304">
        <f>$M183*'MWh Impact Summary'!F$25</f>
        <v>120785.11412683869</v>
      </c>
      <c r="O183" s="304">
        <f>$M183*'MWh Impact Summary'!G$25</f>
        <v>8169.4389266301687</v>
      </c>
      <c r="P183" s="304">
        <f>$M183*'MWh Impact Summary'!H$25</f>
        <v>8204.9829596399431</v>
      </c>
      <c r="Q183" s="304">
        <f>$M183*'MWh Impact Summary'!I$25</f>
        <v>1368.6161576145707</v>
      </c>
      <c r="R183" s="304">
        <f>$M183*'MWh Impact Summary'!J$25</f>
        <v>37762.580299838621</v>
      </c>
      <c r="S183" s="304">
        <f>$M183*'MWh Impact Summary'!K$25</f>
        <v>16753.764299014165</v>
      </c>
      <c r="T183" s="304">
        <f>$M183*'MWh Impact Summary'!L$25</f>
        <v>5928.5410552675439</v>
      </c>
      <c r="U183" s="304">
        <f>$M183*'MWh Impact Summary'!M$25</f>
        <v>19216.761900160702</v>
      </c>
      <c r="V183" s="304">
        <f>$M183*'LED Impact Forecast'!$H$26+$D183*'LED Impact Forecast'!$J$26</f>
        <v>56423.049025520078</v>
      </c>
      <c r="W183" s="304">
        <f>$M183*'CFL Impact Forecast'!$H$26+$D183*'CFL Impact Forecast'!$J$26</f>
        <v>302306.50203573401</v>
      </c>
      <c r="X183" s="304">
        <f>$M183*'EISA Incand Impact Forecast'!$G$26+$D183*'EISA Incand Impact Forecast'!$I$26</f>
        <v>110169.12144781566</v>
      </c>
      <c r="Y183" s="85">
        <f t="shared" si="68"/>
        <v>687088.47223407414</v>
      </c>
      <c r="Z183" s="81">
        <f t="shared" si="69"/>
        <v>932572.81880666863</v>
      </c>
      <c r="AA183" s="81"/>
      <c r="AB183" s="262">
        <f>+'MWh by mo-WgtbyActulCDH&amp;Days'!AB183</f>
        <v>5083645.8651113315</v>
      </c>
      <c r="AC183" s="308">
        <f t="shared" si="77"/>
        <v>183.44566941746351</v>
      </c>
      <c r="AD183" s="309">
        <f t="shared" si="70"/>
        <v>48.289033714432122</v>
      </c>
      <c r="AE183" s="107">
        <f t="shared" si="71"/>
        <v>3.6721698642153706E-3</v>
      </c>
      <c r="AF183" s="309">
        <f t="shared" si="78"/>
        <v>135.15663570303138</v>
      </c>
      <c r="AG183" s="107">
        <f t="shared" si="72"/>
        <v>1.027807115612406E-2</v>
      </c>
      <c r="AH183" s="119">
        <f t="shared" si="79"/>
        <v>1.395024102033943E-2</v>
      </c>
      <c r="AI183" s="122">
        <f t="shared" si="73"/>
        <v>1.395024102033943E-2</v>
      </c>
      <c r="AJ183" s="87" t="b">
        <f t="shared" si="80"/>
        <v>1</v>
      </c>
      <c r="AK183" s="88">
        <f t="shared" si="83"/>
        <v>9.7826648641442804E-4</v>
      </c>
      <c r="AL183" s="312">
        <f>+AC183/'MWh by month-WgtbyCDH&amp;DayLtHrs'!AC183-1</f>
        <v>-0.1138965841316012</v>
      </c>
      <c r="AM183" s="89">
        <f t="shared" si="74"/>
        <v>302306.50203573401</v>
      </c>
      <c r="AN183" s="93"/>
      <c r="AO183" s="96">
        <f t="shared" si="87"/>
        <v>59.466475450314142</v>
      </c>
      <c r="AP183" s="92">
        <f t="shared" si="86"/>
        <v>4.5221654334839656E-3</v>
      </c>
      <c r="AR183" s="94">
        <f t="shared" si="75"/>
        <v>1.395024102033943E-2</v>
      </c>
      <c r="AS183" s="95">
        <v>948328.38809993269</v>
      </c>
      <c r="AU183" s="141">
        <v>183.44566941746351</v>
      </c>
    </row>
    <row r="184" spans="1:47">
      <c r="A184" s="78">
        <v>2019</v>
      </c>
      <c r="B184" s="78">
        <v>12</v>
      </c>
      <c r="C184" s="317">
        <f t="shared" si="81"/>
        <v>42.633806123140985</v>
      </c>
      <c r="D184" s="324">
        <f t="shared" si="89"/>
        <v>2.1683298951445065E-2</v>
      </c>
      <c r="E184" s="321">
        <f>$D184*'MWh Impact Summary'!B$25</f>
        <v>61881.505365819889</v>
      </c>
      <c r="F184" s="319">
        <f>$D184*'MWh Impact Summary'!N$25</f>
        <v>7230.6672489222383</v>
      </c>
      <c r="G184" s="319">
        <f>$D184*'MWh Impact Summary'!C$25</f>
        <v>46715.724201376455</v>
      </c>
      <c r="H184" s="319">
        <f>$D184*'MWh Impact Summary'!D$25</f>
        <v>179.84311816472459</v>
      </c>
      <c r="I184" s="319">
        <f>$D184*'MWh Impact Summary'!E$25</f>
        <v>17969.430841327892</v>
      </c>
      <c r="J184" s="104">
        <f t="shared" si="76"/>
        <v>133977.17077561119</v>
      </c>
      <c r="K184" s="298">
        <f t="shared" si="82"/>
        <v>13.483333333333333</v>
      </c>
      <c r="L184" s="300">
        <f t="shared" si="90"/>
        <v>9.491962923853102E-2</v>
      </c>
      <c r="M184" s="297">
        <f t="shared" si="88"/>
        <v>8.4931506849315067E-2</v>
      </c>
      <c r="N184" s="304">
        <f>$M184*'MWh Impact Summary'!F$25</f>
        <v>124811.28459773332</v>
      </c>
      <c r="O184" s="304">
        <f>$M184*'MWh Impact Summary'!G$25</f>
        <v>8441.7535575178408</v>
      </c>
      <c r="P184" s="304">
        <f>$M184*'MWh Impact Summary'!H$25</f>
        <v>8478.4823916279402</v>
      </c>
      <c r="Q184" s="304">
        <f>$M184*'MWh Impact Summary'!I$25</f>
        <v>1414.2366962017231</v>
      </c>
      <c r="R184" s="304">
        <f>$M184*'MWh Impact Summary'!J$25</f>
        <v>39021.332976499914</v>
      </c>
      <c r="S184" s="304">
        <f>$M184*'MWh Impact Summary'!K$25</f>
        <v>17312.223108981307</v>
      </c>
      <c r="T184" s="304">
        <f>$M184*'MWh Impact Summary'!L$25</f>
        <v>6126.1590904431287</v>
      </c>
      <c r="U184" s="304">
        <f>$M184*'MWh Impact Summary'!M$25</f>
        <v>19857.320630166058</v>
      </c>
      <c r="V184" s="304">
        <f>$M184*'LED Impact Forecast'!$H$26+$D184*'LED Impact Forecast'!$J$26</f>
        <v>56488.654081893656</v>
      </c>
      <c r="W184" s="304">
        <f>$M184*'CFL Impact Forecast'!$H$26+$D184*'CFL Impact Forecast'!$J$26</f>
        <v>301143.79385155981</v>
      </c>
      <c r="X184" s="304">
        <f>$M184*'EISA Incand Impact Forecast'!$G$26+$D184*'EISA Incand Impact Forecast'!$I$26</f>
        <v>109431.59036669187</v>
      </c>
      <c r="Y184" s="85">
        <f t="shared" si="68"/>
        <v>692526.83134931652</v>
      </c>
      <c r="Z184" s="81">
        <f t="shared" si="69"/>
        <v>826504.00212492771</v>
      </c>
      <c r="AA184" s="81">
        <f>SUM(Z173:Z184)</f>
        <v>15004169.846163055</v>
      </c>
      <c r="AB184" s="262">
        <f>+'MWh by mo-WgtbyActulCDH&amp;Days'!AB184</f>
        <v>5089162.3387235999</v>
      </c>
      <c r="AC184" s="308">
        <f t="shared" si="77"/>
        <v>162.40472343278032</v>
      </c>
      <c r="AD184" s="309">
        <f t="shared" si="70"/>
        <v>26.325977019081233</v>
      </c>
      <c r="AE184" s="107">
        <f t="shared" si="71"/>
        <v>1.9524828444312413E-3</v>
      </c>
      <c r="AF184" s="309">
        <f t="shared" si="78"/>
        <v>136.07874641369906</v>
      </c>
      <c r="AG184" s="107">
        <f t="shared" si="72"/>
        <v>1.009236685392082E-2</v>
      </c>
      <c r="AH184" s="119">
        <f t="shared" si="79"/>
        <v>1.204484969835206E-2</v>
      </c>
      <c r="AI184" s="122">
        <f t="shared" si="73"/>
        <v>1.2044849698352064E-2</v>
      </c>
      <c r="AJ184" s="87" t="b">
        <f t="shared" si="80"/>
        <v>1</v>
      </c>
      <c r="AK184" s="88">
        <f t="shared" si="83"/>
        <v>8.442000020370162E-4</v>
      </c>
      <c r="AL184" s="312">
        <f>+AC184/'MWh by month-WgtbyCDH&amp;DayLtHrs'!AC184-1</f>
        <v>-0.13824779036409773</v>
      </c>
      <c r="AM184" s="89">
        <f t="shared" si="74"/>
        <v>301143.79385155981</v>
      </c>
      <c r="AN184" s="90">
        <f>SUM(AM173:AM184)</f>
        <v>3977818.631882431</v>
      </c>
      <c r="AO184" s="96">
        <f t="shared" si="87"/>
        <v>59.173548377529052</v>
      </c>
      <c r="AP184" s="92">
        <f t="shared" si="86"/>
        <v>4.388643884612786E-3</v>
      </c>
      <c r="AR184" s="94">
        <f t="shared" si="75"/>
        <v>1.2044849698352064E-2</v>
      </c>
      <c r="AS184" s="95">
        <v>781088.61044894578</v>
      </c>
      <c r="AU184" s="141">
        <v>162.40472343278032</v>
      </c>
    </row>
    <row r="185" spans="1:47">
      <c r="A185" s="78">
        <v>2020</v>
      </c>
      <c r="B185" s="78">
        <v>1</v>
      </c>
      <c r="C185" s="317">
        <f t="shared" si="81"/>
        <v>26.112829868525239</v>
      </c>
      <c r="D185" s="324">
        <f t="shared" si="89"/>
        <v>1.3280829182176284E-2</v>
      </c>
      <c r="E185" s="321">
        <f>$D185*'MWh Impact Summary'!B$26</f>
        <v>41343.430840338558</v>
      </c>
      <c r="F185" s="319">
        <f>$D185*'MWh Impact Summary'!N$26</f>
        <v>5030.4660222114398</v>
      </c>
      <c r="G185" s="319">
        <f>$D185*'MWh Impact Summary'!C$26</f>
        <v>30041.525371417025</v>
      </c>
      <c r="H185" s="319">
        <f>$D185*'MWh Impact Summary'!D$26</f>
        <v>121.30390475057224</v>
      </c>
      <c r="I185" s="319">
        <f>$D185*'MWh Impact Summary'!E$26</f>
        <v>11152.592178293675</v>
      </c>
      <c r="J185" s="104">
        <f t="shared" si="76"/>
        <v>87689.318317011275</v>
      </c>
      <c r="K185" s="298">
        <f t="shared" si="82"/>
        <v>13.3</v>
      </c>
      <c r="L185" s="300">
        <f t="shared" si="90"/>
        <v>9.3629003871876101E-2</v>
      </c>
      <c r="M185" s="297">
        <f>(31/366)</f>
        <v>8.4699453551912565E-2</v>
      </c>
      <c r="N185" s="304">
        <f>$M185*'MWh Impact Summary'!F$26</f>
        <v>135198.70467387207</v>
      </c>
      <c r="O185" s="304">
        <f>$M185*'MWh Impact Summary'!G$26</f>
        <v>11832.778480380553</v>
      </c>
      <c r="P185" s="304">
        <f>$M185*'MWh Impact Summary'!H$26</f>
        <v>8983.346128978561</v>
      </c>
      <c r="Q185" s="304">
        <f>$M185*'MWh Impact Summary'!I$26</f>
        <v>1502.7175759444042</v>
      </c>
      <c r="R185" s="304">
        <f>$M185*'MWh Impact Summary'!J$26</f>
        <v>43191.327555275435</v>
      </c>
      <c r="S185" s="304">
        <f>$M185*'MWh Impact Summary'!K$26</f>
        <v>21220.974320283272</v>
      </c>
      <c r="T185" s="304">
        <f>$M185*'MWh Impact Summary'!L$26</f>
        <v>7373.9351174237272</v>
      </c>
      <c r="U185" s="304">
        <f>$M185*'MWh Impact Summary'!M$26</f>
        <v>23506.805879038871</v>
      </c>
      <c r="V185" s="304">
        <f>$M185*'LED Impact Forecast'!$H$27+$D185*'LED Impact Forecast'!$J$27</f>
        <v>77841.115061279881</v>
      </c>
      <c r="W185" s="304">
        <f>$M185*'CFL Impact Forecast'!$H$27+$D185*'CFL Impact Forecast'!$J$27</f>
        <v>301941.78993559978</v>
      </c>
      <c r="X185" s="304">
        <f>$M185*'EISA Incand Impact Forecast'!$G$27+$D185*'EISA Incand Impact Forecast'!$I$27</f>
        <v>107830.92457779404</v>
      </c>
      <c r="Y185" s="85">
        <f t="shared" si="68"/>
        <v>740424.41930587054</v>
      </c>
      <c r="Z185" s="81">
        <f t="shared" si="69"/>
        <v>828113.73762288177</v>
      </c>
      <c r="AA185" s="81"/>
      <c r="AB185" s="262">
        <f>+'MWh by mo-WgtbyActulCDH&amp;Days'!AB185</f>
        <v>5094859.9289051732</v>
      </c>
      <c r="AC185" s="308">
        <f t="shared" si="77"/>
        <v>162.53905881193359</v>
      </c>
      <c r="AD185" s="309">
        <f t="shared" si="70"/>
        <v>17.211330545029274</v>
      </c>
      <c r="AE185" s="107">
        <f t="shared" si="71"/>
        <v>1.2940850033856597E-3</v>
      </c>
      <c r="AF185" s="309">
        <f t="shared" si="78"/>
        <v>145.32772826690433</v>
      </c>
      <c r="AG185" s="107">
        <f t="shared" si="72"/>
        <v>1.0926896862173257E-2</v>
      </c>
      <c r="AH185" s="119">
        <f t="shared" si="79"/>
        <v>1.2220981865558917E-2</v>
      </c>
      <c r="AI185" s="122">
        <f t="shared" si="73"/>
        <v>1.2220981865558915E-2</v>
      </c>
      <c r="AJ185" s="87" t="b">
        <f t="shared" si="80"/>
        <v>1</v>
      </c>
      <c r="AK185" s="88">
        <f t="shared" si="83"/>
        <v>7.5199714077217594E-4</v>
      </c>
      <c r="AL185" s="312">
        <f>+AC185/'MWh by month-WgtbyCDH&amp;DayLtHrs'!AC185-1</f>
        <v>-0.14548429697355836</v>
      </c>
      <c r="AM185" s="89">
        <f t="shared" si="74"/>
        <v>301941.78993559978</v>
      </c>
      <c r="AN185" s="93"/>
      <c r="AO185" s="96">
        <f t="shared" si="87"/>
        <v>59.26400218042572</v>
      </c>
      <c r="AP185" s="92">
        <f t="shared" si="86"/>
        <v>4.4559400135658431E-3</v>
      </c>
      <c r="AR185" s="94">
        <f t="shared" si="75"/>
        <v>1.2220981865558915E-2</v>
      </c>
      <c r="AS185" s="95">
        <v>791250.87450248061</v>
      </c>
      <c r="AU185" s="141">
        <v>162.53905881193359</v>
      </c>
    </row>
    <row r="186" spans="1:47">
      <c r="A186" s="78">
        <v>2020</v>
      </c>
      <c r="B186" s="78">
        <v>2</v>
      </c>
      <c r="C186" s="317">
        <f t="shared" si="81"/>
        <v>35.042184420393127</v>
      </c>
      <c r="D186" s="324">
        <f t="shared" si="89"/>
        <v>1.7822245532205266E-2</v>
      </c>
      <c r="E186" s="321">
        <f>$D186*'MWh Impact Summary'!B$26</f>
        <v>55480.93160998846</v>
      </c>
      <c r="F186" s="319">
        <f>$D186*'MWh Impact Summary'!N$26</f>
        <v>6750.6478217180793</v>
      </c>
      <c r="G186" s="319">
        <f>$D186*'MWh Impact Summary'!C$26</f>
        <v>40314.308239873986</v>
      </c>
      <c r="H186" s="319">
        <f>$D186*'MWh Impact Summary'!D$26</f>
        <v>162.78411120454416</v>
      </c>
      <c r="I186" s="319">
        <f>$D186*'MWh Impact Summary'!E$26</f>
        <v>14966.25198589679</v>
      </c>
      <c r="J186" s="104">
        <f t="shared" si="76"/>
        <v>117674.92376868185</v>
      </c>
      <c r="K186" s="298">
        <f t="shared" si="82"/>
        <v>12.733333333333333</v>
      </c>
      <c r="L186" s="300">
        <f t="shared" si="90"/>
        <v>8.9639798193124468E-2</v>
      </c>
      <c r="M186" s="297">
        <f>(29/366)</f>
        <v>7.9234972677595633E-2</v>
      </c>
      <c r="N186" s="304">
        <f>$M186*'MWh Impact Summary'!F$26</f>
        <v>126476.20759813841</v>
      </c>
      <c r="O186" s="304">
        <f>$M186*'MWh Impact Summary'!G$26</f>
        <v>11069.373417130197</v>
      </c>
      <c r="P186" s="304">
        <f>$M186*'MWh Impact Summary'!H$26</f>
        <v>8403.7754109799462</v>
      </c>
      <c r="Q186" s="304">
        <f>$M186*'MWh Impact Summary'!I$26</f>
        <v>1405.768054915733</v>
      </c>
      <c r="R186" s="304">
        <f>$M186*'MWh Impact Summary'!J$26</f>
        <v>40404.790293644764</v>
      </c>
      <c r="S186" s="304">
        <f>$M186*'MWh Impact Summary'!K$26</f>
        <v>19851.879202845645</v>
      </c>
      <c r="T186" s="304">
        <f>$M186*'MWh Impact Summary'!L$26</f>
        <v>6898.1973679125194</v>
      </c>
      <c r="U186" s="304">
        <f>$M186*'MWh Impact Summary'!M$26</f>
        <v>21990.237757810559</v>
      </c>
      <c r="V186" s="304">
        <f>$M186*'LED Impact Forecast'!$H$27+$D186*'LED Impact Forecast'!$J$27</f>
        <v>73560.085609250964</v>
      </c>
      <c r="W186" s="304">
        <f>$M186*'CFL Impact Forecast'!$H$27+$D186*'CFL Impact Forecast'!$J$27</f>
        <v>285666.10669973033</v>
      </c>
      <c r="X186" s="304">
        <f>$M186*'EISA Incand Impact Forecast'!$G$27+$D186*'EISA Incand Impact Forecast'!$I$27</f>
        <v>102110.78760615262</v>
      </c>
      <c r="Y186" s="85">
        <f t="shared" si="68"/>
        <v>697837.20901851158</v>
      </c>
      <c r="Z186" s="81">
        <f t="shared" si="69"/>
        <v>815512.1327871934</v>
      </c>
      <c r="AA186" s="81"/>
      <c r="AB186" s="262">
        <f>+'MWh by mo-WgtbyActulCDH&amp;Days'!AB186</f>
        <v>5100381.4721688107</v>
      </c>
      <c r="AC186" s="308">
        <f t="shared" si="77"/>
        <v>159.89238005768559</v>
      </c>
      <c r="AD186" s="309">
        <f t="shared" si="70"/>
        <v>23.071788730077774</v>
      </c>
      <c r="AE186" s="107">
        <f t="shared" si="71"/>
        <v>1.8119205808961605E-3</v>
      </c>
      <c r="AF186" s="309">
        <f t="shared" si="78"/>
        <v>136.82059132760781</v>
      </c>
      <c r="AG186" s="107">
        <f t="shared" si="72"/>
        <v>1.0745072617351401E-2</v>
      </c>
      <c r="AH186" s="119">
        <f t="shared" si="79"/>
        <v>1.2556993198247561E-2</v>
      </c>
      <c r="AI186" s="122">
        <f t="shared" si="73"/>
        <v>1.255699319824756E-2</v>
      </c>
      <c r="AJ186" s="87" t="b">
        <f t="shared" si="80"/>
        <v>1</v>
      </c>
      <c r="AK186" s="88">
        <f t="shared" si="83"/>
        <v>1.105417937020613E-3</v>
      </c>
      <c r="AL186" s="312">
        <f>+AC186/'MWh by month-WgtbyCDH&amp;DayLtHrs'!AC186-1</f>
        <v>-0.15575730363148599</v>
      </c>
      <c r="AM186" s="89">
        <f t="shared" si="74"/>
        <v>285666.10669973033</v>
      </c>
      <c r="AN186" s="93"/>
      <c r="AO186" s="96">
        <f t="shared" si="87"/>
        <v>56.008772727789299</v>
      </c>
      <c r="AP186" s="92">
        <f t="shared" si="86"/>
        <v>4.3985947168420914E-3</v>
      </c>
      <c r="AR186" s="94">
        <f t="shared" si="75"/>
        <v>1.255699319824756E-2</v>
      </c>
      <c r="AS186" s="95">
        <v>757160.94458751928</v>
      </c>
      <c r="AU186" s="141">
        <v>159.89238005768559</v>
      </c>
    </row>
    <row r="187" spans="1:47">
      <c r="A187" s="78">
        <v>2020</v>
      </c>
      <c r="B187" s="78">
        <v>3</v>
      </c>
      <c r="C187" s="317">
        <f t="shared" si="81"/>
        <v>64.582270600115152</v>
      </c>
      <c r="D187" s="324">
        <f t="shared" si="89"/>
        <v>3.2846156787895278E-2</v>
      </c>
      <c r="E187" s="321">
        <f>$D187*'MWh Impact Summary'!B$26</f>
        <v>102250.60445425735</v>
      </c>
      <c r="F187" s="319">
        <f>$D187*'MWh Impact Summary'!N$26</f>
        <v>12441.352374555647</v>
      </c>
      <c r="G187" s="319">
        <f>$D187*'MWh Impact Summary'!C$26</f>
        <v>74298.723292170413</v>
      </c>
      <c r="H187" s="319">
        <f>$D187*'MWh Impact Summary'!D$26</f>
        <v>300.00890906484096</v>
      </c>
      <c r="I187" s="319">
        <f>$D187*'MWh Impact Summary'!E$26</f>
        <v>27582.59941866529</v>
      </c>
      <c r="J187" s="104">
        <f t="shared" si="76"/>
        <v>216873.28844871352</v>
      </c>
      <c r="K187" s="298">
        <f t="shared" si="82"/>
        <v>12</v>
      </c>
      <c r="L187" s="300">
        <f t="shared" si="90"/>
        <v>8.4477296726504739E-2</v>
      </c>
      <c r="M187" s="297">
        <f>(31/366)</f>
        <v>8.4699453551912565E-2</v>
      </c>
      <c r="N187" s="304">
        <f>$M187*'MWh Impact Summary'!F$26</f>
        <v>135198.70467387207</v>
      </c>
      <c r="O187" s="304">
        <f>$M187*'MWh Impact Summary'!G$26</f>
        <v>11832.778480380553</v>
      </c>
      <c r="P187" s="304">
        <f>$M187*'MWh Impact Summary'!H$26</f>
        <v>8983.346128978561</v>
      </c>
      <c r="Q187" s="304">
        <f>$M187*'MWh Impact Summary'!I$26</f>
        <v>1502.7175759444042</v>
      </c>
      <c r="R187" s="304">
        <f>$M187*'MWh Impact Summary'!J$26</f>
        <v>43191.327555275435</v>
      </c>
      <c r="S187" s="304">
        <f>$M187*'MWh Impact Summary'!K$26</f>
        <v>21220.974320283272</v>
      </c>
      <c r="T187" s="304">
        <f>$M187*'MWh Impact Summary'!L$26</f>
        <v>7373.9351174237272</v>
      </c>
      <c r="U187" s="304">
        <f>$M187*'MWh Impact Summary'!M$26</f>
        <v>23506.805879038871</v>
      </c>
      <c r="V187" s="304">
        <f>$M187*'LED Impact Forecast'!$H$27+$D187*'LED Impact Forecast'!$J$27</f>
        <v>80526.706274167605</v>
      </c>
      <c r="W187" s="304">
        <f>$M187*'CFL Impact Forecast'!$H$27+$D187*'CFL Impact Forecast'!$J$27</f>
        <v>313555.89374155895</v>
      </c>
      <c r="X187" s="304">
        <f>$M187*'EISA Incand Impact Forecast'!$G$27+$D187*'EISA Incand Impact Forecast'!$I$27</f>
        <v>112313.19312209135</v>
      </c>
      <c r="Y187" s="85">
        <f t="shared" si="68"/>
        <v>759206.38286901487</v>
      </c>
      <c r="Z187" s="81">
        <f t="shared" si="69"/>
        <v>976079.67131772835</v>
      </c>
      <c r="AA187" s="81"/>
      <c r="AB187" s="262">
        <f>+'MWh by mo-WgtbyActulCDH&amp;Days'!AB187</f>
        <v>5106049.1589007676</v>
      </c>
      <c r="AC187" s="308">
        <f t="shared" si="77"/>
        <v>191.16143243866836</v>
      </c>
      <c r="AD187" s="309">
        <f t="shared" si="70"/>
        <v>42.473795629378955</v>
      </c>
      <c r="AE187" s="107">
        <f t="shared" si="71"/>
        <v>3.5394829691149129E-3</v>
      </c>
      <c r="AF187" s="309">
        <f t="shared" si="78"/>
        <v>148.68763680928939</v>
      </c>
      <c r="AG187" s="107">
        <f t="shared" si="72"/>
        <v>1.2390636400774115E-2</v>
      </c>
      <c r="AH187" s="119">
        <f t="shared" si="79"/>
        <v>1.5930119369889029E-2</v>
      </c>
      <c r="AI187" s="122">
        <f t="shared" si="73"/>
        <v>1.5930119369889029E-2</v>
      </c>
      <c r="AJ187" s="87" t="b">
        <f t="shared" si="80"/>
        <v>1</v>
      </c>
      <c r="AK187" s="88">
        <f t="shared" si="83"/>
        <v>9.5706497849653606E-4</v>
      </c>
      <c r="AL187" s="312">
        <f>+AC187/'MWh by month-WgtbyCDH&amp;DayLtHrs'!AC187-1</f>
        <v>-4.521799010944072E-2</v>
      </c>
      <c r="AM187" s="89">
        <f t="shared" si="74"/>
        <v>313555.89374155895</v>
      </c>
      <c r="AN187" s="93"/>
      <c r="AO187" s="96">
        <f t="shared" si="87"/>
        <v>61.408710332326962</v>
      </c>
      <c r="AP187" s="92">
        <f t="shared" si="86"/>
        <v>5.117392527693913E-3</v>
      </c>
      <c r="AR187" s="94">
        <f t="shared" si="75"/>
        <v>1.5930119369889029E-2</v>
      </c>
      <c r="AS187" s="95">
        <v>884832.37801699457</v>
      </c>
      <c r="AU187" s="141">
        <v>191.16143243866836</v>
      </c>
    </row>
    <row r="188" spans="1:47">
      <c r="A188" s="78">
        <v>2020</v>
      </c>
      <c r="B188" s="78">
        <v>4</v>
      </c>
      <c r="C188" s="317">
        <f t="shared" si="81"/>
        <v>114.03392869270741</v>
      </c>
      <c r="D188" s="324">
        <f t="shared" si="89"/>
        <v>5.7996974497419709E-2</v>
      </c>
      <c r="E188" s="321">
        <f>$D188*'MWh Impact Summary'!B$26</f>
        <v>180545.49691076085</v>
      </c>
      <c r="F188" s="319">
        <f>$D188*'MWh Impact Summary'!N$26</f>
        <v>21967.891130764841</v>
      </c>
      <c r="G188" s="319">
        <f>$D188*'MWh Impact Summary'!C$26</f>
        <v>131190.42169204023</v>
      </c>
      <c r="H188" s="319">
        <f>$D188*'MWh Impact Summary'!D$26</f>
        <v>529.73043879655745</v>
      </c>
      <c r="I188" s="319">
        <f>$D188*'MWh Impact Summary'!E$26</f>
        <v>48703.028649196822</v>
      </c>
      <c r="J188" s="104">
        <f t="shared" si="76"/>
        <v>382936.56882155931</v>
      </c>
      <c r="K188" s="298">
        <f t="shared" si="82"/>
        <v>11.2</v>
      </c>
      <c r="L188" s="300">
        <f t="shared" si="90"/>
        <v>7.8845476944737758E-2</v>
      </c>
      <c r="M188" s="297">
        <f>(30/366)</f>
        <v>8.1967213114754092E-2</v>
      </c>
      <c r="N188" s="304">
        <f>$M188*'MWh Impact Summary'!F$26</f>
        <v>130837.45613600523</v>
      </c>
      <c r="O188" s="304">
        <f>$M188*'MWh Impact Summary'!G$26</f>
        <v>11451.075948755373</v>
      </c>
      <c r="P188" s="304">
        <f>$M188*'MWh Impact Summary'!H$26</f>
        <v>8693.5607699792527</v>
      </c>
      <c r="Q188" s="304">
        <f>$M188*'MWh Impact Summary'!I$26</f>
        <v>1454.2428154300685</v>
      </c>
      <c r="R188" s="304">
        <f>$M188*'MWh Impact Summary'!J$26</f>
        <v>41798.058924460092</v>
      </c>
      <c r="S188" s="304">
        <f>$M188*'MWh Impact Summary'!K$26</f>
        <v>20536.426761564457</v>
      </c>
      <c r="T188" s="304">
        <f>$M188*'MWh Impact Summary'!L$26</f>
        <v>7136.0662426681229</v>
      </c>
      <c r="U188" s="304">
        <f>$M188*'MWh Impact Summary'!M$26</f>
        <v>22748.521818424713</v>
      </c>
      <c r="V188" s="304">
        <f>$M188*'LED Impact Forecast'!$H$27+$D188*'LED Impact Forecast'!$J$27</f>
        <v>81526.778935906739</v>
      </c>
      <c r="W188" s="304">
        <f>$M188*'CFL Impact Forecast'!$H$27+$D188*'CFL Impact Forecast'!$J$27</f>
        <v>318999.83171763626</v>
      </c>
      <c r="X188" s="304">
        <f>$M188*'EISA Incand Impact Forecast'!$G$27+$D188*'EISA Incand Impact Forecast'!$I$27</f>
        <v>114694.78464438794</v>
      </c>
      <c r="Y188" s="85">
        <f t="shared" si="68"/>
        <v>759876.80471521826</v>
      </c>
      <c r="Z188" s="81">
        <f t="shared" si="69"/>
        <v>1142813.3735367777</v>
      </c>
      <c r="AA188" s="81"/>
      <c r="AB188" s="262">
        <f>+'MWh by mo-WgtbyActulCDH&amp;Days'!AB188</f>
        <v>5111527.3694814648</v>
      </c>
      <c r="AC188" s="308">
        <f t="shared" si="77"/>
        <v>223.57571248859605</v>
      </c>
      <c r="AD188" s="309">
        <f t="shared" si="70"/>
        <v>74.916270840667735</v>
      </c>
      <c r="AE188" s="107">
        <f t="shared" si="71"/>
        <v>6.6889527536310479E-3</v>
      </c>
      <c r="AF188" s="309">
        <f t="shared" si="78"/>
        <v>148.6594416479283</v>
      </c>
      <c r="AG188" s="107">
        <f t="shared" si="72"/>
        <v>1.3273164432850742E-2</v>
      </c>
      <c r="AH188" s="119">
        <f t="shared" si="79"/>
        <v>1.996211718648179E-2</v>
      </c>
      <c r="AI188" s="122">
        <f t="shared" si="73"/>
        <v>1.996211718648179E-2</v>
      </c>
      <c r="AJ188" s="87" t="b">
        <f t="shared" si="80"/>
        <v>1</v>
      </c>
      <c r="AK188" s="88">
        <f t="shared" si="83"/>
        <v>1.1701176727432448E-3</v>
      </c>
      <c r="AL188" s="312">
        <f>+AC188/'MWh by month-WgtbyCDH&amp;DayLtHrs'!AC188-1</f>
        <v>1.0521264891683035E-3</v>
      </c>
      <c r="AM188" s="89">
        <f t="shared" si="74"/>
        <v>318999.83171763626</v>
      </c>
      <c r="AN188" s="93"/>
      <c r="AO188" s="96">
        <f t="shared" si="87"/>
        <v>62.407927936028443</v>
      </c>
      <c r="AP188" s="92">
        <f t="shared" si="86"/>
        <v>5.5721364228596831E-3</v>
      </c>
      <c r="AR188" s="94">
        <f t="shared" si="75"/>
        <v>1.996211718648179E-2</v>
      </c>
      <c r="AS188" s="95">
        <v>1032189.2219764603</v>
      </c>
      <c r="AU188" s="141">
        <v>223.57571248859605</v>
      </c>
    </row>
    <row r="189" spans="1:47">
      <c r="A189" s="78">
        <v>2020</v>
      </c>
      <c r="B189" s="78">
        <v>5</v>
      </c>
      <c r="C189" s="317">
        <f t="shared" si="81"/>
        <v>208.47875842628665</v>
      </c>
      <c r="D189" s="324">
        <f t="shared" si="89"/>
        <v>0.10603105035770212</v>
      </c>
      <c r="E189" s="321">
        <f>$D189*'MWh Impact Summary'!B$26</f>
        <v>330076.33313101414</v>
      </c>
      <c r="F189" s="319">
        <f>$D189*'MWh Impact Summary'!N$26</f>
        <v>40162.070365278698</v>
      </c>
      <c r="G189" s="319">
        <f>$D189*'MWh Impact Summary'!C$26</f>
        <v>239844.549296201</v>
      </c>
      <c r="H189" s="319">
        <f>$D189*'MWh Impact Summary'!D$26</f>
        <v>968.46215373776681</v>
      </c>
      <c r="I189" s="319">
        <f>$D189*'MWh Impact Summary'!E$26</f>
        <v>89039.701260715694</v>
      </c>
      <c r="J189" s="104">
        <f t="shared" si="76"/>
        <v>700091.11620694736</v>
      </c>
      <c r="K189" s="298">
        <f t="shared" si="82"/>
        <v>10.533333333333333</v>
      </c>
      <c r="L189" s="300">
        <f t="shared" si="90"/>
        <v>7.4152293793265281E-2</v>
      </c>
      <c r="M189" s="297">
        <f>(31/366)</f>
        <v>8.4699453551912565E-2</v>
      </c>
      <c r="N189" s="304">
        <f>$M189*'MWh Impact Summary'!F$26</f>
        <v>135198.70467387207</v>
      </c>
      <c r="O189" s="304">
        <f>$M189*'MWh Impact Summary'!G$26</f>
        <v>11832.778480380553</v>
      </c>
      <c r="P189" s="304">
        <f>$M189*'MWh Impact Summary'!H$26</f>
        <v>8983.346128978561</v>
      </c>
      <c r="Q189" s="304">
        <f>$M189*'MWh Impact Summary'!I$26</f>
        <v>1502.7175759444042</v>
      </c>
      <c r="R189" s="304">
        <f>$M189*'MWh Impact Summary'!J$26</f>
        <v>43191.327555275435</v>
      </c>
      <c r="S189" s="304">
        <f>$M189*'MWh Impact Summary'!K$26</f>
        <v>21220.974320283272</v>
      </c>
      <c r="T189" s="304">
        <f>$M189*'MWh Impact Summary'!L$26</f>
        <v>7373.9351174237272</v>
      </c>
      <c r="U189" s="304">
        <f>$M189*'MWh Impact Summary'!M$26</f>
        <v>23506.805879038871</v>
      </c>
      <c r="V189" s="304">
        <f>$M189*'LED Impact Forecast'!$H$27+$D189*'LED Impact Forecast'!$J$27</f>
        <v>90572.268047932434</v>
      </c>
      <c r="W189" s="304">
        <f>$M189*'CFL Impact Forecast'!$H$27+$D189*'CFL Impact Forecast'!$J$27</f>
        <v>356998.9154009234</v>
      </c>
      <c r="X189" s="304">
        <f>$M189*'EISA Incand Impact Forecast'!$G$27+$D189*'EISA Incand Impact Forecast'!$I$27</f>
        <v>129079.29860093887</v>
      </c>
      <c r="Y189" s="85">
        <f t="shared" si="68"/>
        <v>829461.07178099162</v>
      </c>
      <c r="Z189" s="81">
        <f t="shared" si="69"/>
        <v>1529552.187987939</v>
      </c>
      <c r="AA189" s="81"/>
      <c r="AB189" s="262">
        <f>+'MWh by mo-WgtbyActulCDH&amp;Days'!AB189</f>
        <v>5116441.1678385669</v>
      </c>
      <c r="AC189" s="308">
        <f t="shared" si="77"/>
        <v>298.94845612660413</v>
      </c>
      <c r="AD189" s="309">
        <f t="shared" si="70"/>
        <v>136.83165568435527</v>
      </c>
      <c r="AE189" s="107">
        <f t="shared" si="71"/>
        <v>1.2990347058641322E-2</v>
      </c>
      <c r="AF189" s="309">
        <f t="shared" si="78"/>
        <v>162.11680044224886</v>
      </c>
      <c r="AG189" s="107">
        <f t="shared" si="72"/>
        <v>1.5390835485023626E-2</v>
      </c>
      <c r="AH189" s="119">
        <f t="shared" si="79"/>
        <v>2.8381182543664948E-2</v>
      </c>
      <c r="AI189" s="122">
        <f t="shared" si="73"/>
        <v>2.8381182543664948E-2</v>
      </c>
      <c r="AJ189" s="87" t="b">
        <f t="shared" si="80"/>
        <v>1</v>
      </c>
      <c r="AK189" s="88">
        <f t="shared" si="83"/>
        <v>1.619711775832252E-3</v>
      </c>
      <c r="AL189" s="312">
        <f>+AC189/'MWh by month-WgtbyCDH&amp;DayLtHrs'!AC189-1</f>
        <v>7.7299374227001172E-2</v>
      </c>
      <c r="AM189" s="89">
        <f t="shared" si="74"/>
        <v>356998.9154009234</v>
      </c>
      <c r="AN189" s="93"/>
      <c r="AO189" s="96">
        <f t="shared" si="87"/>
        <v>69.774850074497607</v>
      </c>
      <c r="AP189" s="92">
        <f t="shared" si="86"/>
        <v>6.6241946273257225E-3</v>
      </c>
      <c r="AR189" s="94">
        <f t="shared" si="75"/>
        <v>2.8381182543664948E-2</v>
      </c>
      <c r="AS189" s="95">
        <v>1231330.71450657</v>
      </c>
      <c r="AU189" s="141">
        <v>298.94845612660413</v>
      </c>
    </row>
    <row r="190" spans="1:47">
      <c r="A190" s="78">
        <v>2020</v>
      </c>
      <c r="B190" s="78">
        <v>6</v>
      </c>
      <c r="C190" s="317">
        <f t="shared" si="81"/>
        <v>271.66325293295364</v>
      </c>
      <c r="D190" s="324">
        <f t="shared" si="89"/>
        <v>0.13816630657965029</v>
      </c>
      <c r="E190" s="321">
        <f>$D190*'MWh Impact Summary'!B$26</f>
        <v>430113.89290414291</v>
      </c>
      <c r="F190" s="319">
        <f>$D190*'MWh Impact Summary'!N$26</f>
        <v>52334.150310145451</v>
      </c>
      <c r="G190" s="319">
        <f>$D190*'MWh Impact Summary'!C$26</f>
        <v>312535.1999977596</v>
      </c>
      <c r="H190" s="319">
        <f>$D190*'MWh Impact Summary'!D$26</f>
        <v>1261.9778677350505</v>
      </c>
      <c r="I190" s="319">
        <f>$D190*'MWh Impact Summary'!E$26</f>
        <v>116025.32107949526</v>
      </c>
      <c r="J190" s="104">
        <f t="shared" si="76"/>
        <v>912270.5421592783</v>
      </c>
      <c r="K190" s="298">
        <f t="shared" si="82"/>
        <v>10.199999999999999</v>
      </c>
      <c r="L190" s="300">
        <f t="shared" si="90"/>
        <v>7.1805702217529022E-2</v>
      </c>
      <c r="M190" s="297">
        <f>(30/366)</f>
        <v>8.1967213114754092E-2</v>
      </c>
      <c r="N190" s="304">
        <f>$M190*'MWh Impact Summary'!F$26</f>
        <v>130837.45613600523</v>
      </c>
      <c r="O190" s="304">
        <f>$M190*'MWh Impact Summary'!G$26</f>
        <v>11451.075948755373</v>
      </c>
      <c r="P190" s="304">
        <f>$M190*'MWh Impact Summary'!H$26</f>
        <v>8693.5607699792527</v>
      </c>
      <c r="Q190" s="304">
        <f>$M190*'MWh Impact Summary'!I$26</f>
        <v>1454.2428154300685</v>
      </c>
      <c r="R190" s="304">
        <f>$M190*'MWh Impact Summary'!J$26</f>
        <v>41798.058924460092</v>
      </c>
      <c r="S190" s="304">
        <f>$M190*'MWh Impact Summary'!K$26</f>
        <v>20536.426761564457</v>
      </c>
      <c r="T190" s="304">
        <f>$M190*'MWh Impact Summary'!L$26</f>
        <v>7136.0662426681229</v>
      </c>
      <c r="U190" s="304">
        <f>$M190*'MWh Impact Summary'!M$26</f>
        <v>22748.521818424713</v>
      </c>
      <c r="V190" s="304">
        <f>$M190*'LED Impact Forecast'!$H$27+$D190*'LED Impact Forecast'!$J$27</f>
        <v>92531.044140246231</v>
      </c>
      <c r="W190" s="304">
        <f>$M190*'CFL Impact Forecast'!$H$27+$D190*'CFL Impact Forecast'!$J$27</f>
        <v>366588.86082161497</v>
      </c>
      <c r="X190" s="304">
        <f>$M190*'EISA Incand Impact Forecast'!$G$27+$D190*'EISA Incand Impact Forecast'!$I$27</f>
        <v>133060.97214970071</v>
      </c>
      <c r="Y190" s="85">
        <f t="shared" si="68"/>
        <v>836836.28652884928</v>
      </c>
      <c r="Z190" s="81">
        <f t="shared" si="69"/>
        <v>1749106.8286881275</v>
      </c>
      <c r="AA190" s="81"/>
      <c r="AB190" s="262">
        <f>+'MWh by mo-WgtbyActulCDH&amp;Days'!AB190</f>
        <v>5121360.7767743841</v>
      </c>
      <c r="AC190" s="308">
        <f t="shared" si="77"/>
        <v>341.53165631689347</v>
      </c>
      <c r="AD190" s="309">
        <f t="shared" si="70"/>
        <v>178.13049732728629</v>
      </c>
      <c r="AE190" s="107">
        <f t="shared" si="71"/>
        <v>1.7463774247773168E-2</v>
      </c>
      <c r="AF190" s="309">
        <f t="shared" si="78"/>
        <v>163.40115898960718</v>
      </c>
      <c r="AG190" s="107">
        <f t="shared" si="72"/>
        <v>1.6019721469569332E-2</v>
      </c>
      <c r="AH190" s="119">
        <f t="shared" si="79"/>
        <v>3.34834957173425E-2</v>
      </c>
      <c r="AI190" s="122">
        <f t="shared" si="73"/>
        <v>3.34834957173425E-2</v>
      </c>
      <c r="AJ190" s="87" t="b">
        <f t="shared" si="80"/>
        <v>1</v>
      </c>
      <c r="AK190" s="88">
        <f t="shared" si="83"/>
        <v>1.8851584999661844E-3</v>
      </c>
      <c r="AL190" s="312">
        <f>+AC190/'MWh by month-WgtbyCDH&amp;DayLtHrs'!AC190-1</f>
        <v>8.4717710853634554E-2</v>
      </c>
      <c r="AM190" s="89">
        <f t="shared" si="74"/>
        <v>366588.86082161497</v>
      </c>
      <c r="AN190" s="93"/>
      <c r="AO190" s="96">
        <f t="shared" si="87"/>
        <v>71.580362485711419</v>
      </c>
      <c r="AP190" s="92">
        <f t="shared" si="86"/>
        <v>7.0176825966383749E-3</v>
      </c>
      <c r="AR190" s="94">
        <f t="shared" si="75"/>
        <v>3.34834957173425E-2</v>
      </c>
      <c r="AS190" s="95">
        <v>1495581.1010643367</v>
      </c>
      <c r="AU190" s="141">
        <v>341.53165631689347</v>
      </c>
    </row>
    <row r="191" spans="1:47">
      <c r="A191" s="78">
        <v>2020</v>
      </c>
      <c r="B191" s="78">
        <v>7</v>
      </c>
      <c r="C191" s="317">
        <f t="shared" si="81"/>
        <v>322.31916585708109</v>
      </c>
      <c r="D191" s="324">
        <f t="shared" si="89"/>
        <v>0.16392960109808263</v>
      </c>
      <c r="E191" s="321">
        <f>$D191*'MWh Impact Summary'!B$26</f>
        <v>510315.43533280172</v>
      </c>
      <c r="F191" s="319">
        <f>$D191*'MWh Impact Summary'!N$26</f>
        <v>62092.680889631665</v>
      </c>
      <c r="G191" s="319">
        <f>$D191*'MWh Impact Summary'!C$26</f>
        <v>370812.33430240751</v>
      </c>
      <c r="H191" s="319">
        <f>$D191*'MWh Impact Summary'!D$26</f>
        <v>1497.2936135710906</v>
      </c>
      <c r="I191" s="319">
        <f>$D191*'MWh Impact Summary'!E$26</f>
        <v>137660.07844230786</v>
      </c>
      <c r="J191" s="104">
        <f t="shared" si="76"/>
        <v>1082377.8225807198</v>
      </c>
      <c r="K191" s="298">
        <f t="shared" si="82"/>
        <v>10.366666666666667</v>
      </c>
      <c r="L191" s="300">
        <f t="shared" si="90"/>
        <v>7.2978998005397158E-2</v>
      </c>
      <c r="M191" s="297">
        <f>(31/366)</f>
        <v>8.4699453551912565E-2</v>
      </c>
      <c r="N191" s="304">
        <f>$M191*'MWh Impact Summary'!F$26</f>
        <v>135198.70467387207</v>
      </c>
      <c r="O191" s="304">
        <f>$M191*'MWh Impact Summary'!G$26</f>
        <v>11832.778480380553</v>
      </c>
      <c r="P191" s="304">
        <f>$M191*'MWh Impact Summary'!H$26</f>
        <v>8983.346128978561</v>
      </c>
      <c r="Q191" s="304">
        <f>$M191*'MWh Impact Summary'!I$26</f>
        <v>1502.7175759444042</v>
      </c>
      <c r="R191" s="304">
        <f>$M191*'MWh Impact Summary'!J$26</f>
        <v>43191.327555275435</v>
      </c>
      <c r="S191" s="304">
        <f>$M191*'MWh Impact Summary'!K$26</f>
        <v>21220.974320283272</v>
      </c>
      <c r="T191" s="304">
        <f>$M191*'MWh Impact Summary'!L$26</f>
        <v>7373.9351174237272</v>
      </c>
      <c r="U191" s="304">
        <f>$M191*'MWh Impact Summary'!M$26</f>
        <v>23506.805879038871</v>
      </c>
      <c r="V191" s="304">
        <f>$M191*'LED Impact Forecast'!$H$27+$D191*'LED Impact Forecast'!$J$27</f>
        <v>98519.583944746206</v>
      </c>
      <c r="W191" s="304">
        <f>$M191*'CFL Impact Forecast'!$H$27+$D191*'CFL Impact Forecast'!$J$27</f>
        <v>391367.86602952506</v>
      </c>
      <c r="X191" s="304">
        <f>$M191*'EISA Incand Impact Forecast'!$G$27+$D191*'EISA Incand Impact Forecast'!$I$27</f>
        <v>142343.4185775526</v>
      </c>
      <c r="Y191" s="85">
        <f t="shared" si="68"/>
        <v>885041.45828302065</v>
      </c>
      <c r="Z191" s="81">
        <f t="shared" si="69"/>
        <v>1967419.2808637405</v>
      </c>
      <c r="AA191" s="81"/>
      <c r="AB191" s="262">
        <f>+'MWh by mo-WgtbyActulCDH&amp;Days'!AB191</f>
        <v>5126615.2635603016</v>
      </c>
      <c r="AC191" s="308">
        <f t="shared" si="77"/>
        <v>383.76573620572782</v>
      </c>
      <c r="AD191" s="309">
        <f t="shared" si="70"/>
        <v>211.12913041752944</v>
      </c>
      <c r="AE191" s="107">
        <f t="shared" si="71"/>
        <v>2.0366154059568757E-2</v>
      </c>
      <c r="AF191" s="309">
        <f t="shared" si="78"/>
        <v>172.63660578819841</v>
      </c>
      <c r="AG191" s="107">
        <f t="shared" si="72"/>
        <v>1.6653048789858366E-2</v>
      </c>
      <c r="AH191" s="119">
        <f t="shared" si="79"/>
        <v>3.7019202849427127E-2</v>
      </c>
      <c r="AI191" s="122">
        <f t="shared" si="73"/>
        <v>3.701920284942712E-2</v>
      </c>
      <c r="AJ191" s="87" t="b">
        <f t="shared" si="80"/>
        <v>1</v>
      </c>
      <c r="AK191" s="88">
        <f t="shared" si="83"/>
        <v>2.074145939562809E-3</v>
      </c>
      <c r="AL191" s="312">
        <f>+AC191/'MWh by month-WgtbyCDH&amp;DayLtHrs'!AC191-1</f>
        <v>9.7677089754902413E-2</v>
      </c>
      <c r="AM191" s="89">
        <f t="shared" si="74"/>
        <v>391367.86602952506</v>
      </c>
      <c r="AN191" s="93"/>
      <c r="AO191" s="96">
        <f t="shared" si="87"/>
        <v>76.340401202201818</v>
      </c>
      <c r="AP191" s="92">
        <f t="shared" si="86"/>
        <v>7.3640258394406894E-3</v>
      </c>
      <c r="AR191" s="94">
        <f t="shared" si="75"/>
        <v>3.701920284942712E-2</v>
      </c>
      <c r="AS191" s="95">
        <v>1569649.5181221459</v>
      </c>
      <c r="AU191" s="141">
        <v>383.76573620572782</v>
      </c>
    </row>
    <row r="192" spans="1:47">
      <c r="A192" s="78">
        <v>2020</v>
      </c>
      <c r="B192" s="78">
        <v>8</v>
      </c>
      <c r="C192" s="317">
        <f t="shared" si="81"/>
        <v>326.45437890907908</v>
      </c>
      <c r="D192" s="324">
        <f t="shared" si="89"/>
        <v>0.16603274573816959</v>
      </c>
      <c r="E192" s="321">
        <f>$D192*'MWh Impact Summary'!B$26</f>
        <v>516862.55778893252</v>
      </c>
      <c r="F192" s="319">
        <f>$D192*'MWh Impact Summary'!N$26</f>
        <v>62889.302659750676</v>
      </c>
      <c r="G192" s="319">
        <f>$D192*'MWh Impact Summary'!C$26</f>
        <v>375569.69336472615</v>
      </c>
      <c r="H192" s="319">
        <f>$D192*'MWh Impact Summary'!D$26</f>
        <v>1516.5032317054893</v>
      </c>
      <c r="I192" s="319">
        <f>$D192*'MWh Impact Summary'!E$26</f>
        <v>139426.19666739073</v>
      </c>
      <c r="J192" s="104">
        <f t="shared" si="76"/>
        <v>1096264.2537125056</v>
      </c>
      <c r="K192" s="298">
        <f t="shared" si="82"/>
        <v>10.933333333333334</v>
      </c>
      <c r="L192" s="300">
        <f t="shared" si="90"/>
        <v>7.6968203684148764E-2</v>
      </c>
      <c r="M192" s="297">
        <f>(31/366)</f>
        <v>8.4699453551912565E-2</v>
      </c>
      <c r="N192" s="304">
        <f>$M192*'MWh Impact Summary'!F$26</f>
        <v>135198.70467387207</v>
      </c>
      <c r="O192" s="304">
        <f>$M192*'MWh Impact Summary'!G$26</f>
        <v>11832.778480380553</v>
      </c>
      <c r="P192" s="304">
        <f>$M192*'MWh Impact Summary'!H$26</f>
        <v>8983.346128978561</v>
      </c>
      <c r="Q192" s="304">
        <f>$M192*'MWh Impact Summary'!I$26</f>
        <v>1502.7175759444042</v>
      </c>
      <c r="R192" s="304">
        <f>$M192*'MWh Impact Summary'!J$26</f>
        <v>43191.327555275435</v>
      </c>
      <c r="S192" s="304">
        <f>$M192*'MWh Impact Summary'!K$26</f>
        <v>21220.974320283272</v>
      </c>
      <c r="T192" s="304">
        <f>$M192*'MWh Impact Summary'!L$26</f>
        <v>7373.9351174237272</v>
      </c>
      <c r="U192" s="304">
        <f>$M192*'MWh Impact Summary'!M$26</f>
        <v>23506.805879038871</v>
      </c>
      <c r="V192" s="304">
        <f>$M192*'LED Impact Forecast'!$H$27+$D192*'LED Impact Forecast'!$J$27</f>
        <v>98808.267419854412</v>
      </c>
      <c r="W192" s="304">
        <f>$M192*'CFL Impact Forecast'!$H$27+$D192*'CFL Impact Forecast'!$J$27</f>
        <v>392616.30616102467</v>
      </c>
      <c r="X192" s="304">
        <f>$M192*'EISA Incand Impact Forecast'!$G$27+$D192*'EISA Incand Impact Forecast'!$I$27</f>
        <v>142825.23310447184</v>
      </c>
      <c r="Y192" s="85">
        <f t="shared" si="68"/>
        <v>887060.39641654771</v>
      </c>
      <c r="Z192" s="81">
        <f t="shared" si="69"/>
        <v>1983324.6501290533</v>
      </c>
      <c r="AA192" s="81"/>
      <c r="AB192" s="262">
        <f>+'MWh by mo-WgtbyActulCDH&amp;Days'!AB192</f>
        <v>5132042.3812502129</v>
      </c>
      <c r="AC192" s="308">
        <f t="shared" si="77"/>
        <v>386.45913318547014</v>
      </c>
      <c r="AD192" s="309">
        <f t="shared" si="70"/>
        <v>213.61169146180072</v>
      </c>
      <c r="AE192" s="107">
        <f t="shared" si="71"/>
        <v>1.9537654706872014E-2</v>
      </c>
      <c r="AF192" s="309">
        <f t="shared" si="78"/>
        <v>172.84744172366939</v>
      </c>
      <c r="AG192" s="107">
        <f t="shared" si="72"/>
        <v>1.580921723082342E-2</v>
      </c>
      <c r="AH192" s="119">
        <f t="shared" si="79"/>
        <v>3.5346871937695437E-2</v>
      </c>
      <c r="AI192" s="122">
        <f t="shared" si="73"/>
        <v>3.5346871937695437E-2</v>
      </c>
      <c r="AJ192" s="87" t="b">
        <f t="shared" si="80"/>
        <v>1</v>
      </c>
      <c r="AK192" s="88">
        <f t="shared" si="83"/>
        <v>1.9835205878781167E-3</v>
      </c>
      <c r="AL192" s="312">
        <f>+AC192/'MWh by month-WgtbyCDH&amp;DayLtHrs'!AC192-1</f>
        <v>7.8272305435621137E-2</v>
      </c>
      <c r="AM192" s="89">
        <f t="shared" si="74"/>
        <v>392616.30616102467</v>
      </c>
      <c r="AN192" s="93"/>
      <c r="AO192" s="96">
        <f t="shared" si="87"/>
        <v>76.502935282732352</v>
      </c>
      <c r="AP192" s="92">
        <f t="shared" si="86"/>
        <v>6.997219690493813E-3</v>
      </c>
      <c r="AR192" s="94">
        <f t="shared" si="75"/>
        <v>3.5346871937695437E-2</v>
      </c>
      <c r="AS192" s="95">
        <v>1631630.4343088379</v>
      </c>
      <c r="AU192" s="141">
        <v>386.45913318547014</v>
      </c>
    </row>
    <row r="193" spans="1:47">
      <c r="A193" s="78">
        <v>2020</v>
      </c>
      <c r="B193" s="78">
        <v>9</v>
      </c>
      <c r="C193" s="317">
        <f t="shared" si="81"/>
        <v>277.87653293728147</v>
      </c>
      <c r="D193" s="324">
        <f t="shared" si="89"/>
        <v>0.14132634365008559</v>
      </c>
      <c r="E193" s="321">
        <f>$D193*'MWh Impact Summary'!B$26</f>
        <v>439951.13817567943</v>
      </c>
      <c r="F193" s="319">
        <f>$D193*'MWh Impact Summary'!N$26</f>
        <v>53531.098098095878</v>
      </c>
      <c r="G193" s="319">
        <f>$D193*'MWh Impact Summary'!C$26</f>
        <v>319683.27279682143</v>
      </c>
      <c r="H193" s="319">
        <f>$D193*'MWh Impact Summary'!D$26</f>
        <v>1290.8408875467057</v>
      </c>
      <c r="I193" s="319">
        <f>$D193*'MWh Impact Summary'!E$26</f>
        <v>118678.9659861064</v>
      </c>
      <c r="J193" s="104">
        <f t="shared" si="76"/>
        <v>933135.31594424974</v>
      </c>
      <c r="K193" s="298">
        <f t="shared" si="82"/>
        <v>11.683333333333334</v>
      </c>
      <c r="L193" s="300">
        <f t="shared" si="90"/>
        <v>8.2248034729555317E-2</v>
      </c>
      <c r="M193" s="297">
        <f>(30/366)</f>
        <v>8.1967213114754092E-2</v>
      </c>
      <c r="N193" s="304">
        <f>$M193*'MWh Impact Summary'!F$26</f>
        <v>130837.45613600523</v>
      </c>
      <c r="O193" s="304">
        <f>$M193*'MWh Impact Summary'!G$26</f>
        <v>11451.075948755373</v>
      </c>
      <c r="P193" s="304">
        <f>$M193*'MWh Impact Summary'!H$26</f>
        <v>8693.5607699792527</v>
      </c>
      <c r="Q193" s="304">
        <f>$M193*'MWh Impact Summary'!I$26</f>
        <v>1454.2428154300685</v>
      </c>
      <c r="R193" s="304">
        <f>$M193*'MWh Impact Summary'!J$26</f>
        <v>41798.058924460092</v>
      </c>
      <c r="S193" s="304">
        <f>$M193*'MWh Impact Summary'!K$26</f>
        <v>20536.426761564457</v>
      </c>
      <c r="T193" s="304">
        <f>$M193*'MWh Impact Summary'!L$26</f>
        <v>7136.0662426681229</v>
      </c>
      <c r="U193" s="304">
        <f>$M193*'MWh Impact Summary'!M$26</f>
        <v>22748.521818424713</v>
      </c>
      <c r="V193" s="304">
        <f>$M193*'LED Impact Forecast'!$H$27+$D193*'LED Impact Forecast'!$J$27</f>
        <v>92964.799606026412</v>
      </c>
      <c r="W193" s="304">
        <f>$M193*'CFL Impact Forecast'!$H$27+$D193*'CFL Impact Forecast'!$J$27</f>
        <v>368464.67907042301</v>
      </c>
      <c r="X193" s="304">
        <f>$M193*'EISA Incand Impact Forecast'!$G$27+$D193*'EISA Incand Impact Forecast'!$I$27</f>
        <v>133784.9127371042</v>
      </c>
      <c r="Y193" s="85">
        <f t="shared" si="68"/>
        <v>839869.80083084095</v>
      </c>
      <c r="Z193" s="81">
        <f t="shared" si="69"/>
        <v>1773005.1167750908</v>
      </c>
      <c r="AA193" s="81"/>
      <c r="AB193" s="262">
        <f>+'MWh by mo-WgtbyActulCDH&amp;Days'!AB193</f>
        <v>5136848.4535763171</v>
      </c>
      <c r="AC193" s="308">
        <f t="shared" si="77"/>
        <v>345.15425806278353</v>
      </c>
      <c r="AD193" s="309">
        <f t="shared" si="70"/>
        <v>181.65521610718204</v>
      </c>
      <c r="AE193" s="107">
        <f t="shared" si="71"/>
        <v>1.5548235330143968E-2</v>
      </c>
      <c r="AF193" s="309">
        <f t="shared" si="78"/>
        <v>163.49904195560151</v>
      </c>
      <c r="AG193" s="107">
        <f t="shared" si="72"/>
        <v>1.399421186495876E-2</v>
      </c>
      <c r="AH193" s="119">
        <f t="shared" si="79"/>
        <v>2.9542447195102729E-2</v>
      </c>
      <c r="AI193" s="122">
        <f t="shared" si="73"/>
        <v>2.9542447195102729E-2</v>
      </c>
      <c r="AJ193" s="87" t="b">
        <f t="shared" si="80"/>
        <v>1</v>
      </c>
      <c r="AK193" s="88">
        <f t="shared" si="83"/>
        <v>1.6700489176735347E-3</v>
      </c>
      <c r="AL193" s="312">
        <f>+AC193/'MWh by month-WgtbyCDH&amp;DayLtHrs'!AC193-1</f>
        <v>3.0780836948119727E-2</v>
      </c>
      <c r="AM193" s="89">
        <f t="shared" si="74"/>
        <v>368464.67907042301</v>
      </c>
      <c r="AN193" s="93"/>
      <c r="AO193" s="96">
        <f t="shared" si="87"/>
        <v>71.729715680807132</v>
      </c>
      <c r="AP193" s="92">
        <f t="shared" si="86"/>
        <v>6.1394906431503967E-3</v>
      </c>
      <c r="AR193" s="94">
        <f t="shared" si="75"/>
        <v>2.9542447195102729E-2</v>
      </c>
      <c r="AS193" s="95">
        <v>1543477.4099642611</v>
      </c>
      <c r="AU193" s="141">
        <v>345.15425806278353</v>
      </c>
    </row>
    <row r="194" spans="1:47">
      <c r="A194" s="78">
        <v>2020</v>
      </c>
      <c r="B194" s="78">
        <v>10</v>
      </c>
      <c r="C194" s="317">
        <f t="shared" si="81"/>
        <v>198.89039579254836</v>
      </c>
      <c r="D194" s="324">
        <f t="shared" si="89"/>
        <v>0.10115446643644242</v>
      </c>
      <c r="E194" s="321">
        <f>$D194*'MWh Impact Summary'!B$26</f>
        <v>314895.45042255439</v>
      </c>
      <c r="F194" s="319">
        <f>$D194*'MWh Impact Summary'!N$26</f>
        <v>38314.934965534056</v>
      </c>
      <c r="G194" s="319">
        <f>$D194*'MWh Impact Summary'!C$26</f>
        <v>228813.61006892897</v>
      </c>
      <c r="H194" s="319">
        <f>$D194*'MWh Impact Summary'!D$26</f>
        <v>923.92060716878041</v>
      </c>
      <c r="I194" s="319">
        <f>$D194*'MWh Impact Summary'!E$26</f>
        <v>84944.584084596616</v>
      </c>
      <c r="J194" s="104">
        <f t="shared" si="76"/>
        <v>667892.50014878286</v>
      </c>
      <c r="K194" s="298">
        <f t="shared" si="82"/>
        <v>12.466666666666667</v>
      </c>
      <c r="L194" s="300">
        <f t="shared" si="90"/>
        <v>8.7762524932535488E-2</v>
      </c>
      <c r="M194" s="297">
        <f>(31/366)</f>
        <v>8.4699453551912565E-2</v>
      </c>
      <c r="N194" s="304">
        <f>$M194*'MWh Impact Summary'!F$26</f>
        <v>135198.70467387207</v>
      </c>
      <c r="O194" s="304">
        <f>$M194*'MWh Impact Summary'!G$26</f>
        <v>11832.778480380553</v>
      </c>
      <c r="P194" s="304">
        <f>$M194*'MWh Impact Summary'!H$26</f>
        <v>8983.346128978561</v>
      </c>
      <c r="Q194" s="304">
        <f>$M194*'MWh Impact Summary'!I$26</f>
        <v>1502.7175759444042</v>
      </c>
      <c r="R194" s="304">
        <f>$M194*'MWh Impact Summary'!J$26</f>
        <v>43191.327555275435</v>
      </c>
      <c r="S194" s="304">
        <f>$M194*'MWh Impact Summary'!K$26</f>
        <v>21220.974320283272</v>
      </c>
      <c r="T194" s="304">
        <f>$M194*'MWh Impact Summary'!L$26</f>
        <v>7373.9351174237272</v>
      </c>
      <c r="U194" s="304">
        <f>$M194*'MWh Impact Summary'!M$26</f>
        <v>23506.805879038871</v>
      </c>
      <c r="V194" s="304">
        <f>$M194*'LED Impact Forecast'!$H$27+$D194*'LED Impact Forecast'!$J$27</f>
        <v>89902.894593433448</v>
      </c>
      <c r="W194" s="304">
        <f>$M194*'CFL Impact Forecast'!$H$27+$D194*'CFL Impact Forecast'!$J$27</f>
        <v>354104.14394494088</v>
      </c>
      <c r="X194" s="304">
        <f>$M194*'EISA Incand Impact Forecast'!$G$27+$D194*'EISA Incand Impact Forecast'!$I$27</f>
        <v>127962.11011555418</v>
      </c>
      <c r="Y194" s="85">
        <f t="shared" si="68"/>
        <v>824779.73838512541</v>
      </c>
      <c r="Z194" s="81">
        <f t="shared" si="69"/>
        <v>1492672.2385339083</v>
      </c>
      <c r="AA194" s="81"/>
      <c r="AB194" s="262">
        <f>+'MWh by mo-WgtbyActulCDH&amp;Days'!AB194</f>
        <v>5141857.9398052078</v>
      </c>
      <c r="AC194" s="308">
        <f t="shared" si="77"/>
        <v>290.2982260514292</v>
      </c>
      <c r="AD194" s="309">
        <f t="shared" si="70"/>
        <v>129.89322302710002</v>
      </c>
      <c r="AE194" s="107">
        <f t="shared" si="71"/>
        <v>1.0419242488804815E-2</v>
      </c>
      <c r="AF194" s="309">
        <f t="shared" si="78"/>
        <v>160.40500302432918</v>
      </c>
      <c r="AG194" s="107">
        <f t="shared" si="72"/>
        <v>1.2866711472539772E-2</v>
      </c>
      <c r="AH194" s="119">
        <f t="shared" si="79"/>
        <v>2.3285953961344585E-2</v>
      </c>
      <c r="AI194" s="122">
        <f t="shared" si="73"/>
        <v>2.3285953961344589E-2</v>
      </c>
      <c r="AJ194" s="87" t="b">
        <f t="shared" si="80"/>
        <v>1</v>
      </c>
      <c r="AK194" s="88">
        <f t="shared" si="83"/>
        <v>1.3425790110857261E-3</v>
      </c>
      <c r="AL194" s="312">
        <f>+AC194/'MWh by month-WgtbyCDH&amp;DayLtHrs'!AC194-1</f>
        <v>-5.2834798351185652E-3</v>
      </c>
      <c r="AM194" s="89">
        <f t="shared" si="74"/>
        <v>354104.14394494088</v>
      </c>
      <c r="AN194" s="93"/>
      <c r="AO194" s="96">
        <f t="shared" si="87"/>
        <v>68.86696367157036</v>
      </c>
      <c r="AP194" s="92">
        <f t="shared" si="86"/>
        <v>5.5240879950457502E-3</v>
      </c>
      <c r="AR194" s="94">
        <f t="shared" si="75"/>
        <v>2.3285953961344589E-2</v>
      </c>
      <c r="AS194" s="95">
        <v>1249756.1416365989</v>
      </c>
      <c r="AU194" s="141">
        <v>290.2982260514292</v>
      </c>
    </row>
    <row r="195" spans="1:47">
      <c r="A195" s="78">
        <v>2020</v>
      </c>
      <c r="B195" s="78">
        <v>11</v>
      </c>
      <c r="C195" s="317">
        <f t="shared" si="81"/>
        <v>78.117279066674627</v>
      </c>
      <c r="D195" s="324">
        <f t="shared" si="89"/>
        <v>3.9729981188725644E-2</v>
      </c>
      <c r="E195" s="321">
        <f>$D195*'MWh Impact Summary'!B$26</f>
        <v>123680.05845361439</v>
      </c>
      <c r="F195" s="319">
        <f>$D195*'MWh Impact Summary'!N$26</f>
        <v>15048.783301965006</v>
      </c>
      <c r="G195" s="319">
        <f>$D195*'MWh Impact Summary'!C$26</f>
        <v>89870.08427823479</v>
      </c>
      <c r="H195" s="319">
        <f>$D195*'MWh Impact Summary'!D$26</f>
        <v>362.88410819462581</v>
      </c>
      <c r="I195" s="319">
        <f>$D195*'MWh Impact Summary'!E$26</f>
        <v>33363.299186453994</v>
      </c>
      <c r="J195" s="104">
        <f t="shared" si="76"/>
        <v>262325.1093284628</v>
      </c>
      <c r="K195" s="298">
        <f t="shared" si="82"/>
        <v>13.15</v>
      </c>
      <c r="L195" s="300">
        <f t="shared" si="90"/>
        <v>9.2573037662794788E-2</v>
      </c>
      <c r="M195" s="297">
        <f>(30/366)</f>
        <v>8.1967213114754092E-2</v>
      </c>
      <c r="N195" s="304">
        <f>$M195*'MWh Impact Summary'!F$26</f>
        <v>130837.45613600523</v>
      </c>
      <c r="O195" s="304">
        <f>$M195*'MWh Impact Summary'!G$26</f>
        <v>11451.075948755373</v>
      </c>
      <c r="P195" s="304">
        <f>$M195*'MWh Impact Summary'!H$26</f>
        <v>8693.5607699792527</v>
      </c>
      <c r="Q195" s="304">
        <f>$M195*'MWh Impact Summary'!I$26</f>
        <v>1454.2428154300685</v>
      </c>
      <c r="R195" s="304">
        <f>$M195*'MWh Impact Summary'!J$26</f>
        <v>41798.058924460092</v>
      </c>
      <c r="S195" s="304">
        <f>$M195*'MWh Impact Summary'!K$26</f>
        <v>20536.426761564457</v>
      </c>
      <c r="T195" s="304">
        <f>$M195*'MWh Impact Summary'!L$26</f>
        <v>7136.0662426681229</v>
      </c>
      <c r="U195" s="304">
        <f>$M195*'MWh Impact Summary'!M$26</f>
        <v>22748.521818424713</v>
      </c>
      <c r="V195" s="304">
        <f>$M195*'LED Impact Forecast'!$H$27+$D195*'LED Impact Forecast'!$J$27</f>
        <v>79019.40069495319</v>
      </c>
      <c r="W195" s="304">
        <f>$M195*'CFL Impact Forecast'!$H$27+$D195*'CFL Impact Forecast'!$J$27</f>
        <v>308156.42746776715</v>
      </c>
      <c r="X195" s="304">
        <f>$M195*'EISA Incand Impact Forecast'!$G$27+$D195*'EISA Incand Impact Forecast'!$I$27</f>
        <v>110509.95466574164</v>
      </c>
      <c r="Y195" s="85">
        <f t="shared" si="68"/>
        <v>742341.19224574929</v>
      </c>
      <c r="Z195" s="81">
        <f t="shared" si="69"/>
        <v>1004666.301574212</v>
      </c>
      <c r="AA195" s="81"/>
      <c r="AB195" s="262">
        <f>+'MWh by mo-WgtbyActulCDH&amp;Days'!AB195</f>
        <v>5146914.2029780019</v>
      </c>
      <c r="AC195" s="308">
        <f t="shared" si="77"/>
        <v>195.19779463059879</v>
      </c>
      <c r="AD195" s="309">
        <f t="shared" si="70"/>
        <v>50.967453309534797</v>
      </c>
      <c r="AE195" s="107">
        <f t="shared" si="71"/>
        <v>3.875851962702266E-3</v>
      </c>
      <c r="AF195" s="309">
        <f t="shared" si="78"/>
        <v>144.230341321064</v>
      </c>
      <c r="AG195" s="107">
        <f t="shared" si="72"/>
        <v>1.0968086792476349E-2</v>
      </c>
      <c r="AH195" s="119">
        <f t="shared" si="79"/>
        <v>1.4843938755178615E-2</v>
      </c>
      <c r="AI195" s="122">
        <f t="shared" si="73"/>
        <v>1.4843938755178615E-2</v>
      </c>
      <c r="AJ195" s="87" t="b">
        <f t="shared" si="80"/>
        <v>1</v>
      </c>
      <c r="AK195" s="88">
        <f t="shared" si="83"/>
        <v>8.9369773483918488E-4</v>
      </c>
      <c r="AL195" s="312">
        <f>+AC195/'MWh by month-WgtbyCDH&amp;DayLtHrs'!AC195-1</f>
        <v>-0.1148094575245997</v>
      </c>
      <c r="AM195" s="89">
        <f t="shared" si="74"/>
        <v>308156.42746776715</v>
      </c>
      <c r="AN195" s="93"/>
      <c r="AO195" s="96">
        <f t="shared" si="87"/>
        <v>59.872073890306538</v>
      </c>
      <c r="AP195" s="92">
        <f t="shared" si="86"/>
        <v>4.5530094213160864E-3</v>
      </c>
      <c r="AR195" s="94">
        <f t="shared" si="75"/>
        <v>1.4843938755178615E-2</v>
      </c>
      <c r="AS195" s="95">
        <v>974261.26226112701</v>
      </c>
      <c r="AU195" s="141">
        <v>195.19779463059879</v>
      </c>
    </row>
    <row r="196" spans="1:47">
      <c r="A196" s="78">
        <v>2020</v>
      </c>
      <c r="B196" s="78">
        <v>12</v>
      </c>
      <c r="C196" s="317">
        <f t="shared" si="81"/>
        <v>42.633806123140985</v>
      </c>
      <c r="D196" s="324">
        <f t="shared" si="89"/>
        <v>2.1683298951445065E-2</v>
      </c>
      <c r="E196" s="321">
        <f>$D196*'MWh Impact Summary'!B$26</f>
        <v>67500.451838697205</v>
      </c>
      <c r="F196" s="319">
        <f>$D196*'MWh Impact Summary'!N$26</f>
        <v>8213.124130162425</v>
      </c>
      <c r="G196" s="319">
        <f>$D196*'MWh Impact Summary'!C$26</f>
        <v>49048.095314716978</v>
      </c>
      <c r="H196" s="319">
        <f>$D196*'MWh Impact Summary'!D$26</f>
        <v>198.05004601777901</v>
      </c>
      <c r="I196" s="319">
        <f>$D196*'MWh Impact Summary'!E$26</f>
        <v>18208.576209235052</v>
      </c>
      <c r="J196" s="104">
        <f t="shared" si="76"/>
        <v>143168.29753882944</v>
      </c>
      <c r="K196" s="298">
        <f t="shared" si="82"/>
        <v>13.483333333333333</v>
      </c>
      <c r="L196" s="300">
        <f t="shared" si="90"/>
        <v>9.491962923853102E-2</v>
      </c>
      <c r="M196" s="297">
        <f>(31/366)</f>
        <v>8.4699453551912565E-2</v>
      </c>
      <c r="N196" s="304">
        <f>$M196*'MWh Impact Summary'!F$26</f>
        <v>135198.70467387207</v>
      </c>
      <c r="O196" s="304">
        <f>$M196*'MWh Impact Summary'!G$26</f>
        <v>11832.778480380553</v>
      </c>
      <c r="P196" s="304">
        <f>$M196*'MWh Impact Summary'!H$26</f>
        <v>8983.346128978561</v>
      </c>
      <c r="Q196" s="304">
        <f>$M196*'MWh Impact Summary'!I$26</f>
        <v>1502.7175759444042</v>
      </c>
      <c r="R196" s="304">
        <f>$M196*'MWh Impact Summary'!J$26</f>
        <v>43191.327555275435</v>
      </c>
      <c r="S196" s="304">
        <f>$M196*'MWh Impact Summary'!K$26</f>
        <v>21220.974320283272</v>
      </c>
      <c r="T196" s="304">
        <f>$M196*'MWh Impact Summary'!L$26</f>
        <v>7373.9351174237272</v>
      </c>
      <c r="U196" s="304">
        <f>$M196*'MWh Impact Summary'!M$26</f>
        <v>23506.805879038871</v>
      </c>
      <c r="V196" s="304">
        <f>$M196*'LED Impact Forecast'!$H$27+$D196*'LED Impact Forecast'!$J$27</f>
        <v>78994.461400970453</v>
      </c>
      <c r="W196" s="304">
        <f>$M196*'CFL Impact Forecast'!$H$27+$D196*'CFL Impact Forecast'!$J$27</f>
        <v>306929.54981845483</v>
      </c>
      <c r="X196" s="304">
        <f>$M196*'EISA Incand Impact Forecast'!$G$27+$D196*'EISA Incand Impact Forecast'!$I$27</f>
        <v>109755.86683790697</v>
      </c>
      <c r="Y196" s="85">
        <f t="shared" si="68"/>
        <v>748490.46778852923</v>
      </c>
      <c r="Z196" s="81">
        <f t="shared" si="69"/>
        <v>891658.76532735862</v>
      </c>
      <c r="AA196" s="81">
        <f>SUM(Z185:Z196)</f>
        <v>16153924.285144012</v>
      </c>
      <c r="AB196" s="262">
        <f>+'MWh by mo-WgtbyActulCDH&amp;Days'!AB196</f>
        <v>5152004.6812553955</v>
      </c>
      <c r="AC196" s="308">
        <f t="shared" si="77"/>
        <v>173.07025526810799</v>
      </c>
      <c r="AD196" s="309">
        <f t="shared" si="70"/>
        <v>27.788852378127778</v>
      </c>
      <c r="AE196" s="107">
        <f t="shared" si="71"/>
        <v>2.060977926684384E-3</v>
      </c>
      <c r="AF196" s="309">
        <f t="shared" si="78"/>
        <v>145.28140288998023</v>
      </c>
      <c r="AG196" s="107">
        <f t="shared" si="72"/>
        <v>1.0774887729788398E-2</v>
      </c>
      <c r="AH196" s="119">
        <f t="shared" si="79"/>
        <v>1.2835865656472783E-2</v>
      </c>
      <c r="AI196" s="122">
        <f t="shared" si="73"/>
        <v>1.2835865656472781E-2</v>
      </c>
      <c r="AJ196" s="87" t="b">
        <f t="shared" si="80"/>
        <v>1</v>
      </c>
      <c r="AK196" s="88">
        <f t="shared" si="83"/>
        <v>7.9101595812071726E-4</v>
      </c>
      <c r="AL196" s="312">
        <f>+AC196/'MWh by month-WgtbyCDH&amp;DayLtHrs'!AC196-1</f>
        <v>-0.13874126444041213</v>
      </c>
      <c r="AM196" s="89">
        <f t="shared" si="74"/>
        <v>306929.54981845483</v>
      </c>
      <c r="AN196" s="90">
        <f>SUM(AM185:AM196)</f>
        <v>4065390.3708091993</v>
      </c>
      <c r="AO196" s="96">
        <f t="shared" si="87"/>
        <v>59.574780848930622</v>
      </c>
      <c r="AP196" s="92">
        <f t="shared" si="86"/>
        <v>4.4184015462742122E-3</v>
      </c>
      <c r="AR196" s="94">
        <f t="shared" si="75"/>
        <v>1.2835865656472781E-2</v>
      </c>
      <c r="AS196" s="95">
        <v>809014.09152322926</v>
      </c>
      <c r="AU196" s="141">
        <v>173.07025526810799</v>
      </c>
    </row>
    <row r="197" spans="1:47">
      <c r="A197" s="78">
        <v>2021</v>
      </c>
      <c r="B197" s="78">
        <v>1</v>
      </c>
      <c r="C197" s="317">
        <f t="shared" si="81"/>
        <v>26.112829868525239</v>
      </c>
      <c r="D197" s="324">
        <f t="shared" si="89"/>
        <v>1.3280829182176284E-2</v>
      </c>
      <c r="E197" s="321">
        <f>$D197*'MWh Impact Summary'!B$27</f>
        <v>44188.525024514463</v>
      </c>
      <c r="F197" s="319">
        <f>$D197*'MWh Impact Summary'!N$27</f>
        <v>5806.5634564263446</v>
      </c>
      <c r="G197" s="319">
        <f>$D197*'MWh Impact Summary'!C$27</f>
        <v>30797.346728658675</v>
      </c>
      <c r="H197" s="319">
        <f>$D197*'MWh Impact Summary'!D$27</f>
        <v>132.42883687676476</v>
      </c>
      <c r="I197" s="319">
        <f>$D197*'MWh Impact Summary'!E$27</f>
        <v>11297.177537782454</v>
      </c>
      <c r="J197" s="104">
        <f t="shared" si="76"/>
        <v>92222.041584258695</v>
      </c>
      <c r="K197" s="298">
        <f t="shared" si="82"/>
        <v>13.3</v>
      </c>
      <c r="L197" s="300">
        <f t="shared" si="90"/>
        <v>9.3629003871876101E-2</v>
      </c>
      <c r="M197" s="297">
        <f>(31/365)</f>
        <v>8.4931506849315067E-2</v>
      </c>
      <c r="N197" s="304">
        <f>$M197*'MWh Impact Summary'!F$27</f>
        <v>146287.57986945406</v>
      </c>
      <c r="O197" s="304">
        <f>$M197*'MWh Impact Summary'!G$27</f>
        <v>15670.265720436975</v>
      </c>
      <c r="P197" s="304">
        <f>$M197*'MWh Impact Summary'!H$27</f>
        <v>9566.7797527246166</v>
      </c>
      <c r="Q197" s="304">
        <f>$M197*'MWh Impact Summary'!I$27</f>
        <v>1599.4325245963701</v>
      </c>
      <c r="R197" s="304">
        <f>$M197*'MWh Impact Summary'!J$27</f>
        <v>44687.952157098225</v>
      </c>
      <c r="S197" s="304">
        <f>$M197*'MWh Impact Summary'!K$27</f>
        <v>24615.749176464124</v>
      </c>
      <c r="T197" s="304">
        <f>$M197*'MWh Impact Summary'!L$27</f>
        <v>8659.6462628792251</v>
      </c>
      <c r="U197" s="304">
        <f>$M197*'MWh Impact Summary'!M$27</f>
        <v>27059.567039112593</v>
      </c>
      <c r="V197" s="304">
        <f>$M197*'LED Impact Forecast'!$H$28+$D197*'LED Impact Forecast'!$J$28</f>
        <v>103985.30659815596</v>
      </c>
      <c r="W197" s="304">
        <f>$M197*'CFL Impact Forecast'!$H$28+$D197*'CFL Impact Forecast'!$J$28</f>
        <v>307878.65047673625</v>
      </c>
      <c r="X197" s="304">
        <f>$M197*'EISA Incand Impact Forecast'!$G$28+$D197*'EISA Incand Impact Forecast'!$I$28</f>
        <v>108118.01604924772</v>
      </c>
      <c r="Y197" s="85">
        <f t="shared" ref="Y197:Y260" si="91">SUM(N197:X197)</f>
        <v>798128.94562690612</v>
      </c>
      <c r="Z197" s="81">
        <f t="shared" ref="Z197:Z260" si="92">Y197+J197</f>
        <v>890350.98721116479</v>
      </c>
      <c r="AA197" s="81"/>
      <c r="AB197" s="262">
        <f>+'MWh by mo-WgtbyActulCDH&amp;Days'!AB197</f>
        <v>5157217.8149424428</v>
      </c>
      <c r="AC197" s="308">
        <f t="shared" si="77"/>
        <v>172.64172644239994</v>
      </c>
      <c r="AD197" s="309">
        <f t="shared" ref="AD197:AD260" si="93">+J197*1000/AB197</f>
        <v>17.882130422542165</v>
      </c>
      <c r="AE197" s="107">
        <f t="shared" ref="AE197:AE260" si="94">+AD197/K197/1000</f>
        <v>1.3445210844016664E-3</v>
      </c>
      <c r="AF197" s="309">
        <f t="shared" si="78"/>
        <v>154.75959601985778</v>
      </c>
      <c r="AG197" s="107">
        <f t="shared" ref="AG197:AG260" si="95">+AF197/K197/1000</f>
        <v>1.1636059851117127E-2</v>
      </c>
      <c r="AH197" s="119">
        <f t="shared" si="79"/>
        <v>1.2980580935518793E-2</v>
      </c>
      <c r="AI197" s="122">
        <f t="shared" ref="AI197:AI260" si="96">+AC197/K197/1000</f>
        <v>1.2980580935518791E-2</v>
      </c>
      <c r="AJ197" s="87" t="b">
        <f t="shared" si="80"/>
        <v>1</v>
      </c>
      <c r="AK197" s="88">
        <f t="shared" si="83"/>
        <v>7.5959906995987612E-4</v>
      </c>
      <c r="AL197" s="312">
        <f>+AC197/'MWh by month-WgtbyCDH&amp;DayLtHrs'!AC197-1</f>
        <v>-0.14286661150855451</v>
      </c>
      <c r="AM197" s="89">
        <f t="shared" ref="AM197:AM260" si="97">+W197</f>
        <v>307878.65047673625</v>
      </c>
      <c r="AN197" s="93"/>
      <c r="AO197" s="96">
        <f t="shared" si="87"/>
        <v>59.698593606943149</v>
      </c>
      <c r="AP197" s="92">
        <f t="shared" si="86"/>
        <v>4.4886160606724167E-3</v>
      </c>
      <c r="AR197" s="94">
        <f t="shared" ref="AR197:AR260" si="98">AI197</f>
        <v>1.2980580935518791E-2</v>
      </c>
      <c r="AS197" s="95">
        <v>817529.58394237643</v>
      </c>
      <c r="AU197" s="141">
        <v>172.64172644239994</v>
      </c>
    </row>
    <row r="198" spans="1:47">
      <c r="A198" s="78">
        <v>2021</v>
      </c>
      <c r="B198" s="78">
        <v>2</v>
      </c>
      <c r="C198" s="317">
        <f t="shared" si="81"/>
        <v>35.042184420393127</v>
      </c>
      <c r="D198" s="324">
        <f t="shared" si="89"/>
        <v>1.7822245532205266E-2</v>
      </c>
      <c r="E198" s="321">
        <f>$D198*'MWh Impact Summary'!B$27</f>
        <v>59298.913636342862</v>
      </c>
      <c r="F198" s="319">
        <f>$D198*'MWh Impact Summary'!N$27</f>
        <v>7792.1339247134947</v>
      </c>
      <c r="G198" s="319">
        <f>$D198*'MWh Impact Summary'!C$27</f>
        <v>41328.584805174854</v>
      </c>
      <c r="H198" s="319">
        <f>$D198*'MWh Impact Summary'!D$27</f>
        <v>177.71324470685698</v>
      </c>
      <c r="I198" s="319">
        <f>$D198*'MWh Impact Summary'!E$27</f>
        <v>15160.278709817721</v>
      </c>
      <c r="J198" s="104">
        <f t="shared" ref="J198:J261" si="99">SUM(E198:I198)</f>
        <v>123757.62432075579</v>
      </c>
      <c r="K198" s="298">
        <f t="shared" si="82"/>
        <v>12.733333333333333</v>
      </c>
      <c r="L198" s="300">
        <f t="shared" si="90"/>
        <v>8.9639798193124468E-2</v>
      </c>
      <c r="M198" s="297">
        <f>(28/365)</f>
        <v>7.6712328767123292E-2</v>
      </c>
      <c r="N198" s="304">
        <f>$M198*'MWh Impact Summary'!F$27</f>
        <v>132130.71730144238</v>
      </c>
      <c r="O198" s="304">
        <f>$M198*'MWh Impact Summary'!G$27</f>
        <v>14153.788392652752</v>
      </c>
      <c r="P198" s="304">
        <f>$M198*'MWh Impact Summary'!H$27</f>
        <v>8640.9623572996552</v>
      </c>
      <c r="Q198" s="304">
        <f>$M198*'MWh Impact Summary'!I$27</f>
        <v>1444.6487318934956</v>
      </c>
      <c r="R198" s="304">
        <f>$M198*'MWh Impact Summary'!J$27</f>
        <v>40363.311625766146</v>
      </c>
      <c r="S198" s="304">
        <f>$M198*'MWh Impact Summary'!K$27</f>
        <v>22233.579901322435</v>
      </c>
      <c r="T198" s="304">
        <f>$M198*'MWh Impact Summary'!L$27</f>
        <v>7821.6159793747838</v>
      </c>
      <c r="U198" s="304">
        <f>$M198*'MWh Impact Summary'!M$27</f>
        <v>24440.899261133956</v>
      </c>
      <c r="V198" s="304">
        <f>$M198*'LED Impact Forecast'!$H$28+$D198*'LED Impact Forecast'!$J$28</f>
        <v>95023.025195708178</v>
      </c>
      <c r="W198" s="304">
        <f>$M198*'CFL Impact Forecast'!$H$28+$D198*'CFL Impact Forecast'!$J$28</f>
        <v>281605.27327249415</v>
      </c>
      <c r="X198" s="304">
        <f>$M198*'EISA Incand Impact Forecast'!$G$28+$D198*'EISA Incand Impact Forecast'!$I$28</f>
        <v>98989.825480994914</v>
      </c>
      <c r="Y198" s="85">
        <f t="shared" si="91"/>
        <v>726847.64750008273</v>
      </c>
      <c r="Z198" s="81">
        <f t="shared" si="92"/>
        <v>850605.27182083856</v>
      </c>
      <c r="AA198" s="81"/>
      <c r="AB198" s="262">
        <f>+'MWh by mo-WgtbyActulCDH&amp;Days'!AB198</f>
        <v>5162310.6728719575</v>
      </c>
      <c r="AC198" s="308">
        <f t="shared" ref="AC198:AC261" si="100">+Z198*1000/AB198</f>
        <v>164.77219712691561</v>
      </c>
      <c r="AD198" s="309">
        <f t="shared" si="93"/>
        <v>23.973300361619941</v>
      </c>
      <c r="AE198" s="107">
        <f t="shared" si="94"/>
        <v>1.8827199236874301E-3</v>
      </c>
      <c r="AF198" s="309">
        <f t="shared" ref="AF198:AF261" si="101">+Y198*1000/AB198</f>
        <v>140.79889676529567</v>
      </c>
      <c r="AG198" s="107">
        <f t="shared" si="95"/>
        <v>1.1057504981567722E-2</v>
      </c>
      <c r="AH198" s="119">
        <f t="shared" ref="AH198:AH261" si="102">AE198+AG198</f>
        <v>1.2940224905255152E-2</v>
      </c>
      <c r="AI198" s="122">
        <f t="shared" si="96"/>
        <v>1.2940224905255154E-2</v>
      </c>
      <c r="AJ198" s="87" t="b">
        <f t="shared" ref="AJ198:AJ261" si="103">AH198=AI198</f>
        <v>1</v>
      </c>
      <c r="AK198" s="88">
        <f t="shared" si="83"/>
        <v>3.8323170700759433E-4</v>
      </c>
      <c r="AL198" s="312">
        <f>+AC198/'MWh by month-WgtbyCDH&amp;DayLtHrs'!AC198-1</f>
        <v>-0.17801516751676338</v>
      </c>
      <c r="AM198" s="89">
        <f t="shared" si="97"/>
        <v>281605.27327249415</v>
      </c>
      <c r="AN198" s="93"/>
      <c r="AO198" s="96">
        <f t="shared" si="87"/>
        <v>54.5502375035922</v>
      </c>
      <c r="AP198" s="92">
        <f t="shared" si="86"/>
        <v>4.2840500657271366E-3</v>
      </c>
      <c r="AR198" s="94">
        <f t="shared" si="98"/>
        <v>1.2940224905255154E-2</v>
      </c>
      <c r="AS198" s="95">
        <v>756573.78368226485</v>
      </c>
      <c r="AU198" s="141">
        <v>164.77219712691561</v>
      </c>
    </row>
    <row r="199" spans="1:47">
      <c r="A199" s="78">
        <v>2021</v>
      </c>
      <c r="B199" s="78">
        <v>3</v>
      </c>
      <c r="C199" s="317">
        <f t="shared" si="81"/>
        <v>64.582270600115152</v>
      </c>
      <c r="D199" s="324">
        <f t="shared" si="89"/>
        <v>3.2846156787895278E-2</v>
      </c>
      <c r="E199" s="321">
        <f>$D199*'MWh Impact Summary'!B$27</f>
        <v>109287.09354450084</v>
      </c>
      <c r="F199" s="319">
        <f>$D199*'MWh Impact Summary'!N$27</f>
        <v>14360.797136417177</v>
      </c>
      <c r="G199" s="319">
        <f>$D199*'MWh Impact Summary'!C$27</f>
        <v>76168.021245111246</v>
      </c>
      <c r="H199" s="319">
        <f>$D199*'MWh Impact Summary'!D$27</f>
        <v>327.52309962170904</v>
      </c>
      <c r="I199" s="319">
        <f>$D199*'MWh Impact Summary'!E$27</f>
        <v>27940.188039214387</v>
      </c>
      <c r="J199" s="104">
        <f t="shared" si="99"/>
        <v>228083.62306486533</v>
      </c>
      <c r="K199" s="298">
        <f t="shared" si="82"/>
        <v>12</v>
      </c>
      <c r="L199" s="300">
        <f t="shared" si="90"/>
        <v>8.4477296726504739E-2</v>
      </c>
      <c r="M199" s="297">
        <f t="shared" ref="M199:M208" si="104">(31/365)</f>
        <v>8.4931506849315067E-2</v>
      </c>
      <c r="N199" s="304">
        <f>$M199*'MWh Impact Summary'!F$27</f>
        <v>146287.57986945406</v>
      </c>
      <c r="O199" s="304">
        <f>$M199*'MWh Impact Summary'!G$27</f>
        <v>15670.265720436975</v>
      </c>
      <c r="P199" s="304">
        <f>$M199*'MWh Impact Summary'!H$27</f>
        <v>9566.7797527246166</v>
      </c>
      <c r="Q199" s="304">
        <f>$M199*'MWh Impact Summary'!I$27</f>
        <v>1599.4325245963701</v>
      </c>
      <c r="R199" s="304">
        <f>$M199*'MWh Impact Summary'!J$27</f>
        <v>44687.952157098225</v>
      </c>
      <c r="S199" s="304">
        <f>$M199*'MWh Impact Summary'!K$27</f>
        <v>24615.749176464124</v>
      </c>
      <c r="T199" s="304">
        <f>$M199*'MWh Impact Summary'!L$27</f>
        <v>8659.6462628792251</v>
      </c>
      <c r="U199" s="304">
        <f>$M199*'MWh Impact Summary'!M$27</f>
        <v>27059.567039112593</v>
      </c>
      <c r="V199" s="304">
        <f>$M199*'LED Impact Forecast'!$H$28+$D199*'LED Impact Forecast'!$J$28</f>
        <v>107681.72454310792</v>
      </c>
      <c r="W199" s="304">
        <f>$M199*'CFL Impact Forecast'!$H$28+$D199*'CFL Impact Forecast'!$J$28</f>
        <v>319702.9233560047</v>
      </c>
      <c r="X199" s="304">
        <f>$M199*'EISA Incand Impact Forecast'!$G$28+$D199*'EISA Incand Impact Forecast'!$I$28</f>
        <v>112600.28459354503</v>
      </c>
      <c r="Y199" s="85">
        <f t="shared" si="91"/>
        <v>818131.90499542386</v>
      </c>
      <c r="Z199" s="81">
        <f t="shared" si="92"/>
        <v>1046215.5280602892</v>
      </c>
      <c r="AA199" s="81"/>
      <c r="AB199" s="262">
        <f>+'MWh by mo-WgtbyActulCDH&amp;Days'!AB199</f>
        <v>5167504.396665371</v>
      </c>
      <c r="AC199" s="308">
        <f t="shared" si="100"/>
        <v>202.46050080487981</v>
      </c>
      <c r="AD199" s="309">
        <f t="shared" si="93"/>
        <v>44.13806076527954</v>
      </c>
      <c r="AE199" s="107">
        <f t="shared" si="94"/>
        <v>3.6781717304399616E-3</v>
      </c>
      <c r="AF199" s="309">
        <f t="shared" si="101"/>
        <v>158.32244003960025</v>
      </c>
      <c r="AG199" s="107">
        <f t="shared" si="95"/>
        <v>1.3193536669966689E-2</v>
      </c>
      <c r="AH199" s="119">
        <f t="shared" si="102"/>
        <v>1.6871708400406651E-2</v>
      </c>
      <c r="AI199" s="122">
        <f t="shared" si="96"/>
        <v>1.6871708400406651E-2</v>
      </c>
      <c r="AJ199" s="87" t="b">
        <f t="shared" si="103"/>
        <v>1</v>
      </c>
      <c r="AK199" s="88">
        <f t="shared" si="83"/>
        <v>9.4158903051762277E-4</v>
      </c>
      <c r="AL199" s="312">
        <f>+AC199/'MWh by month-WgtbyCDH&amp;DayLtHrs'!AC199-1</f>
        <v>-4.3014571227232179E-2</v>
      </c>
      <c r="AM199" s="89">
        <f t="shared" si="97"/>
        <v>319702.9233560047</v>
      </c>
      <c r="AN199" s="93"/>
      <c r="AO199" s="96">
        <f t="shared" si="87"/>
        <v>61.867953815832529</v>
      </c>
      <c r="AP199" s="92">
        <f t="shared" si="86"/>
        <v>5.1556628179860436E-3</v>
      </c>
      <c r="AR199" s="94">
        <f t="shared" si="98"/>
        <v>1.6871708400406651E-2</v>
      </c>
      <c r="AS199" s="95">
        <v>905658.16661233245</v>
      </c>
      <c r="AU199" s="141">
        <v>202.46050080487981</v>
      </c>
    </row>
    <row r="200" spans="1:47">
      <c r="A200" s="78">
        <v>2021</v>
      </c>
      <c r="B200" s="78">
        <v>4</v>
      </c>
      <c r="C200" s="317">
        <f t="shared" si="81"/>
        <v>114.03392869270741</v>
      </c>
      <c r="D200" s="324">
        <f t="shared" si="89"/>
        <v>5.7996974497419709E-2</v>
      </c>
      <c r="E200" s="321">
        <f>$D200*'MWh Impact Summary'!B$27</f>
        <v>192969.93612151861</v>
      </c>
      <c r="F200" s="319">
        <f>$D200*'MWh Impact Summary'!N$27</f>
        <v>25357.084868764479</v>
      </c>
      <c r="G200" s="319">
        <f>$D200*'MWh Impact Summary'!C$27</f>
        <v>134491.07042257121</v>
      </c>
      <c r="H200" s="319">
        <f>$D200*'MWh Impact Summary'!D$27</f>
        <v>578.31267684493389</v>
      </c>
      <c r="I200" s="319">
        <f>$D200*'MWh Impact Summary'!E$27</f>
        <v>49334.428488163569</v>
      </c>
      <c r="J200" s="104">
        <f t="shared" si="99"/>
        <v>402730.83257786278</v>
      </c>
      <c r="K200" s="298">
        <f t="shared" si="82"/>
        <v>11.2</v>
      </c>
      <c r="L200" s="300">
        <f t="shared" si="90"/>
        <v>7.8845476944737758E-2</v>
      </c>
      <c r="M200" s="297">
        <f>(30/365)</f>
        <v>8.2191780821917804E-2</v>
      </c>
      <c r="N200" s="304">
        <f>$M200*'MWh Impact Summary'!F$27</f>
        <v>141568.62568011682</v>
      </c>
      <c r="O200" s="304">
        <f>$M200*'MWh Impact Summary'!G$27</f>
        <v>15164.773277842232</v>
      </c>
      <c r="P200" s="304">
        <f>$M200*'MWh Impact Summary'!H$27</f>
        <v>9258.1739542496289</v>
      </c>
      <c r="Q200" s="304">
        <f>$M200*'MWh Impact Summary'!I$27</f>
        <v>1547.8379270287451</v>
      </c>
      <c r="R200" s="304">
        <f>$M200*'MWh Impact Summary'!J$27</f>
        <v>43246.405313320865</v>
      </c>
      <c r="S200" s="304">
        <f>$M200*'MWh Impact Summary'!K$27</f>
        <v>23821.692751416893</v>
      </c>
      <c r="T200" s="304">
        <f>$M200*'MWh Impact Summary'!L$27</f>
        <v>8380.302835044411</v>
      </c>
      <c r="U200" s="304">
        <f>$M200*'MWh Impact Summary'!M$27</f>
        <v>26186.67777978638</v>
      </c>
      <c r="V200" s="304">
        <f>$M200*'LED Impact Forecast'!$H$28+$D200*'LED Impact Forecast'!$J$28</f>
        <v>109159.96637407123</v>
      </c>
      <c r="W200" s="304">
        <f>$M200*'CFL Impact Forecast'!$H$28+$D200*'CFL Impact Forecast'!$J$28</f>
        <v>325230.11961613607</v>
      </c>
      <c r="X200" s="304">
        <f>$M200*'EISA Incand Impact Forecast'!$G$28+$D200*'EISA Incand Impact Forecast'!$I$28</f>
        <v>114972.61510063344</v>
      </c>
      <c r="Y200" s="85">
        <f t="shared" si="91"/>
        <v>818537.19060964673</v>
      </c>
      <c r="Z200" s="81">
        <f t="shared" si="92"/>
        <v>1221268.0231875095</v>
      </c>
      <c r="AA200" s="81"/>
      <c r="AB200" s="262">
        <f>+'MWh by mo-WgtbyActulCDH&amp;Days'!AB200</f>
        <v>5172569.6347586866</v>
      </c>
      <c r="AC200" s="308">
        <f t="shared" si="100"/>
        <v>236.10470412632438</v>
      </c>
      <c r="AD200" s="309">
        <f t="shared" si="93"/>
        <v>77.858948456022318</v>
      </c>
      <c r="AE200" s="107">
        <f t="shared" si="94"/>
        <v>6.951691826430564E-3</v>
      </c>
      <c r="AF200" s="309">
        <f t="shared" si="101"/>
        <v>158.24575567030206</v>
      </c>
      <c r="AG200" s="107">
        <f t="shared" si="95"/>
        <v>1.4129085327705543E-2</v>
      </c>
      <c r="AH200" s="119">
        <f t="shared" si="102"/>
        <v>2.1080777154136109E-2</v>
      </c>
      <c r="AI200" s="122">
        <f t="shared" si="96"/>
        <v>2.1080777154136109E-2</v>
      </c>
      <c r="AJ200" s="87" t="b">
        <f t="shared" si="103"/>
        <v>1</v>
      </c>
      <c r="AK200" s="88">
        <f t="shared" si="83"/>
        <v>1.1186599676543188E-3</v>
      </c>
      <c r="AL200" s="312">
        <f>+AC200/'MWh by month-WgtbyCDH&amp;DayLtHrs'!AC200-1</f>
        <v>2.8386685527341804E-3</v>
      </c>
      <c r="AM200" s="89">
        <f t="shared" si="97"/>
        <v>325230.11961613607</v>
      </c>
      <c r="AN200" s="93"/>
      <c r="AO200" s="96">
        <f t="shared" si="87"/>
        <v>62.875928712617295</v>
      </c>
      <c r="AP200" s="92">
        <f t="shared" si="86"/>
        <v>5.6139222064836873E-3</v>
      </c>
      <c r="AR200" s="94">
        <f t="shared" si="98"/>
        <v>2.1080777154136109E-2</v>
      </c>
      <c r="AS200" s="95">
        <v>1044428.6427978469</v>
      </c>
      <c r="AU200" s="141">
        <v>236.10470412632438</v>
      </c>
    </row>
    <row r="201" spans="1:47">
      <c r="A201" s="78">
        <v>2021</v>
      </c>
      <c r="B201" s="78">
        <v>5</v>
      </c>
      <c r="C201" s="317">
        <f t="shared" si="81"/>
        <v>208.47875842628665</v>
      </c>
      <c r="D201" s="324">
        <f t="shared" si="89"/>
        <v>0.10603105035770212</v>
      </c>
      <c r="E201" s="321">
        <f>$D201*'MWh Impact Summary'!B$27</f>
        <v>352790.90317605453</v>
      </c>
      <c r="F201" s="319">
        <f>$D201*'MWh Impact Summary'!N$27</f>
        <v>46358.251718184205</v>
      </c>
      <c r="G201" s="319">
        <f>$D201*'MWh Impact Summary'!C$27</f>
        <v>245878.85116785447</v>
      </c>
      <c r="H201" s="319">
        <f>$D201*'MWh Impact Summary'!D$27</f>
        <v>1057.2810235777179</v>
      </c>
      <c r="I201" s="319">
        <f>$D201*'MWh Impact Summary'!E$27</f>
        <v>90194.037132568919</v>
      </c>
      <c r="J201" s="104">
        <f t="shared" si="99"/>
        <v>736279.32421823975</v>
      </c>
      <c r="K201" s="298">
        <f t="shared" si="82"/>
        <v>10.533333333333333</v>
      </c>
      <c r="L201" s="300">
        <f t="shared" si="90"/>
        <v>7.4152293793265281E-2</v>
      </c>
      <c r="M201" s="297">
        <f t="shared" si="104"/>
        <v>8.4931506849315067E-2</v>
      </c>
      <c r="N201" s="304">
        <f>$M201*'MWh Impact Summary'!F$27</f>
        <v>146287.57986945406</v>
      </c>
      <c r="O201" s="304">
        <f>$M201*'MWh Impact Summary'!G$27</f>
        <v>15670.265720436975</v>
      </c>
      <c r="P201" s="304">
        <f>$M201*'MWh Impact Summary'!H$27</f>
        <v>9566.7797527246166</v>
      </c>
      <c r="Q201" s="304">
        <f>$M201*'MWh Impact Summary'!I$27</f>
        <v>1599.4325245963701</v>
      </c>
      <c r="R201" s="304">
        <f>$M201*'MWh Impact Summary'!J$27</f>
        <v>44687.952157098225</v>
      </c>
      <c r="S201" s="304">
        <f>$M201*'MWh Impact Summary'!K$27</f>
        <v>24615.749176464124</v>
      </c>
      <c r="T201" s="304">
        <f>$M201*'MWh Impact Summary'!L$27</f>
        <v>8659.6462628792251</v>
      </c>
      <c r="U201" s="304">
        <f>$M201*'MWh Impact Summary'!M$27</f>
        <v>27059.567039112593</v>
      </c>
      <c r="V201" s="304">
        <f>$M201*'LED Impact Forecast'!$H$28+$D201*'LED Impact Forecast'!$J$28</f>
        <v>121508.32429867545</v>
      </c>
      <c r="W201" s="304">
        <f>$M201*'CFL Impact Forecast'!$H$28+$D201*'CFL Impact Forecast'!$J$28</f>
        <v>363932.09087358159</v>
      </c>
      <c r="X201" s="304">
        <f>$M201*'EISA Incand Impact Forecast'!$G$28+$D201*'EISA Incand Impact Forecast'!$I$28</f>
        <v>129366.39007239256</v>
      </c>
      <c r="Y201" s="85">
        <f t="shared" si="91"/>
        <v>892953.7777474157</v>
      </c>
      <c r="Z201" s="81">
        <f t="shared" si="92"/>
        <v>1629233.1019656556</v>
      </c>
      <c r="AA201" s="81"/>
      <c r="AB201" s="262">
        <f>+'MWh by mo-WgtbyActulCDH&amp;Days'!AB201</f>
        <v>5177582.9748099707</v>
      </c>
      <c r="AC201" s="308">
        <f t="shared" si="100"/>
        <v>314.67059241584673</v>
      </c>
      <c r="AD201" s="309">
        <f t="shared" si="93"/>
        <v>142.20521965565661</v>
      </c>
      <c r="AE201" s="107">
        <f t="shared" si="94"/>
        <v>1.3500495536929424E-2</v>
      </c>
      <c r="AF201" s="309">
        <f t="shared" si="101"/>
        <v>172.46537276019012</v>
      </c>
      <c r="AG201" s="107">
        <f t="shared" si="95"/>
        <v>1.6373294882296531E-2</v>
      </c>
      <c r="AH201" s="119">
        <f t="shared" si="102"/>
        <v>2.9873790419225957E-2</v>
      </c>
      <c r="AI201" s="122">
        <f t="shared" si="96"/>
        <v>2.9873790419225953E-2</v>
      </c>
      <c r="AJ201" s="87" t="b">
        <f t="shared" si="103"/>
        <v>1</v>
      </c>
      <c r="AK201" s="88">
        <f t="shared" si="83"/>
        <v>1.4926078755610056E-3</v>
      </c>
      <c r="AL201" s="312">
        <f>+AC201/'MWh by month-WgtbyCDH&amp;DayLtHrs'!AC201-1</f>
        <v>7.9227657739556534E-2</v>
      </c>
      <c r="AM201" s="89">
        <f t="shared" si="97"/>
        <v>363932.09087358159</v>
      </c>
      <c r="AN201" s="93"/>
      <c r="AO201" s="96">
        <f t="shared" si="87"/>
        <v>70.289958199450922</v>
      </c>
      <c r="AP201" s="92">
        <f t="shared" si="86"/>
        <v>6.6730972974162273E-3</v>
      </c>
      <c r="AR201" s="94">
        <f t="shared" si="98"/>
        <v>2.9873790419225953E-2</v>
      </c>
      <c r="AS201" s="95">
        <v>1229631.339983386</v>
      </c>
      <c r="AU201" s="141">
        <v>314.67059241584673</v>
      </c>
    </row>
    <row r="202" spans="1:47">
      <c r="A202" s="78">
        <v>2021</v>
      </c>
      <c r="B202" s="78">
        <v>6</v>
      </c>
      <c r="C202" s="317">
        <f t="shared" si="81"/>
        <v>271.66325293295364</v>
      </c>
      <c r="D202" s="324">
        <f t="shared" si="89"/>
        <v>0.13816630657965029</v>
      </c>
      <c r="E202" s="321">
        <f>$D202*'MWh Impact Summary'!B$27</f>
        <v>459712.65890787914</v>
      </c>
      <c r="F202" s="319">
        <f>$D202*'MWh Impact Summary'!N$27</f>
        <v>60408.233227748722</v>
      </c>
      <c r="G202" s="319">
        <f>$D202*'MWh Impact Summary'!C$27</f>
        <v>320398.3419696666</v>
      </c>
      <c r="H202" s="319">
        <f>$D202*'MWh Impact Summary'!D$27</f>
        <v>1377.7154291282948</v>
      </c>
      <c r="I202" s="319">
        <f>$D202*'MWh Impact Summary'!E$27</f>
        <v>117529.50615951011</v>
      </c>
      <c r="J202" s="104">
        <f t="shared" si="99"/>
        <v>959426.45569393283</v>
      </c>
      <c r="K202" s="298">
        <f t="shared" si="82"/>
        <v>10.199999999999999</v>
      </c>
      <c r="L202" s="300">
        <f t="shared" si="90"/>
        <v>7.1805702217529022E-2</v>
      </c>
      <c r="M202" s="297">
        <f>(30/365)</f>
        <v>8.2191780821917804E-2</v>
      </c>
      <c r="N202" s="304">
        <f>$M202*'MWh Impact Summary'!F$27</f>
        <v>141568.62568011682</v>
      </c>
      <c r="O202" s="304">
        <f>$M202*'MWh Impact Summary'!G$27</f>
        <v>15164.773277842232</v>
      </c>
      <c r="P202" s="304">
        <f>$M202*'MWh Impact Summary'!H$27</f>
        <v>9258.1739542496289</v>
      </c>
      <c r="Q202" s="304">
        <f>$M202*'MWh Impact Summary'!I$27</f>
        <v>1547.8379270287451</v>
      </c>
      <c r="R202" s="304">
        <f>$M202*'MWh Impact Summary'!J$27</f>
        <v>43246.405313320865</v>
      </c>
      <c r="S202" s="304">
        <f>$M202*'MWh Impact Summary'!K$27</f>
        <v>23821.692751416893</v>
      </c>
      <c r="T202" s="304">
        <f>$M202*'MWh Impact Summary'!L$27</f>
        <v>8380.302835044411</v>
      </c>
      <c r="U202" s="304">
        <f>$M202*'MWh Impact Summary'!M$27</f>
        <v>26186.67777978638</v>
      </c>
      <c r="V202" s="304">
        <f>$M202*'LED Impact Forecast'!$H$28+$D202*'LED Impact Forecast'!$J$28</f>
        <v>124306.11489329913</v>
      </c>
      <c r="W202" s="304">
        <f>$M202*'CFL Impact Forecast'!$H$28+$D202*'CFL Impact Forecast'!$J$28</f>
        <v>373680.32081858866</v>
      </c>
      <c r="X202" s="304">
        <f>$M202*'EISA Incand Impact Forecast'!$G$28+$D202*'EISA Incand Impact Forecast'!$I$28</f>
        <v>133338.80260594623</v>
      </c>
      <c r="Y202" s="85">
        <f t="shared" si="91"/>
        <v>900499.72783663997</v>
      </c>
      <c r="Z202" s="81">
        <f t="shared" si="92"/>
        <v>1859926.1835305728</v>
      </c>
      <c r="AA202" s="81"/>
      <c r="AB202" s="262">
        <f>+'MWh by mo-WgtbyActulCDH&amp;Days'!AB202</f>
        <v>5182599.1656009592</v>
      </c>
      <c r="AC202" s="308">
        <f t="shared" si="100"/>
        <v>358.87903426444154</v>
      </c>
      <c r="AD202" s="309">
        <f t="shared" si="93"/>
        <v>185.1245726395436</v>
      </c>
      <c r="AE202" s="107">
        <f t="shared" si="94"/>
        <v>1.8149467905837612E-2</v>
      </c>
      <c r="AF202" s="309">
        <f t="shared" si="101"/>
        <v>173.75446162489794</v>
      </c>
      <c r="AG202" s="107">
        <f t="shared" si="95"/>
        <v>1.7034751139695877E-2</v>
      </c>
      <c r="AH202" s="119">
        <f t="shared" si="102"/>
        <v>3.5184219045533489E-2</v>
      </c>
      <c r="AI202" s="122">
        <f t="shared" si="96"/>
        <v>3.5184219045533489E-2</v>
      </c>
      <c r="AJ202" s="87" t="b">
        <f t="shared" si="103"/>
        <v>1</v>
      </c>
      <c r="AK202" s="88">
        <f t="shared" si="83"/>
        <v>1.7007233281909895E-3</v>
      </c>
      <c r="AL202" s="312">
        <f>+AC202/'MWh by month-WgtbyCDH&amp;DayLtHrs'!AC202-1</f>
        <v>8.64622900099834E-2</v>
      </c>
      <c r="AM202" s="89">
        <f t="shared" si="97"/>
        <v>373680.32081858866</v>
      </c>
      <c r="AN202" s="93"/>
      <c r="AO202" s="96">
        <f t="shared" si="87"/>
        <v>72.102879053209165</v>
      </c>
      <c r="AP202" s="92">
        <f t="shared" si="86"/>
        <v>7.0689097110989384E-3</v>
      </c>
      <c r="AR202" s="94">
        <f t="shared" si="98"/>
        <v>3.5184219045533489E-2</v>
      </c>
      <c r="AS202" s="95">
        <v>1480819.0403773016</v>
      </c>
      <c r="AU202" s="141">
        <v>358.87903426444154</v>
      </c>
    </row>
    <row r="203" spans="1:47">
      <c r="A203" s="78">
        <v>2021</v>
      </c>
      <c r="B203" s="78">
        <v>7</v>
      </c>
      <c r="C203" s="317">
        <f t="shared" si="81"/>
        <v>322.31916585708109</v>
      </c>
      <c r="D203" s="324">
        <f t="shared" si="89"/>
        <v>0.16392960109808263</v>
      </c>
      <c r="E203" s="321">
        <f>$D203*'MWh Impact Summary'!B$27</f>
        <v>545433.35969586496</v>
      </c>
      <c r="F203" s="319">
        <f>$D203*'MWh Impact Summary'!N$27</f>
        <v>71672.304349802303</v>
      </c>
      <c r="G203" s="319">
        <f>$D203*'MWh Impact Summary'!C$27</f>
        <v>380141.68353914941</v>
      </c>
      <c r="H203" s="319">
        <f>$D203*'MWh Impact Summary'!D$27</f>
        <v>1634.6122749794847</v>
      </c>
      <c r="I203" s="319">
        <f>$D203*'MWh Impact Summary'!E$27</f>
        <v>139444.74263612399</v>
      </c>
      <c r="J203" s="104">
        <f t="shared" si="99"/>
        <v>1138326.70249592</v>
      </c>
      <c r="K203" s="298">
        <f t="shared" si="82"/>
        <v>10.366666666666667</v>
      </c>
      <c r="L203" s="300">
        <f t="shared" si="90"/>
        <v>7.2978998005397158E-2</v>
      </c>
      <c r="M203" s="297">
        <f t="shared" si="104"/>
        <v>8.4931506849315067E-2</v>
      </c>
      <c r="N203" s="304">
        <f>$M203*'MWh Impact Summary'!F$27</f>
        <v>146287.57986945406</v>
      </c>
      <c r="O203" s="304">
        <f>$M203*'MWh Impact Summary'!G$27</f>
        <v>15670.265720436975</v>
      </c>
      <c r="P203" s="304">
        <f>$M203*'MWh Impact Summary'!H$27</f>
        <v>9566.7797527246166</v>
      </c>
      <c r="Q203" s="304">
        <f>$M203*'MWh Impact Summary'!I$27</f>
        <v>1599.4325245963701</v>
      </c>
      <c r="R203" s="304">
        <f>$M203*'MWh Impact Summary'!J$27</f>
        <v>44687.952157098225</v>
      </c>
      <c r="S203" s="304">
        <f>$M203*'MWh Impact Summary'!K$27</f>
        <v>24615.749176464124</v>
      </c>
      <c r="T203" s="304">
        <f>$M203*'MWh Impact Summary'!L$27</f>
        <v>8659.6462628792251</v>
      </c>
      <c r="U203" s="304">
        <f>$M203*'MWh Impact Summary'!M$27</f>
        <v>27059.567039112593</v>
      </c>
      <c r="V203" s="304">
        <f>$M203*'LED Impact Forecast'!$H$28+$D203*'LED Impact Forecast'!$J$28</f>
        <v>132446.92171223962</v>
      </c>
      <c r="W203" s="304">
        <f>$M203*'CFL Impact Forecast'!$H$28+$D203*'CFL Impact Forecast'!$J$28</f>
        <v>398922.98277504492</v>
      </c>
      <c r="X203" s="304">
        <f>$M203*'EISA Incand Impact Forecast'!$G$28+$D203*'EISA Incand Impact Forecast'!$I$28</f>
        <v>142630.51004900629</v>
      </c>
      <c r="Y203" s="85">
        <f t="shared" si="91"/>
        <v>952147.3870390571</v>
      </c>
      <c r="Z203" s="81">
        <f t="shared" si="92"/>
        <v>2090474.089534977</v>
      </c>
      <c r="AA203" s="81"/>
      <c r="AB203" s="262">
        <f>+'MWh by mo-WgtbyActulCDH&amp;Days'!AB203</f>
        <v>5187842.8780874414</v>
      </c>
      <c r="AC203" s="308">
        <f t="shared" si="100"/>
        <v>402.95632282249352</v>
      </c>
      <c r="AD203" s="309">
        <f t="shared" si="93"/>
        <v>219.42196964060278</v>
      </c>
      <c r="AE203" s="107">
        <f t="shared" si="94"/>
        <v>2.1166106396199622E-2</v>
      </c>
      <c r="AF203" s="309">
        <f t="shared" si="101"/>
        <v>183.53435318189076</v>
      </c>
      <c r="AG203" s="107">
        <f t="shared" si="95"/>
        <v>1.770427844198303E-2</v>
      </c>
      <c r="AH203" s="119">
        <f t="shared" si="102"/>
        <v>3.8870384838182656E-2</v>
      </c>
      <c r="AI203" s="122">
        <f t="shared" si="96"/>
        <v>3.8870384838182649E-2</v>
      </c>
      <c r="AJ203" s="87" t="b">
        <f t="shared" si="103"/>
        <v>0</v>
      </c>
      <c r="AK203" s="88">
        <f t="shared" si="83"/>
        <v>1.8511819887555292E-3</v>
      </c>
      <c r="AL203" s="312">
        <f>+AC203/'MWh by month-WgtbyCDH&amp;DayLtHrs'!AC203-1</f>
        <v>9.9529947940232733E-2</v>
      </c>
      <c r="AM203" s="89">
        <f t="shared" si="97"/>
        <v>398922.98277504492</v>
      </c>
      <c r="AN203" s="93"/>
      <c r="AO203" s="96">
        <f t="shared" si="87"/>
        <v>76.895733380829085</v>
      </c>
      <c r="AP203" s="92">
        <f t="shared" si="86"/>
        <v>7.41759485988705E-3</v>
      </c>
      <c r="AR203" s="94">
        <f t="shared" si="98"/>
        <v>3.8870384838182649E-2</v>
      </c>
      <c r="AS203" s="95">
        <v>1548236.5721445843</v>
      </c>
      <c r="AU203" s="141">
        <v>402.95632282249352</v>
      </c>
    </row>
    <row r="204" spans="1:47">
      <c r="A204" s="78">
        <v>2021</v>
      </c>
      <c r="B204" s="78">
        <v>8</v>
      </c>
      <c r="C204" s="317">
        <f t="shared" si="81"/>
        <v>326.45437890907908</v>
      </c>
      <c r="D204" s="324">
        <f t="shared" si="89"/>
        <v>0.16603274573816959</v>
      </c>
      <c r="E204" s="321">
        <f>$D204*'MWh Impact Summary'!B$27</f>
        <v>552431.02966690715</v>
      </c>
      <c r="F204" s="319">
        <f>$D204*'MWh Impact Summary'!N$27</f>
        <v>72591.828473122645</v>
      </c>
      <c r="G204" s="319">
        <f>$D204*'MWh Impact Summary'!C$27</f>
        <v>385018.73404652323</v>
      </c>
      <c r="H204" s="319">
        <f>$D204*'MWh Impact Summary'!D$27</f>
        <v>1655.5836311086716</v>
      </c>
      <c r="I204" s="319">
        <f>$D204*'MWh Impact Summary'!E$27</f>
        <v>141233.75731742001</v>
      </c>
      <c r="J204" s="104">
        <f t="shared" si="99"/>
        <v>1152930.9331350818</v>
      </c>
      <c r="K204" s="298">
        <f t="shared" si="82"/>
        <v>10.933333333333334</v>
      </c>
      <c r="L204" s="300">
        <f t="shared" si="90"/>
        <v>7.6968203684148764E-2</v>
      </c>
      <c r="M204" s="297">
        <f t="shared" si="104"/>
        <v>8.4931506849315067E-2</v>
      </c>
      <c r="N204" s="304">
        <f>$M204*'MWh Impact Summary'!F$27</f>
        <v>146287.57986945406</v>
      </c>
      <c r="O204" s="304">
        <f>$M204*'MWh Impact Summary'!G$27</f>
        <v>15670.265720436975</v>
      </c>
      <c r="P204" s="304">
        <f>$M204*'MWh Impact Summary'!H$27</f>
        <v>9566.7797527246166</v>
      </c>
      <c r="Q204" s="304">
        <f>$M204*'MWh Impact Summary'!I$27</f>
        <v>1599.4325245963701</v>
      </c>
      <c r="R204" s="304">
        <f>$M204*'MWh Impact Summary'!J$27</f>
        <v>44687.952157098225</v>
      </c>
      <c r="S204" s="304">
        <f>$M204*'MWh Impact Summary'!K$27</f>
        <v>24615.749176464124</v>
      </c>
      <c r="T204" s="304">
        <f>$M204*'MWh Impact Summary'!L$27</f>
        <v>8659.6462628792251</v>
      </c>
      <c r="U204" s="304">
        <f>$M204*'MWh Impact Summary'!M$27</f>
        <v>27059.567039112593</v>
      </c>
      <c r="V204" s="304">
        <f>$M204*'LED Impact Forecast'!$H$28+$D204*'LED Impact Forecast'!$J$28</f>
        <v>132844.26244402348</v>
      </c>
      <c r="W204" s="304">
        <f>$M204*'CFL Impact Forecast'!$H$28+$D204*'CFL Impact Forecast'!$J$28</f>
        <v>400194.01470612746</v>
      </c>
      <c r="X204" s="304">
        <f>$M204*'EISA Incand Impact Forecast'!$G$28+$D204*'EISA Incand Impact Forecast'!$I$28</f>
        <v>143112.32457592551</v>
      </c>
      <c r="Y204" s="85">
        <f t="shared" si="91"/>
        <v>954297.57422884263</v>
      </c>
      <c r="Z204" s="81">
        <f t="shared" si="92"/>
        <v>2107228.5073639243</v>
      </c>
      <c r="AA204" s="81"/>
      <c r="AB204" s="262">
        <f>+'MWh by mo-WgtbyActulCDH&amp;Days'!AB204</f>
        <v>5193203.3234929005</v>
      </c>
      <c r="AC204" s="308">
        <f t="shared" si="100"/>
        <v>405.76660995175939</v>
      </c>
      <c r="AD204" s="309">
        <f t="shared" si="93"/>
        <v>222.00766296198685</v>
      </c>
      <c r="AE204" s="107">
        <f t="shared" si="94"/>
        <v>2.0305578929450018E-2</v>
      </c>
      <c r="AF204" s="309">
        <f t="shared" si="101"/>
        <v>183.75894698977257</v>
      </c>
      <c r="AG204" s="107">
        <f t="shared" si="95"/>
        <v>1.6807220761259685E-2</v>
      </c>
      <c r="AH204" s="119">
        <f t="shared" si="102"/>
        <v>3.71127996907097E-2</v>
      </c>
      <c r="AI204" s="122">
        <f t="shared" si="96"/>
        <v>3.71127996907097E-2</v>
      </c>
      <c r="AJ204" s="87" t="b">
        <f t="shared" si="103"/>
        <v>1</v>
      </c>
      <c r="AK204" s="88">
        <f t="shared" si="83"/>
        <v>1.7659277530142625E-3</v>
      </c>
      <c r="AL204" s="312">
        <f>+AC204/'MWh by month-WgtbyCDH&amp;DayLtHrs'!AC204-1</f>
        <v>7.9899636421224107E-2</v>
      </c>
      <c r="AM204" s="89">
        <f t="shared" si="97"/>
        <v>400194.01470612746</v>
      </c>
      <c r="AN204" s="93"/>
      <c r="AO204" s="96">
        <f t="shared" si="87"/>
        <v>77.061110412476722</v>
      </c>
      <c r="AP204" s="92">
        <f t="shared" si="86"/>
        <v>7.0482722938240904E-3</v>
      </c>
      <c r="AR204" s="94">
        <f t="shared" si="98"/>
        <v>3.71127996907097E-2</v>
      </c>
      <c r="AS204" s="95">
        <v>1608940.8856324463</v>
      </c>
      <c r="AU204" s="141">
        <v>405.76660995175939</v>
      </c>
    </row>
    <row r="205" spans="1:47">
      <c r="A205" s="78">
        <v>2021</v>
      </c>
      <c r="B205" s="78">
        <v>9</v>
      </c>
      <c r="C205" s="317">
        <f t="shared" si="81"/>
        <v>277.87653293728147</v>
      </c>
      <c r="D205" s="324">
        <f t="shared" si="89"/>
        <v>0.14132634365008559</v>
      </c>
      <c r="E205" s="321">
        <f>$D205*'MWh Impact Summary'!B$27</f>
        <v>470226.8651558389</v>
      </c>
      <c r="F205" s="319">
        <f>$D205*'MWh Impact Summary'!N$27</f>
        <v>61789.845439038028</v>
      </c>
      <c r="G205" s="319">
        <f>$D205*'MWh Impact Summary'!C$27</f>
        <v>327726.25470754155</v>
      </c>
      <c r="H205" s="319">
        <f>$D205*'MWh Impact Summary'!D$27</f>
        <v>1409.2255124208978</v>
      </c>
      <c r="I205" s="319">
        <f>$D205*'MWh Impact Summary'!E$27</f>
        <v>120217.55366926896</v>
      </c>
      <c r="J205" s="104">
        <f t="shared" si="99"/>
        <v>981369.74448410829</v>
      </c>
      <c r="K205" s="298">
        <f t="shared" si="82"/>
        <v>11.683333333333334</v>
      </c>
      <c r="L205" s="300">
        <f t="shared" si="90"/>
        <v>8.2248034729555317E-2</v>
      </c>
      <c r="M205" s="297">
        <f>(30/365)</f>
        <v>8.2191780821917804E-2</v>
      </c>
      <c r="N205" s="304">
        <f>$M205*'MWh Impact Summary'!F$27</f>
        <v>141568.62568011682</v>
      </c>
      <c r="O205" s="304">
        <f>$M205*'MWh Impact Summary'!G$27</f>
        <v>15164.773277842232</v>
      </c>
      <c r="P205" s="304">
        <f>$M205*'MWh Impact Summary'!H$27</f>
        <v>9258.1739542496289</v>
      </c>
      <c r="Q205" s="304">
        <f>$M205*'MWh Impact Summary'!I$27</f>
        <v>1547.8379270287451</v>
      </c>
      <c r="R205" s="304">
        <f>$M205*'MWh Impact Summary'!J$27</f>
        <v>43246.405313320865</v>
      </c>
      <c r="S205" s="304">
        <f>$M205*'MWh Impact Summary'!K$27</f>
        <v>23821.692751416893</v>
      </c>
      <c r="T205" s="304">
        <f>$M205*'MWh Impact Summary'!L$27</f>
        <v>8380.302835044411</v>
      </c>
      <c r="U205" s="304">
        <f>$M205*'MWh Impact Summary'!M$27</f>
        <v>26186.67777978638</v>
      </c>
      <c r="V205" s="304">
        <f>$M205*'LED Impact Forecast'!$H$28+$D205*'LED Impact Forecast'!$J$28</f>
        <v>124903.13110326313</v>
      </c>
      <c r="W205" s="304">
        <f>$M205*'CFL Impact Forecast'!$H$28+$D205*'CFL Impact Forecast'!$J$28</f>
        <v>375590.08391494025</v>
      </c>
      <c r="X205" s="304">
        <f>$M205*'EISA Incand Impact Forecast'!$G$28+$D205*'EISA Incand Impact Forecast'!$I$28</f>
        <v>134062.74319334968</v>
      </c>
      <c r="Y205" s="85">
        <f t="shared" si="91"/>
        <v>903730.44773035904</v>
      </c>
      <c r="Z205" s="81">
        <f t="shared" si="92"/>
        <v>1885100.1922144673</v>
      </c>
      <c r="AA205" s="81"/>
      <c r="AB205" s="262">
        <f>+'MWh by mo-WgtbyActulCDH&amp;Days'!AB205</f>
        <v>5198143.0314946659</v>
      </c>
      <c r="AC205" s="308">
        <f t="shared" si="100"/>
        <v>362.64877299315646</v>
      </c>
      <c r="AD205" s="309">
        <f t="shared" si="93"/>
        <v>188.79237037883638</v>
      </c>
      <c r="AE205" s="107">
        <f t="shared" si="94"/>
        <v>1.6159118720014527E-2</v>
      </c>
      <c r="AF205" s="309">
        <f t="shared" si="101"/>
        <v>173.8564026143201</v>
      </c>
      <c r="AG205" s="107">
        <f t="shared" si="95"/>
        <v>1.4880719196660779E-2</v>
      </c>
      <c r="AH205" s="119">
        <f t="shared" si="102"/>
        <v>3.1039837916675306E-2</v>
      </c>
      <c r="AI205" s="122">
        <f t="shared" si="96"/>
        <v>3.1039837916675302E-2</v>
      </c>
      <c r="AJ205" s="87" t="b">
        <f t="shared" si="103"/>
        <v>1</v>
      </c>
      <c r="AK205" s="88">
        <f t="shared" si="83"/>
        <v>1.4973907215725737E-3</v>
      </c>
      <c r="AL205" s="312">
        <f>+AC205/'MWh by month-WgtbyCDH&amp;DayLtHrs'!AC205-1</f>
        <v>3.1967610890709874E-2</v>
      </c>
      <c r="AM205" s="89">
        <f t="shared" si="97"/>
        <v>375590.08391494025</v>
      </c>
      <c r="AN205" s="93"/>
      <c r="AO205" s="96">
        <f t="shared" si="87"/>
        <v>72.254665106231911</v>
      </c>
      <c r="AP205" s="92">
        <f t="shared" si="86"/>
        <v>6.1844221203622178E-3</v>
      </c>
      <c r="AR205" s="94">
        <f t="shared" si="98"/>
        <v>3.1039837916675302E-2</v>
      </c>
      <c r="AS205" s="95">
        <v>1525924.4689069695</v>
      </c>
      <c r="AU205" s="141">
        <v>362.64877299315646</v>
      </c>
    </row>
    <row r="206" spans="1:47">
      <c r="A206" s="78">
        <v>2021</v>
      </c>
      <c r="B206" s="78">
        <v>10</v>
      </c>
      <c r="C206" s="317">
        <f t="shared" si="81"/>
        <v>198.89039579254836</v>
      </c>
      <c r="D206" s="324">
        <f t="shared" si="89"/>
        <v>0.10115446643644242</v>
      </c>
      <c r="E206" s="321">
        <f>$D206*'MWh Impact Summary'!B$27</f>
        <v>336565.3311366273</v>
      </c>
      <c r="F206" s="319">
        <f>$D206*'MWh Impact Summary'!N$27</f>
        <v>44226.141320485171</v>
      </c>
      <c r="G206" s="319">
        <f>$D206*'MWh Impact Summary'!C$27</f>
        <v>234570.38210961255</v>
      </c>
      <c r="H206" s="319">
        <f>$D206*'MWh Impact Summary'!D$27</f>
        <v>1008.6545163193412</v>
      </c>
      <c r="I206" s="319">
        <f>$D206*'MWh Impact Summary'!E$27</f>
        <v>86045.829699082562</v>
      </c>
      <c r="J206" s="104">
        <f t="shared" si="99"/>
        <v>702416.3387821269</v>
      </c>
      <c r="K206" s="298">
        <f t="shared" si="82"/>
        <v>12.466666666666667</v>
      </c>
      <c r="L206" s="300">
        <f t="shared" si="90"/>
        <v>8.7762524932535488E-2</v>
      </c>
      <c r="M206" s="297">
        <f t="shared" si="104"/>
        <v>8.4931506849315067E-2</v>
      </c>
      <c r="N206" s="304">
        <f>$M206*'MWh Impact Summary'!F$27</f>
        <v>146287.57986945406</v>
      </c>
      <c r="O206" s="304">
        <f>$M206*'MWh Impact Summary'!G$27</f>
        <v>15670.265720436975</v>
      </c>
      <c r="P206" s="304">
        <f>$M206*'MWh Impact Summary'!H$27</f>
        <v>9566.7797527246166</v>
      </c>
      <c r="Q206" s="304">
        <f>$M206*'MWh Impact Summary'!I$27</f>
        <v>1599.4325245963701</v>
      </c>
      <c r="R206" s="304">
        <f>$M206*'MWh Impact Summary'!J$27</f>
        <v>44687.952157098225</v>
      </c>
      <c r="S206" s="304">
        <f>$M206*'MWh Impact Summary'!K$27</f>
        <v>24615.749176464124</v>
      </c>
      <c r="T206" s="304">
        <f>$M206*'MWh Impact Summary'!L$27</f>
        <v>8659.6462628792251</v>
      </c>
      <c r="U206" s="304">
        <f>$M206*'MWh Impact Summary'!M$27</f>
        <v>27059.567039112593</v>
      </c>
      <c r="V206" s="304">
        <f>$M206*'LED Impact Forecast'!$H$28+$D206*'LED Impact Forecast'!$J$28</f>
        <v>120587.00610355668</v>
      </c>
      <c r="W206" s="304">
        <f>$M206*'CFL Impact Forecast'!$H$28+$D206*'CFL Impact Forecast'!$J$28</f>
        <v>360984.9355708115</v>
      </c>
      <c r="X206" s="304">
        <f>$M206*'EISA Incand Impact Forecast'!$G$28+$D206*'EISA Incand Impact Forecast'!$I$28</f>
        <v>128249.20158700788</v>
      </c>
      <c r="Y206" s="85">
        <f t="shared" si="91"/>
        <v>887968.11576414225</v>
      </c>
      <c r="Z206" s="81">
        <f t="shared" si="92"/>
        <v>1590384.454546269</v>
      </c>
      <c r="AA206" s="81"/>
      <c r="AB206" s="262">
        <f>+'MWh by mo-WgtbyActulCDH&amp;Days'!AB206</f>
        <v>5203221.4699283605</v>
      </c>
      <c r="AC206" s="308">
        <f t="shared" si="100"/>
        <v>305.65380769159646</v>
      </c>
      <c r="AD206" s="309">
        <f t="shared" si="93"/>
        <v>134.99643304473796</v>
      </c>
      <c r="AE206" s="107">
        <f t="shared" si="94"/>
        <v>1.0828590885941548E-2</v>
      </c>
      <c r="AF206" s="309">
        <f t="shared" si="101"/>
        <v>170.65737464685856</v>
      </c>
      <c r="AG206" s="107">
        <f t="shared" si="95"/>
        <v>1.3689094223010045E-2</v>
      </c>
      <c r="AH206" s="119">
        <f t="shared" si="102"/>
        <v>2.4517685108951595E-2</v>
      </c>
      <c r="AI206" s="122">
        <f t="shared" si="96"/>
        <v>2.4517685108951585E-2</v>
      </c>
      <c r="AJ206" s="87" t="b">
        <f t="shared" si="103"/>
        <v>1</v>
      </c>
      <c r="AK206" s="88">
        <f t="shared" si="83"/>
        <v>1.2317311476069959E-3</v>
      </c>
      <c r="AL206" s="312">
        <f>+AC206/'MWh by month-WgtbyCDH&amp;DayLtHrs'!AC206-1</f>
        <v>-4.0084509595068596E-3</v>
      </c>
      <c r="AM206" s="89">
        <f t="shared" si="97"/>
        <v>360984.9355708115</v>
      </c>
      <c r="AN206" s="93"/>
      <c r="AO206" s="96">
        <f t="shared" si="87"/>
        <v>69.377199809213892</v>
      </c>
      <c r="AP206" s="92">
        <f t="shared" si="86"/>
        <v>5.56501602747705E-3</v>
      </c>
      <c r="AR206" s="94">
        <f t="shared" si="98"/>
        <v>2.4517685108951585E-2</v>
      </c>
      <c r="AS206" s="95">
        <v>1246983.1319195579</v>
      </c>
      <c r="AU206" s="141">
        <v>305.65380769159646</v>
      </c>
    </row>
    <row r="207" spans="1:47">
      <c r="A207" s="78">
        <v>2021</v>
      </c>
      <c r="B207" s="78">
        <v>11</v>
      </c>
      <c r="C207" s="317">
        <f t="shared" si="81"/>
        <v>78.117279066674627</v>
      </c>
      <c r="D207" s="324">
        <f t="shared" si="89"/>
        <v>3.9729981188725644E-2</v>
      </c>
      <c r="E207" s="321">
        <f>$D207*'MWh Impact Summary'!B$27</f>
        <v>132191.23925918955</v>
      </c>
      <c r="F207" s="319">
        <f>$D207*'MWh Impact Summary'!N$27</f>
        <v>17370.501022975834</v>
      </c>
      <c r="G207" s="319">
        <f>$D207*'MWh Impact Summary'!C$27</f>
        <v>92131.145533773582</v>
      </c>
      <c r="H207" s="319">
        <f>$D207*'MWh Impact Summary'!D$27</f>
        <v>396.16466154235371</v>
      </c>
      <c r="I207" s="319">
        <f>$D207*'MWh Impact Summary'!E$27</f>
        <v>33795.830433852585</v>
      </c>
      <c r="J207" s="104">
        <f t="shared" si="99"/>
        <v>275884.88091133389</v>
      </c>
      <c r="K207" s="298">
        <f t="shared" si="82"/>
        <v>13.15</v>
      </c>
      <c r="L207" s="300">
        <f t="shared" si="90"/>
        <v>9.2573037662794788E-2</v>
      </c>
      <c r="M207" s="297">
        <f>(30/365)</f>
        <v>8.2191780821917804E-2</v>
      </c>
      <c r="N207" s="304">
        <f>$M207*'MWh Impact Summary'!F$27</f>
        <v>141568.62568011682</v>
      </c>
      <c r="O207" s="304">
        <f>$M207*'MWh Impact Summary'!G$27</f>
        <v>15164.773277842232</v>
      </c>
      <c r="P207" s="304">
        <f>$M207*'MWh Impact Summary'!H$27</f>
        <v>9258.1739542496289</v>
      </c>
      <c r="Q207" s="304">
        <f>$M207*'MWh Impact Summary'!I$27</f>
        <v>1547.8379270287451</v>
      </c>
      <c r="R207" s="304">
        <f>$M207*'MWh Impact Summary'!J$27</f>
        <v>43246.405313320865</v>
      </c>
      <c r="S207" s="304">
        <f>$M207*'MWh Impact Summary'!K$27</f>
        <v>23821.692751416893</v>
      </c>
      <c r="T207" s="304">
        <f>$M207*'MWh Impact Summary'!L$27</f>
        <v>8380.302835044411</v>
      </c>
      <c r="U207" s="304">
        <f>$M207*'MWh Impact Summary'!M$27</f>
        <v>26186.67777978638</v>
      </c>
      <c r="V207" s="304">
        <f>$M207*'LED Impact Forecast'!$H$28+$D207*'LED Impact Forecast'!$J$28</f>
        <v>105708.83878616225</v>
      </c>
      <c r="W207" s="304">
        <f>$M207*'CFL Impact Forecast'!$H$28+$D207*'CFL Impact Forecast'!$J$28</f>
        <v>314190.49288876989</v>
      </c>
      <c r="X207" s="304">
        <f>$M207*'EISA Incand Impact Forecast'!$G$28+$D207*'EISA Incand Impact Forecast'!$I$28</f>
        <v>110787.78512198714</v>
      </c>
      <c r="Y207" s="85">
        <f t="shared" si="91"/>
        <v>799861.60631572525</v>
      </c>
      <c r="Z207" s="81">
        <f t="shared" si="92"/>
        <v>1075746.4872270592</v>
      </c>
      <c r="AA207" s="81"/>
      <c r="AB207" s="262">
        <f>+'MWh by mo-WgtbyActulCDH&amp;Days'!AB207</f>
        <v>5208331.8045660509</v>
      </c>
      <c r="AC207" s="308">
        <f t="shared" si="100"/>
        <v>206.54338617289542</v>
      </c>
      <c r="AD207" s="309">
        <f t="shared" si="93"/>
        <v>52.969912682880647</v>
      </c>
      <c r="AE207" s="107">
        <f t="shared" si="94"/>
        <v>4.0281302420441551E-3</v>
      </c>
      <c r="AF207" s="309">
        <f t="shared" si="101"/>
        <v>153.57347349001478</v>
      </c>
      <c r="AG207" s="107">
        <f t="shared" si="95"/>
        <v>1.1678591139925079E-2</v>
      </c>
      <c r="AH207" s="119">
        <f t="shared" si="102"/>
        <v>1.5706721381969234E-2</v>
      </c>
      <c r="AI207" s="122">
        <f t="shared" si="96"/>
        <v>1.5706721381969234E-2</v>
      </c>
      <c r="AJ207" s="87" t="b">
        <f t="shared" si="103"/>
        <v>1</v>
      </c>
      <c r="AK207" s="88">
        <f t="shared" si="83"/>
        <v>8.6278262679061885E-4</v>
      </c>
      <c r="AL207" s="312">
        <f>+AC207/'MWh by month-WgtbyCDH&amp;DayLtHrs'!AC207-1</f>
        <v>-0.11317236605050751</v>
      </c>
      <c r="AM207" s="89">
        <f t="shared" si="97"/>
        <v>314190.49288876989</v>
      </c>
      <c r="AN207" s="93"/>
      <c r="AO207" s="96">
        <f t="shared" si="87"/>
        <v>60.324592341318329</v>
      </c>
      <c r="AP207" s="92">
        <f t="shared" si="86"/>
        <v>4.5874214708226868E-3</v>
      </c>
      <c r="AR207" s="94">
        <f t="shared" si="98"/>
        <v>1.5706721381969234E-2</v>
      </c>
      <c r="AS207" s="95">
        <v>989876.09988125623</v>
      </c>
      <c r="AU207" s="141">
        <v>206.54338617289542</v>
      </c>
    </row>
    <row r="208" spans="1:47">
      <c r="A208" s="78">
        <v>2021</v>
      </c>
      <c r="B208" s="78">
        <v>12</v>
      </c>
      <c r="C208" s="317">
        <f t="shared" si="81"/>
        <v>42.633806123140985</v>
      </c>
      <c r="D208" s="324">
        <f t="shared" si="89"/>
        <v>2.1683298951445065E-2</v>
      </c>
      <c r="E208" s="321">
        <f>$D208*'MWh Impact Summary'!B$27</f>
        <v>72145.570520239853</v>
      </c>
      <c r="F208" s="319">
        <f>$D208*'MWh Impact Summary'!N$27</f>
        <v>9480.2402454811872</v>
      </c>
      <c r="G208" s="319">
        <f>$D208*'MWh Impact Summary'!C$27</f>
        <v>50282.107153748264</v>
      </c>
      <c r="H208" s="319">
        <f>$D208*'MWh Impact Summary'!D$27</f>
        <v>216.21346230736637</v>
      </c>
      <c r="I208" s="319">
        <f>$D208*'MWh Impact Summary'!E$27</f>
        <v>18444.637341472549</v>
      </c>
      <c r="J208" s="104">
        <f t="shared" si="99"/>
        <v>150568.76872324923</v>
      </c>
      <c r="K208" s="298">
        <f t="shared" si="82"/>
        <v>13.483333333333333</v>
      </c>
      <c r="L208" s="300">
        <f t="shared" si="90"/>
        <v>9.491962923853102E-2</v>
      </c>
      <c r="M208" s="297">
        <f t="shared" si="104"/>
        <v>8.4931506849315067E-2</v>
      </c>
      <c r="N208" s="304">
        <f>$M208*'MWh Impact Summary'!F$27</f>
        <v>146287.57986945406</v>
      </c>
      <c r="O208" s="304">
        <f>$M208*'MWh Impact Summary'!G$27</f>
        <v>15670.265720436975</v>
      </c>
      <c r="P208" s="304">
        <f>$M208*'MWh Impact Summary'!H$27</f>
        <v>9566.7797527246166</v>
      </c>
      <c r="Q208" s="304">
        <f>$M208*'MWh Impact Summary'!I$27</f>
        <v>1599.4325245963701</v>
      </c>
      <c r="R208" s="304">
        <f>$M208*'MWh Impact Summary'!J$27</f>
        <v>44687.952157098225</v>
      </c>
      <c r="S208" s="304">
        <f>$M208*'MWh Impact Summary'!K$27</f>
        <v>24615.749176464124</v>
      </c>
      <c r="T208" s="304">
        <f>$M208*'MWh Impact Summary'!L$27</f>
        <v>8659.6462628792251</v>
      </c>
      <c r="U208" s="304">
        <f>$M208*'MWh Impact Summary'!M$27</f>
        <v>27059.567039112593</v>
      </c>
      <c r="V208" s="304">
        <f>$M208*'LED Impact Forecast'!$H$28+$D208*'LED Impact Forecast'!$J$28</f>
        <v>105572.75970208267</v>
      </c>
      <c r="W208" s="304">
        <f>$M208*'CFL Impact Forecast'!$H$28+$D208*'CFL Impact Forecast'!$J$28</f>
        <v>312956.66897015506</v>
      </c>
      <c r="X208" s="304">
        <f>$M208*'EISA Incand Impact Forecast'!$G$28+$D208*'EISA Incand Impact Forecast'!$I$28</f>
        <v>110042.95830936065</v>
      </c>
      <c r="Y208" s="85">
        <f t="shared" si="91"/>
        <v>806719.35948436463</v>
      </c>
      <c r="Z208" s="81">
        <f t="shared" si="92"/>
        <v>957288.12820761383</v>
      </c>
      <c r="AA208" s="81">
        <f>SUM(Z197:Z208)</f>
        <v>17203820.954870343</v>
      </c>
      <c r="AB208" s="262">
        <f>+'MWh by mo-WgtbyActulCDH&amp;Days'!AB208</f>
        <v>5213464.9586801976</v>
      </c>
      <c r="AC208" s="308">
        <f t="shared" si="100"/>
        <v>183.61840652899562</v>
      </c>
      <c r="AD208" s="309">
        <f t="shared" si="93"/>
        <v>28.880748200399548</v>
      </c>
      <c r="AE208" s="107">
        <f t="shared" si="94"/>
        <v>2.1419590754313631E-3</v>
      </c>
      <c r="AF208" s="309">
        <f t="shared" si="101"/>
        <v>154.73765832859607</v>
      </c>
      <c r="AG208" s="107">
        <f t="shared" si="95"/>
        <v>1.1476216934135679E-2</v>
      </c>
      <c r="AH208" s="119">
        <f t="shared" si="102"/>
        <v>1.3618176009567043E-2</v>
      </c>
      <c r="AI208" s="122">
        <f t="shared" si="96"/>
        <v>1.3618176009567043E-2</v>
      </c>
      <c r="AJ208" s="87" t="b">
        <f t="shared" si="103"/>
        <v>1</v>
      </c>
      <c r="AK208" s="88">
        <f t="shared" si="83"/>
        <v>7.8231035309426177E-4</v>
      </c>
      <c r="AL208" s="312">
        <f>+AC208/'MWh by month-WgtbyCDH&amp;DayLtHrs'!AC208-1</f>
        <v>-0.13647122730399763</v>
      </c>
      <c r="AM208" s="89">
        <f t="shared" si="97"/>
        <v>312956.66897015506</v>
      </c>
      <c r="AN208" s="90">
        <f>SUM(AM197:AM208)</f>
        <v>4134868.5572393904</v>
      </c>
      <c r="AO208" s="96">
        <f t="shared" si="87"/>
        <v>60.028536002547696</v>
      </c>
      <c r="AP208" s="92">
        <f t="shared" si="86"/>
        <v>4.4520545860974809E-3</v>
      </c>
      <c r="AR208" s="94">
        <f t="shared" si="98"/>
        <v>1.3618176009567043E-2</v>
      </c>
      <c r="AS208" s="95">
        <v>831922.77553708537</v>
      </c>
      <c r="AU208" s="141">
        <v>183.61840652899562</v>
      </c>
    </row>
    <row r="209" spans="1:47">
      <c r="A209" s="78">
        <v>2022</v>
      </c>
      <c r="B209" s="78">
        <v>1</v>
      </c>
      <c r="C209" s="317">
        <f t="shared" si="81"/>
        <v>26.112829868525239</v>
      </c>
      <c r="D209" s="324">
        <f t="shared" si="89"/>
        <v>1.3280829182176284E-2</v>
      </c>
      <c r="E209" s="321">
        <f>$D209*'MWh Impact Summary'!B$28</f>
        <v>46912.764999662541</v>
      </c>
      <c r="F209" s="319">
        <f>$D209*'MWh Impact Summary'!N$28</f>
        <v>6492.9541850745845</v>
      </c>
      <c r="G209" s="319">
        <f>$D209*'MWh Impact Summary'!C$28</f>
        <v>31557.004854110204</v>
      </c>
      <c r="H209" s="319">
        <f>$D209*'MWh Impact Summary'!D$28</f>
        <v>143.57322383035734</v>
      </c>
      <c r="I209" s="319">
        <f>$D209*'MWh Impact Summary'!E$28</f>
        <v>11443.127962023815</v>
      </c>
      <c r="J209" s="104">
        <f t="shared" si="99"/>
        <v>96549.42522470151</v>
      </c>
      <c r="K209" s="298">
        <f t="shared" si="82"/>
        <v>13.3</v>
      </c>
      <c r="L209" s="300">
        <f t="shared" si="90"/>
        <v>9.3629003871876101E-2</v>
      </c>
      <c r="M209" s="297">
        <f>(31/365)</f>
        <v>8.4931506849315067E-2</v>
      </c>
      <c r="N209" s="304">
        <f>$M209*'MWh Impact Summary'!F$28</f>
        <v>157034.48949249662</v>
      </c>
      <c r="O209" s="304">
        <f>$M209*'MWh Impact Summary'!G$28</f>
        <v>19880.627707039388</v>
      </c>
      <c r="P209" s="304">
        <f>$M209*'MWh Impact Summary'!H$28</f>
        <v>10124.650232578459</v>
      </c>
      <c r="Q209" s="304">
        <f>$M209*'MWh Impact Summary'!I$28</f>
        <v>1692.030438793694</v>
      </c>
      <c r="R209" s="304">
        <f>$M209*'MWh Impact Summary'!J$28</f>
        <v>46094.558607231847</v>
      </c>
      <c r="S209" s="304">
        <f>$M209*'MWh Impact Summary'!K$28</f>
        <v>27781.869342715021</v>
      </c>
      <c r="T209" s="304">
        <f>$M209*'MWh Impact Summary'!L$28</f>
        <v>9926.9397048067713</v>
      </c>
      <c r="U209" s="304">
        <f>$M209*'MWh Impact Summary'!M$28</f>
        <v>30833.507467980115</v>
      </c>
      <c r="V209" s="304">
        <f>$M209*'LED Impact Forecast'!$H$29+$D209*'LED Impact Forecast'!$J$29</f>
        <v>147251.42404389422</v>
      </c>
      <c r="W209" s="304">
        <f>$M209*'CFL Impact Forecast'!$H$29+$D209*'CFL Impact Forecast'!$J$29</f>
        <v>311717.58592333703</v>
      </c>
      <c r="X209" s="304">
        <f>$M209*'EISA Incand Impact Forecast'!$G$29+$D209*'EISA Incand Impact Forecast'!$I$29</f>
        <v>108118.01604924772</v>
      </c>
      <c r="Y209" s="85">
        <f t="shared" si="91"/>
        <v>870455.69901012094</v>
      </c>
      <c r="Z209" s="81">
        <f t="shared" si="92"/>
        <v>967005.12423482246</v>
      </c>
      <c r="AA209" s="81"/>
      <c r="AB209" s="262">
        <f>+'MWh by mo-WgtbyActulCDH&amp;Days'!AB209</f>
        <v>5218681.4177877083</v>
      </c>
      <c r="AC209" s="308">
        <f t="shared" si="100"/>
        <v>185.29683014157877</v>
      </c>
      <c r="AD209" s="309">
        <f t="shared" si="93"/>
        <v>18.500731793210424</v>
      </c>
      <c r="AE209" s="107">
        <f t="shared" si="94"/>
        <v>1.3910324656549189E-3</v>
      </c>
      <c r="AF209" s="309">
        <f t="shared" si="101"/>
        <v>166.79609834836836</v>
      </c>
      <c r="AG209" s="107">
        <f t="shared" si="95"/>
        <v>1.254106002619311E-2</v>
      </c>
      <c r="AH209" s="119">
        <f t="shared" si="102"/>
        <v>1.3932092491848029E-2</v>
      </c>
      <c r="AI209" s="122">
        <f t="shared" si="96"/>
        <v>1.3932092491848026E-2</v>
      </c>
      <c r="AJ209" s="87" t="b">
        <f t="shared" si="103"/>
        <v>1</v>
      </c>
      <c r="AK209" s="88">
        <f t="shared" si="83"/>
        <v>9.5151155632923479E-4</v>
      </c>
      <c r="AL209" s="312">
        <f>+AC209/'MWh by month-WgtbyCDH&amp;DayLtHrs'!AC209-1</f>
        <v>-0.14383633658962425</v>
      </c>
      <c r="AM209" s="89">
        <f t="shared" si="97"/>
        <v>311717.58592333703</v>
      </c>
      <c r="AN209" s="93"/>
      <c r="AO209" s="96">
        <f t="shared" si="87"/>
        <v>59.73110082191598</v>
      </c>
      <c r="AP209" s="92">
        <f t="shared" si="86"/>
        <v>4.4910602121741331E-3</v>
      </c>
      <c r="AR209" s="94">
        <f t="shared" si="98"/>
        <v>1.3932092491848026E-2</v>
      </c>
      <c r="AS209" s="95">
        <v>840001.90652615612</v>
      </c>
      <c r="AU209" s="141">
        <v>185.29683014157877</v>
      </c>
    </row>
    <row r="210" spans="1:47">
      <c r="A210" s="78">
        <v>2022</v>
      </c>
      <c r="B210" s="78">
        <v>2</v>
      </c>
      <c r="C210" s="317">
        <f t="shared" ref="C210:C267" si="105">+C198</f>
        <v>35.042184420393127</v>
      </c>
      <c r="D210" s="324">
        <f t="shared" si="89"/>
        <v>1.7822245532205266E-2</v>
      </c>
      <c r="E210" s="321">
        <f>$D210*'MWh Impact Summary'!B$28</f>
        <v>62954.715021914322</v>
      </c>
      <c r="F210" s="319">
        <f>$D210*'MWh Impact Summary'!N$28</f>
        <v>8713.2378655288539</v>
      </c>
      <c r="G210" s="319">
        <f>$D210*'MWh Impact Summary'!C$28</f>
        <v>42348.010132209543</v>
      </c>
      <c r="H210" s="319">
        <f>$D210*'MWh Impact Summary'!D$28</f>
        <v>192.66848566872324</v>
      </c>
      <c r="I210" s="319">
        <f>$D210*'MWh Impact Summary'!E$28</f>
        <v>15356.137286167006</v>
      </c>
      <c r="J210" s="104">
        <f t="shared" si="99"/>
        <v>129564.76879148844</v>
      </c>
      <c r="K210" s="298">
        <f t="shared" ref="K210:K268" si="106">+K198</f>
        <v>12.733333333333333</v>
      </c>
      <c r="L210" s="300">
        <f t="shared" si="90"/>
        <v>8.9639798193124468E-2</v>
      </c>
      <c r="M210" s="297">
        <f>(28/365)</f>
        <v>7.6712328767123292E-2</v>
      </c>
      <c r="N210" s="304">
        <f>$M210*'MWh Impact Summary'!F$28</f>
        <v>141837.60341257759</v>
      </c>
      <c r="O210" s="304">
        <f>$M210*'MWh Impact Summary'!G$28</f>
        <v>17956.69599345493</v>
      </c>
      <c r="P210" s="304">
        <f>$M210*'MWh Impact Summary'!H$28</f>
        <v>9144.8453713611889</v>
      </c>
      <c r="Q210" s="304">
        <f>$M210*'MWh Impact Summary'!I$28</f>
        <v>1528.2855576201107</v>
      </c>
      <c r="R210" s="304">
        <f>$M210*'MWh Impact Summary'!J$28</f>
        <v>41633.794871048121</v>
      </c>
      <c r="S210" s="304">
        <f>$M210*'MWh Impact Summary'!K$28</f>
        <v>25093.301341807117</v>
      </c>
      <c r="T210" s="304">
        <f>$M210*'MWh Impact Summary'!L$28</f>
        <v>8966.2681204706332</v>
      </c>
      <c r="U210" s="304">
        <f>$M210*'MWh Impact Summary'!M$28</f>
        <v>27849.61964849817</v>
      </c>
      <c r="V210" s="304">
        <f>$M210*'LED Impact Forecast'!$H$29+$D210*'LED Impact Forecast'!$J$29</f>
        <v>134636.94836896897</v>
      </c>
      <c r="W210" s="304">
        <f>$M210*'CFL Impact Forecast'!$H$29+$D210*'CFL Impact Forecast'!$J$29</f>
        <v>285120.01983554248</v>
      </c>
      <c r="X210" s="304">
        <f>$M210*'EISA Incand Impact Forecast'!$G$29+$D210*'EISA Incand Impact Forecast'!$I$29</f>
        <v>98989.825480994914</v>
      </c>
      <c r="Y210" s="85">
        <f t="shared" si="91"/>
        <v>792757.20800234412</v>
      </c>
      <c r="Z210" s="81">
        <f t="shared" si="92"/>
        <v>922321.97679383261</v>
      </c>
      <c r="AA210" s="81"/>
      <c r="AB210" s="262">
        <f>+'MWh by mo-WgtbyActulCDH&amp;Days'!AB210</f>
        <v>5223815.6567590404</v>
      </c>
      <c r="AC210" s="308">
        <f t="shared" si="100"/>
        <v>176.56097331850711</v>
      </c>
      <c r="AD210" s="309">
        <f t="shared" si="93"/>
        <v>24.802706930104996</v>
      </c>
      <c r="AE210" s="107">
        <f t="shared" si="94"/>
        <v>1.9478565651914921E-3</v>
      </c>
      <c r="AF210" s="309">
        <f t="shared" si="101"/>
        <v>151.75826638840209</v>
      </c>
      <c r="AG210" s="107">
        <f t="shared" si="95"/>
        <v>1.1918188459822154E-2</v>
      </c>
      <c r="AH210" s="119">
        <f t="shared" si="102"/>
        <v>1.3866045025013646E-2</v>
      </c>
      <c r="AI210" s="122">
        <f t="shared" si="96"/>
        <v>1.3866045025013648E-2</v>
      </c>
      <c r="AJ210" s="87" t="b">
        <f t="shared" si="103"/>
        <v>1</v>
      </c>
      <c r="AK210" s="88">
        <f t="shared" si="83"/>
        <v>9.2582011975849386E-4</v>
      </c>
      <c r="AL210" s="312">
        <f>+AC210/'MWh by month-WgtbyCDH&amp;DayLtHrs'!AC210-1</f>
        <v>-0.17925052719790235</v>
      </c>
      <c r="AM210" s="89">
        <f t="shared" si="97"/>
        <v>285120.01983554248</v>
      </c>
      <c r="AN210" s="93"/>
      <c r="AO210" s="96">
        <f t="shared" si="87"/>
        <v>54.580796599632819</v>
      </c>
      <c r="AP210" s="92">
        <f t="shared" si="86"/>
        <v>4.2864499947355616E-3</v>
      </c>
      <c r="AR210" s="94">
        <f t="shared" si="98"/>
        <v>1.3866045025013648E-2</v>
      </c>
      <c r="AS210" s="95">
        <v>775729.3207495173</v>
      </c>
      <c r="AU210" s="141">
        <v>176.56097331850711</v>
      </c>
    </row>
    <row r="211" spans="1:47">
      <c r="A211" s="78">
        <v>2022</v>
      </c>
      <c r="B211" s="78">
        <v>3</v>
      </c>
      <c r="C211" s="317">
        <f t="shared" si="105"/>
        <v>64.582270600115152</v>
      </c>
      <c r="D211" s="324">
        <f t="shared" si="89"/>
        <v>3.2846156787895278E-2</v>
      </c>
      <c r="E211" s="321">
        <f>$D211*'MWh Impact Summary'!B$28</f>
        <v>116024.68591348144</v>
      </c>
      <c r="F211" s="319">
        <f>$D211*'MWh Impact Summary'!N$28</f>
        <v>16058.379206156842</v>
      </c>
      <c r="G211" s="319">
        <f>$D211*'MWh Impact Summary'!C$28</f>
        <v>78046.808296093455</v>
      </c>
      <c r="H211" s="319">
        <f>$D211*'MWh Impact Summary'!D$28</f>
        <v>355.08540587243164</v>
      </c>
      <c r="I211" s="319">
        <f>$D211*'MWh Impact Summary'!E$28</f>
        <v>28301.152738943027</v>
      </c>
      <c r="J211" s="104">
        <f t="shared" si="99"/>
        <v>238786.1115605472</v>
      </c>
      <c r="K211" s="298">
        <f t="shared" si="106"/>
        <v>12</v>
      </c>
      <c r="L211" s="300">
        <f t="shared" si="90"/>
        <v>8.4477296726504739E-2</v>
      </c>
      <c r="M211" s="297">
        <f t="shared" ref="M211:M220" si="107">(31/365)</f>
        <v>8.4931506849315067E-2</v>
      </c>
      <c r="N211" s="304">
        <f>$M211*'MWh Impact Summary'!F$28</f>
        <v>157034.48949249662</v>
      </c>
      <c r="O211" s="304">
        <f>$M211*'MWh Impact Summary'!G$28</f>
        <v>19880.627707039388</v>
      </c>
      <c r="P211" s="304">
        <f>$M211*'MWh Impact Summary'!H$28</f>
        <v>10124.650232578459</v>
      </c>
      <c r="Q211" s="304">
        <f>$M211*'MWh Impact Summary'!I$28</f>
        <v>1692.030438793694</v>
      </c>
      <c r="R211" s="304">
        <f>$M211*'MWh Impact Summary'!J$28</f>
        <v>46094.558607231847</v>
      </c>
      <c r="S211" s="304">
        <f>$M211*'MWh Impact Summary'!K$28</f>
        <v>27781.869342715021</v>
      </c>
      <c r="T211" s="304">
        <f>$M211*'MWh Impact Summary'!L$28</f>
        <v>9926.9397048067713</v>
      </c>
      <c r="U211" s="304">
        <f>$M211*'MWh Impact Summary'!M$28</f>
        <v>30833.507467980115</v>
      </c>
      <c r="V211" s="304">
        <f>$M211*'LED Impact Forecast'!$H$29+$D211*'LED Impact Forecast'!$J$29</f>
        <v>152743.81199200681</v>
      </c>
      <c r="W211" s="304">
        <f>$M211*'CFL Impact Forecast'!$H$29+$D211*'CFL Impact Forecast'!$J$29</f>
        <v>323700.75792699819</v>
      </c>
      <c r="X211" s="304">
        <f>$M211*'EISA Incand Impact Forecast'!$G$29+$D211*'EISA Incand Impact Forecast'!$I$29</f>
        <v>112600.28459354503</v>
      </c>
      <c r="Y211" s="85">
        <f t="shared" si="91"/>
        <v>892413.52750619198</v>
      </c>
      <c r="Z211" s="81">
        <f t="shared" si="92"/>
        <v>1131199.6390667392</v>
      </c>
      <c r="AA211" s="81"/>
      <c r="AB211" s="262">
        <f>+'MWh by mo-WgtbyActulCDH&amp;Days'!AB211</f>
        <v>5229019.600151482</v>
      </c>
      <c r="AC211" s="308">
        <f t="shared" si="100"/>
        <v>216.33111473400655</v>
      </c>
      <c r="AD211" s="309">
        <f t="shared" si="93"/>
        <v>45.665560625098763</v>
      </c>
      <c r="AE211" s="107">
        <f t="shared" si="94"/>
        <v>3.8054633854248971E-3</v>
      </c>
      <c r="AF211" s="309">
        <f t="shared" si="101"/>
        <v>170.66555410890777</v>
      </c>
      <c r="AG211" s="107">
        <f t="shared" si="95"/>
        <v>1.4222129509075648E-2</v>
      </c>
      <c r="AH211" s="119">
        <f t="shared" si="102"/>
        <v>1.8027592894500545E-2</v>
      </c>
      <c r="AI211" s="122">
        <f t="shared" si="96"/>
        <v>1.8027592894500545E-2</v>
      </c>
      <c r="AJ211" s="87" t="b">
        <f t="shared" si="103"/>
        <v>1</v>
      </c>
      <c r="AK211" s="88">
        <f t="shared" si="83"/>
        <v>1.1558844940938937E-3</v>
      </c>
      <c r="AL211" s="312">
        <f>+AC211/'MWh by month-WgtbyCDH&amp;DayLtHrs'!AC211-1</f>
        <v>-4.3678712656120444E-2</v>
      </c>
      <c r="AM211" s="89">
        <f t="shared" si="97"/>
        <v>323700.75792699819</v>
      </c>
      <c r="AN211" s="93"/>
      <c r="AO211" s="96">
        <f t="shared" si="87"/>
        <v>61.904674810861437</v>
      </c>
      <c r="AP211" s="92">
        <f t="shared" si="86"/>
        <v>5.1587229009051197E-3</v>
      </c>
      <c r="AR211" s="94">
        <f t="shared" si="98"/>
        <v>1.8027592894500545E-2</v>
      </c>
      <c r="AS211" s="95">
        <v>922588.25556952658</v>
      </c>
      <c r="AU211" s="141">
        <v>216.33111473400655</v>
      </c>
    </row>
    <row r="212" spans="1:47">
      <c r="A212" s="78">
        <v>2022</v>
      </c>
      <c r="B212" s="78">
        <v>4</v>
      </c>
      <c r="C212" s="317">
        <f t="shared" si="105"/>
        <v>114.03392869270741</v>
      </c>
      <c r="D212" s="324">
        <f t="shared" si="89"/>
        <v>5.7996974497419709E-2</v>
      </c>
      <c r="E212" s="321">
        <f>$D212*'MWh Impact Summary'!B$28</f>
        <v>204866.60870093538</v>
      </c>
      <c r="F212" s="319">
        <f>$D212*'MWh Impact Summary'!N$28</f>
        <v>28354.532169577815</v>
      </c>
      <c r="G212" s="319">
        <f>$D212*'MWh Impact Summary'!C$28</f>
        <v>137808.47420242697</v>
      </c>
      <c r="H212" s="319">
        <f>$D212*'MWh Impact Summary'!D$28</f>
        <v>626.97987352903215</v>
      </c>
      <c r="I212" s="319">
        <f>$D212*'MWh Impact Summary'!E$28</f>
        <v>49971.789523118678</v>
      </c>
      <c r="J212" s="104">
        <f t="shared" si="99"/>
        <v>421628.38446958788</v>
      </c>
      <c r="K212" s="298">
        <f t="shared" si="106"/>
        <v>11.2</v>
      </c>
      <c r="L212" s="300">
        <f t="shared" si="90"/>
        <v>7.8845476944737758E-2</v>
      </c>
      <c r="M212" s="297">
        <f>(30/365)</f>
        <v>8.2191780821917804E-2</v>
      </c>
      <c r="N212" s="304">
        <f>$M212*'MWh Impact Summary'!F$28</f>
        <v>151968.86079919027</v>
      </c>
      <c r="O212" s="304">
        <f>$M212*'MWh Impact Summary'!G$28</f>
        <v>19239.317135844569</v>
      </c>
      <c r="P212" s="304">
        <f>$M212*'MWh Impact Summary'!H$28</f>
        <v>9798.0486121727008</v>
      </c>
      <c r="Q212" s="304">
        <f>$M212*'MWh Impact Summary'!I$28</f>
        <v>1637.4488117358328</v>
      </c>
      <c r="R212" s="304">
        <f>$M212*'MWh Impact Summary'!J$28</f>
        <v>44607.637361837267</v>
      </c>
      <c r="S212" s="304">
        <f>$M212*'MWh Impact Summary'!K$28</f>
        <v>26885.680009079049</v>
      </c>
      <c r="T212" s="304">
        <f>$M212*'MWh Impact Summary'!L$28</f>
        <v>9606.7158433613913</v>
      </c>
      <c r="U212" s="304">
        <f>$M212*'MWh Impact Summary'!M$28</f>
        <v>29838.878194819466</v>
      </c>
      <c r="V212" s="304">
        <f>$M212*'LED Impact Forecast'!$H$29+$D212*'LED Impact Forecast'!$J$29</f>
        <v>155174.37994212995</v>
      </c>
      <c r="W212" s="304">
        <f>$M212*'CFL Impact Forecast'!$H$29+$D212*'CFL Impact Forecast'!$J$29</f>
        <v>329311.85839495913</v>
      </c>
      <c r="X212" s="304">
        <f>$M212*'EISA Incand Impact Forecast'!$G$29+$D212*'EISA Incand Impact Forecast'!$I$29</f>
        <v>114972.61510063344</v>
      </c>
      <c r="Y212" s="85">
        <f t="shared" si="91"/>
        <v>893041.44020576309</v>
      </c>
      <c r="Z212" s="81">
        <f t="shared" si="92"/>
        <v>1314669.8246753509</v>
      </c>
      <c r="AA212" s="81"/>
      <c r="AB212" s="262">
        <f>+'MWh by mo-WgtbyActulCDH&amp;Days'!AB212</f>
        <v>5234136.2560332026</v>
      </c>
      <c r="AC212" s="308">
        <f t="shared" si="100"/>
        <v>251.17225849059199</v>
      </c>
      <c r="AD212" s="309">
        <f t="shared" si="93"/>
        <v>80.553574428558647</v>
      </c>
      <c r="AE212" s="107">
        <f t="shared" si="94"/>
        <v>7.1922834311213078E-3</v>
      </c>
      <c r="AF212" s="309">
        <f t="shared" si="101"/>
        <v>170.61868406203334</v>
      </c>
      <c r="AG212" s="107">
        <f t="shared" si="95"/>
        <v>1.5233811076967264E-2</v>
      </c>
      <c r="AH212" s="119">
        <f t="shared" si="102"/>
        <v>2.2426094508088572E-2</v>
      </c>
      <c r="AI212" s="122">
        <f t="shared" si="96"/>
        <v>2.2426094508088572E-2</v>
      </c>
      <c r="AJ212" s="87" t="b">
        <f t="shared" si="103"/>
        <v>1</v>
      </c>
      <c r="AK212" s="88">
        <f t="shared" si="83"/>
        <v>1.3453173539524632E-3</v>
      </c>
      <c r="AL212" s="312">
        <f>+AC212/'MWh by month-WgtbyCDH&amp;DayLtHrs'!AC212-1</f>
        <v>2.7679510480633773E-3</v>
      </c>
      <c r="AM212" s="89">
        <f t="shared" si="97"/>
        <v>329311.85839495913</v>
      </c>
      <c r="AN212" s="93"/>
      <c r="AO212" s="96">
        <f t="shared" si="87"/>
        <v>62.916179917053761</v>
      </c>
      <c r="AP212" s="92">
        <f t="shared" si="86"/>
        <v>5.6175160640226573E-3</v>
      </c>
      <c r="AR212" s="94">
        <f t="shared" si="98"/>
        <v>2.2426094508088572E-2</v>
      </c>
      <c r="AS212" s="95">
        <v>1052631.7288214653</v>
      </c>
      <c r="AU212" s="141">
        <v>251.17225849059199</v>
      </c>
    </row>
    <row r="213" spans="1:47">
      <c r="A213" s="78">
        <v>2022</v>
      </c>
      <c r="B213" s="78">
        <v>5</v>
      </c>
      <c r="C213" s="317">
        <f t="shared" si="105"/>
        <v>208.47875842628665</v>
      </c>
      <c r="D213" s="324">
        <f t="shared" si="89"/>
        <v>0.10603105035770212</v>
      </c>
      <c r="E213" s="321">
        <f>$D213*'MWh Impact Summary'!B$28</f>
        <v>374540.60133338434</v>
      </c>
      <c r="F213" s="319">
        <f>$D213*'MWh Impact Summary'!N$28</f>
        <v>51838.235604433947</v>
      </c>
      <c r="G213" s="319">
        <f>$D213*'MWh Impact Summary'!C$28</f>
        <v>251943.78490425763</v>
      </c>
      <c r="H213" s="319">
        <f>$D213*'MWh Impact Summary'!D$28</f>
        <v>1146.2552162333948</v>
      </c>
      <c r="I213" s="319">
        <f>$D213*'MWh Impact Summary'!E$28</f>
        <v>91359.271363819527</v>
      </c>
      <c r="J213" s="104">
        <f t="shared" si="99"/>
        <v>770828.14842212875</v>
      </c>
      <c r="K213" s="298">
        <f t="shared" si="106"/>
        <v>10.533333333333333</v>
      </c>
      <c r="L213" s="300">
        <f t="shared" si="90"/>
        <v>7.4152293793265281E-2</v>
      </c>
      <c r="M213" s="297">
        <f t="shared" si="107"/>
        <v>8.4931506849315067E-2</v>
      </c>
      <c r="N213" s="304">
        <f>$M213*'MWh Impact Summary'!F$28</f>
        <v>157034.48949249662</v>
      </c>
      <c r="O213" s="304">
        <f>$M213*'MWh Impact Summary'!G$28</f>
        <v>19880.627707039388</v>
      </c>
      <c r="P213" s="304">
        <f>$M213*'MWh Impact Summary'!H$28</f>
        <v>10124.650232578459</v>
      </c>
      <c r="Q213" s="304">
        <f>$M213*'MWh Impact Summary'!I$28</f>
        <v>1692.030438793694</v>
      </c>
      <c r="R213" s="304">
        <f>$M213*'MWh Impact Summary'!J$28</f>
        <v>46094.558607231847</v>
      </c>
      <c r="S213" s="304">
        <f>$M213*'MWh Impact Summary'!K$28</f>
        <v>27781.869342715021</v>
      </c>
      <c r="T213" s="304">
        <f>$M213*'MWh Impact Summary'!L$28</f>
        <v>9926.9397048067713</v>
      </c>
      <c r="U213" s="304">
        <f>$M213*'MWh Impact Summary'!M$28</f>
        <v>30833.507467980115</v>
      </c>
      <c r="V213" s="304">
        <f>$M213*'LED Impact Forecast'!$H$29+$D213*'LED Impact Forecast'!$J$29</f>
        <v>173288.30966293858</v>
      </c>
      <c r="W213" s="304">
        <f>$M213*'CFL Impact Forecast'!$H$29+$D213*'CFL Impact Forecast'!$J$29</f>
        <v>368524.29400008137</v>
      </c>
      <c r="X213" s="304">
        <f>$M213*'EISA Incand Impact Forecast'!$G$29+$D213*'EISA Incand Impact Forecast'!$I$29</f>
        <v>129366.39007239256</v>
      </c>
      <c r="Y213" s="85">
        <f t="shared" si="91"/>
        <v>974547.66672905441</v>
      </c>
      <c r="Z213" s="81">
        <f t="shared" si="92"/>
        <v>1745375.8151511832</v>
      </c>
      <c r="AA213" s="81"/>
      <c r="AB213" s="262">
        <f>+'MWh by mo-WgtbyActulCDH&amp;Days'!AB213</f>
        <v>5239238.1846235972</v>
      </c>
      <c r="AC213" s="308">
        <f t="shared" si="100"/>
        <v>333.13542038871367</v>
      </c>
      <c r="AD213" s="309">
        <f t="shared" si="93"/>
        <v>147.12599833395578</v>
      </c>
      <c r="AE213" s="107">
        <f t="shared" si="94"/>
        <v>1.3967658069679346E-2</v>
      </c>
      <c r="AF213" s="309">
        <f t="shared" si="101"/>
        <v>186.00942205475792</v>
      </c>
      <c r="AG213" s="107">
        <f t="shared" si="95"/>
        <v>1.7659122346970691E-2</v>
      </c>
      <c r="AH213" s="119">
        <f t="shared" si="102"/>
        <v>3.1626780416650041E-2</v>
      </c>
      <c r="AI213" s="122">
        <f t="shared" si="96"/>
        <v>3.1626780416650034E-2</v>
      </c>
      <c r="AJ213" s="87" t="b">
        <f t="shared" si="103"/>
        <v>1</v>
      </c>
      <c r="AK213" s="88">
        <f t="shared" si="83"/>
        <v>1.7529899974240808E-3</v>
      </c>
      <c r="AL213" s="312">
        <f>+AC213/'MWh by month-WgtbyCDH&amp;DayLtHrs'!AC213-1</f>
        <v>8.0939006649799472E-2</v>
      </c>
      <c r="AM213" s="89">
        <f t="shared" si="97"/>
        <v>368524.29400008137</v>
      </c>
      <c r="AN213" s="93"/>
      <c r="AO213" s="96">
        <f t="shared" si="87"/>
        <v>70.339289990985066</v>
      </c>
      <c r="AP213" s="92">
        <f t="shared" si="86"/>
        <v>6.6777806953466834E-3</v>
      </c>
      <c r="AR213" s="94">
        <f t="shared" si="98"/>
        <v>3.1626780416650034E-2</v>
      </c>
      <c r="AS213" s="95">
        <v>1223803.9997503732</v>
      </c>
      <c r="AU213" s="141">
        <v>333.13542038871367</v>
      </c>
    </row>
    <row r="214" spans="1:47">
      <c r="A214" s="78">
        <v>2022</v>
      </c>
      <c r="B214" s="78">
        <v>6</v>
      </c>
      <c r="C214" s="317">
        <f t="shared" si="105"/>
        <v>271.66325293295364</v>
      </c>
      <c r="D214" s="324">
        <f t="shared" si="89"/>
        <v>0.13816630657965029</v>
      </c>
      <c r="E214" s="321">
        <f>$D214*'MWh Impact Summary'!B$28</f>
        <v>488054.12542624981</v>
      </c>
      <c r="F214" s="319">
        <f>$D214*'MWh Impact Summary'!N$28</f>
        <v>67549.05783643492</v>
      </c>
      <c r="G214" s="319">
        <f>$D214*'MWh Impact Summary'!C$28</f>
        <v>328301.39952858165</v>
      </c>
      <c r="H214" s="319">
        <f>$D214*'MWh Impact Summary'!D$28</f>
        <v>1493.6553876467588</v>
      </c>
      <c r="I214" s="319">
        <f>$D214*'MWh Impact Summary'!E$28</f>
        <v>119047.8926084696</v>
      </c>
      <c r="J214" s="104">
        <f t="shared" si="99"/>
        <v>1004446.1307873827</v>
      </c>
      <c r="K214" s="298">
        <f t="shared" si="106"/>
        <v>10.199999999999999</v>
      </c>
      <c r="L214" s="300">
        <f t="shared" si="90"/>
        <v>7.1805702217529022E-2</v>
      </c>
      <c r="M214" s="297">
        <f>(30/365)</f>
        <v>8.2191780821917804E-2</v>
      </c>
      <c r="N214" s="304">
        <f>$M214*'MWh Impact Summary'!F$28</f>
        <v>151968.86079919027</v>
      </c>
      <c r="O214" s="304">
        <f>$M214*'MWh Impact Summary'!G$28</f>
        <v>19239.317135844569</v>
      </c>
      <c r="P214" s="304">
        <f>$M214*'MWh Impact Summary'!H$28</f>
        <v>9798.0486121727008</v>
      </c>
      <c r="Q214" s="304">
        <f>$M214*'MWh Impact Summary'!I$28</f>
        <v>1637.4488117358328</v>
      </c>
      <c r="R214" s="304">
        <f>$M214*'MWh Impact Summary'!J$28</f>
        <v>44607.637361837267</v>
      </c>
      <c r="S214" s="304">
        <f>$M214*'MWh Impact Summary'!K$28</f>
        <v>26885.680009079049</v>
      </c>
      <c r="T214" s="304">
        <f>$M214*'MWh Impact Summary'!L$28</f>
        <v>9606.7158433613913</v>
      </c>
      <c r="U214" s="304">
        <f>$M214*'MWh Impact Summary'!M$28</f>
        <v>29838.878194819466</v>
      </c>
      <c r="V214" s="304">
        <f>$M214*'LED Impact Forecast'!$H$29+$D214*'LED Impact Forecast'!$J$29</f>
        <v>177679.5524702901</v>
      </c>
      <c r="W214" s="304">
        <f>$M214*'CFL Impact Forecast'!$H$29+$D214*'CFL Impact Forecast'!$J$29</f>
        <v>378413.15202620882</v>
      </c>
      <c r="X214" s="304">
        <f>$M214*'EISA Incand Impact Forecast'!$G$29+$D214*'EISA Incand Impact Forecast'!$I$29</f>
        <v>133338.80260594623</v>
      </c>
      <c r="Y214" s="85">
        <f t="shared" si="91"/>
        <v>983014.09387048567</v>
      </c>
      <c r="Z214" s="81">
        <f t="shared" si="92"/>
        <v>1987460.2246578685</v>
      </c>
      <c r="AA214" s="81"/>
      <c r="AB214" s="262">
        <f>+'MWh by mo-WgtbyActulCDH&amp;Days'!AB214</f>
        <v>5244340.260228348</v>
      </c>
      <c r="AC214" s="308">
        <f t="shared" si="100"/>
        <v>378.97240187297285</v>
      </c>
      <c r="AD214" s="309">
        <f t="shared" si="93"/>
        <v>191.52955013327974</v>
      </c>
      <c r="AE214" s="107">
        <f t="shared" si="94"/>
        <v>1.8777406875811743E-2</v>
      </c>
      <c r="AF214" s="309">
        <f t="shared" si="101"/>
        <v>187.44285173969308</v>
      </c>
      <c r="AG214" s="107">
        <f t="shared" si="95"/>
        <v>1.8376750170558148E-2</v>
      </c>
      <c r="AH214" s="119">
        <f t="shared" si="102"/>
        <v>3.7154157046369887E-2</v>
      </c>
      <c r="AI214" s="122">
        <f t="shared" si="96"/>
        <v>3.7154157046369887E-2</v>
      </c>
      <c r="AJ214" s="87" t="b">
        <f t="shared" si="103"/>
        <v>1</v>
      </c>
      <c r="AK214" s="88">
        <f t="shared" ref="AK214:AK268" si="108">AI214-AI202</f>
        <v>1.9699380008363979E-3</v>
      </c>
      <c r="AL214" s="312">
        <f>+AC214/'MWh by month-WgtbyCDH&amp;DayLtHrs'!AC214-1</f>
        <v>8.8706183222679424E-2</v>
      </c>
      <c r="AM214" s="89">
        <f t="shared" si="97"/>
        <v>378413.15202620882</v>
      </c>
      <c r="AN214" s="93"/>
      <c r="AO214" s="96">
        <f t="shared" si="87"/>
        <v>72.156483608813744</v>
      </c>
      <c r="AP214" s="92">
        <f t="shared" si="86"/>
        <v>7.0741650596876223E-3</v>
      </c>
      <c r="AR214" s="94">
        <f t="shared" si="98"/>
        <v>3.7154157046369887E-2</v>
      </c>
      <c r="AS214" s="95">
        <v>1461578.3906399433</v>
      </c>
      <c r="AU214" s="141">
        <v>378.97240187297285</v>
      </c>
    </row>
    <row r="215" spans="1:47">
      <c r="A215" s="78">
        <v>2022</v>
      </c>
      <c r="B215" s="78">
        <v>7</v>
      </c>
      <c r="C215" s="317">
        <f t="shared" si="105"/>
        <v>322.31916585708109</v>
      </c>
      <c r="D215" s="324">
        <f t="shared" si="89"/>
        <v>0.16392960109808263</v>
      </c>
      <c r="E215" s="321">
        <f>$D215*'MWh Impact Summary'!B$28</f>
        <v>579059.54118616076</v>
      </c>
      <c r="F215" s="319">
        <f>$D215*'MWh Impact Summary'!N$28</f>
        <v>80144.648719364472</v>
      </c>
      <c r="G215" s="319">
        <f>$D215*'MWh Impact Summary'!C$28</f>
        <v>389518.39125581167</v>
      </c>
      <c r="H215" s="319">
        <f>$D215*'MWh Impact Summary'!D$28</f>
        <v>1772.1710736602865</v>
      </c>
      <c r="I215" s="319">
        <f>$D215*'MWh Impact Summary'!E$28</f>
        <v>141246.25626887911</v>
      </c>
      <c r="J215" s="104">
        <f t="shared" si="99"/>
        <v>1191741.0085038764</v>
      </c>
      <c r="K215" s="298">
        <f t="shared" si="106"/>
        <v>10.366666666666667</v>
      </c>
      <c r="L215" s="300">
        <f t="shared" si="90"/>
        <v>7.2978998005397158E-2</v>
      </c>
      <c r="M215" s="297">
        <f t="shared" si="107"/>
        <v>8.4931506849315067E-2</v>
      </c>
      <c r="N215" s="304">
        <f>$M215*'MWh Impact Summary'!F$28</f>
        <v>157034.48949249662</v>
      </c>
      <c r="O215" s="304">
        <f>$M215*'MWh Impact Summary'!G$28</f>
        <v>19880.627707039388</v>
      </c>
      <c r="P215" s="304">
        <f>$M215*'MWh Impact Summary'!H$28</f>
        <v>10124.650232578459</v>
      </c>
      <c r="Q215" s="304">
        <f>$M215*'MWh Impact Summary'!I$28</f>
        <v>1692.030438793694</v>
      </c>
      <c r="R215" s="304">
        <f>$M215*'MWh Impact Summary'!J$28</f>
        <v>46094.558607231847</v>
      </c>
      <c r="S215" s="304">
        <f>$M215*'MWh Impact Summary'!K$28</f>
        <v>27781.869342715021</v>
      </c>
      <c r="T215" s="304">
        <f>$M215*'MWh Impact Summary'!L$28</f>
        <v>9926.9397048067713</v>
      </c>
      <c r="U215" s="304">
        <f>$M215*'MWh Impact Summary'!M$28</f>
        <v>30833.507467980115</v>
      </c>
      <c r="V215" s="304">
        <f>$M215*'LED Impact Forecast'!$H$29+$D215*'LED Impact Forecast'!$J$29</f>
        <v>189541.6180004233</v>
      </c>
      <c r="W215" s="304">
        <f>$M215*'CFL Impact Forecast'!$H$29+$D215*'CFL Impact Forecast'!$J$29</f>
        <v>403985.40695797955</v>
      </c>
      <c r="X215" s="304">
        <f>$M215*'EISA Incand Impact Forecast'!$G$29+$D215*'EISA Incand Impact Forecast'!$I$29</f>
        <v>142630.51004900629</v>
      </c>
      <c r="Y215" s="85">
        <f t="shared" si="91"/>
        <v>1039526.2080010511</v>
      </c>
      <c r="Z215" s="81">
        <f t="shared" si="92"/>
        <v>2231267.2165049277</v>
      </c>
      <c r="AA215" s="81"/>
      <c r="AB215" s="262">
        <f>+'MWh by mo-WgtbyActulCDH&amp;Days'!AB215</f>
        <v>5249596.8518007202</v>
      </c>
      <c r="AC215" s="308">
        <f t="shared" si="100"/>
        <v>425.03591789902055</v>
      </c>
      <c r="AD215" s="309">
        <f t="shared" si="93"/>
        <v>227.01571990144055</v>
      </c>
      <c r="AE215" s="107">
        <f t="shared" si="94"/>
        <v>2.1898622498531244E-2</v>
      </c>
      <c r="AF215" s="309">
        <f t="shared" si="101"/>
        <v>198.02019799757997</v>
      </c>
      <c r="AG215" s="107">
        <f t="shared" si="95"/>
        <v>1.9101626816486812E-2</v>
      </c>
      <c r="AH215" s="119">
        <f t="shared" si="102"/>
        <v>4.1000249315018056E-2</v>
      </c>
      <c r="AI215" s="122">
        <f t="shared" si="96"/>
        <v>4.1000249315018063E-2</v>
      </c>
      <c r="AJ215" s="87" t="b">
        <f t="shared" si="103"/>
        <v>1</v>
      </c>
      <c r="AK215" s="88">
        <f t="shared" si="108"/>
        <v>2.1298644768354136E-3</v>
      </c>
      <c r="AL215" s="312">
        <f>+AC215/'MWh by month-WgtbyCDH&amp;DayLtHrs'!AC215-1</f>
        <v>0.10229107828831041</v>
      </c>
      <c r="AM215" s="89">
        <f t="shared" si="97"/>
        <v>403985.40695797955</v>
      </c>
      <c r="AN215" s="93"/>
      <c r="AO215" s="96">
        <f t="shared" si="87"/>
        <v>76.955510749250053</v>
      </c>
      <c r="AP215" s="92">
        <f t="shared" si="86"/>
        <v>7.4233611655225131E-3</v>
      </c>
      <c r="AR215" s="94">
        <f t="shared" si="98"/>
        <v>4.1000249315018063E-2</v>
      </c>
      <c r="AS215" s="95">
        <v>1522372.7740701623</v>
      </c>
      <c r="AU215" s="141">
        <v>425.03591789902055</v>
      </c>
    </row>
    <row r="216" spans="1:47">
      <c r="A216" s="78">
        <v>2022</v>
      </c>
      <c r="B216" s="78">
        <v>8</v>
      </c>
      <c r="C216" s="317">
        <f t="shared" si="105"/>
        <v>326.45437890907908</v>
      </c>
      <c r="D216" s="324">
        <f t="shared" si="89"/>
        <v>0.16603274573816959</v>
      </c>
      <c r="E216" s="321">
        <f>$D216*'MWh Impact Summary'!B$28</f>
        <v>586488.62026754173</v>
      </c>
      <c r="F216" s="319">
        <f>$D216*'MWh Impact Summary'!N$28</f>
        <v>81172.869292444084</v>
      </c>
      <c r="G216" s="319">
        <f>$D216*'MWh Impact Summary'!C$28</f>
        <v>394515.74079669663</v>
      </c>
      <c r="H216" s="319">
        <f>$D216*'MWh Impact Summary'!D$28</f>
        <v>1794.9072486397874</v>
      </c>
      <c r="I216" s="319">
        <f>$D216*'MWh Impact Summary'!E$28</f>
        <v>143058.38357727474</v>
      </c>
      <c r="J216" s="104">
        <f t="shared" si="99"/>
        <v>1207030.5211825971</v>
      </c>
      <c r="K216" s="298">
        <f t="shared" si="106"/>
        <v>10.933333333333334</v>
      </c>
      <c r="L216" s="300">
        <f t="shared" si="90"/>
        <v>7.6968203684148764E-2</v>
      </c>
      <c r="M216" s="297">
        <f t="shared" si="107"/>
        <v>8.4931506849315067E-2</v>
      </c>
      <c r="N216" s="304">
        <f>$M216*'MWh Impact Summary'!F$28</f>
        <v>157034.48949249662</v>
      </c>
      <c r="O216" s="304">
        <f>$M216*'MWh Impact Summary'!G$28</f>
        <v>19880.627707039388</v>
      </c>
      <c r="P216" s="304">
        <f>$M216*'MWh Impact Summary'!H$28</f>
        <v>10124.650232578459</v>
      </c>
      <c r="Q216" s="304">
        <f>$M216*'MWh Impact Summary'!I$28</f>
        <v>1692.030438793694</v>
      </c>
      <c r="R216" s="304">
        <f>$M216*'MWh Impact Summary'!J$28</f>
        <v>46094.558607231847</v>
      </c>
      <c r="S216" s="304">
        <f>$M216*'MWh Impact Summary'!K$28</f>
        <v>27781.869342715021</v>
      </c>
      <c r="T216" s="304">
        <f>$M216*'MWh Impact Summary'!L$28</f>
        <v>9926.9397048067713</v>
      </c>
      <c r="U216" s="304">
        <f>$M216*'MWh Impact Summary'!M$28</f>
        <v>30833.507467980115</v>
      </c>
      <c r="V216" s="304">
        <f>$M216*'LED Impact Forecast'!$H$29+$D216*'LED Impact Forecast'!$J$29</f>
        <v>190132.01375086169</v>
      </c>
      <c r="W216" s="304">
        <f>$M216*'CFL Impact Forecast'!$H$29+$D216*'CFL Impact Forecast'!$J$29</f>
        <v>405273.51950475713</v>
      </c>
      <c r="X216" s="304">
        <f>$M216*'EISA Incand Impact Forecast'!$G$29+$D216*'EISA Incand Impact Forecast'!$I$29</f>
        <v>143112.32457592551</v>
      </c>
      <c r="Y216" s="85">
        <f t="shared" si="91"/>
        <v>1041886.5308251863</v>
      </c>
      <c r="Z216" s="81">
        <f t="shared" si="92"/>
        <v>2248917.0520077832</v>
      </c>
      <c r="AA216" s="81"/>
      <c r="AB216" s="262">
        <f>+'MWh by mo-WgtbyActulCDH&amp;Days'!AB216</f>
        <v>5254931.9503803095</v>
      </c>
      <c r="AC216" s="308">
        <f t="shared" si="100"/>
        <v>427.96311602950919</v>
      </c>
      <c r="AD216" s="309">
        <f t="shared" si="93"/>
        <v>229.69479578041768</v>
      </c>
      <c r="AE216" s="107">
        <f t="shared" si="94"/>
        <v>2.1008670345769909E-2</v>
      </c>
      <c r="AF216" s="309">
        <f t="shared" si="101"/>
        <v>198.26832024909152</v>
      </c>
      <c r="AG216" s="107">
        <f t="shared" si="95"/>
        <v>1.8134297583758372E-2</v>
      </c>
      <c r="AH216" s="119">
        <f t="shared" si="102"/>
        <v>3.9142967929528281E-2</v>
      </c>
      <c r="AI216" s="122">
        <f t="shared" si="96"/>
        <v>3.9142967929528281E-2</v>
      </c>
      <c r="AJ216" s="87" t="b">
        <f t="shared" si="103"/>
        <v>1</v>
      </c>
      <c r="AK216" s="88">
        <f t="shared" si="108"/>
        <v>2.0301682388185818E-3</v>
      </c>
      <c r="AL216" s="312">
        <f>+AC216/'MWh by month-WgtbyCDH&amp;DayLtHrs'!AC216-1</f>
        <v>8.2135805469371048E-2</v>
      </c>
      <c r="AM216" s="89">
        <f t="shared" si="97"/>
        <v>405273.51950475713</v>
      </c>
      <c r="AN216" s="93"/>
      <c r="AO216" s="96">
        <f t="shared" si="87"/>
        <v>77.122505739665513</v>
      </c>
      <c r="AP216" s="92">
        <f t="shared" si="86"/>
        <v>7.0538877200913581E-3</v>
      </c>
      <c r="AR216" s="94">
        <f t="shared" si="98"/>
        <v>3.9142967929528281E-2</v>
      </c>
      <c r="AS216" s="95">
        <v>1581642.9044645752</v>
      </c>
      <c r="AU216" s="141">
        <v>427.96311602950919</v>
      </c>
    </row>
    <row r="217" spans="1:47">
      <c r="A217" s="78">
        <v>2022</v>
      </c>
      <c r="B217" s="78">
        <v>9</v>
      </c>
      <c r="C217" s="317">
        <f t="shared" si="105"/>
        <v>277.87653293728147</v>
      </c>
      <c r="D217" s="324">
        <f>D205</f>
        <v>0.14132634365008559</v>
      </c>
      <c r="E217" s="321">
        <f>$D217*'MWh Impact Summary'!B$28</f>
        <v>499216.53663130535</v>
      </c>
      <c r="F217" s="319">
        <f>$D217*'MWh Impact Summary'!N$28</f>
        <v>69093.989680676255</v>
      </c>
      <c r="G217" s="319">
        <f>$D217*'MWh Impact Summary'!C$28</f>
        <v>335810.06512490811</v>
      </c>
      <c r="H217" s="319">
        <f>$D217*'MWh Impact Summary'!D$28</f>
        <v>1527.8171634969237</v>
      </c>
      <c r="I217" s="319">
        <f>$D217*'MWh Impact Summary'!E$28</f>
        <v>121770.66752453131</v>
      </c>
      <c r="J217" s="104">
        <f t="shared" si="99"/>
        <v>1027419.0761249179</v>
      </c>
      <c r="K217" s="298">
        <f t="shared" si="106"/>
        <v>11.683333333333334</v>
      </c>
      <c r="L217" s="300">
        <f>L205</f>
        <v>8.2248034729555317E-2</v>
      </c>
      <c r="M217" s="297">
        <f>(30/365)</f>
        <v>8.2191780821917804E-2</v>
      </c>
      <c r="N217" s="304">
        <f>$M217*'MWh Impact Summary'!F$28</f>
        <v>151968.86079919027</v>
      </c>
      <c r="O217" s="304">
        <f>$M217*'MWh Impact Summary'!G$28</f>
        <v>19239.317135844569</v>
      </c>
      <c r="P217" s="304">
        <f>$M217*'MWh Impact Summary'!H$28</f>
        <v>9798.0486121727008</v>
      </c>
      <c r="Q217" s="304">
        <f>$M217*'MWh Impact Summary'!I$28</f>
        <v>1637.4488117358328</v>
      </c>
      <c r="R217" s="304">
        <f>$M217*'MWh Impact Summary'!J$28</f>
        <v>44607.637361837267</v>
      </c>
      <c r="S217" s="304">
        <f>$M217*'MWh Impact Summary'!K$28</f>
        <v>26885.680009079049</v>
      </c>
      <c r="T217" s="304">
        <f>$M217*'MWh Impact Summary'!L$28</f>
        <v>9606.7158433613913</v>
      </c>
      <c r="U217" s="304">
        <f>$M217*'MWh Impact Summary'!M$28</f>
        <v>29838.878194819466</v>
      </c>
      <c r="V217" s="304">
        <f>$M217*'LED Impact Forecast'!$H$29+$D217*'LED Impact Forecast'!$J$29</f>
        <v>178566.63955980935</v>
      </c>
      <c r="W217" s="304">
        <f>$M217*'CFL Impact Forecast'!$H$29+$D217*'CFL Impact Forecast'!$J$29</f>
        <v>380348.57925319293</v>
      </c>
      <c r="X217" s="304">
        <f>$M217*'EISA Incand Impact Forecast'!$G$29+$D217*'EISA Incand Impact Forecast'!$I$29</f>
        <v>134062.74319334968</v>
      </c>
      <c r="Y217" s="85">
        <f t="shared" si="91"/>
        <v>986560.54877439246</v>
      </c>
      <c r="Z217" s="81">
        <f t="shared" si="92"/>
        <v>2013979.6248993105</v>
      </c>
      <c r="AA217" s="81"/>
      <c r="AB217" s="262">
        <f>+'MWh by mo-WgtbyActulCDH&amp;Days'!AB217</f>
        <v>5259983.1400663005</v>
      </c>
      <c r="AC217" s="308">
        <f t="shared" si="100"/>
        <v>382.88708751905335</v>
      </c>
      <c r="AD217" s="309">
        <f t="shared" si="93"/>
        <v>195.32744664120113</v>
      </c>
      <c r="AE217" s="107">
        <f t="shared" si="94"/>
        <v>1.6718469042042893E-2</v>
      </c>
      <c r="AF217" s="309">
        <f t="shared" si="101"/>
        <v>187.55964087785216</v>
      </c>
      <c r="AG217" s="107">
        <f t="shared" si="95"/>
        <v>1.6053606922498045E-2</v>
      </c>
      <c r="AH217" s="119">
        <f t="shared" si="102"/>
        <v>3.2772075964540938E-2</v>
      </c>
      <c r="AI217" s="122">
        <f t="shared" si="96"/>
        <v>3.2772075964540945E-2</v>
      </c>
      <c r="AJ217" s="87" t="b">
        <f t="shared" si="103"/>
        <v>1</v>
      </c>
      <c r="AK217" s="88">
        <f t="shared" si="108"/>
        <v>1.7322380478656425E-3</v>
      </c>
      <c r="AL217" s="312">
        <f>+AC217/'MWh by month-WgtbyCDH&amp;DayLtHrs'!AC217-1</f>
        <v>3.2884421389535623E-2</v>
      </c>
      <c r="AM217" s="89">
        <f t="shared" si="97"/>
        <v>380348.57925319293</v>
      </c>
      <c r="AN217" s="93"/>
      <c r="AO217" s="96">
        <f t="shared" si="87"/>
        <v>72.309847603123458</v>
      </c>
      <c r="AP217" s="92">
        <f t="shared" si="86"/>
        <v>6.1891453012659159E-3</v>
      </c>
      <c r="AR217" s="94">
        <f t="shared" si="98"/>
        <v>3.2772075964540945E-2</v>
      </c>
      <c r="AS217" s="95">
        <v>1503847.2272812007</v>
      </c>
      <c r="AU217" s="141">
        <v>382.88708751905335</v>
      </c>
    </row>
    <row r="218" spans="1:47">
      <c r="A218" s="78">
        <v>2022</v>
      </c>
      <c r="B218" s="78">
        <v>10</v>
      </c>
      <c r="C218" s="317">
        <f t="shared" si="105"/>
        <v>198.89039579254836</v>
      </c>
      <c r="D218" s="324">
        <f>D206</f>
        <v>0.10115446643644242</v>
      </c>
      <c r="E218" s="321">
        <f>$D218*'MWh Impact Summary'!B$28</f>
        <v>357314.71638591297</v>
      </c>
      <c r="F218" s="319">
        <f>$D218*'MWh Impact Summary'!N$28</f>
        <v>49454.089588693838</v>
      </c>
      <c r="G218" s="319">
        <f>$D218*'MWh Impact Summary'!C$28</f>
        <v>240356.37719320907</v>
      </c>
      <c r="H218" s="319">
        <f>$D218*'MWh Impact Summary'!D$28</f>
        <v>1093.5366046730428</v>
      </c>
      <c r="I218" s="319">
        <f>$D218*'MWh Impact Summary'!E$28</f>
        <v>87157.472435224438</v>
      </c>
      <c r="J218" s="104">
        <f t="shared" si="99"/>
        <v>735376.19220771338</v>
      </c>
      <c r="K218" s="298">
        <f t="shared" si="106"/>
        <v>12.466666666666667</v>
      </c>
      <c r="L218" s="300">
        <f>L206</f>
        <v>8.7762524932535488E-2</v>
      </c>
      <c r="M218" s="297">
        <f t="shared" si="107"/>
        <v>8.4931506849315067E-2</v>
      </c>
      <c r="N218" s="304">
        <f>$M218*'MWh Impact Summary'!F$28</f>
        <v>157034.48949249662</v>
      </c>
      <c r="O218" s="304">
        <f>$M218*'MWh Impact Summary'!G$28</f>
        <v>19880.627707039388</v>
      </c>
      <c r="P218" s="304">
        <f>$M218*'MWh Impact Summary'!H$28</f>
        <v>10124.650232578459</v>
      </c>
      <c r="Q218" s="304">
        <f>$M218*'MWh Impact Summary'!I$28</f>
        <v>1692.030438793694</v>
      </c>
      <c r="R218" s="304">
        <f>$M218*'MWh Impact Summary'!J$28</f>
        <v>46094.558607231847</v>
      </c>
      <c r="S218" s="304">
        <f>$M218*'MWh Impact Summary'!K$28</f>
        <v>27781.869342715021</v>
      </c>
      <c r="T218" s="304">
        <f>$M218*'MWh Impact Summary'!L$28</f>
        <v>9926.9397048067713</v>
      </c>
      <c r="U218" s="304">
        <f>$M218*'MWh Impact Summary'!M$28</f>
        <v>30833.507467980115</v>
      </c>
      <c r="V218" s="304">
        <f>$M218*'LED Impact Forecast'!$H$29+$D218*'LED Impact Forecast'!$J$29</f>
        <v>171919.35273582547</v>
      </c>
      <c r="W218" s="304">
        <f>$M218*'CFL Impact Forecast'!$H$29+$D218*'CFL Impact Forecast'!$J$29</f>
        <v>365537.53369141865</v>
      </c>
      <c r="X218" s="304">
        <f>$M218*'EISA Incand Impact Forecast'!$G$29+$D218*'EISA Incand Impact Forecast'!$I$29</f>
        <v>128249.20158700788</v>
      </c>
      <c r="Y218" s="85">
        <f t="shared" si="91"/>
        <v>969074.76100789383</v>
      </c>
      <c r="Z218" s="81">
        <f t="shared" si="92"/>
        <v>1704450.9532156072</v>
      </c>
      <c r="AA218" s="81"/>
      <c r="AB218" s="262">
        <f>+'MWh by mo-WgtbyActulCDH&amp;Days'!AB218</f>
        <v>5265129.0517696831</v>
      </c>
      <c r="AC218" s="308">
        <f t="shared" si="100"/>
        <v>323.72443988675218</v>
      </c>
      <c r="AD218" s="309">
        <f t="shared" si="93"/>
        <v>139.66916764567114</v>
      </c>
      <c r="AE218" s="107">
        <f t="shared" si="94"/>
        <v>1.1203409169438861E-2</v>
      </c>
      <c r="AF218" s="309">
        <f t="shared" si="101"/>
        <v>184.05527224108101</v>
      </c>
      <c r="AG218" s="107">
        <f t="shared" si="95"/>
        <v>1.4763791890995803E-2</v>
      </c>
      <c r="AH218" s="119">
        <f t="shared" si="102"/>
        <v>2.5967201060434666E-2</v>
      </c>
      <c r="AI218" s="122">
        <f t="shared" si="96"/>
        <v>2.5967201060434666E-2</v>
      </c>
      <c r="AJ218" s="87" t="b">
        <f t="shared" si="103"/>
        <v>1</v>
      </c>
      <c r="AK218" s="88">
        <f t="shared" si="108"/>
        <v>1.4495159514830817E-3</v>
      </c>
      <c r="AL218" s="312">
        <f>+AC218/'MWh by month-WgtbyCDH&amp;DayLtHrs'!AC218-1</f>
        <v>-4.0283644218357395E-3</v>
      </c>
      <c r="AM218" s="89">
        <f t="shared" si="97"/>
        <v>365537.53369141865</v>
      </c>
      <c r="AN218" s="93"/>
      <c r="AO218" s="96">
        <f t="shared" si="87"/>
        <v>69.426129938554197</v>
      </c>
      <c r="AP218" s="92">
        <f t="shared" si="86"/>
        <v>5.5689409041621016E-3</v>
      </c>
      <c r="AR218" s="94">
        <f t="shared" si="98"/>
        <v>2.5967201060434666E-2</v>
      </c>
      <c r="AS218" s="95">
        <v>1240064.5715416537</v>
      </c>
      <c r="AU218" s="141">
        <v>323.72443988675218</v>
      </c>
    </row>
    <row r="219" spans="1:47">
      <c r="A219" s="78">
        <v>2022</v>
      </c>
      <c r="B219" s="78">
        <v>11</v>
      </c>
      <c r="C219" s="317">
        <f t="shared" si="105"/>
        <v>78.117279066674627</v>
      </c>
      <c r="D219" s="324">
        <f>D207</f>
        <v>3.9729981188725644E-2</v>
      </c>
      <c r="E219" s="321">
        <f>$D219*'MWh Impact Summary'!B$28</f>
        <v>140340.88123421508</v>
      </c>
      <c r="F219" s="319">
        <f>$D219*'MWh Impact Summary'!N$28</f>
        <v>19423.858562873171</v>
      </c>
      <c r="G219" s="319">
        <f>$D219*'MWh Impact Summary'!C$28</f>
        <v>94403.684591391837</v>
      </c>
      <c r="H219" s="319">
        <f>$D219*'MWh Impact Summary'!D$28</f>
        <v>429.50341456391448</v>
      </c>
      <c r="I219" s="319">
        <f>$D219*'MWh Impact Summary'!E$28</f>
        <v>34232.445311587624</v>
      </c>
      <c r="J219" s="104">
        <f t="shared" si="99"/>
        <v>288830.37311463163</v>
      </c>
      <c r="K219" s="298">
        <f t="shared" si="106"/>
        <v>13.15</v>
      </c>
      <c r="L219" s="300">
        <f>L207</f>
        <v>9.2573037662794788E-2</v>
      </c>
      <c r="M219" s="297">
        <f>(30/365)</f>
        <v>8.2191780821917804E-2</v>
      </c>
      <c r="N219" s="304">
        <f>$M219*'MWh Impact Summary'!F$28</f>
        <v>151968.86079919027</v>
      </c>
      <c r="O219" s="304">
        <f>$M219*'MWh Impact Summary'!G$28</f>
        <v>19239.317135844569</v>
      </c>
      <c r="P219" s="304">
        <f>$M219*'MWh Impact Summary'!H$28</f>
        <v>9798.0486121727008</v>
      </c>
      <c r="Q219" s="304">
        <f>$M219*'MWh Impact Summary'!I$28</f>
        <v>1637.4488117358328</v>
      </c>
      <c r="R219" s="304">
        <f>$M219*'MWh Impact Summary'!J$28</f>
        <v>44607.637361837267</v>
      </c>
      <c r="S219" s="304">
        <f>$M219*'MWh Impact Summary'!K$28</f>
        <v>26885.680009079049</v>
      </c>
      <c r="T219" s="304">
        <f>$M219*'MWh Impact Summary'!L$28</f>
        <v>9606.7158433613913</v>
      </c>
      <c r="U219" s="304">
        <f>$M219*'MWh Impact Summary'!M$28</f>
        <v>29838.878194819466</v>
      </c>
      <c r="V219" s="304">
        <f>$M219*'LED Impact Forecast'!$H$29+$D219*'LED Impact Forecast'!$J$29</f>
        <v>150046.46100722809</v>
      </c>
      <c r="W219" s="304">
        <f>$M219*'CFL Impact Forecast'!$H$29+$D219*'CFL Impact Forecast'!$J$29</f>
        <v>318123.87691982021</v>
      </c>
      <c r="X219" s="304">
        <f>$M219*'EISA Incand Impact Forecast'!$G$29+$D219*'EISA Incand Impact Forecast'!$I$29</f>
        <v>110787.78512198714</v>
      </c>
      <c r="Y219" s="85">
        <f t="shared" si="91"/>
        <v>872540.70981707599</v>
      </c>
      <c r="Z219" s="81">
        <f t="shared" si="92"/>
        <v>1161371.0829317076</v>
      </c>
      <c r="AA219" s="81"/>
      <c r="AB219" s="262">
        <f>+'MWh by mo-WgtbyActulCDH&amp;Days'!AB219</f>
        <v>5270297.39460182</v>
      </c>
      <c r="AC219" s="308">
        <f t="shared" si="100"/>
        <v>220.36158417194048</v>
      </c>
      <c r="AD219" s="309">
        <f t="shared" si="93"/>
        <v>54.803429766690286</v>
      </c>
      <c r="AE219" s="107">
        <f t="shared" si="94"/>
        <v>4.167561198987855E-3</v>
      </c>
      <c r="AF219" s="309">
        <f t="shared" si="101"/>
        <v>165.55815440525021</v>
      </c>
      <c r="AG219" s="107">
        <f t="shared" si="95"/>
        <v>1.2589973719030433E-2</v>
      </c>
      <c r="AH219" s="119">
        <f t="shared" si="102"/>
        <v>1.6757534918018287E-2</v>
      </c>
      <c r="AI219" s="122">
        <f t="shared" si="96"/>
        <v>1.6757534918018287E-2</v>
      </c>
      <c r="AJ219" s="87" t="b">
        <f t="shared" si="103"/>
        <v>1</v>
      </c>
      <c r="AK219" s="88">
        <f t="shared" si="108"/>
        <v>1.0508135360490535E-3</v>
      </c>
      <c r="AL219" s="312">
        <f>+AC219/'MWh by month-WgtbyCDH&amp;DayLtHrs'!AC219-1</f>
        <v>-0.1144669760845316</v>
      </c>
      <c r="AM219" s="89">
        <f t="shared" si="97"/>
        <v>318123.87691982021</v>
      </c>
      <c r="AN219" s="93"/>
      <c r="AO219" s="96">
        <f t="shared" si="87"/>
        <v>60.361655728510364</v>
      </c>
      <c r="AP219" s="92">
        <f t="shared" si="86"/>
        <v>4.5902399793544E-3</v>
      </c>
      <c r="AR219" s="94">
        <f t="shared" si="98"/>
        <v>1.6757534918018287E-2</v>
      </c>
      <c r="AS219" s="95">
        <v>1001509.8882787043</v>
      </c>
      <c r="AU219" s="141">
        <v>220.36158417194048</v>
      </c>
    </row>
    <row r="220" spans="1:47">
      <c r="A220" s="78">
        <v>2022</v>
      </c>
      <c r="B220" s="78">
        <v>12</v>
      </c>
      <c r="C220" s="317">
        <f t="shared" si="105"/>
        <v>42.633806123140985</v>
      </c>
      <c r="D220" s="324">
        <f>D208</f>
        <v>2.1683298951445065E-2</v>
      </c>
      <c r="E220" s="321">
        <f>$D220*'MWh Impact Summary'!B$28</f>
        <v>76593.373363445571</v>
      </c>
      <c r="F220" s="319">
        <f>$D220*'MWh Impact Summary'!N$28</f>
        <v>10600.894322318061</v>
      </c>
      <c r="G220" s="319">
        <f>$D220*'MWh Impact Summary'!C$28</f>
        <v>51522.383194431488</v>
      </c>
      <c r="H220" s="319">
        <f>$D220*'MWh Impact Summary'!D$28</f>
        <v>234.40864203828539</v>
      </c>
      <c r="I220" s="319">
        <f>$D220*'MWh Impact Summary'!E$28</f>
        <v>18682.927182980555</v>
      </c>
      <c r="J220" s="104">
        <f t="shared" si="99"/>
        <v>157633.98670521396</v>
      </c>
      <c r="K220" s="298">
        <f t="shared" si="106"/>
        <v>13.483333333333333</v>
      </c>
      <c r="L220" s="300">
        <f>L208</f>
        <v>9.491962923853102E-2</v>
      </c>
      <c r="M220" s="297">
        <f t="shared" si="107"/>
        <v>8.4931506849315067E-2</v>
      </c>
      <c r="N220" s="304">
        <f>$M220*'MWh Impact Summary'!F$28</f>
        <v>157034.48949249662</v>
      </c>
      <c r="O220" s="304">
        <f>$M220*'MWh Impact Summary'!G$28</f>
        <v>19880.627707039388</v>
      </c>
      <c r="P220" s="304">
        <f>$M220*'MWh Impact Summary'!H$28</f>
        <v>10124.650232578459</v>
      </c>
      <c r="Q220" s="304">
        <f>$M220*'MWh Impact Summary'!I$28</f>
        <v>1692.030438793694</v>
      </c>
      <c r="R220" s="304">
        <f>$M220*'MWh Impact Summary'!J$28</f>
        <v>46094.558607231847</v>
      </c>
      <c r="S220" s="304">
        <f>$M220*'MWh Impact Summary'!K$28</f>
        <v>27781.869342715021</v>
      </c>
      <c r="T220" s="304">
        <f>$M220*'MWh Impact Summary'!L$28</f>
        <v>9926.9397048067713</v>
      </c>
      <c r="U220" s="304">
        <f>$M220*'MWh Impact Summary'!M$28</f>
        <v>30833.507467980115</v>
      </c>
      <c r="V220" s="304">
        <f>$M220*'LED Impact Forecast'!$H$29+$D220*'LED Impact Forecast'!$J$29</f>
        <v>149610.16930107164</v>
      </c>
      <c r="W220" s="304">
        <f>$M220*'CFL Impact Forecast'!$H$29+$D220*'CFL Impact Forecast'!$J$29</f>
        <v>316863.84478134254</v>
      </c>
      <c r="X220" s="304">
        <f>$M220*'EISA Incand Impact Forecast'!$G$29+$D220*'EISA Incand Impact Forecast'!$I$29</f>
        <v>110042.95830936065</v>
      </c>
      <c r="Y220" s="85">
        <f t="shared" si="91"/>
        <v>879885.64538541681</v>
      </c>
      <c r="Z220" s="81">
        <f t="shared" si="92"/>
        <v>1037519.6320906307</v>
      </c>
      <c r="AA220" s="81">
        <f>SUM(Z209:Z220)</f>
        <v>18465538.166229766</v>
      </c>
      <c r="AB220" s="262">
        <f>+'MWh by mo-WgtbyActulCDH&amp;Days'!AB220</f>
        <v>5275479.2526890254</v>
      </c>
      <c r="AC220" s="308">
        <f t="shared" si="100"/>
        <v>196.66831815550873</v>
      </c>
      <c r="AD220" s="309">
        <f t="shared" si="93"/>
        <v>29.880505477272898</v>
      </c>
      <c r="AE220" s="107">
        <f t="shared" si="94"/>
        <v>2.2161067103045411E-3</v>
      </c>
      <c r="AF220" s="309">
        <f t="shared" si="101"/>
        <v>166.78781267823587</v>
      </c>
      <c r="AG220" s="107">
        <f t="shared" si="95"/>
        <v>1.236992430246496E-2</v>
      </c>
      <c r="AH220" s="119">
        <f t="shared" si="102"/>
        <v>1.4586031012769502E-2</v>
      </c>
      <c r="AI220" s="122">
        <f t="shared" si="96"/>
        <v>1.45860310127695E-2</v>
      </c>
      <c r="AJ220" s="87" t="b">
        <f t="shared" si="103"/>
        <v>1</v>
      </c>
      <c r="AK220" s="88">
        <f t="shared" si="108"/>
        <v>9.678550032024575E-4</v>
      </c>
      <c r="AL220" s="312">
        <f>+AC220/'MWh by month-WgtbyCDH&amp;DayLtHrs'!AC220-1</f>
        <v>-0.13761043770046122</v>
      </c>
      <c r="AM220" s="89">
        <f t="shared" si="97"/>
        <v>316863.84478134254</v>
      </c>
      <c r="AN220" s="90">
        <f>SUM(AM209:AM220)</f>
        <v>4186920.4292156384</v>
      </c>
      <c r="AO220" s="96">
        <f t="shared" si="87"/>
        <v>60.06351832771027</v>
      </c>
      <c r="AP220" s="92">
        <f t="shared" si="86"/>
        <v>4.4546490725125053E-3</v>
      </c>
      <c r="AR220" s="94">
        <f t="shared" si="98"/>
        <v>1.45860310127695E-2</v>
      </c>
      <c r="AS220" s="95">
        <v>851106.54648590065</v>
      </c>
      <c r="AU220" s="141">
        <v>196.66831815550873</v>
      </c>
    </row>
    <row r="221" spans="1:47">
      <c r="A221" s="78">
        <f>+A209+1</f>
        <v>2023</v>
      </c>
      <c r="B221" s="78">
        <f>+B209</f>
        <v>1</v>
      </c>
      <c r="C221" s="317">
        <f t="shared" si="105"/>
        <v>26.112829868525239</v>
      </c>
      <c r="D221" s="324">
        <f t="shared" ref="D221:D267" si="109">D209</f>
        <v>1.3280829182176284E-2</v>
      </c>
      <c r="E221" s="321">
        <f>$D221*'MWh Impact Summary'!B$29</f>
        <v>46714.042521394251</v>
      </c>
      <c r="F221" s="321">
        <f>$D221*'MWh Impact Summary'!N$29</f>
        <v>7114.624379730466</v>
      </c>
      <c r="G221" s="321">
        <f>$D221*'MWh Impact Summary'!C$29</f>
        <v>32311.371632316273</v>
      </c>
      <c r="H221" s="321">
        <f>$D221*'MWh Impact Summary'!D$29</f>
        <v>154.6906938309711</v>
      </c>
      <c r="I221" s="321">
        <f>$D221*'MWh Impact Summary'!E$29</f>
        <v>11587.195804044048</v>
      </c>
      <c r="J221" s="104">
        <f t="shared" si="99"/>
        <v>97881.925031316016</v>
      </c>
      <c r="K221" s="298">
        <f t="shared" si="106"/>
        <v>13.3</v>
      </c>
      <c r="L221" s="300">
        <f t="shared" ref="L221:L267" si="110">L209</f>
        <v>9.3629003871876101E-2</v>
      </c>
      <c r="M221" s="297">
        <f>(31/365)</f>
        <v>8.4931506849315067E-2</v>
      </c>
      <c r="N221" s="304">
        <f>$M221*'MWh Impact Summary'!F$29</f>
        <v>167742.1745310929</v>
      </c>
      <c r="O221" s="304">
        <f>$M221*'MWh Impact Summary'!G$29</f>
        <v>24469.376538334716</v>
      </c>
      <c r="P221" s="304">
        <f>$M221*'MWh Impact Summary'!H$29</f>
        <v>10691.42619664053</v>
      </c>
      <c r="Q221" s="304">
        <f>$M221*'MWh Impact Summary'!I$29</f>
        <v>1784.6283529910179</v>
      </c>
      <c r="R221" s="304">
        <f>$M221*'MWh Impact Summary'!J$29</f>
        <v>47543.000571588018</v>
      </c>
      <c r="S221" s="304">
        <f>$M221*'MWh Impact Summary'!K$29</f>
        <v>31211.432652914413</v>
      </c>
      <c r="T221" s="304">
        <f>$M221*'MWh Impact Summary'!L$29</f>
        <v>11191.771620454721</v>
      </c>
      <c r="U221" s="304">
        <f>$M221*'MWh Impact Summary'!M$29</f>
        <v>34640.438961680789</v>
      </c>
      <c r="V221" s="304">
        <f>$M221*'LED Impact Forecast'!$H$30+$D221*'LED Impact Forecast'!$J$30</f>
        <v>183551.37907133394</v>
      </c>
      <c r="W221" s="304">
        <f>$M221*'CFL Impact Forecast'!$H$30+$D221*'CFL Impact Forecast'!$J$30</f>
        <v>314480.00362044782</v>
      </c>
      <c r="X221" s="304">
        <f>$M221*'EISA Incand Impact Forecast'!$G$30+$D221*'EISA Incand Impact Forecast'!$I$30</f>
        <v>108118.01604924772</v>
      </c>
      <c r="Y221" s="85">
        <f t="shared" si="91"/>
        <v>935423.64816672658</v>
      </c>
      <c r="Z221" s="81">
        <f t="shared" si="92"/>
        <v>1033305.5731980426</v>
      </c>
      <c r="AA221" s="81"/>
      <c r="AB221" s="262">
        <f>+'MWh by mo-WgtbyActulCDH&amp;Days'!AB221</f>
        <v>5280717.4207708379</v>
      </c>
      <c r="AC221" s="308">
        <f t="shared" si="100"/>
        <v>195.67522570583009</v>
      </c>
      <c r="AD221" s="309">
        <f t="shared" si="93"/>
        <v>18.535724832825455</v>
      </c>
      <c r="AE221" s="107">
        <f t="shared" si="94"/>
        <v>1.3936635212650718E-3</v>
      </c>
      <c r="AF221" s="309">
        <f t="shared" si="101"/>
        <v>177.13950087300464</v>
      </c>
      <c r="AG221" s="107">
        <f t="shared" si="95"/>
        <v>1.3318759464135686E-2</v>
      </c>
      <c r="AH221" s="119">
        <f t="shared" si="102"/>
        <v>1.4712422985400757E-2</v>
      </c>
      <c r="AI221" s="122">
        <f t="shared" si="96"/>
        <v>1.4712422985400759E-2</v>
      </c>
      <c r="AJ221" s="87" t="b">
        <f t="shared" si="103"/>
        <v>1</v>
      </c>
      <c r="AK221" s="88">
        <f t="shared" si="108"/>
        <v>7.8033049355273262E-4</v>
      </c>
      <c r="AL221" s="312">
        <f>+AC221/'MWh by month-WgtbyCDH&amp;DayLtHrs'!AC221-1</f>
        <v>-0.1443729426907856</v>
      </c>
      <c r="AM221" s="89">
        <f t="shared" si="97"/>
        <v>314480.00362044782</v>
      </c>
      <c r="AN221" s="90"/>
      <c r="AO221" s="96">
        <f t="shared" si="87"/>
        <v>59.552515039621731</v>
      </c>
      <c r="AP221" s="92">
        <f t="shared" si="86"/>
        <v>4.4776327097459942E-3</v>
      </c>
      <c r="AR221" s="94">
        <f t="shared" si="98"/>
        <v>1.4712422985400759E-2</v>
      </c>
      <c r="AS221" s="95"/>
    </row>
    <row r="222" spans="1:47">
      <c r="A222" s="78">
        <f t="shared" ref="A222:A268" si="111">+A210+1</f>
        <v>2023</v>
      </c>
      <c r="B222" s="78">
        <f t="shared" ref="B222:B268" si="112">+B210</f>
        <v>2</v>
      </c>
      <c r="C222" s="317">
        <f t="shared" si="105"/>
        <v>35.042184420393127</v>
      </c>
      <c r="D222" s="324">
        <f t="shared" si="109"/>
        <v>1.7822245532205266E-2</v>
      </c>
      <c r="E222" s="321">
        <f>$D222*'MWh Impact Summary'!B$29</f>
        <v>62688.038841392474</v>
      </c>
      <c r="F222" s="321">
        <f>$D222*'MWh Impact Summary'!N$29</f>
        <v>9547.4899063638077</v>
      </c>
      <c r="G222" s="321">
        <f>$D222*'MWh Impact Summary'!C$29</f>
        <v>43360.334721141888</v>
      </c>
      <c r="H222" s="321">
        <f>$D222*'MWh Impact Summary'!D$29</f>
        <v>207.58760535093248</v>
      </c>
      <c r="I222" s="321">
        <f>$D222*'MWh Impact Summary'!E$29</f>
        <v>15549.469526086594</v>
      </c>
      <c r="J222" s="104">
        <f t="shared" si="99"/>
        <v>131352.9206003357</v>
      </c>
      <c r="K222" s="298">
        <f t="shared" si="106"/>
        <v>12.733333333333333</v>
      </c>
      <c r="L222" s="300">
        <f t="shared" si="110"/>
        <v>8.9639798193124468E-2</v>
      </c>
      <c r="M222" s="297">
        <f>(28/365)</f>
        <v>7.6712328767123292E-2</v>
      </c>
      <c r="N222" s="304">
        <f>$M222*'MWh Impact Summary'!F$29</f>
        <v>151509.06086679359</v>
      </c>
      <c r="O222" s="304">
        <f>$M222*'MWh Impact Summary'!G$29</f>
        <v>22101.372357205553</v>
      </c>
      <c r="P222" s="304">
        <f>$M222*'MWh Impact Summary'!H$29</f>
        <v>9656.7720485785449</v>
      </c>
      <c r="Q222" s="304">
        <f>$M222*'MWh Impact Summary'!I$29</f>
        <v>1611.9223833467258</v>
      </c>
      <c r="R222" s="304">
        <f>$M222*'MWh Impact Summary'!J$29</f>
        <v>42942.065032402083</v>
      </c>
      <c r="S222" s="304">
        <f>$M222*'MWh Impact Summary'!K$29</f>
        <v>28190.971428438825</v>
      </c>
      <c r="T222" s="304">
        <f>$M222*'MWh Impact Summary'!L$29</f>
        <v>10108.696947507491</v>
      </c>
      <c r="U222" s="304">
        <f>$M222*'MWh Impact Summary'!M$29</f>
        <v>31288.138417002003</v>
      </c>
      <c r="V222" s="304">
        <f>$M222*'LED Impact Forecast'!$H$30+$D222*'LED Impact Forecast'!$J$30</f>
        <v>167871.01315371261</v>
      </c>
      <c r="W222" s="304">
        <f>$M222*'CFL Impact Forecast'!$H$30+$D222*'CFL Impact Forecast'!$J$30</f>
        <v>287649.67472538952</v>
      </c>
      <c r="X222" s="304">
        <f>$M222*'EISA Incand Impact Forecast'!$G$30+$D222*'EISA Incand Impact Forecast'!$I$30</f>
        <v>98989.825480994914</v>
      </c>
      <c r="Y222" s="85">
        <f t="shared" si="91"/>
        <v>851919.51284137182</v>
      </c>
      <c r="Z222" s="81">
        <f t="shared" si="92"/>
        <v>983272.43344170752</v>
      </c>
      <c r="AA222" s="81"/>
      <c r="AB222" s="262">
        <f>+'MWh by mo-WgtbyActulCDH&amp;Days'!AB222</f>
        <v>5285898.8015586017</v>
      </c>
      <c r="AC222" s="308">
        <f t="shared" si="100"/>
        <v>186.01802084288474</v>
      </c>
      <c r="AD222" s="309">
        <f t="shared" si="93"/>
        <v>24.849685083188678</v>
      </c>
      <c r="AE222" s="107">
        <f t="shared" si="94"/>
        <v>1.9515459489415194E-3</v>
      </c>
      <c r="AF222" s="309">
        <f t="shared" si="101"/>
        <v>161.16833575969608</v>
      </c>
      <c r="AG222" s="107">
        <f t="shared" si="95"/>
        <v>1.265719914343163E-2</v>
      </c>
      <c r="AH222" s="119">
        <f t="shared" si="102"/>
        <v>1.460874509237315E-2</v>
      </c>
      <c r="AI222" s="122">
        <f t="shared" si="96"/>
        <v>1.4608745092373148E-2</v>
      </c>
      <c r="AJ222" s="87" t="b">
        <f t="shared" si="103"/>
        <v>0</v>
      </c>
      <c r="AK222" s="88">
        <f t="shared" si="108"/>
        <v>7.4270006735950057E-4</v>
      </c>
      <c r="AL222" s="312">
        <f>+AC222/'MWh by month-WgtbyCDH&amp;DayLtHrs'!AC222-1</f>
        <v>-0.1803166678763809</v>
      </c>
      <c r="AM222" s="89">
        <f t="shared" si="97"/>
        <v>287649.67472538952</v>
      </c>
      <c r="AN222" s="90"/>
      <c r="AO222" s="96">
        <f t="shared" si="87"/>
        <v>54.418309075567826</v>
      </c>
      <c r="AP222" s="92">
        <f t="shared" si="86"/>
        <v>4.2736891944163214E-3</v>
      </c>
      <c r="AR222" s="94">
        <f t="shared" si="98"/>
        <v>1.4608745092373148E-2</v>
      </c>
      <c r="AS222" s="95"/>
    </row>
    <row r="223" spans="1:47">
      <c r="A223" s="78">
        <f t="shared" si="111"/>
        <v>2023</v>
      </c>
      <c r="B223" s="78">
        <f t="shared" si="112"/>
        <v>3</v>
      </c>
      <c r="C223" s="317">
        <f t="shared" si="105"/>
        <v>64.582270600115152</v>
      </c>
      <c r="D223" s="324">
        <f t="shared" si="109"/>
        <v>3.2846156787895278E-2</v>
      </c>
      <c r="E223" s="321">
        <f>$D223*'MWh Impact Summary'!B$29</f>
        <v>115533.20532978118</v>
      </c>
      <c r="F223" s="321">
        <f>$D223*'MWh Impact Summary'!N$29</f>
        <v>17595.89440222854</v>
      </c>
      <c r="G223" s="321">
        <f>$D223*'MWh Impact Summary'!C$29</f>
        <v>79912.50878306228</v>
      </c>
      <c r="H223" s="321">
        <f>$D223*'MWh Impact Summary'!D$29</f>
        <v>382.58114109466896</v>
      </c>
      <c r="I223" s="321">
        <f>$D223*'MWh Impact Summary'!E$29</f>
        <v>28657.461434897119</v>
      </c>
      <c r="J223" s="104">
        <f t="shared" si="99"/>
        <v>242081.6510910638</v>
      </c>
      <c r="K223" s="298">
        <f t="shared" si="106"/>
        <v>12</v>
      </c>
      <c r="L223" s="300">
        <f t="shared" si="110"/>
        <v>8.4477296726504739E-2</v>
      </c>
      <c r="M223" s="297">
        <f t="shared" ref="M223:M232" si="113">(31/365)</f>
        <v>8.4931506849315067E-2</v>
      </c>
      <c r="N223" s="304">
        <f>$M223*'MWh Impact Summary'!F$29</f>
        <v>167742.1745310929</v>
      </c>
      <c r="O223" s="304">
        <f>$M223*'MWh Impact Summary'!G$29</f>
        <v>24469.376538334716</v>
      </c>
      <c r="P223" s="304">
        <f>$M223*'MWh Impact Summary'!H$29</f>
        <v>10691.42619664053</v>
      </c>
      <c r="Q223" s="304">
        <f>$M223*'MWh Impact Summary'!I$29</f>
        <v>1784.6283529910179</v>
      </c>
      <c r="R223" s="304">
        <f>$M223*'MWh Impact Summary'!J$29</f>
        <v>47543.000571588018</v>
      </c>
      <c r="S223" s="304">
        <f>$M223*'MWh Impact Summary'!K$29</f>
        <v>31211.432652914413</v>
      </c>
      <c r="T223" s="304">
        <f>$M223*'MWh Impact Summary'!L$29</f>
        <v>11191.771620454721</v>
      </c>
      <c r="U223" s="304">
        <f>$M223*'MWh Impact Summary'!M$29</f>
        <v>34640.438961680789</v>
      </c>
      <c r="V223" s="304">
        <f>$M223*'LED Impact Forecast'!$H$30+$D223*'LED Impact Forecast'!$J$30</f>
        <v>190544.77677171078</v>
      </c>
      <c r="W223" s="304">
        <f>$M223*'CFL Impact Forecast'!$H$30+$D223*'CFL Impact Forecast'!$J$30</f>
        <v>326579.25126088713</v>
      </c>
      <c r="X223" s="304">
        <f>$M223*'EISA Incand Impact Forecast'!$G$30+$D223*'EISA Incand Impact Forecast'!$I$30</f>
        <v>112600.28459354503</v>
      </c>
      <c r="Y223" s="85">
        <f t="shared" si="91"/>
        <v>958998.56205184001</v>
      </c>
      <c r="Z223" s="81">
        <f t="shared" si="92"/>
        <v>1201080.2131429038</v>
      </c>
      <c r="AA223" s="81"/>
      <c r="AB223" s="262">
        <f>+'MWh by mo-WgtbyActulCDH&amp;Days'!AB223</f>
        <v>5291129.8776962366</v>
      </c>
      <c r="AC223" s="308">
        <f t="shared" si="100"/>
        <v>226.99881516910625</v>
      </c>
      <c r="AD223" s="309">
        <f t="shared" si="93"/>
        <v>45.752354730794551</v>
      </c>
      <c r="AE223" s="107">
        <f t="shared" si="94"/>
        <v>3.8126962275662124E-3</v>
      </c>
      <c r="AF223" s="309">
        <f t="shared" si="101"/>
        <v>181.24646043831171</v>
      </c>
      <c r="AG223" s="107">
        <f t="shared" si="95"/>
        <v>1.5103871703192644E-2</v>
      </c>
      <c r="AH223" s="119">
        <f t="shared" si="102"/>
        <v>1.8916567930758858E-2</v>
      </c>
      <c r="AI223" s="122">
        <f t="shared" si="96"/>
        <v>1.8916567930758854E-2</v>
      </c>
      <c r="AJ223" s="87" t="b">
        <f t="shared" si="103"/>
        <v>1</v>
      </c>
      <c r="AK223" s="88">
        <f t="shared" si="108"/>
        <v>8.8897503625830904E-4</v>
      </c>
      <c r="AL223" s="312">
        <f>+AC223/'MWh by month-WgtbyCDH&amp;DayLtHrs'!AC223-1</f>
        <v>-4.4128639163144356E-2</v>
      </c>
      <c r="AM223" s="89">
        <f t="shared" si="97"/>
        <v>326579.25126088713</v>
      </c>
      <c r="AN223" s="90"/>
      <c r="AO223" s="96">
        <f t="shared" si="87"/>
        <v>61.722025126905429</v>
      </c>
      <c r="AP223" s="92">
        <f t="shared" si="86"/>
        <v>5.1435020939087856E-3</v>
      </c>
      <c r="AR223" s="94">
        <f t="shared" si="98"/>
        <v>1.8916567930758854E-2</v>
      </c>
      <c r="AS223" s="95"/>
    </row>
    <row r="224" spans="1:47">
      <c r="A224" s="78">
        <f t="shared" si="111"/>
        <v>2023</v>
      </c>
      <c r="B224" s="78">
        <f t="shared" si="112"/>
        <v>4</v>
      </c>
      <c r="C224" s="317">
        <f t="shared" si="105"/>
        <v>114.03392869270741</v>
      </c>
      <c r="D224" s="324">
        <f t="shared" si="109"/>
        <v>5.7996974497419709E-2</v>
      </c>
      <c r="E224" s="321">
        <f>$D224*'MWh Impact Summary'!B$29</f>
        <v>203998.79372145672</v>
      </c>
      <c r="F224" s="321">
        <f>$D224*'MWh Impact Summary'!N$29</f>
        <v>31069.346879614986</v>
      </c>
      <c r="G224" s="321">
        <f>$D224*'MWh Impact Summary'!C$29</f>
        <v>141102.77083083589</v>
      </c>
      <c r="H224" s="321">
        <f>$D224*'MWh Impact Summary'!D$29</f>
        <v>675.5295247034303</v>
      </c>
      <c r="I224" s="321">
        <f>$D224*'MWh Impact Summary'!E$29</f>
        <v>50600.929379142079</v>
      </c>
      <c r="J224" s="104">
        <f t="shared" si="99"/>
        <v>427447.37033575308</v>
      </c>
      <c r="K224" s="298">
        <f t="shared" si="106"/>
        <v>11.2</v>
      </c>
      <c r="L224" s="300">
        <f t="shared" si="110"/>
        <v>7.8845476944737758E-2</v>
      </c>
      <c r="M224" s="297">
        <f>(30/365)</f>
        <v>8.2191780821917804E-2</v>
      </c>
      <c r="N224" s="304">
        <f>$M224*'MWh Impact Summary'!F$29</f>
        <v>162331.13664299314</v>
      </c>
      <c r="O224" s="304">
        <f>$M224*'MWh Impact Summary'!G$29</f>
        <v>23680.04181129166</v>
      </c>
      <c r="P224" s="304">
        <f>$M224*'MWh Impact Summary'!H$29</f>
        <v>10346.541480619868</v>
      </c>
      <c r="Q224" s="304">
        <f>$M224*'MWh Impact Summary'!I$29</f>
        <v>1727.0596964429205</v>
      </c>
      <c r="R224" s="304">
        <f>$M224*'MWh Impact Summary'!J$29</f>
        <v>46009.355391859368</v>
      </c>
      <c r="S224" s="304">
        <f>$M224*'MWh Impact Summary'!K$29</f>
        <v>30204.612244755881</v>
      </c>
      <c r="T224" s="304">
        <f>$M224*'MWh Impact Summary'!L$29</f>
        <v>10830.74672947231</v>
      </c>
      <c r="U224" s="304">
        <f>$M224*'MWh Impact Summary'!M$29</f>
        <v>33523.005446787858</v>
      </c>
      <c r="V224" s="304">
        <f>$M224*'LED Impact Forecast'!$H$30+$D224*'LED Impact Forecast'!$J$30</f>
        <v>193766.76192820293</v>
      </c>
      <c r="W224" s="304">
        <f>$M224*'CFL Impact Forecast'!$H$30+$D224*'CFL Impact Forecast'!$J$30</f>
        <v>332252.99593367515</v>
      </c>
      <c r="X224" s="304">
        <f>$M224*'EISA Incand Impact Forecast'!$G$30+$D224*'EISA Incand Impact Forecast'!$I$30</f>
        <v>114972.61510063344</v>
      </c>
      <c r="Y224" s="85">
        <f t="shared" si="91"/>
        <v>959644.8724067345</v>
      </c>
      <c r="Z224" s="81">
        <f t="shared" si="92"/>
        <v>1387092.2427424877</v>
      </c>
      <c r="AA224" s="81"/>
      <c r="AB224" s="262">
        <f>+'MWh by mo-WgtbyActulCDH&amp;Days'!AB224</f>
        <v>5296301.965313198</v>
      </c>
      <c r="AC224" s="308">
        <f t="shared" si="100"/>
        <v>261.89825501395137</v>
      </c>
      <c r="AD224" s="309">
        <f t="shared" si="93"/>
        <v>80.706759760907232</v>
      </c>
      <c r="AE224" s="107">
        <f t="shared" si="94"/>
        <v>7.2059606929381461E-3</v>
      </c>
      <c r="AF224" s="309">
        <f t="shared" si="101"/>
        <v>181.19149525304411</v>
      </c>
      <c r="AG224" s="107">
        <f t="shared" si="95"/>
        <v>1.6177812076164654E-2</v>
      </c>
      <c r="AH224" s="119">
        <f t="shared" si="102"/>
        <v>2.3383772769102799E-2</v>
      </c>
      <c r="AI224" s="122">
        <f t="shared" si="96"/>
        <v>2.3383772769102803E-2</v>
      </c>
      <c r="AJ224" s="87" t="b">
        <f t="shared" si="103"/>
        <v>1</v>
      </c>
      <c r="AK224" s="88">
        <f t="shared" si="108"/>
        <v>9.5767826101423106E-4</v>
      </c>
      <c r="AL224" s="312">
        <f>+AC224/'MWh by month-WgtbyCDH&amp;DayLtHrs'!AC224-1</f>
        <v>2.7917623038340444E-3</v>
      </c>
      <c r="AM224" s="89">
        <f t="shared" si="97"/>
        <v>332252.99593367515</v>
      </c>
      <c r="AN224" s="90"/>
      <c r="AO224" s="96">
        <f t="shared" si="87"/>
        <v>62.733016000538278</v>
      </c>
      <c r="AP224" s="92">
        <f t="shared" si="86"/>
        <v>5.601162142905204E-3</v>
      </c>
      <c r="AR224" s="94">
        <f t="shared" si="98"/>
        <v>2.3383772769102803E-2</v>
      </c>
      <c r="AS224" s="95"/>
    </row>
    <row r="225" spans="1:45">
      <c r="A225" s="78">
        <f t="shared" si="111"/>
        <v>2023</v>
      </c>
      <c r="B225" s="78">
        <f t="shared" si="112"/>
        <v>5</v>
      </c>
      <c r="C225" s="317">
        <f t="shared" si="105"/>
        <v>208.47875842628665</v>
      </c>
      <c r="D225" s="324">
        <f t="shared" si="109"/>
        <v>0.10603105035770212</v>
      </c>
      <c r="E225" s="321">
        <f>$D225*'MWh Impact Summary'!B$29</f>
        <v>372954.04730039136</v>
      </c>
      <c r="F225" s="321">
        <f>$D225*'MWh Impact Summary'!N$29</f>
        <v>56801.505804754284</v>
      </c>
      <c r="G225" s="321">
        <f>$D225*'MWh Impact Summary'!C$29</f>
        <v>257966.47375530406</v>
      </c>
      <c r="H225" s="321">
        <f>$D225*'MWh Impact Summary'!D$29</f>
        <v>1235.0145101988155</v>
      </c>
      <c r="I225" s="321">
        <f>$D225*'MWh Impact Summary'!E$29</f>
        <v>92509.475496606174</v>
      </c>
      <c r="J225" s="104">
        <f t="shared" si="99"/>
        <v>781466.51686725474</v>
      </c>
      <c r="K225" s="298">
        <f t="shared" si="106"/>
        <v>10.533333333333333</v>
      </c>
      <c r="L225" s="300">
        <f t="shared" si="110"/>
        <v>7.4152293793265281E-2</v>
      </c>
      <c r="M225" s="297">
        <f t="shared" si="113"/>
        <v>8.4931506849315067E-2</v>
      </c>
      <c r="N225" s="304">
        <f>$M225*'MWh Impact Summary'!F$29</f>
        <v>167742.1745310929</v>
      </c>
      <c r="O225" s="304">
        <f>$M225*'MWh Impact Summary'!G$29</f>
        <v>24469.376538334716</v>
      </c>
      <c r="P225" s="304">
        <f>$M225*'MWh Impact Summary'!H$29</f>
        <v>10691.42619664053</v>
      </c>
      <c r="Q225" s="304">
        <f>$M225*'MWh Impact Summary'!I$29</f>
        <v>1784.6283529910179</v>
      </c>
      <c r="R225" s="304">
        <f>$M225*'MWh Impact Summary'!J$29</f>
        <v>47543.000571588018</v>
      </c>
      <c r="S225" s="304">
        <f>$M225*'MWh Impact Summary'!K$29</f>
        <v>31211.432652914413</v>
      </c>
      <c r="T225" s="304">
        <f>$M225*'MWh Impact Summary'!L$29</f>
        <v>11191.771620454721</v>
      </c>
      <c r="U225" s="304">
        <f>$M225*'MWh Impact Summary'!M$29</f>
        <v>34640.438961680789</v>
      </c>
      <c r="V225" s="304">
        <f>$M225*'LED Impact Forecast'!$H$30+$D225*'LED Impact Forecast'!$J$30</f>
        <v>216703.86169517544</v>
      </c>
      <c r="W225" s="304">
        <f>$M225*'CFL Impact Forecast'!$H$30+$D225*'CFL Impact Forecast'!$J$30</f>
        <v>371836.97291444428</v>
      </c>
      <c r="X225" s="304">
        <f>$M225*'EISA Incand Impact Forecast'!$G$30+$D225*'EISA Incand Impact Forecast'!$I$30</f>
        <v>129366.39007239256</v>
      </c>
      <c r="Y225" s="85">
        <f t="shared" si="91"/>
        <v>1047181.4741077094</v>
      </c>
      <c r="Z225" s="81">
        <f t="shared" si="92"/>
        <v>1828647.9909749641</v>
      </c>
      <c r="AA225" s="81"/>
      <c r="AB225" s="262">
        <f>+'MWh by mo-WgtbyActulCDH&amp;Days'!AB225</f>
        <v>5301485.111214349</v>
      </c>
      <c r="AC225" s="308">
        <f t="shared" si="100"/>
        <v>344.93126975058073</v>
      </c>
      <c r="AD225" s="309">
        <f t="shared" si="93"/>
        <v>147.40520825272174</v>
      </c>
      <c r="AE225" s="107">
        <f t="shared" si="94"/>
        <v>1.3994165340448266E-2</v>
      </c>
      <c r="AF225" s="309">
        <f t="shared" si="101"/>
        <v>197.52606149785902</v>
      </c>
      <c r="AG225" s="107">
        <f t="shared" si="95"/>
        <v>1.8752474192834719E-2</v>
      </c>
      <c r="AH225" s="119">
        <f t="shared" si="102"/>
        <v>3.2746639533282981E-2</v>
      </c>
      <c r="AI225" s="122">
        <f t="shared" si="96"/>
        <v>3.2746639533282981E-2</v>
      </c>
      <c r="AJ225" s="87" t="b">
        <f t="shared" si="103"/>
        <v>1</v>
      </c>
      <c r="AK225" s="88">
        <f t="shared" si="108"/>
        <v>1.1198591166329472E-3</v>
      </c>
      <c r="AL225" s="312">
        <f>+AC225/'MWh by month-WgtbyCDH&amp;DayLtHrs'!AC225-1</f>
        <v>8.3089447820567708E-2</v>
      </c>
      <c r="AM225" s="89">
        <f t="shared" si="97"/>
        <v>371836.97291444428</v>
      </c>
      <c r="AN225" s="90"/>
      <c r="AO225" s="96">
        <f t="shared" si="87"/>
        <v>70.138265997935051</v>
      </c>
      <c r="AP225" s="92">
        <f t="shared" si="86"/>
        <v>6.6586961390444665E-3</v>
      </c>
      <c r="AR225" s="94">
        <f t="shared" si="98"/>
        <v>3.2746639533282981E-2</v>
      </c>
      <c r="AS225" s="95"/>
    </row>
    <row r="226" spans="1:45">
      <c r="A226" s="78">
        <f t="shared" si="111"/>
        <v>2023</v>
      </c>
      <c r="B226" s="78">
        <f t="shared" si="112"/>
        <v>6</v>
      </c>
      <c r="C226" s="317">
        <f t="shared" si="105"/>
        <v>271.66325293295364</v>
      </c>
      <c r="D226" s="324">
        <f t="shared" si="109"/>
        <v>0.13816630657965029</v>
      </c>
      <c r="E226" s="321">
        <f>$D226*'MWh Impact Summary'!B$29</f>
        <v>485986.72809133539</v>
      </c>
      <c r="F226" s="321">
        <f>$D226*'MWh Impact Summary'!N$29</f>
        <v>74016.566267424336</v>
      </c>
      <c r="G226" s="321">
        <f>$D226*'MWh Impact Summary'!C$29</f>
        <v>336149.40887509176</v>
      </c>
      <c r="H226" s="321">
        <f>$D226*'MWh Impact Summary'!D$29</f>
        <v>1609.3153172659393</v>
      </c>
      <c r="I226" s="321">
        <f>$D226*'MWh Impact Summary'!E$29</f>
        <v>120546.69372666712</v>
      </c>
      <c r="J226" s="104">
        <f t="shared" si="99"/>
        <v>1018308.7122777846</v>
      </c>
      <c r="K226" s="298">
        <f t="shared" si="106"/>
        <v>10.199999999999999</v>
      </c>
      <c r="L226" s="300">
        <f t="shared" si="110"/>
        <v>7.1805702217529022E-2</v>
      </c>
      <c r="M226" s="297">
        <f>(30/365)</f>
        <v>8.2191780821917804E-2</v>
      </c>
      <c r="N226" s="304">
        <f>$M226*'MWh Impact Summary'!F$29</f>
        <v>162331.13664299314</v>
      </c>
      <c r="O226" s="304">
        <f>$M226*'MWh Impact Summary'!G$29</f>
        <v>23680.04181129166</v>
      </c>
      <c r="P226" s="304">
        <f>$M226*'MWh Impact Summary'!H$29</f>
        <v>10346.541480619868</v>
      </c>
      <c r="Q226" s="304">
        <f>$M226*'MWh Impact Summary'!I$29</f>
        <v>1727.0596964429205</v>
      </c>
      <c r="R226" s="304">
        <f>$M226*'MWh Impact Summary'!J$29</f>
        <v>46009.355391859368</v>
      </c>
      <c r="S226" s="304">
        <f>$M226*'MWh Impact Summary'!K$29</f>
        <v>30204.612244755881</v>
      </c>
      <c r="T226" s="304">
        <f>$M226*'MWh Impact Summary'!L$29</f>
        <v>10830.74672947231</v>
      </c>
      <c r="U226" s="304">
        <f>$M226*'MWh Impact Summary'!M$29</f>
        <v>33523.005446787858</v>
      </c>
      <c r="V226" s="304">
        <f>$M226*'LED Impact Forecast'!$H$30+$D226*'LED Impact Forecast'!$J$30</f>
        <v>222422.35277354799</v>
      </c>
      <c r="W226" s="304">
        <f>$M226*'CFL Impact Forecast'!$H$30+$D226*'CFL Impact Forecast'!$J$30</f>
        <v>381829.91187286924</v>
      </c>
      <c r="X226" s="304">
        <f>$M226*'EISA Incand Impact Forecast'!$G$30+$D226*'EISA Incand Impact Forecast'!$I$30</f>
        <v>133338.80260594623</v>
      </c>
      <c r="Y226" s="85">
        <f t="shared" si="91"/>
        <v>1056243.5666965866</v>
      </c>
      <c r="Z226" s="81">
        <f t="shared" si="92"/>
        <v>2074552.278974371</v>
      </c>
      <c r="AA226" s="81"/>
      <c r="AB226" s="262">
        <f>+'MWh by mo-WgtbyActulCDH&amp;Days'!AB226</f>
        <v>5306665.8266493091</v>
      </c>
      <c r="AC226" s="308">
        <f t="shared" si="100"/>
        <v>390.93328028237033</v>
      </c>
      <c r="AD226" s="309">
        <f t="shared" si="93"/>
        <v>191.89237565402843</v>
      </c>
      <c r="AE226" s="107">
        <f t="shared" si="94"/>
        <v>1.8812978005296906E-2</v>
      </c>
      <c r="AF226" s="309">
        <f t="shared" si="101"/>
        <v>199.04090462834196</v>
      </c>
      <c r="AG226" s="107">
        <f t="shared" si="95"/>
        <v>1.9513814179249214E-2</v>
      </c>
      <c r="AH226" s="119">
        <f t="shared" si="102"/>
        <v>3.832679218454612E-2</v>
      </c>
      <c r="AI226" s="122">
        <f t="shared" si="96"/>
        <v>3.8326792184546113E-2</v>
      </c>
      <c r="AJ226" s="87" t="b">
        <f t="shared" si="103"/>
        <v>1</v>
      </c>
      <c r="AK226" s="88">
        <f t="shared" si="108"/>
        <v>1.1726351381762257E-3</v>
      </c>
      <c r="AL226" s="312">
        <f>+AC226/'MWh by month-WgtbyCDH&amp;DayLtHrs'!AC226-1</f>
        <v>9.1432124603770371E-2</v>
      </c>
      <c r="AM226" s="89">
        <f t="shared" si="97"/>
        <v>381829.91187286924</v>
      </c>
      <c r="AN226" s="90"/>
      <c r="AO226" s="96">
        <f t="shared" si="87"/>
        <v>71.952884230127054</v>
      </c>
      <c r="AP226" s="92">
        <f t="shared" si="86"/>
        <v>7.0542043362869667E-3</v>
      </c>
      <c r="AR226" s="94">
        <f t="shared" si="98"/>
        <v>3.8326792184546113E-2</v>
      </c>
      <c r="AS226" s="95"/>
    </row>
    <row r="227" spans="1:45">
      <c r="A227" s="78">
        <f t="shared" si="111"/>
        <v>2023</v>
      </c>
      <c r="B227" s="78">
        <f t="shared" si="112"/>
        <v>7</v>
      </c>
      <c r="C227" s="317">
        <f t="shared" si="105"/>
        <v>322.31916585708109</v>
      </c>
      <c r="D227" s="324">
        <f t="shared" si="109"/>
        <v>0.16392960109808263</v>
      </c>
      <c r="E227" s="321">
        <f>$D227*'MWh Impact Summary'!B$29</f>
        <v>576606.64489897236</v>
      </c>
      <c r="F227" s="321">
        <f>$D227*'MWh Impact Summary'!N$29</f>
        <v>87818.126453817677</v>
      </c>
      <c r="G227" s="321">
        <f>$D227*'MWh Impact Summary'!C$29</f>
        <v>398829.78614965844</v>
      </c>
      <c r="H227" s="321">
        <f>$D227*'MWh Impact Summary'!D$29</f>
        <v>1909.3976276217218</v>
      </c>
      <c r="I227" s="321">
        <f>$D227*'MWh Impact Summary'!E$29</f>
        <v>143024.53257598903</v>
      </c>
      <c r="J227" s="104">
        <f t="shared" si="99"/>
        <v>1208188.4877060591</v>
      </c>
      <c r="K227" s="298">
        <f t="shared" si="106"/>
        <v>10.366666666666667</v>
      </c>
      <c r="L227" s="300">
        <f t="shared" si="110"/>
        <v>7.2978998005397158E-2</v>
      </c>
      <c r="M227" s="297">
        <f t="shared" si="113"/>
        <v>8.4931506849315067E-2</v>
      </c>
      <c r="N227" s="304">
        <f>$M227*'MWh Impact Summary'!F$29</f>
        <v>167742.1745310929</v>
      </c>
      <c r="O227" s="304">
        <f>$M227*'MWh Impact Summary'!G$29</f>
        <v>24469.376538334716</v>
      </c>
      <c r="P227" s="304">
        <f>$M227*'MWh Impact Summary'!H$29</f>
        <v>10691.42619664053</v>
      </c>
      <c r="Q227" s="304">
        <f>$M227*'MWh Impact Summary'!I$29</f>
        <v>1784.6283529910179</v>
      </c>
      <c r="R227" s="304">
        <f>$M227*'MWh Impact Summary'!J$29</f>
        <v>47543.000571588018</v>
      </c>
      <c r="S227" s="304">
        <f>$M227*'MWh Impact Summary'!K$29</f>
        <v>31211.432652914413</v>
      </c>
      <c r="T227" s="304">
        <f>$M227*'MWh Impact Summary'!L$29</f>
        <v>11191.771620454721</v>
      </c>
      <c r="U227" s="304">
        <f>$M227*'MWh Impact Summary'!M$29</f>
        <v>34640.438961680789</v>
      </c>
      <c r="V227" s="304">
        <f>$M227*'LED Impact Forecast'!$H$30+$D227*'LED Impact Forecast'!$J$30</f>
        <v>237399.02201973723</v>
      </c>
      <c r="W227" s="304">
        <f>$M227*'CFL Impact Forecast'!$H$30+$D227*'CFL Impact Forecast'!$J$30</f>
        <v>407641.5818403709</v>
      </c>
      <c r="X227" s="304">
        <f>$M227*'EISA Incand Impact Forecast'!$G$30+$D227*'EISA Incand Impact Forecast'!$I$30</f>
        <v>142630.51004900629</v>
      </c>
      <c r="Y227" s="85">
        <f t="shared" si="91"/>
        <v>1116945.3633348115</v>
      </c>
      <c r="Z227" s="81">
        <f t="shared" si="92"/>
        <v>2325133.8510408709</v>
      </c>
      <c r="AA227" s="81"/>
      <c r="AB227" s="262">
        <f>+'MWh by mo-WgtbyActulCDH&amp;Days'!AB227</f>
        <v>5311951.1835386856</v>
      </c>
      <c r="AC227" s="308">
        <f t="shared" si="100"/>
        <v>437.71747342977767</v>
      </c>
      <c r="AD227" s="309">
        <f t="shared" si="93"/>
        <v>227.44721213744194</v>
      </c>
      <c r="AE227" s="107">
        <f t="shared" si="94"/>
        <v>2.1940245543804686E-2</v>
      </c>
      <c r="AF227" s="309">
        <f t="shared" si="101"/>
        <v>210.27026129233573</v>
      </c>
      <c r="AG227" s="107">
        <f t="shared" si="95"/>
        <v>2.0283304947813736E-2</v>
      </c>
      <c r="AH227" s="119">
        <f t="shared" si="102"/>
        <v>4.2223550491618425E-2</v>
      </c>
      <c r="AI227" s="122">
        <f t="shared" si="96"/>
        <v>4.2223550491618425E-2</v>
      </c>
      <c r="AJ227" s="87" t="b">
        <f t="shared" si="103"/>
        <v>1</v>
      </c>
      <c r="AK227" s="88">
        <f t="shared" si="108"/>
        <v>1.2233011766003624E-3</v>
      </c>
      <c r="AL227" s="312">
        <f>+AC227/'MWh by month-WgtbyCDH&amp;DayLtHrs'!AC227-1</f>
        <v>0.10569910481990119</v>
      </c>
      <c r="AM227" s="89">
        <f t="shared" si="97"/>
        <v>407641.5818403709</v>
      </c>
      <c r="AN227" s="90"/>
      <c r="AO227" s="96">
        <f t="shared" si="87"/>
        <v>76.740460850547677</v>
      </c>
      <c r="AP227" s="92">
        <f t="shared" si="86"/>
        <v>7.402616802303634E-3</v>
      </c>
      <c r="AR227" s="94">
        <f t="shared" si="98"/>
        <v>4.2223550491618425E-2</v>
      </c>
      <c r="AS227" s="95"/>
    </row>
    <row r="228" spans="1:45">
      <c r="A228" s="78">
        <f t="shared" si="111"/>
        <v>2023</v>
      </c>
      <c r="B228" s="78">
        <f t="shared" si="112"/>
        <v>8</v>
      </c>
      <c r="C228" s="317">
        <f t="shared" si="105"/>
        <v>326.45437890907908</v>
      </c>
      <c r="D228" s="324">
        <f t="shared" si="109"/>
        <v>0.16603274573816959</v>
      </c>
      <c r="E228" s="321">
        <f>$D228*'MWh Impact Summary'!B$29</f>
        <v>584004.25440045726</v>
      </c>
      <c r="F228" s="321">
        <f>$D228*'MWh Impact Summary'!N$29</f>
        <v>88944.794369292678</v>
      </c>
      <c r="G228" s="321">
        <f>$D228*'MWh Impact Summary'!C$29</f>
        <v>403946.59678928053</v>
      </c>
      <c r="H228" s="321">
        <f>$D228*'MWh Impact Summary'!D$29</f>
        <v>1933.894358898001</v>
      </c>
      <c r="I228" s="321">
        <f>$D228*'MWh Impact Summary'!E$29</f>
        <v>144859.47438682258</v>
      </c>
      <c r="J228" s="104">
        <f t="shared" si="99"/>
        <v>1223689.0143047513</v>
      </c>
      <c r="K228" s="298">
        <f t="shared" si="106"/>
        <v>10.933333333333334</v>
      </c>
      <c r="L228" s="300">
        <f t="shared" si="110"/>
        <v>7.6968203684148764E-2</v>
      </c>
      <c r="M228" s="297">
        <f t="shared" si="113"/>
        <v>8.4931506849315067E-2</v>
      </c>
      <c r="N228" s="304">
        <f>$M228*'MWh Impact Summary'!F$29</f>
        <v>167742.1745310929</v>
      </c>
      <c r="O228" s="304">
        <f>$M228*'MWh Impact Summary'!G$29</f>
        <v>24469.376538334716</v>
      </c>
      <c r="P228" s="304">
        <f>$M228*'MWh Impact Summary'!H$29</f>
        <v>10691.42619664053</v>
      </c>
      <c r="Q228" s="304">
        <f>$M228*'MWh Impact Summary'!I$29</f>
        <v>1784.6283529910179</v>
      </c>
      <c r="R228" s="304">
        <f>$M228*'MWh Impact Summary'!J$29</f>
        <v>47543.000571588018</v>
      </c>
      <c r="S228" s="304">
        <f>$M228*'MWh Impact Summary'!K$29</f>
        <v>31211.432652914413</v>
      </c>
      <c r="T228" s="304">
        <f>$M228*'MWh Impact Summary'!L$29</f>
        <v>11191.771620454721</v>
      </c>
      <c r="U228" s="304">
        <f>$M228*'MWh Impact Summary'!M$29</f>
        <v>34640.438961680789</v>
      </c>
      <c r="V228" s="304">
        <f>$M228*'LED Impact Forecast'!$H$30+$D228*'LED Impact Forecast'!$J$30</f>
        <v>238150.7664927122</v>
      </c>
      <c r="W228" s="304">
        <f>$M228*'CFL Impact Forecast'!$H$30+$D228*'CFL Impact Forecast'!$J$30</f>
        <v>408942.17175825383</v>
      </c>
      <c r="X228" s="304">
        <f>$M228*'EISA Incand Impact Forecast'!$G$30+$D228*'EISA Incand Impact Forecast'!$I$30</f>
        <v>143112.32457592551</v>
      </c>
      <c r="Y228" s="85">
        <f t="shared" si="91"/>
        <v>1119479.5122525888</v>
      </c>
      <c r="Z228" s="81">
        <f t="shared" si="92"/>
        <v>2343168.5265573403</v>
      </c>
      <c r="AA228" s="81"/>
      <c r="AB228" s="262">
        <f>+'MWh by mo-WgtbyActulCDH&amp;Days'!AB228</f>
        <v>5317288.920798488</v>
      </c>
      <c r="AC228" s="308">
        <f t="shared" si="100"/>
        <v>440.66977767412169</v>
      </c>
      <c r="AD228" s="309">
        <f t="shared" si="93"/>
        <v>230.13400861448622</v>
      </c>
      <c r="AE228" s="107">
        <f t="shared" si="94"/>
        <v>2.1048842251324959E-2</v>
      </c>
      <c r="AF228" s="309">
        <f t="shared" si="101"/>
        <v>210.53576905963547</v>
      </c>
      <c r="AG228" s="107">
        <f t="shared" si="95"/>
        <v>1.9256320340820317E-2</v>
      </c>
      <c r="AH228" s="119">
        <f t="shared" si="102"/>
        <v>4.0305162592145276E-2</v>
      </c>
      <c r="AI228" s="122">
        <f t="shared" si="96"/>
        <v>4.0305162592145276E-2</v>
      </c>
      <c r="AJ228" s="87" t="b">
        <f t="shared" si="103"/>
        <v>1</v>
      </c>
      <c r="AK228" s="88">
        <f t="shared" si="108"/>
        <v>1.1621946626169943E-3</v>
      </c>
      <c r="AL228" s="312">
        <f>+AC228/'MWh by month-WgtbyCDH&amp;DayLtHrs'!AC228-1</f>
        <v>8.4841687801392007E-2</v>
      </c>
      <c r="AM228" s="89">
        <f t="shared" si="97"/>
        <v>408942.17175825383</v>
      </c>
      <c r="AN228" s="90"/>
      <c r="AO228" s="96">
        <f t="shared" si="87"/>
        <v>76.908021709838494</v>
      </c>
      <c r="AP228" s="92">
        <f t="shared" si="86"/>
        <v>7.0342702783388862E-3</v>
      </c>
      <c r="AR228" s="94">
        <f t="shared" si="98"/>
        <v>4.0305162592145276E-2</v>
      </c>
      <c r="AS228" s="95"/>
    </row>
    <row r="229" spans="1:45">
      <c r="A229" s="78">
        <f t="shared" si="111"/>
        <v>2023</v>
      </c>
      <c r="B229" s="78">
        <f t="shared" si="112"/>
        <v>9</v>
      </c>
      <c r="C229" s="317">
        <f t="shared" si="105"/>
        <v>277.87653293728147</v>
      </c>
      <c r="D229" s="324">
        <f t="shared" si="109"/>
        <v>0.14132634365008559</v>
      </c>
      <c r="E229" s="321">
        <f>$D229*'MWh Impact Summary'!B$29</f>
        <v>497101.85532116302</v>
      </c>
      <c r="F229" s="321">
        <f>$D229*'MWh Impact Summary'!N$29</f>
        <v>75709.418157451204</v>
      </c>
      <c r="G229" s="321">
        <f>$D229*'MWh Impact Summary'!C$29</f>
        <v>343837.56830807071</v>
      </c>
      <c r="H229" s="321">
        <f>$D229*'MWh Impact Summary'!D$29</f>
        <v>1646.1223810608162</v>
      </c>
      <c r="I229" s="321">
        <f>$D229*'MWh Impact Summary'!E$29</f>
        <v>123303.74810790354</v>
      </c>
      <c r="J229" s="104">
        <f t="shared" si="99"/>
        <v>1041598.7122756493</v>
      </c>
      <c r="K229" s="298">
        <f t="shared" si="106"/>
        <v>11.683333333333334</v>
      </c>
      <c r="L229" s="300">
        <f t="shared" si="110"/>
        <v>8.2248034729555317E-2</v>
      </c>
      <c r="M229" s="297">
        <f>(30/365)</f>
        <v>8.2191780821917804E-2</v>
      </c>
      <c r="N229" s="304">
        <f>$M229*'MWh Impact Summary'!F$29</f>
        <v>162331.13664299314</v>
      </c>
      <c r="O229" s="304">
        <f>$M229*'MWh Impact Summary'!G$29</f>
        <v>23680.04181129166</v>
      </c>
      <c r="P229" s="304">
        <f>$M229*'MWh Impact Summary'!H$29</f>
        <v>10346.541480619868</v>
      </c>
      <c r="Q229" s="304">
        <f>$M229*'MWh Impact Summary'!I$29</f>
        <v>1727.0596964429205</v>
      </c>
      <c r="R229" s="304">
        <f>$M229*'MWh Impact Summary'!J$29</f>
        <v>46009.355391859368</v>
      </c>
      <c r="S229" s="304">
        <f>$M229*'MWh Impact Summary'!K$29</f>
        <v>30204.612244755881</v>
      </c>
      <c r="T229" s="304">
        <f>$M229*'MWh Impact Summary'!L$29</f>
        <v>10830.74672947231</v>
      </c>
      <c r="U229" s="304">
        <f>$M229*'MWh Impact Summary'!M$29</f>
        <v>33523.005446787858</v>
      </c>
      <c r="V229" s="304">
        <f>$M229*'LED Impact Forecast'!$H$30+$D229*'LED Impact Forecast'!$J$30</f>
        <v>223551.8710942649</v>
      </c>
      <c r="W229" s="304">
        <f>$M229*'CFL Impact Forecast'!$H$30+$D229*'CFL Impact Forecast'!$J$30</f>
        <v>383784.08671924338</v>
      </c>
      <c r="X229" s="304">
        <f>$M229*'EISA Incand Impact Forecast'!$G$30+$D229*'EISA Incand Impact Forecast'!$I$30</f>
        <v>134062.74319334968</v>
      </c>
      <c r="Y229" s="85">
        <f t="shared" si="91"/>
        <v>1060051.2004510812</v>
      </c>
      <c r="Z229" s="81">
        <f t="shared" si="92"/>
        <v>2101649.9127267306</v>
      </c>
      <c r="AA229" s="81"/>
      <c r="AB229" s="262">
        <f>+'MWh by mo-WgtbyActulCDH&amp;Days'!AB229</f>
        <v>5322436.1862808531</v>
      </c>
      <c r="AC229" s="308">
        <f t="shared" si="100"/>
        <v>394.86615511595187</v>
      </c>
      <c r="AD229" s="309">
        <f t="shared" si="93"/>
        <v>195.69961495461064</v>
      </c>
      <c r="AE229" s="107">
        <f t="shared" si="94"/>
        <v>1.6750323676571522E-2</v>
      </c>
      <c r="AF229" s="309">
        <f t="shared" si="101"/>
        <v>199.16654016134117</v>
      </c>
      <c r="AG229" s="107">
        <f t="shared" si="95"/>
        <v>1.7047064778431483E-2</v>
      </c>
      <c r="AH229" s="119">
        <f t="shared" si="102"/>
        <v>3.3797388455003005E-2</v>
      </c>
      <c r="AI229" s="122">
        <f t="shared" si="96"/>
        <v>3.3797388455003012E-2</v>
      </c>
      <c r="AJ229" s="87" t="b">
        <f t="shared" si="103"/>
        <v>1</v>
      </c>
      <c r="AK229" s="88">
        <f t="shared" si="108"/>
        <v>1.0253124904620672E-3</v>
      </c>
      <c r="AL229" s="312">
        <f>+AC229/'MWh by month-WgtbyCDH&amp;DayLtHrs'!AC229-1</f>
        <v>3.3856820108590258E-2</v>
      </c>
      <c r="AM229" s="89">
        <f t="shared" si="97"/>
        <v>383784.08671924338</v>
      </c>
      <c r="AN229" s="90"/>
      <c r="AO229" s="96">
        <f t="shared" si="87"/>
        <v>72.106846054535666</v>
      </c>
      <c r="AP229" s="92">
        <f t="shared" si="86"/>
        <v>6.1717699904024819E-3</v>
      </c>
      <c r="AR229" s="94">
        <f t="shared" si="98"/>
        <v>3.3797388455003012E-2</v>
      </c>
      <c r="AS229" s="95"/>
    </row>
    <row r="230" spans="1:45">
      <c r="A230" s="78">
        <f t="shared" si="111"/>
        <v>2023</v>
      </c>
      <c r="B230" s="78">
        <f t="shared" si="112"/>
        <v>10</v>
      </c>
      <c r="C230" s="317">
        <f t="shared" si="105"/>
        <v>198.89039579254836</v>
      </c>
      <c r="D230" s="324">
        <f t="shared" si="109"/>
        <v>0.10115446643644242</v>
      </c>
      <c r="E230" s="321">
        <f>$D230*'MWh Impact Summary'!B$29</f>
        <v>355801.13120366138</v>
      </c>
      <c r="F230" s="321">
        <f>$D230*'MWh Impact Summary'!N$29</f>
        <v>54189.088885593934</v>
      </c>
      <c r="G230" s="321">
        <f>$D230*'MWh Impact Summary'!C$29</f>
        <v>246102.07031975142</v>
      </c>
      <c r="H230" s="321">
        <f>$D230*'MWh Impact Summary'!D$29</f>
        <v>1178.2136779648597</v>
      </c>
      <c r="I230" s="321">
        <f>$D230*'MWh Impact Summary'!E$29</f>
        <v>88254.77633773713</v>
      </c>
      <c r="J230" s="104">
        <f t="shared" si="99"/>
        <v>745525.28042470873</v>
      </c>
      <c r="K230" s="298">
        <f t="shared" si="106"/>
        <v>12.466666666666667</v>
      </c>
      <c r="L230" s="300">
        <f t="shared" si="110"/>
        <v>8.7762524932535488E-2</v>
      </c>
      <c r="M230" s="297">
        <f t="shared" si="113"/>
        <v>8.4931506849315067E-2</v>
      </c>
      <c r="N230" s="304">
        <f>$M230*'MWh Impact Summary'!F$29</f>
        <v>167742.1745310929</v>
      </c>
      <c r="O230" s="304">
        <f>$M230*'MWh Impact Summary'!G$29</f>
        <v>24469.376538334716</v>
      </c>
      <c r="P230" s="304">
        <f>$M230*'MWh Impact Summary'!H$29</f>
        <v>10691.42619664053</v>
      </c>
      <c r="Q230" s="304">
        <f>$M230*'MWh Impact Summary'!I$29</f>
        <v>1784.6283529910179</v>
      </c>
      <c r="R230" s="304">
        <f>$M230*'MWh Impact Summary'!J$29</f>
        <v>47543.000571588018</v>
      </c>
      <c r="S230" s="304">
        <f>$M230*'MWh Impact Summary'!K$29</f>
        <v>31211.432652914413</v>
      </c>
      <c r="T230" s="304">
        <f>$M230*'MWh Impact Summary'!L$29</f>
        <v>11191.771620454721</v>
      </c>
      <c r="U230" s="304">
        <f>$M230*'MWh Impact Summary'!M$29</f>
        <v>34640.438961680789</v>
      </c>
      <c r="V230" s="304">
        <f>$M230*'LED Impact Forecast'!$H$30+$D230*'LED Impact Forecast'!$J$30</f>
        <v>214960.78376323916</v>
      </c>
      <c r="W230" s="304">
        <f>$M230*'CFL Impact Forecast'!$H$30+$D230*'CFL Impact Forecast'!$J$30</f>
        <v>368821.28119224386</v>
      </c>
      <c r="X230" s="304">
        <f>$M230*'EISA Incand Impact Forecast'!$G$30+$D230*'EISA Incand Impact Forecast'!$I$30</f>
        <v>128249.20158700788</v>
      </c>
      <c r="Y230" s="85">
        <f t="shared" si="91"/>
        <v>1041305.5159681879</v>
      </c>
      <c r="Z230" s="81">
        <f t="shared" si="92"/>
        <v>1786830.7963928967</v>
      </c>
      <c r="AA230" s="81"/>
      <c r="AB230" s="262">
        <f>+'MWh by mo-WgtbyActulCDH&amp;Days'!AB230</f>
        <v>5327648.4322968516</v>
      </c>
      <c r="AC230" s="308">
        <f t="shared" si="100"/>
        <v>335.38827103547436</v>
      </c>
      <c r="AD230" s="309">
        <f t="shared" si="93"/>
        <v>139.93514960657762</v>
      </c>
      <c r="AE230" s="107">
        <f t="shared" si="94"/>
        <v>1.1224744620848472E-2</v>
      </c>
      <c r="AF230" s="309">
        <f t="shared" si="101"/>
        <v>195.45312142889674</v>
      </c>
      <c r="AG230" s="107">
        <f t="shared" si="95"/>
        <v>1.5678057868628081E-2</v>
      </c>
      <c r="AH230" s="119">
        <f t="shared" si="102"/>
        <v>2.6902802489476553E-2</v>
      </c>
      <c r="AI230" s="122">
        <f t="shared" si="96"/>
        <v>2.6902802489476553E-2</v>
      </c>
      <c r="AJ230" s="87" t="b">
        <f t="shared" si="103"/>
        <v>1</v>
      </c>
      <c r="AK230" s="88">
        <f t="shared" si="108"/>
        <v>9.3560142904188653E-4</v>
      </c>
      <c r="AL230" s="312">
        <f>+AC230/'MWh by month-WgtbyCDH&amp;DayLtHrs'!AC230-1</f>
        <v>-4.1036742426817652E-3</v>
      </c>
      <c r="AM230" s="89">
        <f t="shared" si="97"/>
        <v>368821.28119224386</v>
      </c>
      <c r="AN230" s="90"/>
      <c r="AO230" s="96">
        <f t="shared" si="87"/>
        <v>69.22778142724367</v>
      </c>
      <c r="AP230" s="92">
        <f t="shared" si="86"/>
        <v>5.5530305957682087E-3</v>
      </c>
      <c r="AR230" s="94">
        <f t="shared" si="98"/>
        <v>2.6902802489476553E-2</v>
      </c>
      <c r="AS230" s="95"/>
    </row>
    <row r="231" spans="1:45">
      <c r="A231" s="78">
        <f t="shared" si="111"/>
        <v>2023</v>
      </c>
      <c r="B231" s="78">
        <f t="shared" si="112"/>
        <v>11</v>
      </c>
      <c r="C231" s="317">
        <f t="shared" si="105"/>
        <v>78.117279066674627</v>
      </c>
      <c r="D231" s="324">
        <f t="shared" si="109"/>
        <v>3.9729981188725644E-2</v>
      </c>
      <c r="E231" s="321">
        <f>$D231*'MWh Impact Summary'!B$29</f>
        <v>139746.39724416632</v>
      </c>
      <c r="F231" s="321">
        <f>$D231*'MWh Impact Summary'!N$29</f>
        <v>21283.602770141279</v>
      </c>
      <c r="G231" s="321">
        <f>$D231*'MWh Impact Summary'!C$29</f>
        <v>96660.3944320507</v>
      </c>
      <c r="H231" s="321">
        <f>$D231*'MWh Impact Summary'!D$29</f>
        <v>462.76164474907426</v>
      </c>
      <c r="I231" s="321">
        <f>$D231*'MWh Impact Summary'!E$29</f>
        <v>34663.428390644607</v>
      </c>
      <c r="J231" s="104">
        <f t="shared" si="99"/>
        <v>292816.58448175201</v>
      </c>
      <c r="K231" s="298">
        <f t="shared" si="106"/>
        <v>13.15</v>
      </c>
      <c r="L231" s="300">
        <f t="shared" si="110"/>
        <v>9.2573037662794788E-2</v>
      </c>
      <c r="M231" s="297">
        <f>(30/365)</f>
        <v>8.2191780821917804E-2</v>
      </c>
      <c r="N231" s="304">
        <f>$M231*'MWh Impact Summary'!F$29</f>
        <v>162331.13664299314</v>
      </c>
      <c r="O231" s="304">
        <f>$M231*'MWh Impact Summary'!G$29</f>
        <v>23680.04181129166</v>
      </c>
      <c r="P231" s="304">
        <f>$M231*'MWh Impact Summary'!H$29</f>
        <v>10346.541480619868</v>
      </c>
      <c r="Q231" s="304">
        <f>$M231*'MWh Impact Summary'!I$29</f>
        <v>1727.0596964429205</v>
      </c>
      <c r="R231" s="304">
        <f>$M231*'MWh Impact Summary'!J$29</f>
        <v>46009.355391859368</v>
      </c>
      <c r="S231" s="304">
        <f>$M231*'MWh Impact Summary'!K$29</f>
        <v>30204.612244755881</v>
      </c>
      <c r="T231" s="304">
        <f>$M231*'MWh Impact Summary'!L$29</f>
        <v>10830.74672947231</v>
      </c>
      <c r="U231" s="304">
        <f>$M231*'MWh Impact Summary'!M$29</f>
        <v>33523.005446787858</v>
      </c>
      <c r="V231" s="304">
        <f>$M231*'LED Impact Forecast'!$H$30+$D231*'LED Impact Forecast'!$J$30</f>
        <v>187237.43864917543</v>
      </c>
      <c r="W231" s="304">
        <f>$M231*'CFL Impact Forecast'!$H$30+$D231*'CFL Impact Forecast'!$J$30</f>
        <v>320956.64147735963</v>
      </c>
      <c r="X231" s="304">
        <f>$M231*'EISA Incand Impact Forecast'!$G$30+$D231*'EISA Incand Impact Forecast'!$I$30</f>
        <v>110787.78512198714</v>
      </c>
      <c r="Y231" s="85">
        <f t="shared" si="91"/>
        <v>937634.36469274526</v>
      </c>
      <c r="Z231" s="81">
        <f t="shared" si="92"/>
        <v>1230450.9491744973</v>
      </c>
      <c r="AA231" s="81"/>
      <c r="AB231" s="262">
        <f>+'MWh by mo-WgtbyActulCDH&amp;Days'!AB231</f>
        <v>5332876.5569538418</v>
      </c>
      <c r="AC231" s="308">
        <f t="shared" si="100"/>
        <v>230.72931391409054</v>
      </c>
      <c r="AD231" s="309">
        <f t="shared" si="93"/>
        <v>54.907812201265337</v>
      </c>
      <c r="AE231" s="107">
        <f t="shared" si="94"/>
        <v>4.1754990267121924E-3</v>
      </c>
      <c r="AF231" s="309">
        <f t="shared" si="101"/>
        <v>175.82150171282518</v>
      </c>
      <c r="AG231" s="107">
        <f t="shared" si="95"/>
        <v>1.3370456404017125E-2</v>
      </c>
      <c r="AH231" s="119">
        <f t="shared" si="102"/>
        <v>1.7545955430729315E-2</v>
      </c>
      <c r="AI231" s="122">
        <f t="shared" si="96"/>
        <v>1.7545955430729319E-2</v>
      </c>
      <c r="AJ231" s="87" t="b">
        <f t="shared" si="103"/>
        <v>1</v>
      </c>
      <c r="AK231" s="88">
        <f t="shared" si="108"/>
        <v>7.8842051271103136E-4</v>
      </c>
      <c r="AL231" s="312">
        <f>+AC231/'MWh by month-WgtbyCDH&amp;DayLtHrs'!AC231-1</f>
        <v>-0.11579742402221627</v>
      </c>
      <c r="AM231" s="89">
        <f t="shared" si="97"/>
        <v>320956.64147735963</v>
      </c>
      <c r="AN231" s="90"/>
      <c r="AO231" s="96">
        <f t="shared" si="87"/>
        <v>60.184524815007386</v>
      </c>
      <c r="AP231" s="92">
        <f t="shared" si="86"/>
        <v>4.5767699479093071E-3</v>
      </c>
      <c r="AR231" s="94">
        <f t="shared" si="98"/>
        <v>1.7545955430729319E-2</v>
      </c>
      <c r="AS231" s="95"/>
    </row>
    <row r="232" spans="1:45">
      <c r="A232" s="78">
        <f t="shared" si="111"/>
        <v>2023</v>
      </c>
      <c r="B232" s="78">
        <f t="shared" si="112"/>
        <v>12</v>
      </c>
      <c r="C232" s="317">
        <f t="shared" si="105"/>
        <v>42.633806123140985</v>
      </c>
      <c r="D232" s="324">
        <f t="shared" si="109"/>
        <v>2.1683298951445065E-2</v>
      </c>
      <c r="E232" s="321">
        <f>$D232*'MWh Impact Summary'!B$29</f>
        <v>76268.923824523226</v>
      </c>
      <c r="F232" s="321">
        <f>$D232*'MWh Impact Summary'!N$29</f>
        <v>11615.880698170056</v>
      </c>
      <c r="G232" s="321">
        <f>$D232*'MWh Impact Summary'!C$29</f>
        <v>52754.020176317608</v>
      </c>
      <c r="H232" s="321">
        <f>$D232*'MWh Impact Summary'!D$29</f>
        <v>252.55987509010063</v>
      </c>
      <c r="I232" s="321">
        <f>$D232*'MWh Impact Summary'!E$29</f>
        <v>18918.143376560296</v>
      </c>
      <c r="J232" s="104">
        <f t="shared" si="99"/>
        <v>159809.52795066132</v>
      </c>
      <c r="K232" s="298">
        <f t="shared" si="106"/>
        <v>13.483333333333333</v>
      </c>
      <c r="L232" s="300">
        <f t="shared" si="110"/>
        <v>9.491962923853102E-2</v>
      </c>
      <c r="M232" s="297">
        <f t="shared" si="113"/>
        <v>8.4931506849315067E-2</v>
      </c>
      <c r="N232" s="304">
        <f>$M232*'MWh Impact Summary'!F$29</f>
        <v>167742.1745310929</v>
      </c>
      <c r="O232" s="304">
        <f>$M232*'MWh Impact Summary'!G$29</f>
        <v>24469.376538334716</v>
      </c>
      <c r="P232" s="304">
        <f>$M232*'MWh Impact Summary'!H$29</f>
        <v>10691.42619664053</v>
      </c>
      <c r="Q232" s="304">
        <f>$M232*'MWh Impact Summary'!I$29</f>
        <v>1784.6283529910179</v>
      </c>
      <c r="R232" s="304">
        <f>$M232*'MWh Impact Summary'!J$29</f>
        <v>47543.000571588018</v>
      </c>
      <c r="S232" s="304">
        <f>$M232*'MWh Impact Summary'!K$29</f>
        <v>31211.432652914413</v>
      </c>
      <c r="T232" s="304">
        <f>$M232*'MWh Impact Summary'!L$29</f>
        <v>11191.771620454721</v>
      </c>
      <c r="U232" s="304">
        <f>$M232*'MWh Impact Summary'!M$29</f>
        <v>34640.438961680789</v>
      </c>
      <c r="V232" s="304">
        <f>$M232*'LED Impact Forecast'!$H$30+$D232*'LED Impact Forecast'!$J$30</f>
        <v>186554.74369400009</v>
      </c>
      <c r="W232" s="304">
        <f>$M232*'CFL Impact Forecast'!$H$30+$D232*'CFL Impact Forecast'!$J$30</f>
        <v>319676.11199023412</v>
      </c>
      <c r="X232" s="304">
        <f>$M232*'EISA Incand Impact Forecast'!$G$30+$D232*'EISA Incand Impact Forecast'!$I$30</f>
        <v>110042.95830936065</v>
      </c>
      <c r="Y232" s="85">
        <f t="shared" si="91"/>
        <v>945548.06341929198</v>
      </c>
      <c r="Z232" s="81">
        <f t="shared" si="92"/>
        <v>1105357.5913699532</v>
      </c>
      <c r="AA232" s="81">
        <f>SUM(Z221:Z232)</f>
        <v>19400542.359736767</v>
      </c>
      <c r="AB232" s="262">
        <f>+'MWh by mo-WgtbyActulCDH&amp;Days'!AB232</f>
        <v>5338112.0890329443</v>
      </c>
      <c r="AC232" s="308">
        <f t="shared" si="100"/>
        <v>207.0690110911853</v>
      </c>
      <c r="AD232" s="309">
        <f t="shared" si="93"/>
        <v>29.937462025008262</v>
      </c>
      <c r="AE232" s="107">
        <f t="shared" si="94"/>
        <v>2.220330928925211E-3</v>
      </c>
      <c r="AF232" s="309">
        <f t="shared" si="101"/>
        <v>177.13154906617709</v>
      </c>
      <c r="AG232" s="107">
        <f t="shared" si="95"/>
        <v>1.3137074096379018E-2</v>
      </c>
      <c r="AH232" s="119">
        <f t="shared" si="102"/>
        <v>1.5357405025304229E-2</v>
      </c>
      <c r="AI232" s="122">
        <f t="shared" si="96"/>
        <v>1.5357405025304227E-2</v>
      </c>
      <c r="AJ232" s="87" t="b">
        <f t="shared" si="103"/>
        <v>1</v>
      </c>
      <c r="AK232" s="88">
        <f t="shared" si="108"/>
        <v>7.7137401253472675E-4</v>
      </c>
      <c r="AL232" s="312">
        <f>+AC232/'MWh by month-WgtbyCDH&amp;DayLtHrs'!AC232-1</f>
        <v>-0.13847898481824028</v>
      </c>
      <c r="AM232" s="89">
        <f t="shared" si="97"/>
        <v>319676.11199023412</v>
      </c>
      <c r="AN232" s="90">
        <f>SUM(AM221:AM232)</f>
        <v>4224450.6853054194</v>
      </c>
      <c r="AO232" s="96">
        <f t="shared" si="87"/>
        <v>59.885612489667082</v>
      </c>
      <c r="AP232" s="92">
        <f t="shared" si="86"/>
        <v>4.4414545727812426E-3</v>
      </c>
      <c r="AR232" s="94">
        <f t="shared" si="98"/>
        <v>1.5357405025304227E-2</v>
      </c>
      <c r="AS232" s="95"/>
    </row>
    <row r="233" spans="1:45">
      <c r="A233" s="78">
        <f t="shared" si="111"/>
        <v>2024</v>
      </c>
      <c r="B233" s="78">
        <f t="shared" si="112"/>
        <v>1</v>
      </c>
      <c r="C233" s="317">
        <f t="shared" si="105"/>
        <v>26.112829868525239</v>
      </c>
      <c r="D233" s="324">
        <f t="shared" si="109"/>
        <v>1.3280829182176284E-2</v>
      </c>
      <c r="E233" s="321">
        <f>$D233*'MWh Impact Summary'!B$30</f>
        <v>45678.362760088756</v>
      </c>
      <c r="F233" s="321">
        <f>$D233*'MWh Impact Summary'!N$30</f>
        <v>7880.1602204984219</v>
      </c>
      <c r="G233" s="321">
        <f>$D233*'MWh Impact Summary'!C$30</f>
        <v>32966.356367204404</v>
      </c>
      <c r="H233" s="321">
        <f>$D233*'MWh Impact Summary'!D$30</f>
        <v>165.77538377994071</v>
      </c>
      <c r="I233" s="321">
        <f>$D233*'MWh Impact Summary'!E$30</f>
        <v>11728.936603951188</v>
      </c>
      <c r="J233" s="104">
        <f t="shared" si="99"/>
        <v>98419.591335522709</v>
      </c>
      <c r="K233" s="298">
        <f t="shared" si="106"/>
        <v>13.3</v>
      </c>
      <c r="L233" s="300">
        <f t="shared" si="110"/>
        <v>9.3629003871876101E-2</v>
      </c>
      <c r="M233" s="297">
        <f>(31/366)</f>
        <v>8.4699453551912565E-2</v>
      </c>
      <c r="N233" s="304">
        <f>$M233*'MWh Impact Summary'!F$30</f>
        <v>177913.93898184501</v>
      </c>
      <c r="O233" s="304">
        <f>$M233*'MWh Impact Summary'!G$30</f>
        <v>29348.910303715045</v>
      </c>
      <c r="P233" s="304">
        <f>$M233*'MWh Impact Summary'!H$30</f>
        <v>11256.233754500045</v>
      </c>
      <c r="Q233" s="304">
        <f>$M233*'MWh Impact Summary'!I$30</f>
        <v>1872.0972336714331</v>
      </c>
      <c r="R233" s="304">
        <f>$M233*'MWh Impact Summary'!J$30</f>
        <v>48841.629368224894</v>
      </c>
      <c r="S233" s="304">
        <f>$M233*'MWh Impact Summary'!K$30</f>
        <v>34576.912314095389</v>
      </c>
      <c r="T233" s="304">
        <f>$M233*'MWh Impact Summary'!L$30</f>
        <v>12419.534744117105</v>
      </c>
      <c r="U233" s="304">
        <f>$M233*'MWh Impact Summary'!M$30</f>
        <v>38381.159252237456</v>
      </c>
      <c r="V233" s="304">
        <f>$M233*'LED Impact Forecast'!$H$31+$D233*'LED Impact Forecast'!$J$31</f>
        <v>213817.51537683679</v>
      </c>
      <c r="W233" s="304">
        <f>$M233*'CFL Impact Forecast'!$H$31+$D233*'CFL Impact Forecast'!$J$31</f>
        <v>315479.7902664151</v>
      </c>
      <c r="X233" s="304">
        <f>$M233*'EISA Incand Impact Forecast'!$G$31+$D233*'EISA Incand Impact Forecast'!$I$31</f>
        <v>107830.92457779404</v>
      </c>
      <c r="Y233" s="85">
        <f t="shared" si="91"/>
        <v>991738.64617345226</v>
      </c>
      <c r="Z233" s="81">
        <f t="shared" si="92"/>
        <v>1090158.237508975</v>
      </c>
      <c r="AA233" s="81"/>
      <c r="AB233" s="262">
        <f>+'MWh by mo-WgtbyActulCDH&amp;Days'!AB233</f>
        <v>5343385.5298156925</v>
      </c>
      <c r="AC233" s="308">
        <f t="shared" si="100"/>
        <v>204.02013506717293</v>
      </c>
      <c r="AD233" s="309">
        <f t="shared" si="93"/>
        <v>18.418957566574363</v>
      </c>
      <c r="AE233" s="107">
        <f t="shared" si="94"/>
        <v>1.3848840275619821E-3</v>
      </c>
      <c r="AF233" s="309">
        <f t="shared" si="101"/>
        <v>185.60117750059857</v>
      </c>
      <c r="AG233" s="107">
        <f t="shared" si="95"/>
        <v>1.3954975751924703E-2</v>
      </c>
      <c r="AH233" s="119">
        <f t="shared" si="102"/>
        <v>1.5339859779486684E-2</v>
      </c>
      <c r="AI233" s="122">
        <f t="shared" si="96"/>
        <v>1.5339859779486686E-2</v>
      </c>
      <c r="AJ233" s="87" t="b">
        <f t="shared" si="103"/>
        <v>1</v>
      </c>
      <c r="AK233" s="88">
        <f t="shared" si="108"/>
        <v>6.2743679408592753E-4</v>
      </c>
      <c r="AL233" s="312">
        <f>+AC233/'MWh by month-WgtbyCDH&amp;DayLtHrs'!AC233-1</f>
        <v>-0.14656294537439729</v>
      </c>
      <c r="AM233" s="89">
        <f t="shared" si="97"/>
        <v>315479.7902664151</v>
      </c>
      <c r="AN233" s="93"/>
      <c r="AO233" s="96">
        <f t="shared" si="87"/>
        <v>59.04118063464847</v>
      </c>
      <c r="AP233" s="92">
        <f t="shared" ref="AP233:AP268" si="114">+AO233/K233/1000</f>
        <v>4.4391865138833433E-3</v>
      </c>
      <c r="AR233" s="94">
        <f t="shared" si="98"/>
        <v>1.5339859779486686E-2</v>
      </c>
      <c r="AS233" s="95"/>
    </row>
    <row r="234" spans="1:45">
      <c r="A234" s="78">
        <f t="shared" si="111"/>
        <v>2024</v>
      </c>
      <c r="B234" s="78">
        <f t="shared" si="112"/>
        <v>2</v>
      </c>
      <c r="C234" s="317">
        <f t="shared" si="105"/>
        <v>35.042184420393127</v>
      </c>
      <c r="D234" s="324">
        <f t="shared" si="109"/>
        <v>1.7822245532205266E-2</v>
      </c>
      <c r="E234" s="321">
        <f>$D234*'MWh Impact Summary'!B$30</f>
        <v>61298.205515059635</v>
      </c>
      <c r="F234" s="321">
        <f>$D234*'MWh Impact Summary'!N$30</f>
        <v>10574.802849758957</v>
      </c>
      <c r="G234" s="321">
        <f>$D234*'MWh Impact Summary'!C$30</f>
        <v>44239.293301581194</v>
      </c>
      <c r="H234" s="321">
        <f>$D234*'MWh Impact Summary'!D$30</f>
        <v>222.46273575197958</v>
      </c>
      <c r="I234" s="321">
        <f>$D234*'MWh Impact Summary'!E$30</f>
        <v>15739.678985392527</v>
      </c>
      <c r="J234" s="104">
        <f t="shared" si="99"/>
        <v>132074.44338754428</v>
      </c>
      <c r="K234" s="298">
        <f t="shared" si="106"/>
        <v>12.733333333333333</v>
      </c>
      <c r="L234" s="300">
        <f t="shared" si="110"/>
        <v>8.9639798193124468E-2</v>
      </c>
      <c r="M234" s="297">
        <f>(29/366)</f>
        <v>7.9234972677595633E-2</v>
      </c>
      <c r="N234" s="304">
        <f>$M234*'MWh Impact Summary'!F$30</f>
        <v>166435.62033785501</v>
      </c>
      <c r="O234" s="304">
        <f>$M234*'MWh Impact Summary'!G$30</f>
        <v>27455.432219604401</v>
      </c>
      <c r="P234" s="304">
        <f>$M234*'MWh Impact Summary'!H$30</f>
        <v>10530.025125177463</v>
      </c>
      <c r="Q234" s="304">
        <f>$M234*'MWh Impact Summary'!I$30</f>
        <v>1751.3167669829536</v>
      </c>
      <c r="R234" s="304">
        <f>$M234*'MWh Impact Summary'!J$30</f>
        <v>45690.556505758774</v>
      </c>
      <c r="S234" s="304">
        <f>$M234*'MWh Impact Summary'!K$30</f>
        <v>32346.143777702142</v>
      </c>
      <c r="T234" s="304">
        <f>$M234*'MWh Impact Summary'!L$30</f>
        <v>11618.274438045035</v>
      </c>
      <c r="U234" s="304">
        <f>$M234*'MWh Impact Summary'!M$30</f>
        <v>35904.955429512462</v>
      </c>
      <c r="V234" s="304">
        <f>$M234*'LED Impact Forecast'!$H$31+$D234*'LED Impact Forecast'!$J$31</f>
        <v>202302.68075326527</v>
      </c>
      <c r="W234" s="304">
        <f>$M234*'CFL Impact Forecast'!$H$31+$D234*'CFL Impact Forecast'!$J$31</f>
        <v>298486.49251596781</v>
      </c>
      <c r="X234" s="304">
        <f>$M234*'EISA Incand Impact Forecast'!$G$31+$D234*'EISA Incand Impact Forecast'!$I$31</f>
        <v>102110.78760615262</v>
      </c>
      <c r="Y234" s="85">
        <f t="shared" si="91"/>
        <v>934632.28547602403</v>
      </c>
      <c r="Z234" s="81">
        <f t="shared" si="92"/>
        <v>1066706.7288635683</v>
      </c>
      <c r="AA234" s="81"/>
      <c r="AB234" s="262">
        <f>+'MWh by mo-WgtbyActulCDH&amp;Days'!AB234</f>
        <v>5348619.574030689</v>
      </c>
      <c r="AC234" s="308">
        <f t="shared" si="100"/>
        <v>199.43589445822266</v>
      </c>
      <c r="AD234" s="309">
        <f t="shared" si="93"/>
        <v>24.693183270840429</v>
      </c>
      <c r="AE234" s="107">
        <f t="shared" si="94"/>
        <v>1.9392552306942744E-3</v>
      </c>
      <c r="AF234" s="309">
        <f t="shared" si="101"/>
        <v>174.74271118738221</v>
      </c>
      <c r="AG234" s="107">
        <f t="shared" si="95"/>
        <v>1.3723249569689705E-2</v>
      </c>
      <c r="AH234" s="119">
        <f t="shared" si="102"/>
        <v>1.5662504800383979E-2</v>
      </c>
      <c r="AI234" s="122">
        <f t="shared" si="96"/>
        <v>1.5662504800383979E-2</v>
      </c>
      <c r="AJ234" s="87" t="b">
        <f t="shared" si="103"/>
        <v>1</v>
      </c>
      <c r="AK234" s="88">
        <f t="shared" si="108"/>
        <v>1.0537597080108301E-3</v>
      </c>
      <c r="AL234" s="312">
        <f>+AC234/'MWh by month-WgtbyCDH&amp;DayLtHrs'!AC234-1</f>
        <v>-0.15806761814018322</v>
      </c>
      <c r="AM234" s="89">
        <f t="shared" si="97"/>
        <v>298486.49251596781</v>
      </c>
      <c r="AN234" s="93"/>
      <c r="AO234" s="96">
        <f t="shared" si="87"/>
        <v>55.806267090899134</v>
      </c>
      <c r="AP234" s="92">
        <f t="shared" si="114"/>
        <v>4.3826911327931265E-3</v>
      </c>
      <c r="AR234" s="94">
        <f t="shared" si="98"/>
        <v>1.5662504800383979E-2</v>
      </c>
      <c r="AS234" s="95"/>
    </row>
    <row r="235" spans="1:45">
      <c r="A235" s="78">
        <f t="shared" si="111"/>
        <v>2024</v>
      </c>
      <c r="B235" s="78">
        <f t="shared" si="112"/>
        <v>3</v>
      </c>
      <c r="C235" s="317">
        <f t="shared" si="105"/>
        <v>64.582270600115152</v>
      </c>
      <c r="D235" s="324">
        <f t="shared" si="109"/>
        <v>3.2846156787895278E-2</v>
      </c>
      <c r="E235" s="321">
        <f>$D235*'MWh Impact Summary'!B$30</f>
        <v>112971.76136003683</v>
      </c>
      <c r="F235" s="321">
        <f>$D235*'MWh Impact Summary'!N$30</f>
        <v>19489.218223181193</v>
      </c>
      <c r="G235" s="321">
        <f>$D235*'MWh Impact Summary'!C$30</f>
        <v>81532.417525257857</v>
      </c>
      <c r="H235" s="321">
        <f>$D235*'MWh Impact Summary'!D$30</f>
        <v>409.99580466836312</v>
      </c>
      <c r="I235" s="321">
        <f>$D235*'MWh Impact Summary'!E$30</f>
        <v>29008.014888535374</v>
      </c>
      <c r="J235" s="104">
        <f t="shared" si="99"/>
        <v>243411.40780167963</v>
      </c>
      <c r="K235" s="298">
        <f t="shared" si="106"/>
        <v>12</v>
      </c>
      <c r="L235" s="300">
        <f t="shared" si="110"/>
        <v>8.4477296726504739E-2</v>
      </c>
      <c r="M235" s="297">
        <f>(31/366)</f>
        <v>8.4699453551912565E-2</v>
      </c>
      <c r="N235" s="304">
        <f>$M235*'MWh Impact Summary'!F$30</f>
        <v>177913.93898184501</v>
      </c>
      <c r="O235" s="304">
        <f>$M235*'MWh Impact Summary'!G$30</f>
        <v>29348.910303715045</v>
      </c>
      <c r="P235" s="304">
        <f>$M235*'MWh Impact Summary'!H$30</f>
        <v>11256.233754500045</v>
      </c>
      <c r="Q235" s="304">
        <f>$M235*'MWh Impact Summary'!I$30</f>
        <v>1872.0972336714331</v>
      </c>
      <c r="R235" s="304">
        <f>$M235*'MWh Impact Summary'!J$30</f>
        <v>48841.629368224894</v>
      </c>
      <c r="S235" s="304">
        <f>$M235*'MWh Impact Summary'!K$30</f>
        <v>34576.912314095389</v>
      </c>
      <c r="T235" s="304">
        <f>$M235*'MWh Impact Summary'!L$30</f>
        <v>12419.534744117105</v>
      </c>
      <c r="U235" s="304">
        <f>$M235*'MWh Impact Summary'!M$30</f>
        <v>38381.159252237456</v>
      </c>
      <c r="V235" s="304">
        <f>$M235*'LED Impact Forecast'!$H$31+$D235*'LED Impact Forecast'!$J$31</f>
        <v>222080.55244499745</v>
      </c>
      <c r="W235" s="304">
        <f>$M235*'CFL Impact Forecast'!$H$31+$D235*'CFL Impact Forecast'!$J$31</f>
        <v>327658.59124754911</v>
      </c>
      <c r="X235" s="304">
        <f>$M235*'EISA Incand Impact Forecast'!$G$31+$D235*'EISA Incand Impact Forecast'!$I$31</f>
        <v>112313.19312209135</v>
      </c>
      <c r="Y235" s="85">
        <f t="shared" si="91"/>
        <v>1016662.7527670442</v>
      </c>
      <c r="Z235" s="81">
        <f t="shared" si="92"/>
        <v>1260074.1605687239</v>
      </c>
      <c r="AA235" s="81"/>
      <c r="AB235" s="262">
        <f>+'MWh by mo-WgtbyActulCDH&amp;Days'!AB235</f>
        <v>5353889.4374803631</v>
      </c>
      <c r="AC235" s="308">
        <f t="shared" si="100"/>
        <v>235.35677665427053</v>
      </c>
      <c r="AD235" s="309">
        <f t="shared" si="93"/>
        <v>45.464406884770007</v>
      </c>
      <c r="AE235" s="107">
        <f t="shared" si="94"/>
        <v>3.788700573730834E-3</v>
      </c>
      <c r="AF235" s="309">
        <f t="shared" si="101"/>
        <v>189.8923697695005</v>
      </c>
      <c r="AG235" s="107">
        <f t="shared" si="95"/>
        <v>1.5824364147458376E-2</v>
      </c>
      <c r="AH235" s="119">
        <f t="shared" si="102"/>
        <v>1.9613064721189209E-2</v>
      </c>
      <c r="AI235" s="122">
        <f t="shared" si="96"/>
        <v>1.9613064721189212E-2</v>
      </c>
      <c r="AJ235" s="87" t="b">
        <f t="shared" si="103"/>
        <v>1</v>
      </c>
      <c r="AK235" s="88">
        <f t="shared" si="108"/>
        <v>6.9649679043035789E-4</v>
      </c>
      <c r="AL235" s="312">
        <f>+AC235/'MWh by month-WgtbyCDH&amp;DayLtHrs'!AC235-1</f>
        <v>-4.6337358080681845E-2</v>
      </c>
      <c r="AM235" s="89">
        <f t="shared" si="97"/>
        <v>327658.59124754911</v>
      </c>
      <c r="AN235" s="93"/>
      <c r="AO235" s="96">
        <f t="shared" ref="AO235:AO268" si="115">+AM235*1000/AB235</f>
        <v>61.200104162358492</v>
      </c>
      <c r="AP235" s="92">
        <f t="shared" si="114"/>
        <v>5.1000086801965411E-3</v>
      </c>
      <c r="AR235" s="94">
        <f t="shared" si="98"/>
        <v>1.9613064721189212E-2</v>
      </c>
      <c r="AS235" s="95"/>
    </row>
    <row r="236" spans="1:45">
      <c r="A236" s="78">
        <f t="shared" si="111"/>
        <v>2024</v>
      </c>
      <c r="B236" s="78">
        <f t="shared" si="112"/>
        <v>4</v>
      </c>
      <c r="C236" s="317">
        <f t="shared" si="105"/>
        <v>114.03392869270741</v>
      </c>
      <c r="D236" s="324">
        <f t="shared" si="109"/>
        <v>5.7996974497419709E-2</v>
      </c>
      <c r="E236" s="321">
        <f>$D236*'MWh Impact Summary'!B$30</f>
        <v>199476.01190715996</v>
      </c>
      <c r="F236" s="321">
        <f>$D236*'MWh Impact Summary'!N$30</f>
        <v>34412.41846233407</v>
      </c>
      <c r="G236" s="321">
        <f>$D236*'MWh Impact Summary'!C$30</f>
        <v>143963.06911827164</v>
      </c>
      <c r="H236" s="321">
        <f>$D236*'MWh Impact Summary'!D$30</f>
        <v>723.9360263957326</v>
      </c>
      <c r="I236" s="321">
        <f>$D236*'MWh Impact Summary'!E$30</f>
        <v>51219.907113490983</v>
      </c>
      <c r="J236" s="104">
        <f t="shared" si="99"/>
        <v>429795.34262765234</v>
      </c>
      <c r="K236" s="298">
        <f t="shared" si="106"/>
        <v>11.2</v>
      </c>
      <c r="L236" s="300">
        <f t="shared" si="110"/>
        <v>7.8845476944737758E-2</v>
      </c>
      <c r="M236" s="297">
        <f>(30/366)</f>
        <v>8.1967213114754092E-2</v>
      </c>
      <c r="N236" s="304">
        <f>$M236*'MWh Impact Summary'!F$30</f>
        <v>172174.77965985</v>
      </c>
      <c r="O236" s="304">
        <f>$M236*'MWh Impact Summary'!G$30</f>
        <v>28402.171261659721</v>
      </c>
      <c r="P236" s="304">
        <f>$M236*'MWh Impact Summary'!H$30</f>
        <v>10893.129439838753</v>
      </c>
      <c r="Q236" s="304">
        <f>$M236*'MWh Impact Summary'!I$30</f>
        <v>1811.7070003271933</v>
      </c>
      <c r="R236" s="304">
        <f>$M236*'MWh Impact Summary'!J$30</f>
        <v>47266.09293699183</v>
      </c>
      <c r="S236" s="304">
        <f>$M236*'MWh Impact Summary'!K$30</f>
        <v>33461.528045898762</v>
      </c>
      <c r="T236" s="304">
        <f>$M236*'MWh Impact Summary'!L$30</f>
        <v>12018.904591081069</v>
      </c>
      <c r="U236" s="304">
        <f>$M236*'MWh Impact Summary'!M$30</f>
        <v>37143.057340874955</v>
      </c>
      <c r="V236" s="304">
        <f>$M236*'LED Impact Forecast'!$H$31+$D236*'LED Impact Forecast'!$J$31</f>
        <v>225986.10613053699</v>
      </c>
      <c r="W236" s="304">
        <f>$M236*'CFL Impact Forecast'!$H$31+$D236*'CFL Impact Forecast'!$J$31</f>
        <v>333404.09083325352</v>
      </c>
      <c r="X236" s="304">
        <f>$M236*'EISA Incand Impact Forecast'!$G$31+$D236*'EISA Incand Impact Forecast'!$I$31</f>
        <v>114694.78464438794</v>
      </c>
      <c r="Y236" s="85">
        <f t="shared" si="91"/>
        <v>1017256.3518847006</v>
      </c>
      <c r="Z236" s="81">
        <f t="shared" si="92"/>
        <v>1447051.6945123528</v>
      </c>
      <c r="AA236" s="81"/>
      <c r="AB236" s="262">
        <f>+'MWh by mo-WgtbyActulCDH&amp;Days'!AB236</f>
        <v>5359119.6367630055</v>
      </c>
      <c r="AC236" s="308">
        <f t="shared" si="100"/>
        <v>270.01668046104589</v>
      </c>
      <c r="AD236" s="309">
        <f t="shared" si="93"/>
        <v>80.198870665118363</v>
      </c>
      <c r="AE236" s="107">
        <f t="shared" si="94"/>
        <v>7.1606134522427117E-3</v>
      </c>
      <c r="AF236" s="309">
        <f t="shared" si="101"/>
        <v>189.81780979592756</v>
      </c>
      <c r="AG236" s="107">
        <f t="shared" si="95"/>
        <v>1.6948018731779247E-2</v>
      </c>
      <c r="AH236" s="119">
        <f t="shared" si="102"/>
        <v>2.4108632184021959E-2</v>
      </c>
      <c r="AI236" s="122">
        <f t="shared" si="96"/>
        <v>2.4108632184021955E-2</v>
      </c>
      <c r="AJ236" s="87" t="b">
        <f t="shared" si="103"/>
        <v>1</v>
      </c>
      <c r="AK236" s="88">
        <f t="shared" si="108"/>
        <v>7.2485941491915243E-4</v>
      </c>
      <c r="AL236" s="312">
        <f>+AC236/'MWh by month-WgtbyCDH&amp;DayLtHrs'!AC236-1</f>
        <v>1.080982419500609E-3</v>
      </c>
      <c r="AM236" s="89">
        <f t="shared" si="97"/>
        <v>333404.09083325352</v>
      </c>
      <c r="AN236" s="93"/>
      <c r="AO236" s="96">
        <f t="shared" si="115"/>
        <v>62.212473956755133</v>
      </c>
      <c r="AP236" s="92">
        <f t="shared" si="114"/>
        <v>5.5546851747102803E-3</v>
      </c>
      <c r="AR236" s="94">
        <f t="shared" si="98"/>
        <v>2.4108632184021955E-2</v>
      </c>
      <c r="AS236" s="95"/>
    </row>
    <row r="237" spans="1:45">
      <c r="A237" s="78">
        <f t="shared" si="111"/>
        <v>2024</v>
      </c>
      <c r="B237" s="78">
        <f t="shared" si="112"/>
        <v>5</v>
      </c>
      <c r="C237" s="317">
        <f t="shared" si="105"/>
        <v>208.47875842628665</v>
      </c>
      <c r="D237" s="324">
        <f t="shared" si="109"/>
        <v>0.10603105035770212</v>
      </c>
      <c r="E237" s="321">
        <f>$D237*'MWh Impact Summary'!B$30</f>
        <v>364685.42104075896</v>
      </c>
      <c r="F237" s="321">
        <f>$D237*'MWh Impact Summary'!N$30</f>
        <v>62913.365852772149</v>
      </c>
      <c r="G237" s="321">
        <f>$D237*'MWh Impact Summary'!C$30</f>
        <v>263195.71949409076</v>
      </c>
      <c r="H237" s="321">
        <f>$D237*'MWh Impact Summary'!D$30</f>
        <v>1323.5120958583061</v>
      </c>
      <c r="I237" s="321">
        <f>$D237*'MWh Impact Summary'!E$30</f>
        <v>93641.101066556643</v>
      </c>
      <c r="J237" s="104">
        <f t="shared" si="99"/>
        <v>785759.11955003685</v>
      </c>
      <c r="K237" s="298">
        <f t="shared" si="106"/>
        <v>10.533333333333333</v>
      </c>
      <c r="L237" s="300">
        <f t="shared" si="110"/>
        <v>7.4152293793265281E-2</v>
      </c>
      <c r="M237" s="297">
        <f>(31/366)</f>
        <v>8.4699453551912565E-2</v>
      </c>
      <c r="N237" s="304">
        <f>$M237*'MWh Impact Summary'!F$30</f>
        <v>177913.93898184501</v>
      </c>
      <c r="O237" s="304">
        <f>$M237*'MWh Impact Summary'!G$30</f>
        <v>29348.910303715045</v>
      </c>
      <c r="P237" s="304">
        <f>$M237*'MWh Impact Summary'!H$30</f>
        <v>11256.233754500045</v>
      </c>
      <c r="Q237" s="304">
        <f>$M237*'MWh Impact Summary'!I$30</f>
        <v>1872.0972336714331</v>
      </c>
      <c r="R237" s="304">
        <f>$M237*'MWh Impact Summary'!J$30</f>
        <v>48841.629368224894</v>
      </c>
      <c r="S237" s="304">
        <f>$M237*'MWh Impact Summary'!K$30</f>
        <v>34576.912314095389</v>
      </c>
      <c r="T237" s="304">
        <f>$M237*'MWh Impact Summary'!L$30</f>
        <v>12419.534744117105</v>
      </c>
      <c r="U237" s="304">
        <f>$M237*'MWh Impact Summary'!M$30</f>
        <v>38381.159252237456</v>
      </c>
      <c r="V237" s="304">
        <f>$M237*'LED Impact Forecast'!$H$31+$D237*'LED Impact Forecast'!$J$31</f>
        <v>252988.77440699216</v>
      </c>
      <c r="W237" s="304">
        <f>$M237*'CFL Impact Forecast'!$H$31+$D237*'CFL Impact Forecast'!$J$31</f>
        <v>373213.88536649977</v>
      </c>
      <c r="X237" s="304">
        <f>$M237*'EISA Incand Impact Forecast'!$G$31+$D237*'EISA Incand Impact Forecast'!$I$31</f>
        <v>129079.29860093887</v>
      </c>
      <c r="Y237" s="85">
        <f t="shared" si="91"/>
        <v>1109892.3743268372</v>
      </c>
      <c r="Z237" s="81">
        <f t="shared" si="92"/>
        <v>1895651.493876874</v>
      </c>
      <c r="AA237" s="81"/>
      <c r="AB237" s="262">
        <f>+'MWh by mo-WgtbyActulCDH&amp;Days'!AB237</f>
        <v>5364378.1867245836</v>
      </c>
      <c r="AC237" s="308">
        <f t="shared" si="100"/>
        <v>353.3776754532538</v>
      </c>
      <c r="AD237" s="309">
        <f t="shared" si="93"/>
        <v>146.47720429081284</v>
      </c>
      <c r="AE237" s="107">
        <f t="shared" si="94"/>
        <v>1.390606369849489E-2</v>
      </c>
      <c r="AF237" s="309">
        <f t="shared" si="101"/>
        <v>206.90047116244102</v>
      </c>
      <c r="AG237" s="107">
        <f t="shared" si="95"/>
        <v>1.9642449793902627E-2</v>
      </c>
      <c r="AH237" s="119">
        <f t="shared" si="102"/>
        <v>3.3548513492397514E-2</v>
      </c>
      <c r="AI237" s="122">
        <f t="shared" si="96"/>
        <v>3.3548513492397514E-2</v>
      </c>
      <c r="AJ237" s="87" t="b">
        <f t="shared" si="103"/>
        <v>1</v>
      </c>
      <c r="AK237" s="88">
        <f t="shared" si="108"/>
        <v>8.0187395911453241E-4</v>
      </c>
      <c r="AL237" s="312">
        <f>+AC237/'MWh by month-WgtbyCDH&amp;DayLtHrs'!AC237-1</f>
        <v>8.3462100503377767E-2</v>
      </c>
      <c r="AM237" s="89">
        <f t="shared" si="97"/>
        <v>373213.88536649977</v>
      </c>
      <c r="AN237" s="93"/>
      <c r="AO237" s="96">
        <f t="shared" si="115"/>
        <v>69.57262750230872</v>
      </c>
      <c r="AP237" s="92">
        <f t="shared" si="114"/>
        <v>6.6049962818647522E-3</v>
      </c>
      <c r="AR237" s="94">
        <f t="shared" si="98"/>
        <v>3.3548513492397514E-2</v>
      </c>
      <c r="AS237" s="95"/>
    </row>
    <row r="238" spans="1:45">
      <c r="A238" s="78">
        <f t="shared" si="111"/>
        <v>2024</v>
      </c>
      <c r="B238" s="78">
        <f t="shared" si="112"/>
        <v>6</v>
      </c>
      <c r="C238" s="317">
        <f t="shared" si="105"/>
        <v>271.66325293295364</v>
      </c>
      <c r="D238" s="324">
        <f t="shared" si="109"/>
        <v>0.13816630657965029</v>
      </c>
      <c r="E238" s="321">
        <f>$D238*'MWh Impact Summary'!B$30</f>
        <v>475212.09606678394</v>
      </c>
      <c r="F238" s="321">
        <f>$D238*'MWh Impact Summary'!N$30</f>
        <v>81980.772283657687</v>
      </c>
      <c r="G238" s="321">
        <f>$D238*'MWh Impact Summary'!C$30</f>
        <v>342963.50311907136</v>
      </c>
      <c r="H238" s="321">
        <f>$D238*'MWh Impact Summary'!D$30</f>
        <v>1724.6342215919669</v>
      </c>
      <c r="I238" s="321">
        <f>$D238*'MWh Impact Summary'!E$30</f>
        <v>122021.28560238355</v>
      </c>
      <c r="J238" s="104">
        <f t="shared" si="99"/>
        <v>1023902.2912934885</v>
      </c>
      <c r="K238" s="298">
        <f t="shared" si="106"/>
        <v>10.199999999999999</v>
      </c>
      <c r="L238" s="300">
        <f t="shared" si="110"/>
        <v>7.1805702217529022E-2</v>
      </c>
      <c r="M238" s="297">
        <f>(30/366)</f>
        <v>8.1967213114754092E-2</v>
      </c>
      <c r="N238" s="304">
        <f>$M238*'MWh Impact Summary'!F$30</f>
        <v>172174.77965985</v>
      </c>
      <c r="O238" s="304">
        <f>$M238*'MWh Impact Summary'!G$30</f>
        <v>28402.171261659721</v>
      </c>
      <c r="P238" s="304">
        <f>$M238*'MWh Impact Summary'!H$30</f>
        <v>10893.129439838753</v>
      </c>
      <c r="Q238" s="304">
        <f>$M238*'MWh Impact Summary'!I$30</f>
        <v>1811.7070003271933</v>
      </c>
      <c r="R238" s="304">
        <f>$M238*'MWh Impact Summary'!J$30</f>
        <v>47266.09293699183</v>
      </c>
      <c r="S238" s="304">
        <f>$M238*'MWh Impact Summary'!K$30</f>
        <v>33461.528045898762</v>
      </c>
      <c r="T238" s="304">
        <f>$M238*'MWh Impact Summary'!L$30</f>
        <v>12018.904591081069</v>
      </c>
      <c r="U238" s="304">
        <f>$M238*'MWh Impact Summary'!M$30</f>
        <v>37143.057340874955</v>
      </c>
      <c r="V238" s="304">
        <f>$M238*'LED Impact Forecast'!$H$31+$D238*'LED Impact Forecast'!$J$31</f>
        <v>259844.07038621951</v>
      </c>
      <c r="W238" s="304">
        <f>$M238*'CFL Impact Forecast'!$H$31+$D238*'CFL Impact Forecast'!$J$31</f>
        <v>383306.97822137648</v>
      </c>
      <c r="X238" s="304">
        <f>$M238*'EISA Incand Impact Forecast'!$G$31+$D238*'EISA Incand Impact Forecast'!$I$31</f>
        <v>133060.97214970071</v>
      </c>
      <c r="Y238" s="85">
        <f t="shared" si="91"/>
        <v>1119383.3910338189</v>
      </c>
      <c r="Z238" s="81">
        <f t="shared" si="92"/>
        <v>2143285.6823273073</v>
      </c>
      <c r="AA238" s="81"/>
      <c r="AB238" s="262">
        <f>+'MWh by mo-WgtbyActulCDH&amp;Days'!AB238</f>
        <v>5369633.722238888</v>
      </c>
      <c r="AC238" s="308">
        <f t="shared" si="100"/>
        <v>399.14932622883941</v>
      </c>
      <c r="AD238" s="309">
        <f t="shared" si="93"/>
        <v>190.68382393623838</v>
      </c>
      <c r="AE238" s="107">
        <f t="shared" si="94"/>
        <v>1.8694492542768469E-2</v>
      </c>
      <c r="AF238" s="309">
        <f t="shared" si="101"/>
        <v>208.46550229260109</v>
      </c>
      <c r="AG238" s="107">
        <f t="shared" si="95"/>
        <v>2.0437794342411872E-2</v>
      </c>
      <c r="AH238" s="119">
        <f t="shared" si="102"/>
        <v>3.9132286885180341E-2</v>
      </c>
      <c r="AI238" s="122">
        <f t="shared" si="96"/>
        <v>3.9132286885180334E-2</v>
      </c>
      <c r="AJ238" s="87" t="b">
        <f t="shared" si="103"/>
        <v>1</v>
      </c>
      <c r="AK238" s="88">
        <f t="shared" si="108"/>
        <v>8.0549470063422113E-4</v>
      </c>
      <c r="AL238" s="312">
        <f>+AC238/'MWh by month-WgtbyCDH&amp;DayLtHrs'!AC238-1</f>
        <v>9.2480270852051794E-2</v>
      </c>
      <c r="AM238" s="89">
        <f t="shared" si="97"/>
        <v>383306.97822137648</v>
      </c>
      <c r="AN238" s="93"/>
      <c r="AO238" s="96">
        <f t="shared" si="115"/>
        <v>71.384194537119242</v>
      </c>
      <c r="AP238" s="92">
        <f t="shared" si="114"/>
        <v>6.998450444815613E-3</v>
      </c>
      <c r="AR238" s="94">
        <f t="shared" si="98"/>
        <v>3.9132286885180334E-2</v>
      </c>
      <c r="AS238" s="95"/>
    </row>
    <row r="239" spans="1:45">
      <c r="A239" s="78">
        <f t="shared" si="111"/>
        <v>2024</v>
      </c>
      <c r="B239" s="78">
        <f t="shared" si="112"/>
        <v>7</v>
      </c>
      <c r="C239" s="317">
        <f t="shared" si="105"/>
        <v>322.31916585708109</v>
      </c>
      <c r="D239" s="324">
        <f t="shared" si="109"/>
        <v>0.16392960109808263</v>
      </c>
      <c r="E239" s="321">
        <f>$D239*'MWh Impact Summary'!B$30</f>
        <v>563822.91221125575</v>
      </c>
      <c r="F239" s="321">
        <f>$D239*'MWh Impact Summary'!N$30</f>
        <v>97267.384725416952</v>
      </c>
      <c r="G239" s="321">
        <f>$D239*'MWh Impact Summary'!C$30</f>
        <v>406914.47610709292</v>
      </c>
      <c r="H239" s="321">
        <f>$D239*'MWh Impact Summary'!D$30</f>
        <v>2046.2195667269386</v>
      </c>
      <c r="I239" s="321">
        <f>$D239*'MWh Impact Summary'!E$30</f>
        <v>144774.08544421539</v>
      </c>
      <c r="J239" s="104">
        <f t="shared" si="99"/>
        <v>1214825.078054708</v>
      </c>
      <c r="K239" s="298">
        <f t="shared" si="106"/>
        <v>10.366666666666667</v>
      </c>
      <c r="L239" s="300">
        <f t="shared" si="110"/>
        <v>7.2978998005397158E-2</v>
      </c>
      <c r="M239" s="297">
        <f>(31/366)</f>
        <v>8.4699453551912565E-2</v>
      </c>
      <c r="N239" s="304">
        <f>$M239*'MWh Impact Summary'!F$30</f>
        <v>177913.93898184501</v>
      </c>
      <c r="O239" s="304">
        <f>$M239*'MWh Impact Summary'!G$30</f>
        <v>29348.910303715045</v>
      </c>
      <c r="P239" s="304">
        <f>$M239*'MWh Impact Summary'!H$30</f>
        <v>11256.233754500045</v>
      </c>
      <c r="Q239" s="304">
        <f>$M239*'MWh Impact Summary'!I$30</f>
        <v>1872.0972336714331</v>
      </c>
      <c r="R239" s="304">
        <f>$M239*'MWh Impact Summary'!J$30</f>
        <v>48841.629368224894</v>
      </c>
      <c r="S239" s="304">
        <f>$M239*'MWh Impact Summary'!K$30</f>
        <v>34576.912314095389</v>
      </c>
      <c r="T239" s="304">
        <f>$M239*'MWh Impact Summary'!L$30</f>
        <v>12419.534744117105</v>
      </c>
      <c r="U239" s="304">
        <f>$M239*'MWh Impact Summary'!M$30</f>
        <v>38381.159252237456</v>
      </c>
      <c r="V239" s="304">
        <f>$M239*'LED Impact Forecast'!$H$31+$D239*'LED Impact Forecast'!$J$31</f>
        <v>277441.1056227854</v>
      </c>
      <c r="W239" s="304">
        <f>$M239*'CFL Impact Forecast'!$H$31+$D239*'CFL Impact Forecast'!$J$31</f>
        <v>409253.91192639602</v>
      </c>
      <c r="X239" s="304">
        <f>$M239*'EISA Incand Impact Forecast'!$G$31+$D239*'EISA Incand Impact Forecast'!$I$31</f>
        <v>142343.4185775526</v>
      </c>
      <c r="Y239" s="85">
        <f t="shared" si="91"/>
        <v>1183648.8520791403</v>
      </c>
      <c r="Z239" s="81">
        <f t="shared" si="92"/>
        <v>2398473.9301338485</v>
      </c>
      <c r="AA239" s="81"/>
      <c r="AB239" s="262">
        <f>+'MWh by mo-WgtbyActulCDH&amp;Days'!AB239</f>
        <v>5374960.0944571337</v>
      </c>
      <c r="AC239" s="308">
        <f t="shared" si="100"/>
        <v>446.23102087906619</v>
      </c>
      <c r="AD239" s="309">
        <f t="shared" si="93"/>
        <v>226.01564601521088</v>
      </c>
      <c r="AE239" s="107">
        <f t="shared" si="94"/>
        <v>2.1802152348734168E-2</v>
      </c>
      <c r="AF239" s="309">
        <f t="shared" si="101"/>
        <v>220.21537486385517</v>
      </c>
      <c r="AG239" s="107">
        <f t="shared" si="95"/>
        <v>2.1242640662108216E-2</v>
      </c>
      <c r="AH239" s="119">
        <f t="shared" si="102"/>
        <v>4.304479301084238E-2</v>
      </c>
      <c r="AI239" s="122">
        <f t="shared" si="96"/>
        <v>4.3044793010842394E-2</v>
      </c>
      <c r="AJ239" s="87" t="b">
        <f t="shared" si="103"/>
        <v>1</v>
      </c>
      <c r="AK239" s="88">
        <f t="shared" si="108"/>
        <v>8.2124251922396918E-4</v>
      </c>
      <c r="AL239" s="312">
        <f>+AC239/'MWh by month-WgtbyCDH&amp;DayLtHrs'!AC239-1</f>
        <v>0.10746522144909076</v>
      </c>
      <c r="AM239" s="89">
        <f t="shared" si="97"/>
        <v>409253.91192639602</v>
      </c>
      <c r="AN239" s="93"/>
      <c r="AO239" s="96">
        <f t="shared" si="115"/>
        <v>76.140827975343385</v>
      </c>
      <c r="AP239" s="92">
        <f t="shared" si="114"/>
        <v>7.3447744027662423E-3</v>
      </c>
      <c r="AR239" s="94">
        <f t="shared" si="98"/>
        <v>4.3044793010842394E-2</v>
      </c>
      <c r="AS239" s="95"/>
    </row>
    <row r="240" spans="1:45">
      <c r="A240" s="78">
        <f t="shared" si="111"/>
        <v>2024</v>
      </c>
      <c r="B240" s="78">
        <f t="shared" si="112"/>
        <v>8</v>
      </c>
      <c r="C240" s="317">
        <f t="shared" si="105"/>
        <v>326.45437890907908</v>
      </c>
      <c r="D240" s="324">
        <f t="shared" si="109"/>
        <v>0.16603274573816959</v>
      </c>
      <c r="E240" s="321">
        <f>$D240*'MWh Impact Summary'!B$30</f>
        <v>571056.51204821153</v>
      </c>
      <c r="F240" s="321">
        <f>$D240*'MWh Impact Summary'!N$30</f>
        <v>98515.282466094926</v>
      </c>
      <c r="G240" s="321">
        <f>$D240*'MWh Impact Summary'!C$30</f>
        <v>412135.00976096536</v>
      </c>
      <c r="H240" s="321">
        <f>$D240*'MWh Impact Summary'!D$30</f>
        <v>2072.4716632694535</v>
      </c>
      <c r="I240" s="321">
        <f>$D240*'MWh Impact Summary'!E$30</f>
        <v>146631.47324840649</v>
      </c>
      <c r="J240" s="104">
        <f t="shared" si="99"/>
        <v>1230410.7491869479</v>
      </c>
      <c r="K240" s="298">
        <f t="shared" si="106"/>
        <v>10.933333333333334</v>
      </c>
      <c r="L240" s="300">
        <f t="shared" si="110"/>
        <v>7.6968203684148764E-2</v>
      </c>
      <c r="M240" s="297">
        <f>(31/366)</f>
        <v>8.4699453551912565E-2</v>
      </c>
      <c r="N240" s="304">
        <f>$M240*'MWh Impact Summary'!F$30</f>
        <v>177913.93898184501</v>
      </c>
      <c r="O240" s="304">
        <f>$M240*'MWh Impact Summary'!G$30</f>
        <v>29348.910303715045</v>
      </c>
      <c r="P240" s="304">
        <f>$M240*'MWh Impact Summary'!H$30</f>
        <v>11256.233754500045</v>
      </c>
      <c r="Q240" s="304">
        <f>$M240*'MWh Impact Summary'!I$30</f>
        <v>1872.0972336714331</v>
      </c>
      <c r="R240" s="304">
        <f>$M240*'MWh Impact Summary'!J$30</f>
        <v>48841.629368224894</v>
      </c>
      <c r="S240" s="304">
        <f>$M240*'MWh Impact Summary'!K$30</f>
        <v>34576.912314095389</v>
      </c>
      <c r="T240" s="304">
        <f>$M240*'MWh Impact Summary'!L$30</f>
        <v>12419.534744117105</v>
      </c>
      <c r="U240" s="304">
        <f>$M240*'MWh Impact Summary'!M$30</f>
        <v>38381.159252237456</v>
      </c>
      <c r="V240" s="304">
        <f>$M240*'LED Impact Forecast'!$H$31+$D240*'LED Impact Forecast'!$J$31</f>
        <v>278329.32801655011</v>
      </c>
      <c r="W240" s="304">
        <f>$M240*'CFL Impact Forecast'!$H$31+$D240*'CFL Impact Forecast'!$J$31</f>
        <v>410563.05330763571</v>
      </c>
      <c r="X240" s="304">
        <f>$M240*'EISA Incand Impact Forecast'!$G$31+$D240*'EISA Incand Impact Forecast'!$I$31</f>
        <v>142825.23310447184</v>
      </c>
      <c r="Y240" s="85">
        <f t="shared" si="91"/>
        <v>1186328.0303810639</v>
      </c>
      <c r="Z240" s="81">
        <f t="shared" si="92"/>
        <v>2416738.7795680119</v>
      </c>
      <c r="AA240" s="81"/>
      <c r="AB240" s="262">
        <f>+'MWh by mo-WgtbyActulCDH&amp;Days'!AB240</f>
        <v>5380321.6496443385</v>
      </c>
      <c r="AC240" s="308">
        <f t="shared" si="100"/>
        <v>449.18109677100222</v>
      </c>
      <c r="AD240" s="309">
        <f t="shared" si="93"/>
        <v>228.68721041395045</v>
      </c>
      <c r="AE240" s="107">
        <f t="shared" si="94"/>
        <v>2.0916513147617419E-2</v>
      </c>
      <c r="AF240" s="309">
        <f t="shared" si="101"/>
        <v>220.49388635705174</v>
      </c>
      <c r="AG240" s="107">
        <f t="shared" si="95"/>
        <v>2.0167123752169367E-2</v>
      </c>
      <c r="AH240" s="119">
        <f t="shared" si="102"/>
        <v>4.1083636899786787E-2</v>
      </c>
      <c r="AI240" s="122">
        <f t="shared" si="96"/>
        <v>4.1083636899786787E-2</v>
      </c>
      <c r="AJ240" s="87" t="b">
        <f t="shared" si="103"/>
        <v>1</v>
      </c>
      <c r="AK240" s="88">
        <f t="shared" si="108"/>
        <v>7.7847430764151071E-4</v>
      </c>
      <c r="AL240" s="312">
        <f>+AC240/'MWh by month-WgtbyCDH&amp;DayLtHrs'!AC240-1</f>
        <v>8.5992648162020124E-2</v>
      </c>
      <c r="AM240" s="89">
        <f t="shared" si="97"/>
        <v>410563.05330763571</v>
      </c>
      <c r="AN240" s="93"/>
      <c r="AO240" s="96">
        <f t="shared" si="115"/>
        <v>76.308273007204988</v>
      </c>
      <c r="AP240" s="92">
        <f t="shared" si="114"/>
        <v>6.979415214073627E-3</v>
      </c>
      <c r="AR240" s="94">
        <f t="shared" si="98"/>
        <v>4.1083636899786787E-2</v>
      </c>
      <c r="AS240" s="95"/>
    </row>
    <row r="241" spans="1:45">
      <c r="A241" s="78">
        <f t="shared" si="111"/>
        <v>2024</v>
      </c>
      <c r="B241" s="78">
        <f t="shared" si="112"/>
        <v>9</v>
      </c>
      <c r="C241" s="317">
        <f t="shared" si="105"/>
        <v>277.87653293728147</v>
      </c>
      <c r="D241" s="324">
        <f t="shared" si="109"/>
        <v>0.14132634365008559</v>
      </c>
      <c r="E241" s="321">
        <f>$D241*'MWh Impact Summary'!B$30</f>
        <v>486080.79392131191</v>
      </c>
      <c r="F241" s="321">
        <f>$D241*'MWh Impact Summary'!N$30</f>
        <v>83855.775574202533</v>
      </c>
      <c r="G241" s="321">
        <f>$D241*'MWh Impact Summary'!C$30</f>
        <v>350807.50945094676</v>
      </c>
      <c r="H241" s="321">
        <f>$D241*'MWh Impact Summary'!D$30</f>
        <v>1764.0787736545219</v>
      </c>
      <c r="I241" s="321">
        <f>$D241*'MWh Impact Summary'!E$30</f>
        <v>124812.06575299443</v>
      </c>
      <c r="J241" s="104">
        <f t="shared" si="99"/>
        <v>1047320.2234731101</v>
      </c>
      <c r="K241" s="298">
        <f t="shared" si="106"/>
        <v>11.683333333333334</v>
      </c>
      <c r="L241" s="300">
        <f t="shared" si="110"/>
        <v>8.2248034729555317E-2</v>
      </c>
      <c r="M241" s="297">
        <f>(30/366)</f>
        <v>8.1967213114754092E-2</v>
      </c>
      <c r="N241" s="304">
        <f>$M241*'MWh Impact Summary'!F$30</f>
        <v>172174.77965985</v>
      </c>
      <c r="O241" s="304">
        <f>$M241*'MWh Impact Summary'!G$30</f>
        <v>28402.171261659721</v>
      </c>
      <c r="P241" s="304">
        <f>$M241*'MWh Impact Summary'!H$30</f>
        <v>10893.129439838753</v>
      </c>
      <c r="Q241" s="304">
        <f>$M241*'MWh Impact Summary'!I$30</f>
        <v>1811.7070003271933</v>
      </c>
      <c r="R241" s="304">
        <f>$M241*'MWh Impact Summary'!J$30</f>
        <v>47266.09293699183</v>
      </c>
      <c r="S241" s="304">
        <f>$M241*'MWh Impact Summary'!K$30</f>
        <v>33461.528045898762</v>
      </c>
      <c r="T241" s="304">
        <f>$M241*'MWh Impact Summary'!L$30</f>
        <v>12018.904591081069</v>
      </c>
      <c r="U241" s="304">
        <f>$M241*'MWh Impact Summary'!M$30</f>
        <v>37143.057340874955</v>
      </c>
      <c r="V241" s="304">
        <f>$M241*'LED Impact Forecast'!$H$31+$D241*'LED Impact Forecast'!$J$31</f>
        <v>261178.65082238539</v>
      </c>
      <c r="W241" s="304">
        <f>$M241*'CFL Impact Forecast'!$H$31+$D241*'CFL Impact Forecast'!$J$31</f>
        <v>385274.00189454964</v>
      </c>
      <c r="X241" s="304">
        <f>$M241*'EISA Incand Impact Forecast'!$G$31+$D241*'EISA Incand Impact Forecast'!$I$31</f>
        <v>133784.9127371042</v>
      </c>
      <c r="Y241" s="85">
        <f t="shared" si="91"/>
        <v>1123408.9357305614</v>
      </c>
      <c r="Z241" s="81">
        <f t="shared" si="92"/>
        <v>2170729.1592036714</v>
      </c>
      <c r="AA241" s="81"/>
      <c r="AB241" s="262">
        <f>+'MWh by mo-WgtbyActulCDH&amp;Days'!AB241</f>
        <v>5385554.9074087441</v>
      </c>
      <c r="AC241" s="308">
        <f t="shared" si="100"/>
        <v>403.06508735385194</v>
      </c>
      <c r="AD241" s="309">
        <f t="shared" si="93"/>
        <v>194.46839582534818</v>
      </c>
      <c r="AE241" s="107">
        <f t="shared" si="94"/>
        <v>1.6644941154808687E-2</v>
      </c>
      <c r="AF241" s="309">
        <f t="shared" si="101"/>
        <v>208.59669152850378</v>
      </c>
      <c r="AG241" s="107">
        <f t="shared" si="95"/>
        <v>1.7854210401869082E-2</v>
      </c>
      <c r="AH241" s="119">
        <f t="shared" si="102"/>
        <v>3.4499151556677765E-2</v>
      </c>
      <c r="AI241" s="122">
        <f t="shared" si="96"/>
        <v>3.4499151556677765E-2</v>
      </c>
      <c r="AJ241" s="87" t="b">
        <f t="shared" si="103"/>
        <v>1</v>
      </c>
      <c r="AK241" s="88">
        <f t="shared" si="108"/>
        <v>7.0176310167475303E-4</v>
      </c>
      <c r="AL241" s="312">
        <f>+AC241/'MWh by month-WgtbyCDH&amp;DayLtHrs'!AC241-1</f>
        <v>3.3390286165341232E-2</v>
      </c>
      <c r="AM241" s="89">
        <f t="shared" si="97"/>
        <v>385274.00189454964</v>
      </c>
      <c r="AN241" s="93"/>
      <c r="AO241" s="96">
        <f t="shared" si="115"/>
        <v>71.538403844799717</v>
      </c>
      <c r="AP241" s="92">
        <f t="shared" si="114"/>
        <v>6.1231158782995478E-3</v>
      </c>
      <c r="AR241" s="94">
        <f t="shared" si="98"/>
        <v>3.4499151556677765E-2</v>
      </c>
      <c r="AS241" s="95"/>
    </row>
    <row r="242" spans="1:45">
      <c r="A242" s="78">
        <f t="shared" si="111"/>
        <v>2024</v>
      </c>
      <c r="B242" s="78">
        <f t="shared" si="112"/>
        <v>10</v>
      </c>
      <c r="C242" s="317">
        <f t="shared" si="105"/>
        <v>198.89039579254836</v>
      </c>
      <c r="D242" s="324">
        <f t="shared" si="109"/>
        <v>0.10115446643644242</v>
      </c>
      <c r="E242" s="321">
        <f>$D242*'MWh Impact Summary'!B$30</f>
        <v>347912.79590344697</v>
      </c>
      <c r="F242" s="321">
        <f>$D242*'MWh Impact Summary'!N$30</f>
        <v>60019.852044176063</v>
      </c>
      <c r="G242" s="321">
        <f>$D242*'MWh Impact Summary'!C$30</f>
        <v>251090.81239848706</v>
      </c>
      <c r="H242" s="321">
        <f>$D242*'MWh Impact Summary'!D$30</f>
        <v>1262.6410794486635</v>
      </c>
      <c r="I242" s="321">
        <f>$D242*'MWh Impact Summary'!E$30</f>
        <v>89334.356143350728</v>
      </c>
      <c r="J242" s="104">
        <f t="shared" si="99"/>
        <v>749620.45756890951</v>
      </c>
      <c r="K242" s="298">
        <f t="shared" si="106"/>
        <v>12.466666666666667</v>
      </c>
      <c r="L242" s="300">
        <f t="shared" si="110"/>
        <v>8.7762524932535488E-2</v>
      </c>
      <c r="M242" s="297">
        <f>(31/366)</f>
        <v>8.4699453551912565E-2</v>
      </c>
      <c r="N242" s="304">
        <f>$M242*'MWh Impact Summary'!F$30</f>
        <v>177913.93898184501</v>
      </c>
      <c r="O242" s="304">
        <f>$M242*'MWh Impact Summary'!G$30</f>
        <v>29348.910303715045</v>
      </c>
      <c r="P242" s="304">
        <f>$M242*'MWh Impact Summary'!H$30</f>
        <v>11256.233754500045</v>
      </c>
      <c r="Q242" s="304">
        <f>$M242*'MWh Impact Summary'!I$30</f>
        <v>1872.0972336714331</v>
      </c>
      <c r="R242" s="304">
        <f>$M242*'MWh Impact Summary'!J$30</f>
        <v>48841.629368224894</v>
      </c>
      <c r="S242" s="304">
        <f>$M242*'MWh Impact Summary'!K$30</f>
        <v>34576.912314095389</v>
      </c>
      <c r="T242" s="304">
        <f>$M242*'MWh Impact Summary'!L$30</f>
        <v>12419.534744117105</v>
      </c>
      <c r="U242" s="304">
        <f>$M242*'MWh Impact Summary'!M$30</f>
        <v>38381.159252237456</v>
      </c>
      <c r="V242" s="304">
        <f>$M242*'LED Impact Forecast'!$H$31+$D242*'LED Impact Forecast'!$J$31</f>
        <v>250929.24366365891</v>
      </c>
      <c r="W242" s="304">
        <f>$M242*'CFL Impact Forecast'!$H$31+$D242*'CFL Impact Forecast'!$J$31</f>
        <v>370178.36527495476</v>
      </c>
      <c r="X242" s="304">
        <f>$M242*'EISA Incand Impact Forecast'!$G$31+$D242*'EISA Incand Impact Forecast'!$I$31</f>
        <v>127962.11011555418</v>
      </c>
      <c r="Y242" s="85">
        <f t="shared" si="91"/>
        <v>1103680.1350065742</v>
      </c>
      <c r="Z242" s="81">
        <f t="shared" si="92"/>
        <v>1853300.5925754837</v>
      </c>
      <c r="AA242" s="81"/>
      <c r="AB242" s="262">
        <f>+'MWh by mo-WgtbyActulCDH&amp;Days'!AB242</f>
        <v>5390832.5836841511</v>
      </c>
      <c r="AC242" s="308">
        <f t="shared" si="100"/>
        <v>343.78745097458005</v>
      </c>
      <c r="AD242" s="309">
        <f t="shared" si="93"/>
        <v>139.05467215541148</v>
      </c>
      <c r="AE242" s="107">
        <f t="shared" si="94"/>
        <v>1.1154118087332472E-2</v>
      </c>
      <c r="AF242" s="309">
        <f t="shared" si="101"/>
        <v>204.73277881916854</v>
      </c>
      <c r="AG242" s="107">
        <f t="shared" si="95"/>
        <v>1.6422415413302291E-2</v>
      </c>
      <c r="AH242" s="119">
        <f t="shared" si="102"/>
        <v>2.7576533500634763E-2</v>
      </c>
      <c r="AI242" s="122">
        <f t="shared" si="96"/>
        <v>2.7576533500634763E-2</v>
      </c>
      <c r="AJ242" s="87" t="b">
        <f t="shared" si="103"/>
        <v>1</v>
      </c>
      <c r="AK242" s="88">
        <f t="shared" si="108"/>
        <v>6.737310111582101E-4</v>
      </c>
      <c r="AL242" s="312">
        <f>+AC242/'MWh by month-WgtbyCDH&amp;DayLtHrs'!AC242-1</f>
        <v>-5.6273928302673637E-3</v>
      </c>
      <c r="AM242" s="89">
        <f t="shared" si="97"/>
        <v>370178.36527495476</v>
      </c>
      <c r="AN242" s="93"/>
      <c r="AO242" s="96">
        <f t="shared" si="115"/>
        <v>68.668124919207003</v>
      </c>
      <c r="AP242" s="92">
        <f t="shared" si="114"/>
        <v>5.508138362503235E-3</v>
      </c>
      <c r="AR242" s="94">
        <f t="shared" si="98"/>
        <v>2.7576533500634763E-2</v>
      </c>
      <c r="AS242" s="95"/>
    </row>
    <row r="243" spans="1:45">
      <c r="A243" s="78">
        <f t="shared" si="111"/>
        <v>2024</v>
      </c>
      <c r="B243" s="78">
        <f t="shared" si="112"/>
        <v>11</v>
      </c>
      <c r="C243" s="317">
        <f t="shared" si="105"/>
        <v>78.117279066674627</v>
      </c>
      <c r="D243" s="324">
        <f t="shared" si="109"/>
        <v>3.9729981188725644E-2</v>
      </c>
      <c r="E243" s="321">
        <f>$D243*'MWh Impact Summary'!B$30</f>
        <v>136648.1315508289</v>
      </c>
      <c r="F243" s="321">
        <f>$D243*'MWh Impact Summary'!N$30</f>
        <v>23573.725181611237</v>
      </c>
      <c r="G243" s="321">
        <f>$D243*'MWh Impact Summary'!C$30</f>
        <v>98619.800041373019</v>
      </c>
      <c r="H243" s="321">
        <f>$D243*'MWh Impact Summary'!D$30</f>
        <v>495.92181247011206</v>
      </c>
      <c r="I243" s="321">
        <f>$D243*'MWh Impact Summary'!E$30</f>
        <v>35087.450056516434</v>
      </c>
      <c r="J243" s="104">
        <f t="shared" si="99"/>
        <v>294425.02864279965</v>
      </c>
      <c r="K243" s="298">
        <f t="shared" si="106"/>
        <v>13.15</v>
      </c>
      <c r="L243" s="300">
        <f t="shared" si="110"/>
        <v>9.2573037662794788E-2</v>
      </c>
      <c r="M243" s="297">
        <f>(30/366)</f>
        <v>8.1967213114754092E-2</v>
      </c>
      <c r="N243" s="304">
        <f>$M243*'MWh Impact Summary'!F$30</f>
        <v>172174.77965985</v>
      </c>
      <c r="O243" s="304">
        <f>$M243*'MWh Impact Summary'!G$30</f>
        <v>28402.171261659721</v>
      </c>
      <c r="P243" s="304">
        <f>$M243*'MWh Impact Summary'!H$30</f>
        <v>10893.129439838753</v>
      </c>
      <c r="Q243" s="304">
        <f>$M243*'MWh Impact Summary'!I$30</f>
        <v>1811.7070003271933</v>
      </c>
      <c r="R243" s="304">
        <f>$M243*'MWh Impact Summary'!J$30</f>
        <v>47266.09293699183</v>
      </c>
      <c r="S243" s="304">
        <f>$M243*'MWh Impact Summary'!K$30</f>
        <v>33461.528045898762</v>
      </c>
      <c r="T243" s="304">
        <f>$M243*'MWh Impact Summary'!L$30</f>
        <v>12018.904591081069</v>
      </c>
      <c r="U243" s="304">
        <f>$M243*'MWh Impact Summary'!M$30</f>
        <v>37143.057340874955</v>
      </c>
      <c r="V243" s="304">
        <f>$M243*'LED Impact Forecast'!$H$31+$D243*'LED Impact Forecast'!$J$31</f>
        <v>218271.39539962847</v>
      </c>
      <c r="W243" s="304">
        <f>$M243*'CFL Impact Forecast'!$H$31+$D243*'CFL Impact Forecast'!$J$31</f>
        <v>322033.46211118379</v>
      </c>
      <c r="X243" s="304">
        <f>$M243*'EISA Incand Impact Forecast'!$G$31+$D243*'EISA Incand Impact Forecast'!$I$31</f>
        <v>110509.95466574164</v>
      </c>
      <c r="Y243" s="85">
        <f t="shared" si="91"/>
        <v>993986.18245307624</v>
      </c>
      <c r="Z243" s="81">
        <f t="shared" si="92"/>
        <v>1288411.2110958758</v>
      </c>
      <c r="AA243" s="81"/>
      <c r="AB243" s="262">
        <f>+'MWh by mo-WgtbyActulCDH&amp;Days'!AB243</f>
        <v>5396121.651252266</v>
      </c>
      <c r="AC243" s="308">
        <f t="shared" si="100"/>
        <v>238.76615361272979</v>
      </c>
      <c r="AD243" s="309">
        <f t="shared" si="93"/>
        <v>54.562340820183898</v>
      </c>
      <c r="AE243" s="107">
        <f t="shared" si="94"/>
        <v>4.1492274387972547E-3</v>
      </c>
      <c r="AF243" s="309">
        <f t="shared" si="101"/>
        <v>184.20381279254593</v>
      </c>
      <c r="AG243" s="107">
        <f t="shared" si="95"/>
        <v>1.4007894508938855E-2</v>
      </c>
      <c r="AH243" s="119">
        <f t="shared" si="102"/>
        <v>1.815712194773611E-2</v>
      </c>
      <c r="AI243" s="122">
        <f t="shared" si="96"/>
        <v>1.8157121947736103E-2</v>
      </c>
      <c r="AJ243" s="87" t="b">
        <f t="shared" si="103"/>
        <v>1</v>
      </c>
      <c r="AK243" s="88">
        <f t="shared" si="108"/>
        <v>6.111665170067844E-4</v>
      </c>
      <c r="AL243" s="312">
        <f>+AC243/'MWh by month-WgtbyCDH&amp;DayLtHrs'!AC243-1</f>
        <v>-0.11856370006482209</v>
      </c>
      <c r="AM243" s="89">
        <f t="shared" si="97"/>
        <v>322033.46211118379</v>
      </c>
      <c r="AN243" s="93"/>
      <c r="AO243" s="96">
        <f t="shared" si="115"/>
        <v>59.678688310603633</v>
      </c>
      <c r="AP243" s="92">
        <f t="shared" si="114"/>
        <v>4.5383032935820255E-3</v>
      </c>
      <c r="AR243" s="94">
        <f t="shared" si="98"/>
        <v>1.8157121947736103E-2</v>
      </c>
      <c r="AS243" s="95"/>
    </row>
    <row r="244" spans="1:45">
      <c r="A244" s="78">
        <f t="shared" si="111"/>
        <v>2024</v>
      </c>
      <c r="B244" s="78">
        <f t="shared" si="112"/>
        <v>12</v>
      </c>
      <c r="C244" s="317">
        <f t="shared" si="105"/>
        <v>42.633806123140985</v>
      </c>
      <c r="D244" s="324">
        <f t="shared" si="109"/>
        <v>2.1683298951445065E-2</v>
      </c>
      <c r="E244" s="321">
        <f>$D244*'MWh Impact Summary'!B$30</f>
        <v>74577.993719610284</v>
      </c>
      <c r="F244" s="321">
        <f>$D244*'MWh Impact Summary'!N$30</f>
        <v>12865.753147075191</v>
      </c>
      <c r="G244" s="321">
        <f>$D244*'MWh Impact Summary'!C$30</f>
        <v>53823.398422238613</v>
      </c>
      <c r="H244" s="321">
        <f>$D244*'MWh Impact Summary'!D$30</f>
        <v>270.65758891885423</v>
      </c>
      <c r="I244" s="321">
        <f>$D244*'MWh Impact Summary'!E$30</f>
        <v>19149.560262949304</v>
      </c>
      <c r="J244" s="104">
        <f t="shared" si="99"/>
        <v>160687.36314079224</v>
      </c>
      <c r="K244" s="298">
        <f t="shared" si="106"/>
        <v>13.483333333333333</v>
      </c>
      <c r="L244" s="300">
        <f t="shared" si="110"/>
        <v>9.491962923853102E-2</v>
      </c>
      <c r="M244" s="297">
        <f>(31/366)</f>
        <v>8.4699453551912565E-2</v>
      </c>
      <c r="N244" s="304">
        <f>$M244*'MWh Impact Summary'!F$30</f>
        <v>177913.93898184501</v>
      </c>
      <c r="O244" s="304">
        <f>$M244*'MWh Impact Summary'!G$30</f>
        <v>29348.910303715045</v>
      </c>
      <c r="P244" s="304">
        <f>$M244*'MWh Impact Summary'!H$30</f>
        <v>11256.233754500045</v>
      </c>
      <c r="Q244" s="304">
        <f>$M244*'MWh Impact Summary'!I$30</f>
        <v>1872.0972336714331</v>
      </c>
      <c r="R244" s="304">
        <f>$M244*'MWh Impact Summary'!J$30</f>
        <v>48841.629368224894</v>
      </c>
      <c r="S244" s="304">
        <f>$M244*'MWh Impact Summary'!K$30</f>
        <v>34576.912314095389</v>
      </c>
      <c r="T244" s="304">
        <f>$M244*'MWh Impact Summary'!L$30</f>
        <v>12419.534744117105</v>
      </c>
      <c r="U244" s="304">
        <f>$M244*'MWh Impact Summary'!M$30</f>
        <v>38381.159252237456</v>
      </c>
      <c r="V244" s="304">
        <f>$M244*'LED Impact Forecast'!$H$31+$D244*'LED Impact Forecast'!$J$31</f>
        <v>217366.13569982452</v>
      </c>
      <c r="W244" s="304">
        <f>$M244*'CFL Impact Forecast'!$H$31+$D244*'CFL Impact Forecast'!$J$31</f>
        <v>320710.06338691257</v>
      </c>
      <c r="X244" s="304">
        <f>$M244*'EISA Incand Impact Forecast'!$G$31+$D244*'EISA Incand Impact Forecast'!$I$31</f>
        <v>109755.86683790697</v>
      </c>
      <c r="Y244" s="85">
        <f t="shared" si="91"/>
        <v>1002442.4818770505</v>
      </c>
      <c r="Z244" s="81">
        <f t="shared" si="92"/>
        <v>1163129.8450178427</v>
      </c>
      <c r="AA244" s="81">
        <f>SUM(Z233:Z244)</f>
        <v>20193711.515252538</v>
      </c>
      <c r="AB244" s="262">
        <f>+'MWh by mo-WgtbyActulCDH&amp;Days'!AB244</f>
        <v>5401414.1942394003</v>
      </c>
      <c r="AC244" s="308">
        <f t="shared" si="100"/>
        <v>215.33802133861886</v>
      </c>
      <c r="AD244" s="309">
        <f t="shared" si="93"/>
        <v>29.749128165761675</v>
      </c>
      <c r="AE244" s="107">
        <f>+AD244/K244/1000</f>
        <v>2.2063630283630418E-3</v>
      </c>
      <c r="AF244" s="309">
        <f t="shared" si="101"/>
        <v>185.58889317285718</v>
      </c>
      <c r="AG244" s="107">
        <f t="shared" si="95"/>
        <v>1.3764318405897938E-2</v>
      </c>
      <c r="AH244" s="119">
        <f t="shared" si="102"/>
        <v>1.5970681434260978E-2</v>
      </c>
      <c r="AI244" s="122">
        <f t="shared" si="96"/>
        <v>1.5970681434260978E-2</v>
      </c>
      <c r="AJ244" s="87" t="b">
        <f t="shared" si="103"/>
        <v>1</v>
      </c>
      <c r="AK244" s="88">
        <f t="shared" si="108"/>
        <v>6.1327640895675155E-4</v>
      </c>
      <c r="AL244" s="312">
        <f>+AC244/'MWh by month-WgtbyCDH&amp;DayLtHrs'!AC244-1</f>
        <v>-0.14090074088918203</v>
      </c>
      <c r="AM244" s="89">
        <f t="shared" si="97"/>
        <v>320710.06338691257</v>
      </c>
      <c r="AN244" s="90">
        <f>SUM(AM233:AM244)</f>
        <v>4249562.6863526944</v>
      </c>
      <c r="AO244" s="96">
        <f t="shared" si="115"/>
        <v>59.375202836499625</v>
      </c>
      <c r="AP244" s="92">
        <f t="shared" si="114"/>
        <v>4.4035997159332235E-3</v>
      </c>
      <c r="AR244" s="94">
        <f t="shared" si="98"/>
        <v>1.5970681434260978E-2</v>
      </c>
      <c r="AS244" s="95"/>
    </row>
    <row r="245" spans="1:45">
      <c r="A245" s="78">
        <f t="shared" si="111"/>
        <v>2025</v>
      </c>
      <c r="B245" s="78">
        <f t="shared" si="112"/>
        <v>1</v>
      </c>
      <c r="C245" s="317">
        <f t="shared" si="105"/>
        <v>26.112829868525239</v>
      </c>
      <c r="D245" s="324">
        <f t="shared" si="109"/>
        <v>1.3280829182176284E-2</v>
      </c>
      <c r="E245" s="321">
        <f>$D245*'MWh Impact Summary'!B$31</f>
        <v>45880.70599071886</v>
      </c>
      <c r="F245" s="321">
        <f>$D245*'MWh Impact Summary'!N$31</f>
        <v>8581.3403914239079</v>
      </c>
      <c r="G245" s="321">
        <f>$D245*'MWh Impact Summary'!C$31</f>
        <v>33375.198466663809</v>
      </c>
      <c r="H245" s="321">
        <f>$D245*'MWh Impact Summary'!D$31</f>
        <v>167.83119937659242</v>
      </c>
      <c r="I245" s="321">
        <f>$D245*'MWh Impact Summary'!E$31</f>
        <v>11874.396508957732</v>
      </c>
      <c r="J245" s="104">
        <f t="shared" si="99"/>
        <v>99879.472557140922</v>
      </c>
      <c r="K245" s="298">
        <f t="shared" si="106"/>
        <v>13.3</v>
      </c>
      <c r="L245" s="300">
        <f t="shared" si="110"/>
        <v>9.3629003871876101E-2</v>
      </c>
      <c r="M245" s="297">
        <f>(31/365)</f>
        <v>8.4931506849315067E-2</v>
      </c>
      <c r="N245" s="304">
        <f>$M245*'MWh Impact Summary'!F$31</f>
        <v>189138.06382954202</v>
      </c>
      <c r="O245" s="304">
        <f>$M245*'MWh Impact Summary'!G$31</f>
        <v>34820.138053350252</v>
      </c>
      <c r="P245" s="304">
        <f>$M245*'MWh Impact Summary'!H$31</f>
        <v>11918.16314863661</v>
      </c>
      <c r="Q245" s="304">
        <f>$M245*'MWh Impact Summary'!I$31</f>
        <v>1969.824181385665</v>
      </c>
      <c r="R245" s="304">
        <f>$M245*'MWh Impact Summary'!J$31</f>
        <v>50449.831017349366</v>
      </c>
      <c r="S245" s="304">
        <f>$M245*'MWh Impact Summary'!K$31</f>
        <v>38142.707657859886</v>
      </c>
      <c r="T245" s="304">
        <f>$M245*'MWh Impact Summary'!L$31</f>
        <v>13720.212941697286</v>
      </c>
      <c r="U245" s="304">
        <f>$M245*'MWh Impact Summary'!M$31</f>
        <v>42513.872742680498</v>
      </c>
      <c r="V245" s="304">
        <f>$M245*'LED Impact Forecast'!$H$32+$D245*'LED Impact Forecast'!$J$32</f>
        <v>240968.61601737325</v>
      </c>
      <c r="W245" s="304">
        <f>$M245*'CFL Impact Forecast'!$H$32+$D245*'CFL Impact Forecast'!$J$32</f>
        <v>317352.79547243321</v>
      </c>
      <c r="X245" s="304">
        <f>$M245*'EISA Incand Impact Forecast'!$G$32+$D245*'EISA Incand Impact Forecast'!$I$32</f>
        <v>108118.01604924772</v>
      </c>
      <c r="Y245" s="85">
        <f t="shared" si="91"/>
        <v>1049112.2411115558</v>
      </c>
      <c r="Z245" s="81">
        <f t="shared" si="92"/>
        <v>1148991.7136686968</v>
      </c>
      <c r="AA245" s="81"/>
      <c r="AB245" s="262">
        <f>+'MWh by mo-WgtbyActulCDH&amp;Days'!AB245</f>
        <v>5406732.2632630393</v>
      </c>
      <c r="AC245" s="308">
        <f t="shared" si="100"/>
        <v>212.5113021548554</v>
      </c>
      <c r="AD245" s="309">
        <f t="shared" si="93"/>
        <v>18.473167838509216</v>
      </c>
      <c r="AE245" s="107">
        <f t="shared" si="94"/>
        <v>1.3889599878578358E-3</v>
      </c>
      <c r="AF245" s="309">
        <f t="shared" si="101"/>
        <v>194.03813431634615</v>
      </c>
      <c r="AG245" s="107">
        <f t="shared" si="95"/>
        <v>1.458933340724407E-2</v>
      </c>
      <c r="AH245" s="119">
        <f t="shared" si="102"/>
        <v>1.5978293395101907E-2</v>
      </c>
      <c r="AI245" s="122">
        <f t="shared" si="96"/>
        <v>1.5978293395101911E-2</v>
      </c>
      <c r="AJ245" s="87" t="b">
        <f t="shared" si="103"/>
        <v>1</v>
      </c>
      <c r="AK245" s="88">
        <f t="shared" si="108"/>
        <v>6.3843361561522448E-4</v>
      </c>
      <c r="AL245" s="312">
        <f>+AC245/'MWh by month-WgtbyCDH&amp;DayLtHrs'!AC245-1</f>
        <v>-0.1440755518204424</v>
      </c>
      <c r="AM245" s="89">
        <f t="shared" si="97"/>
        <v>317352.79547243321</v>
      </c>
      <c r="AN245" s="90"/>
      <c r="AO245" s="96">
        <f t="shared" si="115"/>
        <v>58.695859165940334</v>
      </c>
      <c r="AP245" s="92">
        <f t="shared" si="114"/>
        <v>4.4132224936797243E-3</v>
      </c>
      <c r="AR245" s="94">
        <f t="shared" si="98"/>
        <v>1.5978293395101911E-2</v>
      </c>
      <c r="AS245" s="95"/>
    </row>
    <row r="246" spans="1:45">
      <c r="A246" s="78">
        <f t="shared" si="111"/>
        <v>2025</v>
      </c>
      <c r="B246" s="78">
        <f t="shared" si="112"/>
        <v>2</v>
      </c>
      <c r="C246" s="317">
        <f t="shared" si="105"/>
        <v>35.042184420393127</v>
      </c>
      <c r="D246" s="324">
        <f t="shared" si="109"/>
        <v>1.7822245532205266E-2</v>
      </c>
      <c r="E246" s="321">
        <f>$D246*'MWh Impact Summary'!B$31</f>
        <v>61569.740574249241</v>
      </c>
      <c r="F246" s="321">
        <f>$D246*'MWh Impact Summary'!N$31</f>
        <v>11515.753523630954</v>
      </c>
      <c r="G246" s="321">
        <f>$D246*'MWh Impact Summary'!C$31</f>
        <v>44787.940090160235</v>
      </c>
      <c r="H246" s="321">
        <f>$D246*'MWh Impact Summary'!D$31</f>
        <v>225.22154319012026</v>
      </c>
      <c r="I246" s="321">
        <f>$D246*'MWh Impact Summary'!E$31</f>
        <v>15934.879308095051</v>
      </c>
      <c r="J246" s="104">
        <f t="shared" si="99"/>
        <v>134033.53503932559</v>
      </c>
      <c r="K246" s="298">
        <f t="shared" si="106"/>
        <v>12.733333333333333</v>
      </c>
      <c r="L246" s="300">
        <f t="shared" si="110"/>
        <v>8.9639798193124468E-2</v>
      </c>
      <c r="M246" s="297">
        <f>(28/365)</f>
        <v>7.6712328767123292E-2</v>
      </c>
      <c r="N246" s="304">
        <f>$M246*'MWh Impact Summary'!F$31</f>
        <v>170834.38023313473</v>
      </c>
      <c r="O246" s="304">
        <f>$M246*'MWh Impact Summary'!G$31</f>
        <v>31450.447273993777</v>
      </c>
      <c r="P246" s="304">
        <f>$M246*'MWh Impact Summary'!H$31</f>
        <v>10764.792521349196</v>
      </c>
      <c r="Q246" s="304">
        <f>$M246*'MWh Impact Summary'!I$31</f>
        <v>1779.1960347999557</v>
      </c>
      <c r="R246" s="304">
        <f>$M246*'MWh Impact Summary'!J$31</f>
        <v>45567.58930599298</v>
      </c>
      <c r="S246" s="304">
        <f>$M246*'MWh Impact Summary'!K$31</f>
        <v>34451.477884518608</v>
      </c>
      <c r="T246" s="304">
        <f>$M246*'MWh Impact Summary'!L$31</f>
        <v>12392.450398952387</v>
      </c>
      <c r="U246" s="304">
        <f>$M246*'MWh Impact Summary'!M$31</f>
        <v>38399.62699338884</v>
      </c>
      <c r="V246" s="304">
        <f>$M246*'LED Impact Forecast'!$H$32+$D246*'LED Impact Forecast'!$J$32</f>
        <v>220434.14538582374</v>
      </c>
      <c r="W246" s="304">
        <f>$M246*'CFL Impact Forecast'!$H$32+$D246*'CFL Impact Forecast'!$J$32</f>
        <v>290282.36056702753</v>
      </c>
      <c r="X246" s="304">
        <f>$M246*'EISA Incand Impact Forecast'!$G$32+$D246*'EISA Incand Impact Forecast'!$I$32</f>
        <v>98989.825480994914</v>
      </c>
      <c r="Y246" s="85">
        <f t="shared" si="91"/>
        <v>955346.29207997664</v>
      </c>
      <c r="Z246" s="81">
        <f t="shared" si="92"/>
        <v>1089379.8271193022</v>
      </c>
      <c r="AA246" s="81"/>
      <c r="AB246" s="262">
        <f>+'MWh by mo-WgtbyActulCDH&amp;Days'!AB246</f>
        <v>5412022.880566325</v>
      </c>
      <c r="AC246" s="308">
        <f t="shared" si="100"/>
        <v>201.28884359138323</v>
      </c>
      <c r="AD246" s="309">
        <f t="shared" si="93"/>
        <v>24.765884771222559</v>
      </c>
      <c r="AE246" s="107">
        <f t="shared" si="94"/>
        <v>1.9449647726091017E-3</v>
      </c>
      <c r="AF246" s="309">
        <f t="shared" si="101"/>
        <v>176.52295882016065</v>
      </c>
      <c r="AG246" s="107">
        <f t="shared" si="95"/>
        <v>1.3863059593206335E-2</v>
      </c>
      <c r="AH246" s="119">
        <f t="shared" si="102"/>
        <v>1.5808024365815437E-2</v>
      </c>
      <c r="AI246" s="122">
        <f t="shared" si="96"/>
        <v>1.5808024365815437E-2</v>
      </c>
      <c r="AJ246" s="87" t="b">
        <f t="shared" si="103"/>
        <v>1</v>
      </c>
      <c r="AK246" s="88">
        <f t="shared" si="108"/>
        <v>1.455195654314588E-4</v>
      </c>
      <c r="AL246" s="312">
        <f>+AC246/'MWh by month-WgtbyCDH&amp;DayLtHrs'!AC246-1</f>
        <v>-0.18107025234082297</v>
      </c>
      <c r="AM246" s="89">
        <f t="shared" si="97"/>
        <v>290282.36056702753</v>
      </c>
      <c r="AN246" s="90"/>
      <c r="AO246" s="96">
        <f t="shared" si="115"/>
        <v>53.636573047276507</v>
      </c>
      <c r="AP246" s="92">
        <f t="shared" si="114"/>
        <v>4.2122963126133379E-3</v>
      </c>
      <c r="AR246" s="94">
        <f t="shared" si="98"/>
        <v>1.5808024365815437E-2</v>
      </c>
      <c r="AS246" s="95"/>
    </row>
    <row r="247" spans="1:45">
      <c r="A247" s="78">
        <f t="shared" si="111"/>
        <v>2025</v>
      </c>
      <c r="B247" s="78">
        <f t="shared" si="112"/>
        <v>3</v>
      </c>
      <c r="C247" s="317">
        <f t="shared" si="105"/>
        <v>64.582270600115152</v>
      </c>
      <c r="D247" s="324">
        <f t="shared" si="109"/>
        <v>3.2846156787895278E-2</v>
      </c>
      <c r="E247" s="321">
        <f>$D247*'MWh Impact Summary'!B$31</f>
        <v>113472.19679121948</v>
      </c>
      <c r="F247" s="321">
        <f>$D247*'MWh Impact Summary'!N$31</f>
        <v>21223.377552757611</v>
      </c>
      <c r="G247" s="321">
        <f>$D247*'MWh Impact Summary'!C$31</f>
        <v>82543.566115163558</v>
      </c>
      <c r="H247" s="321">
        <f>$D247*'MWh Impact Summary'!D$31</f>
        <v>415.08024935840143</v>
      </c>
      <c r="I247" s="321">
        <f>$D247*'MWh Impact Summary'!E$31</f>
        <v>29367.766435721103</v>
      </c>
      <c r="J247" s="104">
        <f t="shared" si="99"/>
        <v>247021.98714422015</v>
      </c>
      <c r="K247" s="298">
        <f t="shared" si="106"/>
        <v>12</v>
      </c>
      <c r="L247" s="300">
        <f t="shared" si="110"/>
        <v>8.4477296726504739E-2</v>
      </c>
      <c r="M247" s="297">
        <f t="shared" ref="M247:M256" si="116">(31/365)</f>
        <v>8.4931506849315067E-2</v>
      </c>
      <c r="N247" s="304">
        <f>$M247*'MWh Impact Summary'!F$31</f>
        <v>189138.06382954202</v>
      </c>
      <c r="O247" s="304">
        <f>$M247*'MWh Impact Summary'!G$31</f>
        <v>34820.138053350252</v>
      </c>
      <c r="P247" s="304">
        <f>$M247*'MWh Impact Summary'!H$31</f>
        <v>11918.16314863661</v>
      </c>
      <c r="Q247" s="304">
        <f>$M247*'MWh Impact Summary'!I$31</f>
        <v>1969.824181385665</v>
      </c>
      <c r="R247" s="304">
        <f>$M247*'MWh Impact Summary'!J$31</f>
        <v>50449.831017349366</v>
      </c>
      <c r="S247" s="304">
        <f>$M247*'MWh Impact Summary'!K$31</f>
        <v>38142.707657859886</v>
      </c>
      <c r="T247" s="304">
        <f>$M247*'MWh Impact Summary'!L$31</f>
        <v>13720.212941697286</v>
      </c>
      <c r="U247" s="304">
        <f>$M247*'MWh Impact Summary'!M$31</f>
        <v>42513.872742680498</v>
      </c>
      <c r="V247" s="304">
        <f>$M247*'LED Impact Forecast'!$H$32+$D247*'LED Impact Forecast'!$J$32</f>
        <v>250320.60885463466</v>
      </c>
      <c r="W247" s="304">
        <f>$M247*'CFL Impact Forecast'!$H$32+$D247*'CFL Impact Forecast'!$J$32</f>
        <v>329579.32797580236</v>
      </c>
      <c r="X247" s="304">
        <f>$M247*'EISA Incand Impact Forecast'!$G$32+$D247*'EISA Incand Impact Forecast'!$I$32</f>
        <v>112600.28459354503</v>
      </c>
      <c r="Y247" s="85">
        <f t="shared" si="91"/>
        <v>1075173.0349964837</v>
      </c>
      <c r="Z247" s="81">
        <f t="shared" si="92"/>
        <v>1322195.0221407039</v>
      </c>
      <c r="AA247" s="81"/>
      <c r="AB247" s="262">
        <f>+'MWh by mo-WgtbyActulCDH&amp;Days'!AB247</f>
        <v>5417339.5801715693</v>
      </c>
      <c r="AC247" s="308">
        <f t="shared" si="100"/>
        <v>244.06722203278042</v>
      </c>
      <c r="AD247" s="309">
        <f t="shared" si="93"/>
        <v>45.598394468082589</v>
      </c>
      <c r="AE247" s="107">
        <f t="shared" si="94"/>
        <v>3.7998662056735492E-3</v>
      </c>
      <c r="AF247" s="309">
        <f t="shared" si="101"/>
        <v>198.46882756469785</v>
      </c>
      <c r="AG247" s="107">
        <f t="shared" si="95"/>
        <v>1.6539068963724819E-2</v>
      </c>
      <c r="AH247" s="119">
        <f t="shared" si="102"/>
        <v>2.0338935169398369E-2</v>
      </c>
      <c r="AI247" s="122">
        <f t="shared" si="96"/>
        <v>2.0338935169398369E-2</v>
      </c>
      <c r="AJ247" s="87" t="b">
        <f t="shared" si="103"/>
        <v>1</v>
      </c>
      <c r="AK247" s="88">
        <f t="shared" si="108"/>
        <v>7.2587044820915728E-4</v>
      </c>
      <c r="AL247" s="312">
        <f>+AC247/'MWh by month-WgtbyCDH&amp;DayLtHrs'!AC247-1</f>
        <v>-4.4182557875540152E-2</v>
      </c>
      <c r="AM247" s="89">
        <f t="shared" si="97"/>
        <v>329579.32797580236</v>
      </c>
      <c r="AN247" s="90"/>
      <c r="AO247" s="96">
        <f t="shared" si="115"/>
        <v>60.837856497333412</v>
      </c>
      <c r="AP247" s="92">
        <f t="shared" si="114"/>
        <v>5.0698213747777839E-3</v>
      </c>
      <c r="AR247" s="94">
        <f t="shared" si="98"/>
        <v>2.0338935169398369E-2</v>
      </c>
      <c r="AS247" s="95"/>
    </row>
    <row r="248" spans="1:45">
      <c r="A248" s="78">
        <f t="shared" si="111"/>
        <v>2025</v>
      </c>
      <c r="B248" s="78">
        <f t="shared" si="112"/>
        <v>4</v>
      </c>
      <c r="C248" s="317">
        <f t="shared" si="105"/>
        <v>114.03392869270741</v>
      </c>
      <c r="D248" s="324">
        <f t="shared" si="109"/>
        <v>5.7996974497419709E-2</v>
      </c>
      <c r="E248" s="321">
        <f>$D248*'MWh Impact Summary'!B$31</f>
        <v>200359.63860136733</v>
      </c>
      <c r="F248" s="321">
        <f>$D248*'MWh Impact Summary'!N$31</f>
        <v>37474.450804850654</v>
      </c>
      <c r="G248" s="321">
        <f>$D248*'MWh Impact Summary'!C$31</f>
        <v>145748.47005149361</v>
      </c>
      <c r="H248" s="321">
        <f>$D248*'MWh Impact Summary'!D$31</f>
        <v>732.91371017547897</v>
      </c>
      <c r="I248" s="321">
        <f>$D248*'MWh Impact Summary'!E$31</f>
        <v>51855.126065962984</v>
      </c>
      <c r="J248" s="104">
        <f t="shared" si="99"/>
        <v>436170.59923385008</v>
      </c>
      <c r="K248" s="298">
        <f t="shared" si="106"/>
        <v>11.2</v>
      </c>
      <c r="L248" s="300">
        <f t="shared" si="110"/>
        <v>7.8845476944737758E-2</v>
      </c>
      <c r="M248" s="297">
        <f>(30/365)</f>
        <v>8.2191780821917804E-2</v>
      </c>
      <c r="N248" s="304">
        <f>$M248*'MWh Impact Summary'!F$31</f>
        <v>183036.8359640729</v>
      </c>
      <c r="O248" s="304">
        <f>$M248*'MWh Impact Summary'!G$31</f>
        <v>33696.907793564758</v>
      </c>
      <c r="P248" s="304">
        <f>$M248*'MWh Impact Summary'!H$31</f>
        <v>11533.706272874138</v>
      </c>
      <c r="Q248" s="304">
        <f>$M248*'MWh Impact Summary'!I$31</f>
        <v>1906.2814658570951</v>
      </c>
      <c r="R248" s="304">
        <f>$M248*'MWh Impact Summary'!J$31</f>
        <v>48822.417113563904</v>
      </c>
      <c r="S248" s="304">
        <f>$M248*'MWh Impact Summary'!K$31</f>
        <v>36912.297733412794</v>
      </c>
      <c r="T248" s="304">
        <f>$M248*'MWh Impact Summary'!L$31</f>
        <v>13277.625427448986</v>
      </c>
      <c r="U248" s="304">
        <f>$M248*'MWh Impact Summary'!M$31</f>
        <v>41142.457492916605</v>
      </c>
      <c r="V248" s="304">
        <f>$M248*'LED Impact Forecast'!$H$32+$D248*'LED Impact Forecast'!$J$32</f>
        <v>254773.99476579172</v>
      </c>
      <c r="W248" s="304">
        <f>$M248*'CFL Impact Forecast'!$H$32+$D248*'CFL Impact Forecast'!$J$32</f>
        <v>335326.81106536597</v>
      </c>
      <c r="X248" s="304">
        <f>$M248*'EISA Incand Impact Forecast'!$G$32+$D248*'EISA Incand Impact Forecast'!$I$32</f>
        <v>114972.61510063344</v>
      </c>
      <c r="Y248" s="85">
        <f t="shared" si="91"/>
        <v>1075401.9501955023</v>
      </c>
      <c r="Z248" s="81">
        <f t="shared" si="92"/>
        <v>1511572.5494293524</v>
      </c>
      <c r="AA248" s="81"/>
      <c r="AB248" s="262">
        <f>+'MWh by mo-WgtbyActulCDH&amp;Days'!AB248</f>
        <v>5422629.6092505148</v>
      </c>
      <c r="AC248" s="308">
        <f t="shared" si="100"/>
        <v>278.75268243487375</v>
      </c>
      <c r="AD248" s="309">
        <f t="shared" si="93"/>
        <v>80.435255708740002</v>
      </c>
      <c r="AE248" s="107">
        <f t="shared" si="94"/>
        <v>7.1817192597089293E-3</v>
      </c>
      <c r="AF248" s="309">
        <f t="shared" si="101"/>
        <v>198.31742672613376</v>
      </c>
      <c r="AG248" s="107">
        <f t="shared" si="95"/>
        <v>1.7706913100547658E-2</v>
      </c>
      <c r="AH248" s="119">
        <f t="shared" si="102"/>
        <v>2.4888632360256589E-2</v>
      </c>
      <c r="AI248" s="122">
        <f t="shared" si="96"/>
        <v>2.4888632360256586E-2</v>
      </c>
      <c r="AJ248" s="87" t="b">
        <f t="shared" si="103"/>
        <v>1</v>
      </c>
      <c r="AK248" s="88">
        <f t="shared" si="108"/>
        <v>7.800001762346305E-4</v>
      </c>
      <c r="AL248" s="312">
        <f>+AC248/'MWh by month-WgtbyCDH&amp;DayLtHrs'!AC248-1</f>
        <v>2.9735964692767514E-3</v>
      </c>
      <c r="AM248" s="89">
        <f t="shared" si="97"/>
        <v>335326.81106536597</v>
      </c>
      <c r="AN248" s="90"/>
      <c r="AO248" s="96">
        <f t="shared" si="115"/>
        <v>61.838413321339303</v>
      </c>
      <c r="AP248" s="92">
        <f t="shared" si="114"/>
        <v>5.5212869036910103E-3</v>
      </c>
      <c r="AR248" s="94">
        <f t="shared" si="98"/>
        <v>2.4888632360256586E-2</v>
      </c>
      <c r="AS248" s="95"/>
    </row>
    <row r="249" spans="1:45">
      <c r="A249" s="78">
        <f t="shared" si="111"/>
        <v>2025</v>
      </c>
      <c r="B249" s="78">
        <f t="shared" si="112"/>
        <v>5</v>
      </c>
      <c r="C249" s="317">
        <f t="shared" si="105"/>
        <v>208.47875842628665</v>
      </c>
      <c r="D249" s="324">
        <f t="shared" si="109"/>
        <v>0.10603105035770212</v>
      </c>
      <c r="E249" s="321">
        <f>$D249*'MWh Impact Summary'!B$31</f>
        <v>366300.88231822749</v>
      </c>
      <c r="F249" s="321">
        <f>$D249*'MWh Impact Summary'!N$31</f>
        <v>68511.425205346357</v>
      </c>
      <c r="G249" s="321">
        <f>$D249*'MWh Impact Summary'!C$31</f>
        <v>266459.81969758612</v>
      </c>
      <c r="H249" s="321">
        <f>$D249*'MWh Impact Summary'!D$31</f>
        <v>1339.9252492890625</v>
      </c>
      <c r="I249" s="321">
        <f>$D249*'MWh Impact Summary'!E$31</f>
        <v>94802.419106357542</v>
      </c>
      <c r="J249" s="104">
        <f t="shared" si="99"/>
        <v>797414.47157680651</v>
      </c>
      <c r="K249" s="298">
        <f t="shared" si="106"/>
        <v>10.533333333333333</v>
      </c>
      <c r="L249" s="300">
        <f t="shared" si="110"/>
        <v>7.4152293793265281E-2</v>
      </c>
      <c r="M249" s="297">
        <f t="shared" si="116"/>
        <v>8.4931506849315067E-2</v>
      </c>
      <c r="N249" s="304">
        <f>$M249*'MWh Impact Summary'!F$31</f>
        <v>189138.06382954202</v>
      </c>
      <c r="O249" s="304">
        <f>$M249*'MWh Impact Summary'!G$31</f>
        <v>34820.138053350252</v>
      </c>
      <c r="P249" s="304">
        <f>$M249*'MWh Impact Summary'!H$31</f>
        <v>11918.16314863661</v>
      </c>
      <c r="Q249" s="304">
        <f>$M249*'MWh Impact Summary'!I$31</f>
        <v>1969.824181385665</v>
      </c>
      <c r="R249" s="304">
        <f>$M249*'MWh Impact Summary'!J$31</f>
        <v>50449.831017349366</v>
      </c>
      <c r="S249" s="304">
        <f>$M249*'MWh Impact Summary'!K$31</f>
        <v>38142.707657859886</v>
      </c>
      <c r="T249" s="304">
        <f>$M249*'MWh Impact Summary'!L$31</f>
        <v>13720.212941697286</v>
      </c>
      <c r="U249" s="304">
        <f>$M249*'MWh Impact Summary'!M$31</f>
        <v>42513.872742680498</v>
      </c>
      <c r="V249" s="304">
        <f>$M249*'LED Impact Forecast'!$H$32+$D249*'LED Impact Forecast'!$J$32</f>
        <v>285302.11359879817</v>
      </c>
      <c r="W249" s="304">
        <f>$M249*'CFL Impact Forecast'!$H$32+$D249*'CFL Impact Forecast'!$J$32</f>
        <v>375313.16377036914</v>
      </c>
      <c r="X249" s="304">
        <f>$M249*'EISA Incand Impact Forecast'!$G$32+$D249*'EISA Incand Impact Forecast'!$I$32</f>
        <v>129366.39007239256</v>
      </c>
      <c r="Y249" s="85">
        <f t="shared" si="91"/>
        <v>1172654.4810140615</v>
      </c>
      <c r="Z249" s="81">
        <f t="shared" si="92"/>
        <v>1970068.9525908679</v>
      </c>
      <c r="AA249" s="81"/>
      <c r="AB249" s="262">
        <f>+'MWh by mo-WgtbyActulCDH&amp;Days'!AB249</f>
        <v>5427176.8441906935</v>
      </c>
      <c r="AC249" s="308">
        <f t="shared" si="100"/>
        <v>363.0006924686175</v>
      </c>
      <c r="AD249" s="309">
        <f t="shared" si="93"/>
        <v>146.92988536578963</v>
      </c>
      <c r="AE249" s="107">
        <f t="shared" si="94"/>
        <v>1.3949039749916738E-2</v>
      </c>
      <c r="AF249" s="309">
        <f t="shared" si="101"/>
        <v>216.07080710282787</v>
      </c>
      <c r="AG249" s="107">
        <f t="shared" si="95"/>
        <v>2.0513051307230495E-2</v>
      </c>
      <c r="AH249" s="119">
        <f t="shared" si="102"/>
        <v>3.4462091057147232E-2</v>
      </c>
      <c r="AI249" s="122">
        <f t="shared" si="96"/>
        <v>3.4462091057147232E-2</v>
      </c>
      <c r="AJ249" s="87" t="b">
        <f t="shared" si="103"/>
        <v>1</v>
      </c>
      <c r="AK249" s="88">
        <f t="shared" si="108"/>
        <v>9.1357756474971796E-4</v>
      </c>
      <c r="AL249" s="312">
        <f>+AC249/'MWh by month-WgtbyCDH&amp;DayLtHrs'!AC249-1</f>
        <v>8.6120108346892543E-2</v>
      </c>
      <c r="AM249" s="89">
        <f t="shared" si="97"/>
        <v>375313.16377036914</v>
      </c>
      <c r="AN249" s="90"/>
      <c r="AO249" s="96">
        <f t="shared" si="115"/>
        <v>69.154400998026858</v>
      </c>
      <c r="AP249" s="92">
        <f t="shared" si="114"/>
        <v>6.5652912339898917E-3</v>
      </c>
      <c r="AR249" s="94">
        <f t="shared" si="98"/>
        <v>3.4462091057147232E-2</v>
      </c>
      <c r="AS249" s="95"/>
    </row>
    <row r="250" spans="1:45">
      <c r="A250" s="78">
        <f t="shared" si="111"/>
        <v>2025</v>
      </c>
      <c r="B250" s="78">
        <f t="shared" si="112"/>
        <v>6</v>
      </c>
      <c r="C250" s="317">
        <f t="shared" si="105"/>
        <v>271.66325293295364</v>
      </c>
      <c r="D250" s="324">
        <f t="shared" si="109"/>
        <v>0.13816630657965029</v>
      </c>
      <c r="E250" s="321">
        <f>$D250*'MWh Impact Summary'!B$31</f>
        <v>477317.16168084031</v>
      </c>
      <c r="F250" s="321">
        <f>$D250*'MWh Impact Summary'!N$31</f>
        <v>89275.457964404239</v>
      </c>
      <c r="G250" s="321">
        <f>$D250*'MWh Impact Summary'!C$31</f>
        <v>347216.8672789227</v>
      </c>
      <c r="H250" s="321">
        <f>$D250*'MWh Impact Summary'!D$31</f>
        <v>1746.0217753434608</v>
      </c>
      <c r="I250" s="321">
        <f>$D250*'MWh Impact Summary'!E$31</f>
        <v>123534.56896402435</v>
      </c>
      <c r="J250" s="104">
        <f t="shared" si="99"/>
        <v>1039090.077663535</v>
      </c>
      <c r="K250" s="298">
        <f t="shared" si="106"/>
        <v>10.199999999999999</v>
      </c>
      <c r="L250" s="300">
        <f t="shared" si="110"/>
        <v>7.1805702217529022E-2</v>
      </c>
      <c r="M250" s="297">
        <f>(30/365)</f>
        <v>8.2191780821917804E-2</v>
      </c>
      <c r="N250" s="304">
        <f>$M250*'MWh Impact Summary'!F$31</f>
        <v>183036.8359640729</v>
      </c>
      <c r="O250" s="304">
        <f>$M250*'MWh Impact Summary'!G$31</f>
        <v>33696.907793564758</v>
      </c>
      <c r="P250" s="304">
        <f>$M250*'MWh Impact Summary'!H$31</f>
        <v>11533.706272874138</v>
      </c>
      <c r="Q250" s="304">
        <f>$M250*'MWh Impact Summary'!I$31</f>
        <v>1906.2814658570951</v>
      </c>
      <c r="R250" s="304">
        <f>$M250*'MWh Impact Summary'!J$31</f>
        <v>48822.417113563904</v>
      </c>
      <c r="S250" s="304">
        <f>$M250*'MWh Impact Summary'!K$31</f>
        <v>36912.297733412794</v>
      </c>
      <c r="T250" s="304">
        <f>$M250*'MWh Impact Summary'!L$31</f>
        <v>13277.625427448986</v>
      </c>
      <c r="U250" s="304">
        <f>$M250*'MWh Impact Summary'!M$31</f>
        <v>41142.457492916605</v>
      </c>
      <c r="V250" s="304">
        <f>$M250*'LED Impact Forecast'!$H$32+$D250*'LED Impact Forecast'!$J$32</f>
        <v>293093.97767177178</v>
      </c>
      <c r="W250" s="304">
        <f>$M250*'CFL Impact Forecast'!$H$32+$D250*'CFL Impact Forecast'!$J$32</f>
        <v>385425.27934709698</v>
      </c>
      <c r="X250" s="304">
        <f>$M250*'EISA Incand Impact Forecast'!$G$32+$D250*'EISA Incand Impact Forecast'!$I$32</f>
        <v>133338.80260594623</v>
      </c>
      <c r="Y250" s="85">
        <f t="shared" si="91"/>
        <v>1182186.5888885262</v>
      </c>
      <c r="Z250" s="81">
        <f t="shared" si="92"/>
        <v>2221276.6665520612</v>
      </c>
      <c r="AA250" s="81"/>
      <c r="AB250" s="262">
        <f>+'MWh by mo-WgtbyActulCDH&amp;Days'!AB250</f>
        <v>5431720.3103298927</v>
      </c>
      <c r="AC250" s="308">
        <f t="shared" si="100"/>
        <v>408.94533216809776</v>
      </c>
      <c r="AD250" s="309">
        <f t="shared" si="93"/>
        <v>191.30036494836133</v>
      </c>
      <c r="AE250" s="107">
        <f t="shared" si="94"/>
        <v>1.8754937740035428E-2</v>
      </c>
      <c r="AF250" s="309">
        <f t="shared" si="101"/>
        <v>217.64496721973646</v>
      </c>
      <c r="AG250" s="107">
        <f t="shared" si="95"/>
        <v>2.133774188428789E-2</v>
      </c>
      <c r="AH250" s="119">
        <f t="shared" si="102"/>
        <v>4.0092679624323321E-2</v>
      </c>
      <c r="AI250" s="122">
        <f t="shared" si="96"/>
        <v>4.0092679624323307E-2</v>
      </c>
      <c r="AJ250" s="87" t="b">
        <f t="shared" si="103"/>
        <v>1</v>
      </c>
      <c r="AK250" s="88">
        <f t="shared" si="108"/>
        <v>9.6039273914297341E-4</v>
      </c>
      <c r="AL250" s="312">
        <f>+AC250/'MWh by month-WgtbyCDH&amp;DayLtHrs'!AC250-1</f>
        <v>9.5143726229770964E-2</v>
      </c>
      <c r="AM250" s="89">
        <f t="shared" si="97"/>
        <v>385425.27934709698</v>
      </c>
      <c r="AN250" s="90"/>
      <c r="AO250" s="96">
        <f t="shared" si="115"/>
        <v>70.95823373197365</v>
      </c>
      <c r="AP250" s="92">
        <f t="shared" si="114"/>
        <v>6.9566895815660447E-3</v>
      </c>
      <c r="AR250" s="94">
        <f t="shared" si="98"/>
        <v>4.0092679624323307E-2</v>
      </c>
      <c r="AS250" s="95"/>
    </row>
    <row r="251" spans="1:45">
      <c r="A251" s="78">
        <f t="shared" si="111"/>
        <v>2025</v>
      </c>
      <c r="B251" s="78">
        <f t="shared" si="112"/>
        <v>7</v>
      </c>
      <c r="C251" s="317">
        <f t="shared" si="105"/>
        <v>322.31916585708109</v>
      </c>
      <c r="D251" s="324">
        <f t="shared" si="109"/>
        <v>0.16392960109808263</v>
      </c>
      <c r="E251" s="321">
        <f>$D251*'MWh Impact Summary'!B$31</f>
        <v>566320.50062438031</v>
      </c>
      <c r="F251" s="321">
        <f>$D251*'MWh Impact Summary'!N$31</f>
        <v>105922.27999897132</v>
      </c>
      <c r="G251" s="321">
        <f>$D251*'MWh Impact Summary'!C$31</f>
        <v>411960.9473294192</v>
      </c>
      <c r="H251" s="321">
        <f>$D251*'MWh Impact Summary'!D$31</f>
        <v>2071.5951683605035</v>
      </c>
      <c r="I251" s="321">
        <f>$D251*'MWh Impact Summary'!E$31</f>
        <v>146569.54443825842</v>
      </c>
      <c r="J251" s="104">
        <f t="shared" si="99"/>
        <v>1232844.8675593899</v>
      </c>
      <c r="K251" s="298">
        <f t="shared" si="106"/>
        <v>10.366666666666667</v>
      </c>
      <c r="L251" s="300">
        <f t="shared" si="110"/>
        <v>7.2978998005397158E-2</v>
      </c>
      <c r="M251" s="297">
        <f t="shared" si="116"/>
        <v>8.4931506849315067E-2</v>
      </c>
      <c r="N251" s="304">
        <f>$M251*'MWh Impact Summary'!F$31</f>
        <v>189138.06382954202</v>
      </c>
      <c r="O251" s="304">
        <f>$M251*'MWh Impact Summary'!G$31</f>
        <v>34820.138053350252</v>
      </c>
      <c r="P251" s="304">
        <f>$M251*'MWh Impact Summary'!H$31</f>
        <v>11918.16314863661</v>
      </c>
      <c r="Q251" s="304">
        <f>$M251*'MWh Impact Summary'!I$31</f>
        <v>1969.824181385665</v>
      </c>
      <c r="R251" s="304">
        <f>$M251*'MWh Impact Summary'!J$31</f>
        <v>50449.831017349366</v>
      </c>
      <c r="S251" s="304">
        <f>$M251*'MWh Impact Summary'!K$31</f>
        <v>38142.707657859886</v>
      </c>
      <c r="T251" s="304">
        <f>$M251*'MWh Impact Summary'!L$31</f>
        <v>13720.212941697286</v>
      </c>
      <c r="U251" s="304">
        <f>$M251*'MWh Impact Summary'!M$31</f>
        <v>42513.872742680498</v>
      </c>
      <c r="V251" s="304">
        <f>$M251*'LED Impact Forecast'!$H$32+$D251*'LED Impact Forecast'!$J$32</f>
        <v>312976.92910526495</v>
      </c>
      <c r="W251" s="304">
        <f>$M251*'CFL Impact Forecast'!$H$32+$D251*'CFL Impact Forecast'!$J$32</f>
        <v>411494.43948375469</v>
      </c>
      <c r="X251" s="304">
        <f>$M251*'EISA Incand Impact Forecast'!$G$32+$D251*'EISA Incand Impact Forecast'!$I$32</f>
        <v>142630.51004900629</v>
      </c>
      <c r="Y251" s="85">
        <f t="shared" si="91"/>
        <v>1249774.6922105274</v>
      </c>
      <c r="Z251" s="81">
        <f t="shared" si="92"/>
        <v>2482619.5597699173</v>
      </c>
      <c r="AA251" s="81"/>
      <c r="AB251" s="262">
        <f>+'MWh by mo-WgtbyActulCDH&amp;Days'!AB251</f>
        <v>5436311.5981648155</v>
      </c>
      <c r="AC251" s="308">
        <f t="shared" si="100"/>
        <v>456.6735211807943</v>
      </c>
      <c r="AD251" s="309">
        <f t="shared" si="93"/>
        <v>226.77965478939294</v>
      </c>
      <c r="AE251" s="107">
        <f t="shared" si="94"/>
        <v>2.1875850944314428E-2</v>
      </c>
      <c r="AF251" s="309">
        <f t="shared" si="101"/>
        <v>229.8938663914013</v>
      </c>
      <c r="AG251" s="107">
        <f t="shared" si="95"/>
        <v>2.2176257208173757E-2</v>
      </c>
      <c r="AH251" s="119">
        <f t="shared" si="102"/>
        <v>4.4052108152488181E-2</v>
      </c>
      <c r="AI251" s="122">
        <f t="shared" si="96"/>
        <v>4.4052108152488195E-2</v>
      </c>
      <c r="AJ251" s="87" t="b">
        <f t="shared" si="103"/>
        <v>1</v>
      </c>
      <c r="AK251" s="88">
        <f t="shared" si="108"/>
        <v>1.0073151416458009E-3</v>
      </c>
      <c r="AL251" s="312">
        <f>+AC251/'MWh by month-WgtbyCDH&amp;DayLtHrs'!AC251-1</f>
        <v>0.11045853092306102</v>
      </c>
      <c r="AM251" s="89">
        <f t="shared" si="97"/>
        <v>411494.43948375469</v>
      </c>
      <c r="AN251" s="90"/>
      <c r="AO251" s="96">
        <f t="shared" si="115"/>
        <v>75.693681654058707</v>
      </c>
      <c r="AP251" s="92">
        <f t="shared" si="114"/>
        <v>7.3016413171117728E-3</v>
      </c>
      <c r="AR251" s="94">
        <f t="shared" si="98"/>
        <v>4.4052108152488195E-2</v>
      </c>
      <c r="AS251" s="95"/>
    </row>
    <row r="252" spans="1:45">
      <c r="A252" s="78">
        <f t="shared" si="111"/>
        <v>2025</v>
      </c>
      <c r="B252" s="78">
        <f t="shared" si="112"/>
        <v>8</v>
      </c>
      <c r="C252" s="317">
        <f t="shared" si="105"/>
        <v>326.45437890907908</v>
      </c>
      <c r="D252" s="324">
        <f t="shared" si="109"/>
        <v>0.16603274573816959</v>
      </c>
      <c r="E252" s="321">
        <f>$D252*'MWh Impact Summary'!B$31</f>
        <v>573586.14342153992</v>
      </c>
      <c r="F252" s="321">
        <f>$D252*'MWh Impact Summary'!N$31</f>
        <v>107281.21623716992</v>
      </c>
      <c r="G252" s="321">
        <f>$D252*'MWh Impact Summary'!C$31</f>
        <v>417246.22498822724</v>
      </c>
      <c r="H252" s="321">
        <f>$D252*'MWh Impact Summary'!D$31</f>
        <v>2098.1728227047038</v>
      </c>
      <c r="I252" s="321">
        <f>$D252*'MWh Impact Summary'!E$31</f>
        <v>148449.96719119902</v>
      </c>
      <c r="J252" s="104">
        <f t="shared" si="99"/>
        <v>1248661.7246608408</v>
      </c>
      <c r="K252" s="298">
        <f t="shared" si="106"/>
        <v>10.933333333333334</v>
      </c>
      <c r="L252" s="300">
        <f t="shared" si="110"/>
        <v>7.6968203684148764E-2</v>
      </c>
      <c r="M252" s="297">
        <f t="shared" si="116"/>
        <v>8.4931506849315067E-2</v>
      </c>
      <c r="N252" s="304">
        <f>$M252*'MWh Impact Summary'!F$31</f>
        <v>189138.06382954202</v>
      </c>
      <c r="O252" s="304">
        <f>$M252*'MWh Impact Summary'!G$31</f>
        <v>34820.138053350252</v>
      </c>
      <c r="P252" s="304">
        <f>$M252*'MWh Impact Summary'!H$31</f>
        <v>11918.16314863661</v>
      </c>
      <c r="Q252" s="304">
        <f>$M252*'MWh Impact Summary'!I$31</f>
        <v>1969.824181385665</v>
      </c>
      <c r="R252" s="304">
        <f>$M252*'MWh Impact Summary'!J$31</f>
        <v>50449.831017349366</v>
      </c>
      <c r="S252" s="304">
        <f>$M252*'MWh Impact Summary'!K$31</f>
        <v>38142.707657859886</v>
      </c>
      <c r="T252" s="304">
        <f>$M252*'MWh Impact Summary'!L$31</f>
        <v>13720.212941697286</v>
      </c>
      <c r="U252" s="304">
        <f>$M252*'MWh Impact Summary'!M$31</f>
        <v>42513.872742680498</v>
      </c>
      <c r="V252" s="304">
        <f>$M252*'LED Impact Forecast'!$H$32+$D252*'LED Impact Forecast'!$J$32</f>
        <v>313982.20711574249</v>
      </c>
      <c r="W252" s="304">
        <f>$M252*'CFL Impact Forecast'!$H$32+$D252*'CFL Impact Forecast'!$J$32</f>
        <v>412808.71169117698</v>
      </c>
      <c r="X252" s="304">
        <f>$M252*'EISA Incand Impact Forecast'!$G$32+$D252*'EISA Incand Impact Forecast'!$I$32</f>
        <v>143112.32457592551</v>
      </c>
      <c r="Y252" s="85">
        <f t="shared" si="91"/>
        <v>1252576.0569553466</v>
      </c>
      <c r="Z252" s="81">
        <f t="shared" si="92"/>
        <v>2501237.7816161877</v>
      </c>
      <c r="AA252" s="81"/>
      <c r="AB252" s="262">
        <f>+'MWh by mo-WgtbyActulCDH&amp;Days'!AB252</f>
        <v>5440926.2620600108</v>
      </c>
      <c r="AC252" s="308">
        <f t="shared" si="100"/>
        <v>459.70808298901369</v>
      </c>
      <c r="AD252" s="309">
        <f t="shared" si="93"/>
        <v>229.49432955338011</v>
      </c>
      <c r="AE252" s="107">
        <f t="shared" si="94"/>
        <v>2.0990335020126229E-2</v>
      </c>
      <c r="AF252" s="309">
        <f t="shared" si="101"/>
        <v>230.21375343563355</v>
      </c>
      <c r="AG252" s="107">
        <f t="shared" si="95"/>
        <v>2.105613598496648E-2</v>
      </c>
      <c r="AH252" s="119">
        <f t="shared" si="102"/>
        <v>4.2046471005092706E-2</v>
      </c>
      <c r="AI252" s="122">
        <f t="shared" si="96"/>
        <v>4.2046471005092713E-2</v>
      </c>
      <c r="AJ252" s="87" t="b">
        <f t="shared" si="103"/>
        <v>1</v>
      </c>
      <c r="AK252" s="88">
        <f t="shared" si="108"/>
        <v>9.6283410530592639E-4</v>
      </c>
      <c r="AL252" s="312">
        <f>+AC252/'MWh by month-WgtbyCDH&amp;DayLtHrs'!AC252-1</f>
        <v>8.8539733894788197E-2</v>
      </c>
      <c r="AM252" s="89">
        <f t="shared" si="97"/>
        <v>412808.71169117698</v>
      </c>
      <c r="AN252" s="90"/>
      <c r="AO252" s="96">
        <f t="shared" si="115"/>
        <v>75.871035887716999</v>
      </c>
      <c r="AP252" s="92">
        <f t="shared" si="114"/>
        <v>6.9394240141204579E-3</v>
      </c>
      <c r="AR252" s="94">
        <f t="shared" si="98"/>
        <v>4.2046471005092713E-2</v>
      </c>
      <c r="AS252" s="95"/>
    </row>
    <row r="253" spans="1:45">
      <c r="A253" s="78">
        <f t="shared" si="111"/>
        <v>2025</v>
      </c>
      <c r="B253" s="78">
        <f t="shared" si="112"/>
        <v>9</v>
      </c>
      <c r="C253" s="317">
        <f t="shared" si="105"/>
        <v>277.87653293728147</v>
      </c>
      <c r="D253" s="324">
        <f t="shared" si="109"/>
        <v>0.14132634365008559</v>
      </c>
      <c r="E253" s="321">
        <f>$D253*'MWh Impact Summary'!B$31</f>
        <v>488234.00503147935</v>
      </c>
      <c r="F253" s="321">
        <f>$D253*'MWh Impact Summary'!N$31</f>
        <v>91317.299883982312</v>
      </c>
      <c r="G253" s="321">
        <f>$D253*'MWh Impact Summary'!C$31</f>
        <v>355158.15339450171</v>
      </c>
      <c r="H253" s="321">
        <f>$D253*'MWh Impact Summary'!D$31</f>
        <v>1785.9554876388813</v>
      </c>
      <c r="I253" s="321">
        <f>$D253*'MWh Impact Summary'!E$31</f>
        <v>126359.95980691788</v>
      </c>
      <c r="J253" s="104">
        <f t="shared" si="99"/>
        <v>1062855.37360452</v>
      </c>
      <c r="K253" s="298">
        <f t="shared" si="106"/>
        <v>11.683333333333334</v>
      </c>
      <c r="L253" s="300">
        <f t="shared" si="110"/>
        <v>8.2248034729555317E-2</v>
      </c>
      <c r="M253" s="297">
        <f>(30/365)</f>
        <v>8.2191780821917804E-2</v>
      </c>
      <c r="N253" s="304">
        <f>$M253*'MWh Impact Summary'!F$31</f>
        <v>183036.8359640729</v>
      </c>
      <c r="O253" s="304">
        <f>$M253*'MWh Impact Summary'!G$31</f>
        <v>33696.907793564758</v>
      </c>
      <c r="P253" s="304">
        <f>$M253*'MWh Impact Summary'!H$31</f>
        <v>11533.706272874138</v>
      </c>
      <c r="Q253" s="304">
        <f>$M253*'MWh Impact Summary'!I$31</f>
        <v>1906.2814658570951</v>
      </c>
      <c r="R253" s="304">
        <f>$M253*'MWh Impact Summary'!J$31</f>
        <v>48822.417113563904</v>
      </c>
      <c r="S253" s="304">
        <f>$M253*'MWh Impact Summary'!K$31</f>
        <v>36912.297733412794</v>
      </c>
      <c r="T253" s="304">
        <f>$M253*'MWh Impact Summary'!L$31</f>
        <v>13277.625427448986</v>
      </c>
      <c r="U253" s="304">
        <f>$M253*'MWh Impact Summary'!M$31</f>
        <v>41142.457492916605</v>
      </c>
      <c r="V253" s="304">
        <f>$M253*'LED Impact Forecast'!$H$32+$D253*'LED Impact Forecast'!$J$32</f>
        <v>294604.43763665133</v>
      </c>
      <c r="W253" s="304">
        <f>$M253*'CFL Impact Forecast'!$H$32+$D253*'CFL Impact Forecast'!$J$32</f>
        <v>387400.01223847142</v>
      </c>
      <c r="X253" s="304">
        <f>$M253*'EISA Incand Impact Forecast'!$G$32+$D253*'EISA Incand Impact Forecast'!$I$32</f>
        <v>134062.74319334968</v>
      </c>
      <c r="Y253" s="85">
        <f t="shared" si="91"/>
        <v>1186395.7223321837</v>
      </c>
      <c r="Z253" s="81">
        <f t="shared" si="92"/>
        <v>2249251.0959367035</v>
      </c>
      <c r="AA253" s="81"/>
      <c r="AB253" s="262">
        <f>+'MWh by mo-WgtbyActulCDH&amp;Days'!AB253</f>
        <v>5445455.1194933662</v>
      </c>
      <c r="AC253" s="308">
        <f t="shared" si="100"/>
        <v>413.05107591190085</v>
      </c>
      <c r="AD253" s="309">
        <f t="shared" si="93"/>
        <v>195.18210145553562</v>
      </c>
      <c r="AE253" s="107">
        <f t="shared" si="94"/>
        <v>1.670602865525269E-2</v>
      </c>
      <c r="AF253" s="309">
        <f t="shared" si="101"/>
        <v>217.86897445636529</v>
      </c>
      <c r="AG253" s="107">
        <f t="shared" si="95"/>
        <v>1.8647843748048384E-2</v>
      </c>
      <c r="AH253" s="119">
        <f t="shared" si="102"/>
        <v>3.5353872403301075E-2</v>
      </c>
      <c r="AI253" s="122">
        <f t="shared" si="96"/>
        <v>3.5353872403301068E-2</v>
      </c>
      <c r="AJ253" s="87" t="b">
        <f t="shared" si="103"/>
        <v>1</v>
      </c>
      <c r="AK253" s="88">
        <f t="shared" si="108"/>
        <v>8.547208466233025E-4</v>
      </c>
      <c r="AL253" s="312">
        <f>+AC253/'MWh by month-WgtbyCDH&amp;DayLtHrs'!AC253-1</f>
        <v>3.4961286601617791E-2</v>
      </c>
      <c r="AM253" s="89">
        <f t="shared" si="97"/>
        <v>387400.01223847142</v>
      </c>
      <c r="AN253" s="90"/>
      <c r="AO253" s="96">
        <f t="shared" si="115"/>
        <v>71.141897919914243</v>
      </c>
      <c r="AP253" s="92">
        <f t="shared" si="114"/>
        <v>6.0891781386517184E-3</v>
      </c>
      <c r="AR253" s="94">
        <f t="shared" si="98"/>
        <v>3.5353872403301068E-2</v>
      </c>
      <c r="AS253" s="95"/>
    </row>
    <row r="254" spans="1:45">
      <c r="A254" s="78">
        <f t="shared" si="111"/>
        <v>2025</v>
      </c>
      <c r="B254" s="78">
        <f t="shared" si="112"/>
        <v>10</v>
      </c>
      <c r="C254" s="317">
        <f t="shared" si="105"/>
        <v>198.89039579254836</v>
      </c>
      <c r="D254" s="324">
        <f t="shared" si="109"/>
        <v>0.10115446643644242</v>
      </c>
      <c r="E254" s="321">
        <f>$D254*'MWh Impact Summary'!B$31</f>
        <v>349453.95882713568</v>
      </c>
      <c r="F254" s="321">
        <f>$D254*'MWh Impact Summary'!N$31</f>
        <v>65360.4452475711</v>
      </c>
      <c r="G254" s="321">
        <f>$D254*'MWh Impact Summary'!C$31</f>
        <v>254204.78998680465</v>
      </c>
      <c r="H254" s="321">
        <f>$D254*'MWh Impact Summary'!D$31</f>
        <v>1278.2993585303723</v>
      </c>
      <c r="I254" s="321">
        <f>$D254*'MWh Impact Summary'!E$31</f>
        <v>90442.262801662364</v>
      </c>
      <c r="J254" s="104">
        <f t="shared" si="99"/>
        <v>760739.75622170407</v>
      </c>
      <c r="K254" s="298">
        <f t="shared" si="106"/>
        <v>12.466666666666667</v>
      </c>
      <c r="L254" s="300">
        <f t="shared" si="110"/>
        <v>8.7762524932535488E-2</v>
      </c>
      <c r="M254" s="297">
        <f t="shared" si="116"/>
        <v>8.4931506849315067E-2</v>
      </c>
      <c r="N254" s="304">
        <f>$M254*'MWh Impact Summary'!F$31</f>
        <v>189138.06382954202</v>
      </c>
      <c r="O254" s="304">
        <f>$M254*'MWh Impact Summary'!G$31</f>
        <v>34820.138053350252</v>
      </c>
      <c r="P254" s="304">
        <f>$M254*'MWh Impact Summary'!H$31</f>
        <v>11918.16314863661</v>
      </c>
      <c r="Q254" s="304">
        <f>$M254*'MWh Impact Summary'!I$31</f>
        <v>1969.824181385665</v>
      </c>
      <c r="R254" s="304">
        <f>$M254*'MWh Impact Summary'!J$31</f>
        <v>50449.831017349366</v>
      </c>
      <c r="S254" s="304">
        <f>$M254*'MWh Impact Summary'!K$31</f>
        <v>38142.707657859886</v>
      </c>
      <c r="T254" s="304">
        <f>$M254*'MWh Impact Summary'!L$31</f>
        <v>13720.212941697286</v>
      </c>
      <c r="U254" s="304">
        <f>$M254*'MWh Impact Summary'!M$31</f>
        <v>42513.872742680498</v>
      </c>
      <c r="V254" s="304">
        <f>$M254*'LED Impact Forecast'!$H$32+$D254*'LED Impact Forecast'!$J$32</f>
        <v>282971.16474780143</v>
      </c>
      <c r="W254" s="304">
        <f>$M254*'CFL Impact Forecast'!$H$32+$D254*'CFL Impact Forecast'!$J$32</f>
        <v>372265.74677739933</v>
      </c>
      <c r="X254" s="304">
        <f>$M254*'EISA Incand Impact Forecast'!$G$32+$D254*'EISA Incand Impact Forecast'!$I$32</f>
        <v>128249.20158700788</v>
      </c>
      <c r="Y254" s="85">
        <f t="shared" si="91"/>
        <v>1166158.9266847102</v>
      </c>
      <c r="Z254" s="81">
        <f t="shared" si="92"/>
        <v>1926898.6829064144</v>
      </c>
      <c r="AA254" s="81"/>
      <c r="AB254" s="262">
        <f>+'MWh by mo-WgtbyActulCDH&amp;Days'!AB254</f>
        <v>5450014.5728547378</v>
      </c>
      <c r="AC254" s="308">
        <f t="shared" si="100"/>
        <v>353.55844597257612</v>
      </c>
      <c r="AD254" s="309">
        <f t="shared" si="93"/>
        <v>139.58490313232792</v>
      </c>
      <c r="AE254" s="107">
        <f t="shared" si="94"/>
        <v>1.1196649983876572E-2</v>
      </c>
      <c r="AF254" s="309">
        <f t="shared" si="101"/>
        <v>213.9735428402482</v>
      </c>
      <c r="AG254" s="107">
        <f t="shared" si="95"/>
        <v>1.7163653169003864E-2</v>
      </c>
      <c r="AH254" s="119">
        <f t="shared" si="102"/>
        <v>2.8360303152880434E-2</v>
      </c>
      <c r="AI254" s="122">
        <f t="shared" si="96"/>
        <v>2.8360303152880437E-2</v>
      </c>
      <c r="AJ254" s="87" t="b">
        <f t="shared" si="103"/>
        <v>1</v>
      </c>
      <c r="AK254" s="88">
        <f t="shared" si="108"/>
        <v>7.8376965224567427E-4</v>
      </c>
      <c r="AL254" s="312">
        <f>+AC254/'MWh by month-WgtbyCDH&amp;DayLtHrs'!AC254-1</f>
        <v>-4.2711869716569595E-3</v>
      </c>
      <c r="AM254" s="89">
        <f t="shared" si="97"/>
        <v>372265.74677739933</v>
      </c>
      <c r="AN254" s="90"/>
      <c r="AO254" s="96">
        <f t="shared" si="115"/>
        <v>68.305458967315218</v>
      </c>
      <c r="AP254" s="92">
        <f t="shared" si="114"/>
        <v>5.4790475107472101E-3</v>
      </c>
      <c r="AR254" s="94">
        <f t="shared" si="98"/>
        <v>2.8360303152880437E-2</v>
      </c>
      <c r="AS254" s="95"/>
    </row>
    <row r="255" spans="1:45">
      <c r="A255" s="78">
        <f t="shared" si="111"/>
        <v>2025</v>
      </c>
      <c r="B255" s="78">
        <f t="shared" si="112"/>
        <v>11</v>
      </c>
      <c r="C255" s="317">
        <f t="shared" si="105"/>
        <v>78.117279066674627</v>
      </c>
      <c r="D255" s="324">
        <f t="shared" si="109"/>
        <v>3.9729981188725644E-2</v>
      </c>
      <c r="E255" s="321">
        <f>$D255*'MWh Impact Summary'!B$31</f>
        <v>137253.4471253556</v>
      </c>
      <c r="F255" s="321">
        <f>$D255*'MWh Impact Summary'!N$31</f>
        <v>25671.325762015062</v>
      </c>
      <c r="G255" s="321">
        <f>$D255*'MWh Impact Summary'!C$31</f>
        <v>99842.862901219225</v>
      </c>
      <c r="H255" s="321">
        <f>$D255*'MWh Impact Summary'!D$31</f>
        <v>502.07184375671858</v>
      </c>
      <c r="I255" s="321">
        <f>$D255*'MWh Impact Summary'!E$31</f>
        <v>35522.597531899955</v>
      </c>
      <c r="J255" s="104">
        <f t="shared" si="99"/>
        <v>298792.30516424659</v>
      </c>
      <c r="K255" s="298">
        <f t="shared" si="106"/>
        <v>13.15</v>
      </c>
      <c r="L255" s="300">
        <f t="shared" si="110"/>
        <v>9.2573037662794788E-2</v>
      </c>
      <c r="M255" s="297">
        <f>(30/365)</f>
        <v>8.2191780821917804E-2</v>
      </c>
      <c r="N255" s="304">
        <f>$M255*'MWh Impact Summary'!F$31</f>
        <v>183036.8359640729</v>
      </c>
      <c r="O255" s="304">
        <f>$M255*'MWh Impact Summary'!G$31</f>
        <v>33696.907793564758</v>
      </c>
      <c r="P255" s="304">
        <f>$M255*'MWh Impact Summary'!H$31</f>
        <v>11533.706272874138</v>
      </c>
      <c r="Q255" s="304">
        <f>$M255*'MWh Impact Summary'!I$31</f>
        <v>1906.2814658570951</v>
      </c>
      <c r="R255" s="304">
        <f>$M255*'MWh Impact Summary'!J$31</f>
        <v>48822.417113563904</v>
      </c>
      <c r="S255" s="304">
        <f>$M255*'MWh Impact Summary'!K$31</f>
        <v>36912.297733412794</v>
      </c>
      <c r="T255" s="304">
        <f>$M255*'MWh Impact Summary'!L$31</f>
        <v>13277.625427448986</v>
      </c>
      <c r="U255" s="304">
        <f>$M255*'MWh Impact Summary'!M$31</f>
        <v>41142.457492916605</v>
      </c>
      <c r="V255" s="304">
        <f>$M255*'LED Impact Forecast'!$H$32+$D255*'LED Impact Forecast'!$J$32</f>
        <v>246042.59021055832</v>
      </c>
      <c r="W255" s="304">
        <f>$M255*'CFL Impact Forecast'!$H$32+$D255*'CFL Impact Forecast'!$J$32</f>
        <v>323911.61823402834</v>
      </c>
      <c r="X255" s="304">
        <f>$M255*'EISA Incand Impact Forecast'!$G$32+$D255*'EISA Incand Impact Forecast'!$I$32</f>
        <v>110787.78512198714</v>
      </c>
      <c r="Y255" s="85">
        <f t="shared" si="91"/>
        <v>1051070.5228302849</v>
      </c>
      <c r="Z255" s="81">
        <f t="shared" si="92"/>
        <v>1349862.8279945315</v>
      </c>
      <c r="AA255" s="81"/>
      <c r="AB255" s="262">
        <f>+'MWh by mo-WgtbyActulCDH&amp;Days'!AB255</f>
        <v>5454581.94816502</v>
      </c>
      <c r="AC255" s="308">
        <f t="shared" si="100"/>
        <v>247.47319608034118</v>
      </c>
      <c r="AD255" s="309">
        <f t="shared" si="93"/>
        <v>54.778222786581011</v>
      </c>
      <c r="AE255" s="107">
        <f t="shared" si="94"/>
        <v>4.1656443183711797E-3</v>
      </c>
      <c r="AF255" s="309">
        <f t="shared" si="101"/>
        <v>192.6949732937602</v>
      </c>
      <c r="AG255" s="107">
        <f t="shared" si="95"/>
        <v>1.4653610136407621E-2</v>
      </c>
      <c r="AH255" s="119">
        <f t="shared" si="102"/>
        <v>1.8819254454778798E-2</v>
      </c>
      <c r="AI255" s="122">
        <f t="shared" si="96"/>
        <v>1.8819254454778798E-2</v>
      </c>
      <c r="AJ255" s="87" t="b">
        <f t="shared" si="103"/>
        <v>1</v>
      </c>
      <c r="AK255" s="88">
        <f t="shared" si="108"/>
        <v>6.6213250704269533E-4</v>
      </c>
      <c r="AL255" s="312">
        <f>+AC255/'MWh by month-WgtbyCDH&amp;DayLtHrs'!AC255-1</f>
        <v>-0.11719105276674491</v>
      </c>
      <c r="AM255" s="89">
        <f t="shared" si="97"/>
        <v>323911.61823402834</v>
      </c>
      <c r="AN255" s="90"/>
      <c r="AO255" s="96">
        <f t="shared" si="115"/>
        <v>59.383399371787917</v>
      </c>
      <c r="AP255" s="92">
        <f t="shared" si="114"/>
        <v>4.5158478609724651E-3</v>
      </c>
      <c r="AR255" s="94">
        <f t="shared" si="98"/>
        <v>1.8819254454778798E-2</v>
      </c>
      <c r="AS255" s="95"/>
    </row>
    <row r="256" spans="1:45">
      <c r="A256" s="78">
        <f t="shared" si="111"/>
        <v>2025</v>
      </c>
      <c r="B256" s="78">
        <f t="shared" si="112"/>
        <v>12</v>
      </c>
      <c r="C256" s="317">
        <f t="shared" si="105"/>
        <v>42.633806123140985</v>
      </c>
      <c r="D256" s="324">
        <f t="shared" si="109"/>
        <v>2.1683298951445065E-2</v>
      </c>
      <c r="E256" s="321">
        <f>$D256*'MWh Impact Summary'!B$31</f>
        <v>74908.354776165535</v>
      </c>
      <c r="F256" s="321">
        <f>$D256*'MWh Impact Summary'!N$31</f>
        <v>14010.553600152869</v>
      </c>
      <c r="G256" s="321">
        <f>$D256*'MWh Impact Summary'!C$31</f>
        <v>54490.905348569104</v>
      </c>
      <c r="H256" s="321">
        <f>$D256*'MWh Impact Summary'!D$31</f>
        <v>274.01407092459129</v>
      </c>
      <c r="I256" s="321">
        <f>$D256*'MWh Impact Summary'!E$31</f>
        <v>19387.049245183833</v>
      </c>
      <c r="J256" s="104">
        <f t="shared" si="99"/>
        <v>163070.87704099593</v>
      </c>
      <c r="K256" s="298">
        <f t="shared" si="106"/>
        <v>13.483333333333333</v>
      </c>
      <c r="L256" s="300">
        <f t="shared" si="110"/>
        <v>9.491962923853102E-2</v>
      </c>
      <c r="M256" s="297">
        <f t="shared" si="116"/>
        <v>8.4931506849315067E-2</v>
      </c>
      <c r="N256" s="304">
        <f>$M256*'MWh Impact Summary'!F$31</f>
        <v>189138.06382954202</v>
      </c>
      <c r="O256" s="304">
        <f>$M256*'MWh Impact Summary'!G$31</f>
        <v>34820.138053350252</v>
      </c>
      <c r="P256" s="304">
        <f>$M256*'MWh Impact Summary'!H$31</f>
        <v>11918.16314863661</v>
      </c>
      <c r="Q256" s="304">
        <f>$M256*'MWh Impact Summary'!I$31</f>
        <v>1969.824181385665</v>
      </c>
      <c r="R256" s="304">
        <f>$M256*'MWh Impact Summary'!J$31</f>
        <v>50449.831017349366</v>
      </c>
      <c r="S256" s="304">
        <f>$M256*'MWh Impact Summary'!K$31</f>
        <v>38142.707657859886</v>
      </c>
      <c r="T256" s="304">
        <f>$M256*'MWh Impact Summary'!L$31</f>
        <v>13720.212941697286</v>
      </c>
      <c r="U256" s="304">
        <f>$M256*'MWh Impact Summary'!M$31</f>
        <v>42513.872742680498</v>
      </c>
      <c r="V256" s="304">
        <f>$M256*'LED Impact Forecast'!$H$32+$D256*'LED Impact Forecast'!$J$32</f>
        <v>244984.89617792307</v>
      </c>
      <c r="W256" s="304">
        <f>$M256*'CFL Impact Forecast'!$H$32+$D256*'CFL Impact Forecast'!$J$32</f>
        <v>322603.567236281</v>
      </c>
      <c r="X256" s="304">
        <f>$M256*'EISA Incand Impact Forecast'!$G$32+$D256*'EISA Incand Impact Forecast'!$I$32</f>
        <v>110042.95830936065</v>
      </c>
      <c r="Y256" s="85">
        <f t="shared" si="91"/>
        <v>1060304.2352960662</v>
      </c>
      <c r="Z256" s="81">
        <f t="shared" si="92"/>
        <v>1223375.1123370621</v>
      </c>
      <c r="AA256" s="81">
        <f>SUM(Z245:Z256)</f>
        <v>20996729.792061806</v>
      </c>
      <c r="AB256" s="262">
        <f>+'MWh by mo-WgtbyActulCDH&amp;Days'!AB256</f>
        <v>5459151.0861720592</v>
      </c>
      <c r="AC256" s="308">
        <f t="shared" si="100"/>
        <v>224.0962180797398</v>
      </c>
      <c r="AD256" s="309">
        <f t="shared" si="93"/>
        <v>29.871105317830789</v>
      </c>
      <c r="AE256" s="107">
        <f t="shared" si="94"/>
        <v>2.215409541495485E-3</v>
      </c>
      <c r="AF256" s="309">
        <f t="shared" si="101"/>
        <v>194.225112761909</v>
      </c>
      <c r="AG256" s="107">
        <f t="shared" si="95"/>
        <v>1.4404829129437011E-2</v>
      </c>
      <c r="AH256" s="119">
        <f t="shared" si="102"/>
        <v>1.6620238670932496E-2</v>
      </c>
      <c r="AI256" s="122">
        <f t="shared" si="96"/>
        <v>1.6620238670932493E-2</v>
      </c>
      <c r="AJ256" s="87" t="b">
        <f t="shared" si="103"/>
        <v>1</v>
      </c>
      <c r="AK256" s="88">
        <f t="shared" si="108"/>
        <v>6.4955723667151424E-4</v>
      </c>
      <c r="AL256" s="312">
        <f>+AC256/'MWh by month-WgtbyCDH&amp;DayLtHrs'!AC256-1</f>
        <v>-0.13881437535943453</v>
      </c>
      <c r="AM256" s="89">
        <f t="shared" si="97"/>
        <v>322603.567236281</v>
      </c>
      <c r="AN256" s="90">
        <f>SUM(AM245:AM256)</f>
        <v>4263763.8338592071</v>
      </c>
      <c r="AO256" s="96">
        <f t="shared" si="115"/>
        <v>59.094090297927558</v>
      </c>
      <c r="AP256" s="92">
        <f t="shared" si="114"/>
        <v>4.3827508255570502E-3</v>
      </c>
      <c r="AR256" s="94">
        <f t="shared" si="98"/>
        <v>1.6620238670932493E-2</v>
      </c>
      <c r="AS256" s="95"/>
    </row>
    <row r="257" spans="1:45">
      <c r="A257" s="78">
        <f t="shared" si="111"/>
        <v>2026</v>
      </c>
      <c r="B257" s="78">
        <f t="shared" si="112"/>
        <v>1</v>
      </c>
      <c r="C257" s="317">
        <f t="shared" si="105"/>
        <v>26.112829868525239</v>
      </c>
      <c r="D257" s="324">
        <f t="shared" si="109"/>
        <v>1.3280829182176284E-2</v>
      </c>
      <c r="E257" s="321">
        <f>$D257*'MWh Impact Summary'!B$32</f>
        <v>46129.807655694538</v>
      </c>
      <c r="F257" s="321">
        <f>$D257*'MWh Impact Summary'!N$32</f>
        <v>9198.3575070110764</v>
      </c>
      <c r="G257" s="321">
        <f>$D257*'MWh Impact Summary'!C$32</f>
        <v>33793.111949938575</v>
      </c>
      <c r="H257" s="321">
        <f>$D257*'MWh Impact Summary'!D$32</f>
        <v>169.93312024913459</v>
      </c>
      <c r="I257" s="321">
        <f>$D257*'MWh Impact Summary'!E$32</f>
        <v>12023.083876668879</v>
      </c>
      <c r="J257" s="104">
        <f t="shared" si="99"/>
        <v>101314.29410956221</v>
      </c>
      <c r="K257" s="298">
        <f t="shared" si="106"/>
        <v>13.3</v>
      </c>
      <c r="L257" s="300">
        <f t="shared" si="110"/>
        <v>9.3629003871876101E-2</v>
      </c>
      <c r="M257" s="297">
        <f>(31/365)</f>
        <v>8.4931506849315067E-2</v>
      </c>
      <c r="N257" s="304">
        <f>$M257*'MWh Impact Summary'!F$32</f>
        <v>199941.99910015031</v>
      </c>
      <c r="O257" s="304">
        <f>$M257*'MWh Impact Summary'!G$32</f>
        <v>40642.014969019139</v>
      </c>
      <c r="P257" s="304">
        <f>$M257*'MWh Impact Summary'!H$32</f>
        <v>12517.757415120317</v>
      </c>
      <c r="Q257" s="304">
        <f>$M257*'MWh Impact Summary'!I$32</f>
        <v>2062.4220955829887</v>
      </c>
      <c r="R257" s="304">
        <f>$M257*'MWh Impact Summary'!J$32</f>
        <v>52011.23615889428</v>
      </c>
      <c r="S257" s="304">
        <f>$M257*'MWh Impact Summary'!K$32</f>
        <v>41738.545245949317</v>
      </c>
      <c r="T257" s="304">
        <f>$M257*'MWh Impact Summary'!L$32</f>
        <v>14991.085009939821</v>
      </c>
      <c r="U257" s="304">
        <f>$M257*'MWh Impact Summary'!M$32</f>
        <v>46643.890633818344</v>
      </c>
      <c r="V257" s="304">
        <f>$M257*'LED Impact Forecast'!$H$33+$D257*'LED Impact Forecast'!$J$33</f>
        <v>264018.11944932985</v>
      </c>
      <c r="W257" s="304">
        <f>$M257*'CFL Impact Forecast'!$H$33+$D257*'CFL Impact Forecast'!$J$33</f>
        <v>318104.86840558355</v>
      </c>
      <c r="X257" s="304">
        <f>$M257*'EISA Incand Impact Forecast'!$G$33+$D257*'EISA Incand Impact Forecast'!$I$33</f>
        <v>108118.01604924772</v>
      </c>
      <c r="Y257" s="85">
        <f t="shared" si="91"/>
        <v>1100789.9545326356</v>
      </c>
      <c r="Z257" s="81">
        <f t="shared" si="92"/>
        <v>1202104.2486421978</v>
      </c>
      <c r="AA257" s="81"/>
      <c r="AB257" s="262">
        <f>+'MWh by mo-WgtbyActulCDH&amp;Days'!AB257</f>
        <v>5463737.3974974714</v>
      </c>
      <c r="AC257" s="308">
        <f t="shared" si="100"/>
        <v>220.01501192073977</v>
      </c>
      <c r="AD257" s="309">
        <f t="shared" si="93"/>
        <v>18.54303871850918</v>
      </c>
      <c r="AE257" s="107">
        <f t="shared" si="94"/>
        <v>1.394213437481893E-3</v>
      </c>
      <c r="AF257" s="309">
        <f t="shared" si="101"/>
        <v>201.4719732022306</v>
      </c>
      <c r="AG257" s="107">
        <f t="shared" si="95"/>
        <v>1.5148268661821849E-2</v>
      </c>
      <c r="AH257" s="119">
        <f t="shared" si="102"/>
        <v>1.6542482099303743E-2</v>
      </c>
      <c r="AI257" s="122">
        <f t="shared" si="96"/>
        <v>1.654248209930374E-2</v>
      </c>
      <c r="AJ257" s="87" t="b">
        <f t="shared" si="103"/>
        <v>1</v>
      </c>
      <c r="AK257" s="88">
        <f t="shared" si="108"/>
        <v>5.6418870420182898E-4</v>
      </c>
      <c r="AL257" s="312">
        <f>+AC257/'MWh by month-WgtbyCDH&amp;DayLtHrs'!AC257-1</f>
        <v>-0.14341711373368815</v>
      </c>
      <c r="AM257" s="89">
        <f t="shared" si="97"/>
        <v>318104.86840558355</v>
      </c>
      <c r="AN257" s="93"/>
      <c r="AO257" s="96">
        <f t="shared" si="115"/>
        <v>58.221112264890984</v>
      </c>
      <c r="AP257" s="92">
        <f t="shared" si="114"/>
        <v>4.3775272379617284E-3</v>
      </c>
      <c r="AR257" s="94">
        <f t="shared" si="98"/>
        <v>1.654248209930374E-2</v>
      </c>
      <c r="AS257" s="95"/>
    </row>
    <row r="258" spans="1:45">
      <c r="A258" s="78">
        <f t="shared" si="111"/>
        <v>2026</v>
      </c>
      <c r="B258" s="78">
        <f t="shared" si="112"/>
        <v>2</v>
      </c>
      <c r="C258" s="317">
        <f t="shared" si="105"/>
        <v>35.042184420393127</v>
      </c>
      <c r="D258" s="324">
        <f t="shared" si="109"/>
        <v>1.7822245532205266E-2</v>
      </c>
      <c r="E258" s="321">
        <f>$D258*'MWh Impact Summary'!B$32</f>
        <v>61904.023244011754</v>
      </c>
      <c r="F258" s="321">
        <f>$D258*'MWh Impact Summary'!N$32</f>
        <v>12343.761352112459</v>
      </c>
      <c r="G258" s="321">
        <f>$D258*'MWh Impact Summary'!C$32</f>
        <v>45348.760247393933</v>
      </c>
      <c r="H258" s="321">
        <f>$D258*'MWh Impact Summary'!D$32</f>
        <v>228.0422217310346</v>
      </c>
      <c r="I258" s="321">
        <f>$D258*'MWh Impact Summary'!E$32</f>
        <v>16134.410733319744</v>
      </c>
      <c r="J258" s="104">
        <f t="shared" si="99"/>
        <v>135958.99779856892</v>
      </c>
      <c r="K258" s="298">
        <f t="shared" si="106"/>
        <v>12.733333333333333</v>
      </c>
      <c r="L258" s="300">
        <f t="shared" si="110"/>
        <v>8.9639798193124468E-2</v>
      </c>
      <c r="M258" s="297">
        <f>(28/365)</f>
        <v>7.6712328767123292E-2</v>
      </c>
      <c r="N258" s="304">
        <f>$M258*'MWh Impact Summary'!F$32</f>
        <v>180592.77338078094</v>
      </c>
      <c r="O258" s="304">
        <f>$M258*'MWh Impact Summary'!G$32</f>
        <v>36708.916746210838</v>
      </c>
      <c r="P258" s="304">
        <f>$M258*'MWh Impact Summary'!H$32</f>
        <v>11306.361536237706</v>
      </c>
      <c r="Q258" s="304">
        <f>$M258*'MWh Impact Summary'!I$32</f>
        <v>1862.8328605265706</v>
      </c>
      <c r="R258" s="304">
        <f>$M258*'MWh Impact Summary'!J$32</f>
        <v>46977.890724162578</v>
      </c>
      <c r="S258" s="304">
        <f>$M258*'MWh Impact Summary'!K$32</f>
        <v>37699.331189889708</v>
      </c>
      <c r="T258" s="304">
        <f>$M258*'MWh Impact Summary'!L$32</f>
        <v>13540.334847687582</v>
      </c>
      <c r="U258" s="304">
        <f>$M258*'MWh Impact Summary'!M$32</f>
        <v>42129.965733771416</v>
      </c>
      <c r="V258" s="304">
        <f>$M258*'LED Impact Forecast'!$H$33+$D258*'LED Impact Forecast'!$J$33</f>
        <v>241532.59222252484</v>
      </c>
      <c r="W258" s="304">
        <f>$M258*'CFL Impact Forecast'!$H$33+$D258*'CFL Impact Forecast'!$J$33</f>
        <v>290972.19114611222</v>
      </c>
      <c r="X258" s="304">
        <f>$M258*'EISA Incand Impact Forecast'!$G$33+$D258*'EISA Incand Impact Forecast'!$I$33</f>
        <v>98989.825480994914</v>
      </c>
      <c r="Y258" s="85">
        <f t="shared" si="91"/>
        <v>1002313.0158688993</v>
      </c>
      <c r="Z258" s="81">
        <f t="shared" si="92"/>
        <v>1138272.0136674682</v>
      </c>
      <c r="AA258" s="81"/>
      <c r="AB258" s="262">
        <f>+'MWh by mo-WgtbyActulCDH&amp;Days'!AB258</f>
        <v>5468304.7475988464</v>
      </c>
      <c r="AC258" s="308">
        <f t="shared" si="100"/>
        <v>208.15811594393818</v>
      </c>
      <c r="AD258" s="309">
        <f t="shared" si="93"/>
        <v>24.863098176499584</v>
      </c>
      <c r="AE258" s="107">
        <f t="shared" si="94"/>
        <v>1.9525993332329516E-3</v>
      </c>
      <c r="AF258" s="309">
        <f t="shared" si="101"/>
        <v>183.29501776743859</v>
      </c>
      <c r="AG258" s="107">
        <f t="shared" si="95"/>
        <v>1.4394896683306697E-2</v>
      </c>
      <c r="AH258" s="119">
        <f t="shared" si="102"/>
        <v>1.6347496016539648E-2</v>
      </c>
      <c r="AI258" s="122">
        <f t="shared" si="96"/>
        <v>1.6347496016539648E-2</v>
      </c>
      <c r="AJ258" s="87" t="b">
        <f t="shared" si="103"/>
        <v>1</v>
      </c>
      <c r="AK258" s="88">
        <f t="shared" si="108"/>
        <v>5.3947165072421033E-4</v>
      </c>
      <c r="AL258" s="312">
        <f>+AC258/'MWh by month-WgtbyCDH&amp;DayLtHrs'!AC258-1</f>
        <v>-0.18089048373610661</v>
      </c>
      <c r="AM258" s="89">
        <f t="shared" si="97"/>
        <v>290972.19114611222</v>
      </c>
      <c r="AN258" s="93"/>
      <c r="AO258" s="96">
        <f t="shared" si="115"/>
        <v>53.210675808417449</v>
      </c>
      <c r="AP258" s="92">
        <f t="shared" si="114"/>
        <v>4.1788488854778106E-3</v>
      </c>
      <c r="AR258" s="94">
        <f t="shared" si="98"/>
        <v>1.6347496016539648E-2</v>
      </c>
      <c r="AS258" s="95"/>
    </row>
    <row r="259" spans="1:45">
      <c r="A259" s="78">
        <f t="shared" si="111"/>
        <v>2026</v>
      </c>
      <c r="B259" s="78">
        <f t="shared" si="112"/>
        <v>3</v>
      </c>
      <c r="C259" s="317">
        <f t="shared" si="105"/>
        <v>64.582270600115152</v>
      </c>
      <c r="D259" s="324">
        <f t="shared" si="109"/>
        <v>3.2846156787895278E-2</v>
      </c>
      <c r="E259" s="321">
        <f>$D259*'MWh Impact Summary'!B$32</f>
        <v>114088.27521762509</v>
      </c>
      <c r="F259" s="321">
        <f>$D259*'MWh Impact Summary'!N$32</f>
        <v>22749.384750153848</v>
      </c>
      <c r="G259" s="321">
        <f>$D259*'MWh Impact Summary'!C$32</f>
        <v>83577.150058389074</v>
      </c>
      <c r="H259" s="321">
        <f>$D259*'MWh Impact Summary'!D$32</f>
        <v>420.27872165167707</v>
      </c>
      <c r="I259" s="321">
        <f>$D259*'MWh Impact Summary'!E$32</f>
        <v>29735.500146111277</v>
      </c>
      <c r="J259" s="104">
        <f t="shared" si="99"/>
        <v>250570.58889393095</v>
      </c>
      <c r="K259" s="298">
        <f t="shared" si="106"/>
        <v>12</v>
      </c>
      <c r="L259" s="300">
        <f t="shared" si="110"/>
        <v>8.4477296726504739E-2</v>
      </c>
      <c r="M259" s="297">
        <f t="shared" ref="M259:M268" si="117">(31/365)</f>
        <v>8.4931506849315067E-2</v>
      </c>
      <c r="N259" s="304">
        <f>$M259*'MWh Impact Summary'!F$32</f>
        <v>199941.99910015031</v>
      </c>
      <c r="O259" s="304">
        <f>$M259*'MWh Impact Summary'!G$32</f>
        <v>40642.014969019139</v>
      </c>
      <c r="P259" s="304">
        <f>$M259*'MWh Impact Summary'!H$32</f>
        <v>12517.757415120317</v>
      </c>
      <c r="Q259" s="304">
        <f>$M259*'MWh Impact Summary'!I$32</f>
        <v>2062.4220955829887</v>
      </c>
      <c r="R259" s="304">
        <f>$M259*'MWh Impact Summary'!J$32</f>
        <v>52011.23615889428</v>
      </c>
      <c r="S259" s="304">
        <f>$M259*'MWh Impact Summary'!K$32</f>
        <v>41738.545245949317</v>
      </c>
      <c r="T259" s="304">
        <f>$M259*'MWh Impact Summary'!L$32</f>
        <v>14991.085009939821</v>
      </c>
      <c r="U259" s="304">
        <f>$M259*'MWh Impact Summary'!M$32</f>
        <v>46643.890633818344</v>
      </c>
      <c r="V259" s="304">
        <f>$M259*'LED Impact Forecast'!$H$33+$D259*'LED Impact Forecast'!$J$33</f>
        <v>274308.78103754594</v>
      </c>
      <c r="W259" s="304">
        <f>$M259*'CFL Impact Forecast'!$H$33+$D259*'CFL Impact Forecast'!$J$33</f>
        <v>330366.78946048277</v>
      </c>
      <c r="X259" s="304">
        <f>$M259*'EISA Incand Impact Forecast'!$G$33+$D259*'EISA Incand Impact Forecast'!$I$33</f>
        <v>112600.28459354503</v>
      </c>
      <c r="Y259" s="85">
        <f t="shared" si="91"/>
        <v>1127824.8057200483</v>
      </c>
      <c r="Z259" s="81">
        <f t="shared" si="92"/>
        <v>1378395.3946139792</v>
      </c>
      <c r="AA259" s="81"/>
      <c r="AB259" s="262">
        <f>+'MWh by mo-WgtbyActulCDH&amp;Days'!AB259</f>
        <v>5472890.5962758642</v>
      </c>
      <c r="AC259" s="308">
        <f t="shared" si="100"/>
        <v>251.85875185444695</v>
      </c>
      <c r="AD259" s="309">
        <f t="shared" si="93"/>
        <v>45.783957213476299</v>
      </c>
      <c r="AE259" s="107">
        <f t="shared" si="94"/>
        <v>3.8153297677896917E-3</v>
      </c>
      <c r="AF259" s="309">
        <f t="shared" si="101"/>
        <v>206.07479464097065</v>
      </c>
      <c r="AG259" s="107">
        <f t="shared" si="95"/>
        <v>1.7172899553414223E-2</v>
      </c>
      <c r="AH259" s="119">
        <f t="shared" si="102"/>
        <v>2.0988229321203915E-2</v>
      </c>
      <c r="AI259" s="122">
        <f t="shared" si="96"/>
        <v>2.0988229321203915E-2</v>
      </c>
      <c r="AJ259" s="87" t="b">
        <f t="shared" si="103"/>
        <v>1</v>
      </c>
      <c r="AK259" s="88">
        <f t="shared" si="108"/>
        <v>6.4929415180554548E-4</v>
      </c>
      <c r="AL259" s="312">
        <f>+AC259/'MWh by month-WgtbyCDH&amp;DayLtHrs'!AC259-1</f>
        <v>-4.3883032544434486E-2</v>
      </c>
      <c r="AM259" s="89">
        <f t="shared" si="97"/>
        <v>330366.78946048277</v>
      </c>
      <c r="AN259" s="93"/>
      <c r="AO259" s="96">
        <f t="shared" si="115"/>
        <v>60.364223192271986</v>
      </c>
      <c r="AP259" s="92">
        <f t="shared" si="114"/>
        <v>5.0303519326893326E-3</v>
      </c>
      <c r="AR259" s="94">
        <f t="shared" si="98"/>
        <v>2.0988229321203915E-2</v>
      </c>
      <c r="AS259" s="95"/>
    </row>
    <row r="260" spans="1:45">
      <c r="A260" s="78">
        <f t="shared" si="111"/>
        <v>2026</v>
      </c>
      <c r="B260" s="78">
        <f t="shared" si="112"/>
        <v>4</v>
      </c>
      <c r="C260" s="317">
        <f t="shared" si="105"/>
        <v>114.03392869270741</v>
      </c>
      <c r="D260" s="324">
        <f t="shared" si="109"/>
        <v>5.7996974497419709E-2</v>
      </c>
      <c r="E260" s="321">
        <f>$D260*'MWh Impact Summary'!B$32</f>
        <v>201447.45794703352</v>
      </c>
      <c r="F260" s="321">
        <f>$D260*'MWh Impact Summary'!N$32</f>
        <v>40168.945661030746</v>
      </c>
      <c r="G260" s="321">
        <f>$D260*'MWh Impact Summary'!C$32</f>
        <v>147573.48544015194</v>
      </c>
      <c r="H260" s="321">
        <f>$D260*'MWh Impact Summary'!D$32</f>
        <v>742.09273428370466</v>
      </c>
      <c r="I260" s="321">
        <f>$D260*'MWh Impact Summary'!E$32</f>
        <v>52504.439249269715</v>
      </c>
      <c r="J260" s="104">
        <f t="shared" si="99"/>
        <v>442436.4210317696</v>
      </c>
      <c r="K260" s="298">
        <f t="shared" si="106"/>
        <v>11.2</v>
      </c>
      <c r="L260" s="300">
        <f t="shared" si="110"/>
        <v>7.8845476944737758E-2</v>
      </c>
      <c r="M260" s="297">
        <f>(30/365)</f>
        <v>8.2191780821917804E-2</v>
      </c>
      <c r="N260" s="304">
        <f>$M260*'MWh Impact Summary'!F$32</f>
        <v>193492.25719369383</v>
      </c>
      <c r="O260" s="304">
        <f>$M260*'MWh Impact Summary'!G$32</f>
        <v>39330.982228083041</v>
      </c>
      <c r="P260" s="304">
        <f>$M260*'MWh Impact Summary'!H$32</f>
        <v>12113.958788826112</v>
      </c>
      <c r="Q260" s="304">
        <f>$M260*'MWh Impact Summary'!I$32</f>
        <v>1995.8923505641826</v>
      </c>
      <c r="R260" s="304">
        <f>$M260*'MWh Impact Summary'!J$32</f>
        <v>50333.454347317042</v>
      </c>
      <c r="S260" s="304">
        <f>$M260*'MWh Impact Summary'!K$32</f>
        <v>40392.140560596112</v>
      </c>
      <c r="T260" s="304">
        <f>$M260*'MWh Impact Summary'!L$32</f>
        <v>14507.501622522408</v>
      </c>
      <c r="U260" s="304">
        <f>$M260*'MWh Impact Summary'!M$32</f>
        <v>45139.249000469368</v>
      </c>
      <c r="V260" s="304">
        <f>$M260*'LED Impact Forecast'!$H$33+$D260*'LED Impact Forecast'!$J$33</f>
        <v>279245.827183966</v>
      </c>
      <c r="W260" s="304">
        <f>$M260*'CFL Impact Forecast'!$H$33+$D260*'CFL Impact Forecast'!$J$33</f>
        <v>336136.27826097998</v>
      </c>
      <c r="X260" s="304">
        <f>$M260*'EISA Incand Impact Forecast'!$G$33+$D260*'EISA Incand Impact Forecast'!$I$33</f>
        <v>114972.61510063344</v>
      </c>
      <c r="Y260" s="85">
        <f t="shared" si="91"/>
        <v>1127660.1566376516</v>
      </c>
      <c r="Z260" s="81">
        <f t="shared" si="92"/>
        <v>1570096.5776694212</v>
      </c>
      <c r="AA260" s="81"/>
      <c r="AB260" s="262">
        <f>+'MWh by mo-WgtbyActulCDH&amp;Days'!AB260</f>
        <v>5477458.5188071523</v>
      </c>
      <c r="AC260" s="308">
        <f t="shared" si="100"/>
        <v>286.64691339576723</v>
      </c>
      <c r="AD260" s="309">
        <f t="shared" si="93"/>
        <v>80.774034073035878</v>
      </c>
      <c r="AE260" s="107">
        <f t="shared" si="94"/>
        <v>7.2119673279496324E-3</v>
      </c>
      <c r="AF260" s="309">
        <f t="shared" si="101"/>
        <v>205.87287932273136</v>
      </c>
      <c r="AG260" s="107">
        <f t="shared" si="95"/>
        <v>1.8381507082386731E-2</v>
      </c>
      <c r="AH260" s="119">
        <f t="shared" si="102"/>
        <v>2.5593474410336364E-2</v>
      </c>
      <c r="AI260" s="122">
        <f t="shared" si="96"/>
        <v>2.5593474410336364E-2</v>
      </c>
      <c r="AJ260" s="87" t="b">
        <f t="shared" si="103"/>
        <v>1</v>
      </c>
      <c r="AK260" s="88">
        <f t="shared" si="108"/>
        <v>7.0484205007977779E-4</v>
      </c>
      <c r="AL260" s="312">
        <f>+AC260/'MWh by month-WgtbyCDH&amp;DayLtHrs'!AC260-1</f>
        <v>3.1043955820773128E-3</v>
      </c>
      <c r="AM260" s="89">
        <f t="shared" si="97"/>
        <v>336136.27826097998</v>
      </c>
      <c r="AN260" s="93"/>
      <c r="AO260" s="96">
        <f t="shared" si="115"/>
        <v>61.367197415888725</v>
      </c>
      <c r="AP260" s="92">
        <f t="shared" si="114"/>
        <v>5.4792140549900651E-3</v>
      </c>
      <c r="AR260" s="94">
        <f t="shared" si="98"/>
        <v>2.5593474410336364E-2</v>
      </c>
      <c r="AS260" s="95"/>
    </row>
    <row r="261" spans="1:45">
      <c r="A261" s="78">
        <f t="shared" si="111"/>
        <v>2026</v>
      </c>
      <c r="B261" s="78">
        <f t="shared" si="112"/>
        <v>5</v>
      </c>
      <c r="C261" s="317">
        <f t="shared" si="105"/>
        <v>208.47875842628665</v>
      </c>
      <c r="D261" s="324">
        <f t="shared" si="109"/>
        <v>0.10603105035770212</v>
      </c>
      <c r="E261" s="321">
        <f>$D261*'MWh Impact Summary'!B$32</f>
        <v>368289.65205699281</v>
      </c>
      <c r="F261" s="321">
        <f>$D261*'MWh Impact Summary'!N$32</f>
        <v>73437.546304937699</v>
      </c>
      <c r="G261" s="321">
        <f>$D261*'MWh Impact Summary'!C$32</f>
        <v>269796.34371897316</v>
      </c>
      <c r="H261" s="321">
        <f>$D261*'MWh Impact Summary'!D$32</f>
        <v>1356.7064965159698</v>
      </c>
      <c r="I261" s="321">
        <f>$D261*'MWh Impact Summary'!E$32</f>
        <v>95989.504457511139</v>
      </c>
      <c r="J261" s="104">
        <f t="shared" si="99"/>
        <v>808869.75303493079</v>
      </c>
      <c r="K261" s="298">
        <f t="shared" si="106"/>
        <v>10.533333333333333</v>
      </c>
      <c r="L261" s="300">
        <f t="shared" si="110"/>
        <v>7.4152293793265281E-2</v>
      </c>
      <c r="M261" s="297">
        <f t="shared" si="117"/>
        <v>8.4931506849315067E-2</v>
      </c>
      <c r="N261" s="304">
        <f>$M261*'MWh Impact Summary'!F$32</f>
        <v>199941.99910015031</v>
      </c>
      <c r="O261" s="304">
        <f>$M261*'MWh Impact Summary'!G$32</f>
        <v>40642.014969019139</v>
      </c>
      <c r="P261" s="304">
        <f>$M261*'MWh Impact Summary'!H$32</f>
        <v>12517.757415120317</v>
      </c>
      <c r="Q261" s="304">
        <f>$M261*'MWh Impact Summary'!I$32</f>
        <v>2062.4220955829887</v>
      </c>
      <c r="R261" s="304">
        <f>$M261*'MWh Impact Summary'!J$32</f>
        <v>52011.23615889428</v>
      </c>
      <c r="S261" s="304">
        <f>$M261*'MWh Impact Summary'!K$32</f>
        <v>41738.545245949317</v>
      </c>
      <c r="T261" s="304">
        <f>$M261*'MWh Impact Summary'!L$32</f>
        <v>14991.085009939821</v>
      </c>
      <c r="U261" s="304">
        <f>$M261*'MWh Impact Summary'!M$32</f>
        <v>46643.890633818344</v>
      </c>
      <c r="V261" s="304">
        <f>$M261*'LED Impact Forecast'!$H$33+$D261*'LED Impact Forecast'!$J$33</f>
        <v>312801.41393761302</v>
      </c>
      <c r="W261" s="304">
        <f>$M261*'CFL Impact Forecast'!$H$33+$D261*'CFL Impact Forecast'!$J$33</f>
        <v>376232.99755310186</v>
      </c>
      <c r="X261" s="304">
        <f>$M261*'EISA Incand Impact Forecast'!$G$33+$D261*'EISA Incand Impact Forecast'!$I$33</f>
        <v>129366.39007239256</v>
      </c>
      <c r="Y261" s="85">
        <f t="shared" ref="Y261:Y268" si="118">SUM(N261:X261)</f>
        <v>1228949.752191582</v>
      </c>
      <c r="Z261" s="81">
        <f t="shared" ref="Z261:Z268" si="119">Y261+J261</f>
        <v>2037819.5052265129</v>
      </c>
      <c r="AA261" s="81"/>
      <c r="AB261" s="262">
        <f>+'MWh by mo-WgtbyActulCDH&amp;Days'!AB261</f>
        <v>5482057.5816175342</v>
      </c>
      <c r="AC261" s="308">
        <f t="shared" si="100"/>
        <v>371.72530110952147</v>
      </c>
      <c r="AD261" s="309">
        <f t="shared" ref="AD261:AD268" si="120">+J261*1000/AB261</f>
        <v>147.54856930858176</v>
      </c>
      <c r="AE261" s="107">
        <f t="shared" ref="AE261:AE268" si="121">+AD261/K261/1000</f>
        <v>1.4007775567270422E-2</v>
      </c>
      <c r="AF261" s="309">
        <f t="shared" si="101"/>
        <v>224.17673180093968</v>
      </c>
      <c r="AG261" s="107">
        <f t="shared" ref="AG261:AG268" si="122">+AF261/K261/1000</f>
        <v>2.1282601120342373E-2</v>
      </c>
      <c r="AH261" s="119">
        <f t="shared" si="102"/>
        <v>3.5290376687612798E-2</v>
      </c>
      <c r="AI261" s="122">
        <f t="shared" ref="AI261:AI268" si="123">+AC261/K261/1000</f>
        <v>3.5290376687612798E-2</v>
      </c>
      <c r="AJ261" s="87" t="b">
        <f t="shared" si="103"/>
        <v>1</v>
      </c>
      <c r="AK261" s="88">
        <f t="shared" si="108"/>
        <v>8.2828563046556669E-4</v>
      </c>
      <c r="AL261" s="312">
        <f>+AC261/'MWh by month-WgtbyCDH&amp;DayLtHrs'!AC261-1</f>
        <v>8.6973891496439526E-2</v>
      </c>
      <c r="AM261" s="89">
        <f t="shared" ref="AM261:AM268" si="124">+W261</f>
        <v>376232.99755310186</v>
      </c>
      <c r="AN261" s="93"/>
      <c r="AO261" s="96">
        <f t="shared" si="115"/>
        <v>68.629887948402512</v>
      </c>
      <c r="AP261" s="92">
        <f t="shared" si="114"/>
        <v>6.5154956913040362E-3</v>
      </c>
      <c r="AR261" s="94">
        <f t="shared" ref="AR261:AR268" si="125">AI261</f>
        <v>3.5290376687612798E-2</v>
      </c>
      <c r="AS261" s="95"/>
    </row>
    <row r="262" spans="1:45">
      <c r="A262" s="78">
        <f t="shared" si="111"/>
        <v>2026</v>
      </c>
      <c r="B262" s="78">
        <f t="shared" si="112"/>
        <v>6</v>
      </c>
      <c r="C262" s="317">
        <f t="shared" si="105"/>
        <v>271.66325293295364</v>
      </c>
      <c r="D262" s="324">
        <f t="shared" si="109"/>
        <v>0.13816630657965029</v>
      </c>
      <c r="E262" s="321">
        <f>$D262*'MWh Impact Summary'!B$32</f>
        <v>479908.67585065746</v>
      </c>
      <c r="F262" s="321">
        <f>$D262*'MWh Impact Summary'!N$32</f>
        <v>95694.558367526683</v>
      </c>
      <c r="G262" s="321">
        <f>$D262*'MWh Impact Summary'!C$32</f>
        <v>351564.6050339872</v>
      </c>
      <c r="H262" s="321">
        <f>$D262*'MWh Impact Summary'!D$32</f>
        <v>1767.8889825560636</v>
      </c>
      <c r="I262" s="321">
        <f>$D262*'MWh Impact Summary'!E$32</f>
        <v>125081.4290395436</v>
      </c>
      <c r="J262" s="104">
        <f t="shared" ref="J262:J267" si="126">SUM(E262:I262)</f>
        <v>1054017.1572742709</v>
      </c>
      <c r="K262" s="298">
        <f t="shared" si="106"/>
        <v>10.199999999999999</v>
      </c>
      <c r="L262" s="300">
        <f t="shared" si="110"/>
        <v>7.1805702217529022E-2</v>
      </c>
      <c r="M262" s="297">
        <f>(30/365)</f>
        <v>8.2191780821917804E-2</v>
      </c>
      <c r="N262" s="304">
        <f>$M262*'MWh Impact Summary'!F$32</f>
        <v>193492.25719369383</v>
      </c>
      <c r="O262" s="304">
        <f>$M262*'MWh Impact Summary'!G$32</f>
        <v>39330.982228083041</v>
      </c>
      <c r="P262" s="304">
        <f>$M262*'MWh Impact Summary'!H$32</f>
        <v>12113.958788826112</v>
      </c>
      <c r="Q262" s="304">
        <f>$M262*'MWh Impact Summary'!I$32</f>
        <v>1995.8923505641826</v>
      </c>
      <c r="R262" s="304">
        <f>$M262*'MWh Impact Summary'!J$32</f>
        <v>50333.454347317042</v>
      </c>
      <c r="S262" s="304">
        <f>$M262*'MWh Impact Summary'!K$32</f>
        <v>40392.140560596112</v>
      </c>
      <c r="T262" s="304">
        <f>$M262*'MWh Impact Summary'!L$32</f>
        <v>14507.501622522408</v>
      </c>
      <c r="U262" s="304">
        <f>$M262*'MWh Impact Summary'!M$32</f>
        <v>45139.249000469368</v>
      </c>
      <c r="V262" s="304">
        <f>$M262*'LED Impact Forecast'!$H$33+$D262*'LED Impact Forecast'!$J$33</f>
        <v>321412.02459383698</v>
      </c>
      <c r="W262" s="304">
        <f>$M262*'CFL Impact Forecast'!$H$33+$D262*'CFL Impact Forecast'!$J$33</f>
        <v>386379.75186011189</v>
      </c>
      <c r="X262" s="304">
        <f>$M262*'EISA Incand Impact Forecast'!$G$33+$D262*'EISA Incand Impact Forecast'!$I$33</f>
        <v>133338.80260594623</v>
      </c>
      <c r="Y262" s="85">
        <f t="shared" si="118"/>
        <v>1238436.0151519673</v>
      </c>
      <c r="Z262" s="81">
        <f t="shared" si="119"/>
        <v>2292453.1724262382</v>
      </c>
      <c r="AA262" s="81"/>
      <c r="AB262" s="262">
        <f>+'MWh by mo-WgtbyActulCDH&amp;Days'!AB262</f>
        <v>5486653.8083125623</v>
      </c>
      <c r="AC262" s="308">
        <f t="shared" ref="AC262:AC268" si="127">+Z262*1000/AB262</f>
        <v>417.82355011228407</v>
      </c>
      <c r="AD262" s="309">
        <f t="shared" si="120"/>
        <v>192.10564291069008</v>
      </c>
      <c r="AE262" s="107">
        <f t="shared" si="121"/>
        <v>1.8833886559871577E-2</v>
      </c>
      <c r="AF262" s="309">
        <f t="shared" ref="AF262:AF268" si="128">+Y262*1000/AB262</f>
        <v>225.71790720159402</v>
      </c>
      <c r="AG262" s="107">
        <f t="shared" si="122"/>
        <v>2.2129206588391574E-2</v>
      </c>
      <c r="AH262" s="119">
        <f t="shared" ref="AH262:AH268" si="129">AE262+AG262</f>
        <v>4.0963093148263151E-2</v>
      </c>
      <c r="AI262" s="122">
        <f t="shared" si="123"/>
        <v>4.0963093148263151E-2</v>
      </c>
      <c r="AJ262" s="87" t="b">
        <f t="shared" ref="AJ262:AJ268" si="130">AH262=AI262</f>
        <v>1</v>
      </c>
      <c r="AK262" s="88">
        <f t="shared" si="108"/>
        <v>8.7041352393984334E-4</v>
      </c>
      <c r="AL262" s="312">
        <f>+AC262/'MWh by month-WgtbyCDH&amp;DayLtHrs'!AC262-1</f>
        <v>9.610290409882305E-2</v>
      </c>
      <c r="AM262" s="89">
        <f t="shared" si="124"/>
        <v>386379.75186011189</v>
      </c>
      <c r="AN262" s="93"/>
      <c r="AO262" s="96">
        <f t="shared" si="115"/>
        <v>70.421748001436995</v>
      </c>
      <c r="AP262" s="92">
        <f t="shared" si="114"/>
        <v>6.9040929413173536E-3</v>
      </c>
      <c r="AR262" s="94">
        <f t="shared" si="125"/>
        <v>4.0963093148263151E-2</v>
      </c>
      <c r="AS262" s="95"/>
    </row>
    <row r="263" spans="1:45">
      <c r="A263" s="78">
        <f t="shared" si="111"/>
        <v>2026</v>
      </c>
      <c r="B263" s="78">
        <f t="shared" si="112"/>
        <v>7</v>
      </c>
      <c r="C263" s="317">
        <f t="shared" si="105"/>
        <v>322.31916585708109</v>
      </c>
      <c r="D263" s="324">
        <f t="shared" si="109"/>
        <v>0.16392960109808263</v>
      </c>
      <c r="E263" s="321">
        <f>$D263*'MWh Impact Summary'!B$32</f>
        <v>569395.24362515134</v>
      </c>
      <c r="F263" s="321">
        <f>$D263*'MWh Impact Summary'!N$32</f>
        <v>113538.32326264345</v>
      </c>
      <c r="G263" s="321">
        <f>$D263*'MWh Impact Summary'!C$32</f>
        <v>417119.38959736773</v>
      </c>
      <c r="H263" s="321">
        <f>$D263*'MWh Impact Summary'!D$32</f>
        <v>2097.5398624341237</v>
      </c>
      <c r="I263" s="321">
        <f>$D263*'MWh Impact Summary'!E$32</f>
        <v>148404.84105587655</v>
      </c>
      <c r="J263" s="104">
        <f t="shared" si="126"/>
        <v>1250555.3374034732</v>
      </c>
      <c r="K263" s="298">
        <f t="shared" si="106"/>
        <v>10.366666666666667</v>
      </c>
      <c r="L263" s="300">
        <f t="shared" si="110"/>
        <v>7.2978998005397158E-2</v>
      </c>
      <c r="M263" s="297">
        <f t="shared" si="117"/>
        <v>8.4931506849315067E-2</v>
      </c>
      <c r="N263" s="304">
        <f>$M263*'MWh Impact Summary'!F$32</f>
        <v>199941.99910015031</v>
      </c>
      <c r="O263" s="304">
        <f>$M263*'MWh Impact Summary'!G$32</f>
        <v>40642.014969019139</v>
      </c>
      <c r="P263" s="304">
        <f>$M263*'MWh Impact Summary'!H$32</f>
        <v>12517.757415120317</v>
      </c>
      <c r="Q263" s="304">
        <f>$M263*'MWh Impact Summary'!I$32</f>
        <v>2062.4220955829887</v>
      </c>
      <c r="R263" s="304">
        <f>$M263*'MWh Impact Summary'!J$32</f>
        <v>52011.23615889428</v>
      </c>
      <c r="S263" s="304">
        <f>$M263*'MWh Impact Summary'!K$32</f>
        <v>41738.545245949317</v>
      </c>
      <c r="T263" s="304">
        <f>$M263*'MWh Impact Summary'!L$32</f>
        <v>14991.085009939821</v>
      </c>
      <c r="U263" s="304">
        <f>$M263*'MWh Impact Summary'!M$32</f>
        <v>46643.890633818344</v>
      </c>
      <c r="V263" s="304">
        <f>$M263*'LED Impact Forecast'!$H$33+$D263*'LED Impact Forecast'!$J$33</f>
        <v>343253.97798991401</v>
      </c>
      <c r="W263" s="304">
        <f>$M263*'CFL Impact Forecast'!$H$33+$D263*'CFL Impact Forecast'!$J$33</f>
        <v>412518.99657537747</v>
      </c>
      <c r="X263" s="304">
        <f>$M263*'EISA Incand Impact Forecast'!$G$33+$D263*'EISA Incand Impact Forecast'!$I$33</f>
        <v>142630.51004900629</v>
      </c>
      <c r="Y263" s="85">
        <f t="shared" si="118"/>
        <v>1308952.4352427721</v>
      </c>
      <c r="Z263" s="81">
        <f t="shared" si="119"/>
        <v>2559507.7726462455</v>
      </c>
      <c r="AA263" s="81"/>
      <c r="AB263" s="262">
        <f>+'MWh by mo-WgtbyActulCDH&amp;Days'!AB263</f>
        <v>5491282.4171985919</v>
      </c>
      <c r="AC263" s="308">
        <f t="shared" si="127"/>
        <v>466.10383116153633</v>
      </c>
      <c r="AD263" s="309">
        <f t="shared" si="120"/>
        <v>227.73466057523424</v>
      </c>
      <c r="AE263" s="107">
        <f t="shared" si="121"/>
        <v>2.1967973688929349E-2</v>
      </c>
      <c r="AF263" s="309">
        <f t="shared" si="128"/>
        <v>238.36917058630203</v>
      </c>
      <c r="AG263" s="107">
        <f t="shared" si="122"/>
        <v>2.2993810667488939E-2</v>
      </c>
      <c r="AH263" s="119">
        <f t="shared" si="129"/>
        <v>4.4961784356418288E-2</v>
      </c>
      <c r="AI263" s="122">
        <f t="shared" si="123"/>
        <v>4.4961784356418295E-2</v>
      </c>
      <c r="AJ263" s="87" t="b">
        <f t="shared" si="130"/>
        <v>1</v>
      </c>
      <c r="AK263" s="88">
        <f t="shared" si="108"/>
        <v>9.0967620393010012E-4</v>
      </c>
      <c r="AL263" s="312">
        <f>+AC263/'MWh by month-WgtbyCDH&amp;DayLtHrs'!AC263-1</f>
        <v>0.11175499470480266</v>
      </c>
      <c r="AM263" s="89">
        <f t="shared" si="124"/>
        <v>412518.99657537747</v>
      </c>
      <c r="AN263" s="93"/>
      <c r="AO263" s="96">
        <f t="shared" si="115"/>
        <v>75.122524254694284</v>
      </c>
      <c r="AP263" s="92">
        <f t="shared" si="114"/>
        <v>7.2465457480412488E-3</v>
      </c>
      <c r="AR263" s="94">
        <f t="shared" si="125"/>
        <v>4.4961784356418295E-2</v>
      </c>
      <c r="AS263" s="95"/>
    </row>
    <row r="264" spans="1:45">
      <c r="A264" s="78">
        <f t="shared" si="111"/>
        <v>2026</v>
      </c>
      <c r="B264" s="78">
        <f t="shared" si="112"/>
        <v>8</v>
      </c>
      <c r="C264" s="317">
        <f t="shared" si="105"/>
        <v>326.45437890907908</v>
      </c>
      <c r="D264" s="324">
        <f t="shared" si="109"/>
        <v>0.16603274573816959</v>
      </c>
      <c r="E264" s="321">
        <f>$D264*'MWh Impact Summary'!B$32</f>
        <v>576700.33402188041</v>
      </c>
      <c r="F264" s="321">
        <f>$D264*'MWh Impact Summary'!N$32</f>
        <v>114994.96998425302</v>
      </c>
      <c r="G264" s="321">
        <f>$D264*'MWh Impact Summary'!C$32</f>
        <v>422470.84780035063</v>
      </c>
      <c r="H264" s="321">
        <f>$D264*'MWh Impact Summary'!D$32</f>
        <v>2124.4503757855691</v>
      </c>
      <c r="I264" s="321">
        <f>$D264*'MWh Impact Summary'!E$32</f>
        <v>150308.80985674539</v>
      </c>
      <c r="J264" s="104">
        <f t="shared" si="126"/>
        <v>1266599.412039015</v>
      </c>
      <c r="K264" s="298">
        <f t="shared" si="106"/>
        <v>10.933333333333334</v>
      </c>
      <c r="L264" s="300">
        <f t="shared" si="110"/>
        <v>7.6968203684148764E-2</v>
      </c>
      <c r="M264" s="297">
        <f t="shared" si="117"/>
        <v>8.4931506849315067E-2</v>
      </c>
      <c r="N264" s="304">
        <f>$M264*'MWh Impact Summary'!F$32</f>
        <v>199941.99910015031</v>
      </c>
      <c r="O264" s="304">
        <f>$M264*'MWh Impact Summary'!G$32</f>
        <v>40642.014969019139</v>
      </c>
      <c r="P264" s="304">
        <f>$M264*'MWh Impact Summary'!H$32</f>
        <v>12517.757415120317</v>
      </c>
      <c r="Q264" s="304">
        <f>$M264*'MWh Impact Summary'!I$32</f>
        <v>2062.4220955829887</v>
      </c>
      <c r="R264" s="304">
        <f>$M264*'MWh Impact Summary'!J$32</f>
        <v>52011.23615889428</v>
      </c>
      <c r="S264" s="304">
        <f>$M264*'MWh Impact Summary'!K$32</f>
        <v>41738.545245949317</v>
      </c>
      <c r="T264" s="304">
        <f>$M264*'MWh Impact Summary'!L$32</f>
        <v>14991.085009939821</v>
      </c>
      <c r="U264" s="304">
        <f>$M264*'MWh Impact Summary'!M$32</f>
        <v>46643.890633818344</v>
      </c>
      <c r="V264" s="304">
        <f>$M264*'LED Impact Forecast'!$H$33+$D264*'LED Impact Forecast'!$J$33</f>
        <v>344360.15674645465</v>
      </c>
      <c r="W264" s="304">
        <f>$M264*'CFL Impact Forecast'!$H$33+$D264*'CFL Impact Forecast'!$J$33</f>
        <v>413837.07282043062</v>
      </c>
      <c r="X264" s="304">
        <f>$M264*'EISA Incand Impact Forecast'!$G$33+$D264*'EISA Incand Impact Forecast'!$I$33</f>
        <v>143112.32457592551</v>
      </c>
      <c r="Y264" s="85">
        <f t="shared" si="118"/>
        <v>1311858.5047712852</v>
      </c>
      <c r="Z264" s="81">
        <f t="shared" si="119"/>
        <v>2578457.9168103002</v>
      </c>
      <c r="AA264" s="81"/>
      <c r="AB264" s="262">
        <f>+'MWh by mo-WgtbyActulCDH&amp;Days'!AB264</f>
        <v>5495927.0258769719</v>
      </c>
      <c r="AC264" s="308">
        <f t="shared" si="127"/>
        <v>469.15796091722342</v>
      </c>
      <c r="AD264" s="309">
        <f t="shared" si="120"/>
        <v>230.46146829740826</v>
      </c>
      <c r="AE264" s="107">
        <f t="shared" si="121"/>
        <v>2.1078792832080022E-2</v>
      </c>
      <c r="AF264" s="309">
        <f t="shared" si="128"/>
        <v>238.69649261981516</v>
      </c>
      <c r="AG264" s="107">
        <f t="shared" si="122"/>
        <v>2.1831996276202605E-2</v>
      </c>
      <c r="AH264" s="119">
        <f t="shared" si="129"/>
        <v>4.2910789108282624E-2</v>
      </c>
      <c r="AI264" s="122">
        <f t="shared" si="123"/>
        <v>4.2910789108282631E-2</v>
      </c>
      <c r="AJ264" s="87" t="b">
        <f t="shared" si="130"/>
        <v>1</v>
      </c>
      <c r="AK264" s="88">
        <f t="shared" si="108"/>
        <v>8.6431810318991775E-4</v>
      </c>
      <c r="AL264" s="312">
        <f>+AC264/'MWh by month-WgtbyCDH&amp;DayLtHrs'!AC264-1</f>
        <v>8.9502582010040133E-2</v>
      </c>
      <c r="AM264" s="89">
        <f t="shared" si="124"/>
        <v>413837.07282043062</v>
      </c>
      <c r="AN264" s="93"/>
      <c r="AO264" s="96">
        <f t="shared" si="115"/>
        <v>75.298866027864634</v>
      </c>
      <c r="AP264" s="92">
        <f t="shared" si="114"/>
        <v>6.8870914049876187E-3</v>
      </c>
      <c r="AR264" s="94">
        <f t="shared" si="125"/>
        <v>4.2910789108282631E-2</v>
      </c>
      <c r="AS264" s="95"/>
    </row>
    <row r="265" spans="1:45">
      <c r="A265" s="78">
        <f t="shared" si="111"/>
        <v>2026</v>
      </c>
      <c r="B265" s="78">
        <f t="shared" si="112"/>
        <v>9</v>
      </c>
      <c r="C265" s="317">
        <f t="shared" si="105"/>
        <v>277.87653293728147</v>
      </c>
      <c r="D265" s="324">
        <f t="shared" si="109"/>
        <v>0.14132634365008559</v>
      </c>
      <c r="E265" s="321">
        <f>$D265*'MWh Impact Summary'!B$32</f>
        <v>490884.79038721666</v>
      </c>
      <c r="F265" s="321">
        <f>$D265*'MWh Impact Summary'!N$32</f>
        <v>97883.213180456718</v>
      </c>
      <c r="G265" s="321">
        <f>$D265*'MWh Impact Summary'!C$32</f>
        <v>359605.32937599532</v>
      </c>
      <c r="H265" s="321">
        <f>$D265*'MWh Impact Summary'!D$32</f>
        <v>1808.3228253618038</v>
      </c>
      <c r="I265" s="321">
        <f>$D265*'MWh Impact Summary'!E$32</f>
        <v>127942.19851636334</v>
      </c>
      <c r="J265" s="104">
        <f t="shared" si="126"/>
        <v>1078123.8542853938</v>
      </c>
      <c r="K265" s="298">
        <f t="shared" si="106"/>
        <v>11.683333333333334</v>
      </c>
      <c r="L265" s="300">
        <f t="shared" si="110"/>
        <v>8.2248034729555317E-2</v>
      </c>
      <c r="M265" s="297">
        <f>(30/365)</f>
        <v>8.2191780821917804E-2</v>
      </c>
      <c r="N265" s="304">
        <f>$M265*'MWh Impact Summary'!F$32</f>
        <v>193492.25719369383</v>
      </c>
      <c r="O265" s="304">
        <f>$M265*'MWh Impact Summary'!G$32</f>
        <v>39330.982228083041</v>
      </c>
      <c r="P265" s="304">
        <f>$M265*'MWh Impact Summary'!H$32</f>
        <v>12113.958788826112</v>
      </c>
      <c r="Q265" s="304">
        <f>$M265*'MWh Impact Summary'!I$32</f>
        <v>1995.8923505641826</v>
      </c>
      <c r="R265" s="304">
        <f>$M265*'MWh Impact Summary'!J$32</f>
        <v>50333.454347317042</v>
      </c>
      <c r="S265" s="304">
        <f>$M265*'MWh Impact Summary'!K$32</f>
        <v>40392.140560596112</v>
      </c>
      <c r="T265" s="304">
        <f>$M265*'MWh Impact Summary'!L$32</f>
        <v>14507.501622522408</v>
      </c>
      <c r="U265" s="304">
        <f>$M265*'MWh Impact Summary'!M$32</f>
        <v>45139.249000469368</v>
      </c>
      <c r="V265" s="304">
        <f>$M265*'LED Impact Forecast'!$H$33+$D265*'LED Impact Forecast'!$J$33</f>
        <v>323074.09091612854</v>
      </c>
      <c r="W265" s="304">
        <f>$M265*'CFL Impact Forecast'!$H$33+$D265*'CFL Impact Forecast'!$J$33</f>
        <v>388360.20043061813</v>
      </c>
      <c r="X265" s="304">
        <f>$M265*'EISA Incand Impact Forecast'!$G$33+$D265*'EISA Incand Impact Forecast'!$I$33</f>
        <v>134062.74319334968</v>
      </c>
      <c r="Y265" s="85">
        <f t="shared" si="118"/>
        <v>1242802.4706321685</v>
      </c>
      <c r="Z265" s="81">
        <f t="shared" si="119"/>
        <v>2320926.3249175623</v>
      </c>
      <c r="AA265" s="81"/>
      <c r="AB265" s="262">
        <f>+'MWh by mo-WgtbyActulCDH&amp;Days'!AB265</f>
        <v>5500513.1358683985</v>
      </c>
      <c r="AC265" s="308">
        <f t="shared" si="127"/>
        <v>421.94723793731004</v>
      </c>
      <c r="AD265" s="309">
        <f t="shared" si="120"/>
        <v>196.00423226971972</v>
      </c>
      <c r="AE265" s="107">
        <f t="shared" si="121"/>
        <v>1.6776396485282712E-2</v>
      </c>
      <c r="AF265" s="309">
        <f t="shared" si="128"/>
        <v>225.94300566759031</v>
      </c>
      <c r="AG265" s="107">
        <f t="shared" si="122"/>
        <v>1.9338916319622566E-2</v>
      </c>
      <c r="AH265" s="119">
        <f t="shared" si="129"/>
        <v>3.6115312804905278E-2</v>
      </c>
      <c r="AI265" s="122">
        <f t="shared" si="123"/>
        <v>3.6115312804905278E-2</v>
      </c>
      <c r="AJ265" s="87" t="b">
        <f t="shared" si="130"/>
        <v>1</v>
      </c>
      <c r="AK265" s="88">
        <f t="shared" si="108"/>
        <v>7.6144040160421034E-4</v>
      </c>
      <c r="AL265" s="312">
        <f>+AC265/'MWh by month-WgtbyCDH&amp;DayLtHrs'!AC265-1</f>
        <v>3.5119353871007508E-2</v>
      </c>
      <c r="AM265" s="89">
        <f t="shared" si="124"/>
        <v>388360.20043061813</v>
      </c>
      <c r="AN265" s="93"/>
      <c r="AO265" s="96">
        <f t="shared" si="115"/>
        <v>70.604358327617263</v>
      </c>
      <c r="AP265" s="92">
        <f t="shared" si="114"/>
        <v>6.0431690437332888E-3</v>
      </c>
      <c r="AR265" s="94">
        <f t="shared" si="125"/>
        <v>3.6115312804905278E-2</v>
      </c>
      <c r="AS265" s="95"/>
    </row>
    <row r="266" spans="1:45">
      <c r="A266" s="78">
        <f t="shared" si="111"/>
        <v>2026</v>
      </c>
      <c r="B266" s="78">
        <f t="shared" si="112"/>
        <v>10</v>
      </c>
      <c r="C266" s="317">
        <f t="shared" si="105"/>
        <v>198.89039579254836</v>
      </c>
      <c r="D266" s="324">
        <f t="shared" si="109"/>
        <v>0.10115446643644242</v>
      </c>
      <c r="E266" s="321">
        <f>$D266*'MWh Impact Summary'!B$32</f>
        <v>351351.26099580311</v>
      </c>
      <c r="F266" s="321">
        <f>$D266*'MWh Impact Summary'!N$32</f>
        <v>70060.004006532938</v>
      </c>
      <c r="G266" s="321">
        <f>$D266*'MWh Impact Summary'!C$32</f>
        <v>257387.86047414952</v>
      </c>
      <c r="H266" s="321">
        <f>$D266*'MWh Impact Summary'!D$32</f>
        <v>1294.3088020249829</v>
      </c>
      <c r="I266" s="321">
        <f>$D266*'MWh Impact Summary'!E$32</f>
        <v>91574.75168020658</v>
      </c>
      <c r="J266" s="104">
        <f t="shared" si="126"/>
        <v>771668.18595871713</v>
      </c>
      <c r="K266" s="298">
        <f t="shared" si="106"/>
        <v>12.466666666666667</v>
      </c>
      <c r="L266" s="300">
        <f t="shared" si="110"/>
        <v>8.7762524932535488E-2</v>
      </c>
      <c r="M266" s="297">
        <f t="shared" si="117"/>
        <v>8.4931506849315067E-2</v>
      </c>
      <c r="N266" s="304">
        <f>$M266*'MWh Impact Summary'!F$32</f>
        <v>199941.99910015031</v>
      </c>
      <c r="O266" s="304">
        <f>$M266*'MWh Impact Summary'!G$32</f>
        <v>40642.014969019139</v>
      </c>
      <c r="P266" s="304">
        <f>$M266*'MWh Impact Summary'!H$32</f>
        <v>12517.757415120317</v>
      </c>
      <c r="Q266" s="304">
        <f>$M266*'MWh Impact Summary'!I$32</f>
        <v>2062.4220955829887</v>
      </c>
      <c r="R266" s="304">
        <f>$M266*'MWh Impact Summary'!J$32</f>
        <v>52011.23615889428</v>
      </c>
      <c r="S266" s="304">
        <f>$M266*'MWh Impact Summary'!K$32</f>
        <v>41738.545245949317</v>
      </c>
      <c r="T266" s="304">
        <f>$M266*'MWh Impact Summary'!L$32</f>
        <v>14991.085009939821</v>
      </c>
      <c r="U266" s="304">
        <f>$M266*'MWh Impact Summary'!M$32</f>
        <v>46643.890633818344</v>
      </c>
      <c r="V266" s="304">
        <f>$M266*'LED Impact Forecast'!$H$33+$D266*'LED Impact Forecast'!$J$33</f>
        <v>310236.50544992939</v>
      </c>
      <c r="W266" s="304">
        <f>$M266*'CFL Impact Forecast'!$H$33+$D266*'CFL Impact Forecast'!$J$33</f>
        <v>373176.76009748166</v>
      </c>
      <c r="X266" s="304">
        <f>$M266*'EISA Incand Impact Forecast'!$G$33+$D266*'EISA Incand Impact Forecast'!$I$33</f>
        <v>128249.20158700788</v>
      </c>
      <c r="Y266" s="85">
        <f t="shared" si="118"/>
        <v>1222211.4177628933</v>
      </c>
      <c r="Z266" s="81">
        <f t="shared" si="119"/>
        <v>1993879.6037216103</v>
      </c>
      <c r="AA266" s="81"/>
      <c r="AB266" s="262">
        <f>+'MWh by mo-WgtbyActulCDH&amp;Days'!AB266</f>
        <v>5505120.0001729308</v>
      </c>
      <c r="AC266" s="308">
        <f>+Z266*1000/AB266</f>
        <v>362.18640168769747</v>
      </c>
      <c r="AD266" s="309">
        <f t="shared" si="120"/>
        <v>140.17281838261053</v>
      </c>
      <c r="AE266" s="107">
        <f t="shared" si="121"/>
        <v>1.1243808961171968E-2</v>
      </c>
      <c r="AF266" s="309">
        <f t="shared" si="128"/>
        <v>222.01358330508694</v>
      </c>
      <c r="AG266" s="107">
        <f t="shared" si="122"/>
        <v>1.7808576200942804E-2</v>
      </c>
      <c r="AH266" s="119">
        <f t="shared" si="129"/>
        <v>2.9052385162114773E-2</v>
      </c>
      <c r="AI266" s="122">
        <f t="shared" si="123"/>
        <v>2.905238516211477E-2</v>
      </c>
      <c r="AJ266" s="87" t="b">
        <f t="shared" si="130"/>
        <v>1</v>
      </c>
      <c r="AK266" s="88">
        <f t="shared" si="108"/>
        <v>6.9208200923433216E-4</v>
      </c>
      <c r="AL266" s="312">
        <f>+AC266/'MWh by month-WgtbyCDH&amp;DayLtHrs'!AC266-1</f>
        <v>-4.3506398088369869E-3</v>
      </c>
      <c r="AM266" s="89">
        <f t="shared" si="124"/>
        <v>373176.76009748166</v>
      </c>
      <c r="AN266" s="93"/>
      <c r="AO266" s="96">
        <f t="shared" si="115"/>
        <v>67.787216279710378</v>
      </c>
      <c r="AP266" s="92">
        <f t="shared" si="114"/>
        <v>5.4374772416879982E-3</v>
      </c>
      <c r="AR266" s="94">
        <f t="shared" si="125"/>
        <v>2.905238516211477E-2</v>
      </c>
      <c r="AS266" s="95"/>
    </row>
    <row r="267" spans="1:45">
      <c r="A267" s="78">
        <f t="shared" si="111"/>
        <v>2026</v>
      </c>
      <c r="B267" s="78">
        <f t="shared" si="112"/>
        <v>11</v>
      </c>
      <c r="C267" s="317">
        <f t="shared" si="105"/>
        <v>78.117279066674627</v>
      </c>
      <c r="D267" s="324">
        <f t="shared" si="109"/>
        <v>3.9729981188725644E-2</v>
      </c>
      <c r="E267" s="321">
        <f>$D267*'MWh Impact Summary'!B$32</f>
        <v>137998.64189654097</v>
      </c>
      <c r="F267" s="321">
        <f>$D267*'MWh Impact Summary'!N$32</f>
        <v>27517.150149870253</v>
      </c>
      <c r="G267" s="321">
        <f>$D267*'MWh Impact Summary'!C$32</f>
        <v>101093.06306577705</v>
      </c>
      <c r="H267" s="321">
        <f>$D267*'MWh Impact Summary'!D$32</f>
        <v>508.35980029774277</v>
      </c>
      <c r="I267" s="321">
        <f>$D267*'MWh Impact Summary'!E$32</f>
        <v>35967.40005447837</v>
      </c>
      <c r="J267" s="104">
        <f t="shared" si="126"/>
        <v>303084.61496696441</v>
      </c>
      <c r="K267" s="298">
        <f t="shared" si="106"/>
        <v>13.15</v>
      </c>
      <c r="L267" s="300">
        <f t="shared" si="110"/>
        <v>9.2573037662794788E-2</v>
      </c>
      <c r="M267" s="297">
        <f>(30/365)</f>
        <v>8.2191780821917804E-2</v>
      </c>
      <c r="N267" s="304">
        <f>$M267*'MWh Impact Summary'!F$32</f>
        <v>193492.25719369383</v>
      </c>
      <c r="O267" s="304">
        <f>$M267*'MWh Impact Summary'!G$32</f>
        <v>39330.982228083041</v>
      </c>
      <c r="P267" s="304">
        <f>$M267*'MWh Impact Summary'!H$32</f>
        <v>12113.958788826112</v>
      </c>
      <c r="Q267" s="304">
        <f>$M267*'MWh Impact Summary'!I$32</f>
        <v>1995.8923505641826</v>
      </c>
      <c r="R267" s="304">
        <f>$M267*'MWh Impact Summary'!J$32</f>
        <v>50333.454347317042</v>
      </c>
      <c r="S267" s="304">
        <f>$M267*'MWh Impact Summary'!K$32</f>
        <v>40392.140560596112</v>
      </c>
      <c r="T267" s="304">
        <f>$M267*'MWh Impact Summary'!L$32</f>
        <v>14507.501622522408</v>
      </c>
      <c r="U267" s="304">
        <f>$M267*'MWh Impact Summary'!M$32</f>
        <v>45139.249000469368</v>
      </c>
      <c r="V267" s="304">
        <f>$M267*'LED Impact Forecast'!$H$33+$D267*'LED Impact Forecast'!$J$33</f>
        <v>269638.04293613002</v>
      </c>
      <c r="W267" s="304">
        <f>$M267*'CFL Impact Forecast'!$H$33+$D267*'CFL Impact Forecast'!$J$33</f>
        <v>324688.04522469256</v>
      </c>
      <c r="X267" s="304">
        <f>$M267*'EISA Incand Impact Forecast'!$G$33+$D267*'EISA Incand Impact Forecast'!$I$33</f>
        <v>110787.78512198714</v>
      </c>
      <c r="Y267" s="85">
        <f t="shared" si="118"/>
        <v>1102419.3093748819</v>
      </c>
      <c r="Z267" s="81">
        <f t="shared" si="119"/>
        <v>1405503.9243418463</v>
      </c>
      <c r="AA267" s="81"/>
      <c r="AB267" s="262">
        <f>+'MWh by mo-WgtbyActulCDH&amp;Days'!AB267</f>
        <v>5509732.4814156815</v>
      </c>
      <c r="AC267" s="308">
        <f t="shared" si="127"/>
        <v>255.09476713844251</v>
      </c>
      <c r="AD267" s="309">
        <f t="shared" si="120"/>
        <v>55.008952973536978</v>
      </c>
      <c r="AE267" s="107">
        <f t="shared" si="121"/>
        <v>4.1831903401929257E-3</v>
      </c>
      <c r="AF267" s="309">
        <f t="shared" si="128"/>
        <v>200.08581416490554</v>
      </c>
      <c r="AG267" s="107">
        <f t="shared" si="122"/>
        <v>1.5215651267293196E-2</v>
      </c>
      <c r="AH267" s="119">
        <f t="shared" si="129"/>
        <v>1.9398841607486124E-2</v>
      </c>
      <c r="AI267" s="122">
        <f t="shared" si="123"/>
        <v>1.9398841607486124E-2</v>
      </c>
      <c r="AJ267" s="87" t="b">
        <f t="shared" si="130"/>
        <v>1</v>
      </c>
      <c r="AK267" s="88">
        <f t="shared" si="108"/>
        <v>5.7958715270732541E-4</v>
      </c>
      <c r="AL267" s="312">
        <f>+AC267/'MWh by month-WgtbyCDH&amp;DayLtHrs'!AC267-1</f>
        <v>-0.11733321409707509</v>
      </c>
      <c r="AM267" s="89">
        <f t="shared" si="124"/>
        <v>324688.04522469256</v>
      </c>
      <c r="AN267" s="93"/>
      <c r="AO267" s="96">
        <f t="shared" si="115"/>
        <v>58.92991108368053</v>
      </c>
      <c r="AP267" s="92">
        <f t="shared" si="114"/>
        <v>4.4813620595954779E-3</v>
      </c>
      <c r="AR267" s="94">
        <f t="shared" si="125"/>
        <v>1.9398841607486124E-2</v>
      </c>
      <c r="AS267" s="95"/>
    </row>
    <row r="268" spans="1:45">
      <c r="A268" s="78">
        <f t="shared" si="111"/>
        <v>2026</v>
      </c>
      <c r="B268" s="78">
        <f t="shared" si="112"/>
        <v>12</v>
      </c>
      <c r="C268" s="317">
        <f>+C256</f>
        <v>42.633806123140985</v>
      </c>
      <c r="D268" s="324">
        <f>D256</f>
        <v>2.1683298951445065E-2</v>
      </c>
      <c r="E268" s="321">
        <f>$D268*'MWh Impact Summary'!B$32</f>
        <v>75315.057234037624</v>
      </c>
      <c r="F268" s="321">
        <f>$D268*'MWh Impact Summary'!N$32</f>
        <v>15017.943002720467</v>
      </c>
      <c r="G268" s="321">
        <f>$D268*'MWh Impact Summary'!C$32</f>
        <v>55173.222910927929</v>
      </c>
      <c r="H268" s="321">
        <f>$D268*'MWh Impact Summary'!D$32</f>
        <v>277.44582793512348</v>
      </c>
      <c r="I268" s="321">
        <f>$D268*'MWh Impact Summary'!E$32</f>
        <v>19629.807630233398</v>
      </c>
      <c r="J268" s="104">
        <f>SUM(E268:I268)</f>
        <v>165413.47660585455</v>
      </c>
      <c r="K268" s="298">
        <f t="shared" si="106"/>
        <v>13.483333333333333</v>
      </c>
      <c r="L268" s="300">
        <f>L256</f>
        <v>9.491962923853102E-2</v>
      </c>
      <c r="M268" s="297">
        <f t="shared" si="117"/>
        <v>8.4931506849315067E-2</v>
      </c>
      <c r="N268" s="304">
        <f>$M268*'MWh Impact Summary'!F$32</f>
        <v>199941.99910015031</v>
      </c>
      <c r="O268" s="304">
        <f>$M268*'MWh Impact Summary'!G$32</f>
        <v>40642.014969019139</v>
      </c>
      <c r="P268" s="304">
        <f>$M268*'MWh Impact Summary'!H$32</f>
        <v>12517.757415120317</v>
      </c>
      <c r="Q268" s="304">
        <f>$M268*'MWh Impact Summary'!I$32</f>
        <v>2062.4220955829887</v>
      </c>
      <c r="R268" s="304">
        <f>$M268*'MWh Impact Summary'!J$32</f>
        <v>52011.23615889428</v>
      </c>
      <c r="S268" s="304">
        <f>$M268*'MWh Impact Summary'!K$32</f>
        <v>41738.545245949317</v>
      </c>
      <c r="T268" s="304">
        <f>$M268*'MWh Impact Summary'!L$32</f>
        <v>14991.085009939821</v>
      </c>
      <c r="U268" s="304">
        <f>$M268*'MWh Impact Summary'!M$32</f>
        <v>46643.890633818344</v>
      </c>
      <c r="V268" s="304">
        <f>$M268*'LED Impact Forecast'!$H$33+$D268*'LED Impact Forecast'!$J$33</f>
        <v>268437.5176134315</v>
      </c>
      <c r="W268" s="304">
        <f>$M268*'CFL Impact Forecast'!$H$33+$D268*'CFL Impact Forecast'!$J$33</f>
        <v>323370.83803579997</v>
      </c>
      <c r="X268" s="304">
        <f>$M268*'EISA Incand Impact Forecast'!$G$33+$D268*'EISA Incand Impact Forecast'!$I$33</f>
        <v>110042.95830936065</v>
      </c>
      <c r="Y268" s="85">
        <f t="shared" si="118"/>
        <v>1112400.2645870666</v>
      </c>
      <c r="Z268" s="81">
        <f t="shared" si="119"/>
        <v>1277813.7411929211</v>
      </c>
      <c r="AA268" s="81">
        <f>SUM(Z257:Z268)</f>
        <v>21755230.195876304</v>
      </c>
      <c r="AB268" s="262">
        <f>+'MWh by mo-WgtbyActulCDH&amp;Days'!AB268</f>
        <v>5514345.5968124717</v>
      </c>
      <c r="AC268" s="308">
        <f t="shared" si="127"/>
        <v>231.72536409969521</v>
      </c>
      <c r="AD268" s="309">
        <f t="shared" si="120"/>
        <v>29.99693684441371</v>
      </c>
      <c r="AE268" s="107">
        <f t="shared" si="121"/>
        <v>2.2247419167673952E-3</v>
      </c>
      <c r="AF268" s="309">
        <f t="shared" si="128"/>
        <v>201.72842725528153</v>
      </c>
      <c r="AG268" s="107">
        <f t="shared" si="122"/>
        <v>1.4961317225360806E-2</v>
      </c>
      <c r="AH268" s="119">
        <f t="shared" si="129"/>
        <v>1.7186059142128202E-2</v>
      </c>
      <c r="AI268" s="122">
        <f t="shared" si="123"/>
        <v>1.7186059142128202E-2</v>
      </c>
      <c r="AJ268" s="87" t="b">
        <f t="shared" si="130"/>
        <v>1</v>
      </c>
      <c r="AK268" s="88">
        <f t="shared" si="108"/>
        <v>5.6582047119570905E-4</v>
      </c>
      <c r="AL268" s="312">
        <f>+AC268/'MWh by month-WgtbyCDH&amp;DayLtHrs'!AC268-1</f>
        <v>-0.1384288162187759</v>
      </c>
      <c r="AM268" s="89">
        <f t="shared" si="124"/>
        <v>323370.83803579997</v>
      </c>
      <c r="AN268" s="90">
        <f>SUM(AM257:AM268)</f>
        <v>4274144.7898707725</v>
      </c>
      <c r="AO268" s="96">
        <f t="shared" si="115"/>
        <v>58.641743133169271</v>
      </c>
      <c r="AP268" s="92">
        <f t="shared" si="114"/>
        <v>4.3492022101238028E-3</v>
      </c>
      <c r="AR268" s="94">
        <f t="shared" si="125"/>
        <v>1.7186059142128202E-2</v>
      </c>
      <c r="AS268" s="95"/>
    </row>
    <row r="269" spans="1:45">
      <c r="C269" s="325"/>
      <c r="D269" s="324"/>
      <c r="E269" s="321"/>
      <c r="F269" s="319"/>
      <c r="G269" s="319"/>
      <c r="H269" s="319"/>
      <c r="I269" s="319"/>
      <c r="J269" s="104"/>
      <c r="K269" s="83"/>
      <c r="L269" s="84"/>
      <c r="M269" s="84"/>
      <c r="N269" s="85"/>
      <c r="O269" s="85"/>
      <c r="P269" s="85"/>
      <c r="Q269" s="85"/>
      <c r="R269" s="85"/>
      <c r="S269" s="85"/>
      <c r="T269" s="85"/>
      <c r="U269" s="85"/>
      <c r="V269" s="85"/>
      <c r="W269" s="85"/>
      <c r="X269" s="85"/>
      <c r="Y269" s="85"/>
      <c r="Z269" s="81"/>
      <c r="AA269" s="81"/>
      <c r="AB269" s="81"/>
      <c r="AC269" s="140"/>
      <c r="AD269" s="118"/>
      <c r="AE269" s="107"/>
      <c r="AF269" s="118"/>
      <c r="AG269" s="107"/>
      <c r="AH269" s="119"/>
      <c r="AI269" s="122"/>
      <c r="AJ269" s="87"/>
      <c r="AK269" s="88"/>
      <c r="AM269" s="89"/>
      <c r="AN269" s="90"/>
      <c r="AO269" s="96"/>
      <c r="AP269" s="92"/>
      <c r="AR269" s="94"/>
      <c r="AS269" s="95"/>
    </row>
    <row r="270" spans="1:45">
      <c r="C270" s="325"/>
      <c r="D270" s="324"/>
      <c r="E270" s="321"/>
      <c r="F270" s="319"/>
      <c r="G270" s="319"/>
      <c r="H270" s="319"/>
      <c r="I270" s="319"/>
      <c r="J270" s="104"/>
      <c r="K270" s="83"/>
      <c r="L270" s="84"/>
      <c r="M270" s="84"/>
      <c r="N270" s="85"/>
      <c r="O270" s="85"/>
      <c r="P270" s="85"/>
      <c r="Q270" s="85"/>
      <c r="R270" s="85"/>
      <c r="S270" s="85"/>
      <c r="T270" s="85"/>
      <c r="U270" s="85"/>
      <c r="V270" s="85"/>
      <c r="W270" s="85"/>
      <c r="X270" s="85"/>
      <c r="Y270" s="85"/>
      <c r="Z270" s="81"/>
      <c r="AA270" s="81"/>
      <c r="AB270" s="81"/>
      <c r="AC270" s="140"/>
      <c r="AD270" s="118"/>
      <c r="AE270" s="107"/>
      <c r="AF270" s="118"/>
      <c r="AG270" s="107"/>
      <c r="AH270" s="119"/>
      <c r="AI270" s="122"/>
      <c r="AJ270" s="87"/>
      <c r="AK270" s="88"/>
      <c r="AM270" s="89"/>
      <c r="AN270" s="90"/>
      <c r="AO270" s="96"/>
      <c r="AP270" s="92"/>
      <c r="AR270" s="94"/>
      <c r="AS270" s="95"/>
    </row>
    <row r="271" spans="1:45">
      <c r="F271" s="319"/>
      <c r="J271" s="321">
        <f>SUM(J5:J268)</f>
        <v>93951928.573862925</v>
      </c>
      <c r="L271" s="97"/>
      <c r="M271" s="97"/>
      <c r="N271" s="81"/>
      <c r="O271" s="81"/>
      <c r="P271" s="81"/>
      <c r="Q271" s="81"/>
      <c r="R271" s="81"/>
      <c r="S271" s="81"/>
      <c r="T271" s="81"/>
      <c r="U271" s="81"/>
      <c r="V271" s="81"/>
      <c r="W271" s="81"/>
      <c r="X271" s="81"/>
      <c r="Y271" s="81"/>
      <c r="Z271" s="81">
        <f>SUM(Z5:Z268)</f>
        <v>236435929.49524164</v>
      </c>
      <c r="AA271" s="81"/>
      <c r="AB271" s="81"/>
      <c r="AD271" s="102"/>
      <c r="AI271" s="78"/>
      <c r="AJ271" s="78"/>
      <c r="AK271" s="78"/>
      <c r="AL271" s="102"/>
      <c r="AM271" s="102"/>
    </row>
    <row r="272" spans="1:45">
      <c r="F272" s="319"/>
      <c r="L272" s="97"/>
      <c r="M272" s="97"/>
      <c r="N272" s="81"/>
      <c r="O272" s="81"/>
      <c r="P272" s="81"/>
      <c r="Q272" s="81"/>
      <c r="R272" s="81"/>
      <c r="S272" s="81"/>
      <c r="T272" s="81"/>
      <c r="U272" s="81"/>
      <c r="V272" s="81"/>
      <c r="W272" s="81"/>
      <c r="X272" s="81"/>
      <c r="Y272" s="81"/>
      <c r="Z272" s="81">
        <f>SUM('MWh Impact Summary'!R11:R32)</f>
        <v>236435929.49524158</v>
      </c>
      <c r="AA272" s="103"/>
      <c r="AB272" s="103"/>
      <c r="AC272" s="86">
        <f>SUM(AC5:AC271)</f>
        <v>46559.432480164374</v>
      </c>
      <c r="AD272" s="126">
        <f>SUM(AD5:AD271)</f>
        <v>18577.957887137065</v>
      </c>
      <c r="AF272" s="86">
        <f>SUM(AF5:AF271)</f>
        <v>27981.474593027295</v>
      </c>
      <c r="AG272" s="82"/>
      <c r="AI272" s="78"/>
      <c r="AJ272" s="82"/>
      <c r="AK272" s="124">
        <f>SUM(AK5:AK220)</f>
        <v>0.30725882258278026</v>
      </c>
      <c r="AL272" s="104"/>
      <c r="AP272" s="125">
        <f>SUM(AP5:AP220)</f>
        <v>0.84218451867704269</v>
      </c>
    </row>
    <row r="273" spans="1:39">
      <c r="F273" s="319"/>
      <c r="L273" s="97"/>
      <c r="M273" s="97"/>
      <c r="N273" s="81"/>
      <c r="O273" s="81"/>
      <c r="P273" s="81"/>
      <c r="Q273" s="81"/>
      <c r="R273" s="81"/>
      <c r="S273" s="81"/>
      <c r="T273" s="81"/>
      <c r="U273" s="81"/>
      <c r="V273" s="81"/>
      <c r="W273" s="81"/>
      <c r="X273" s="81"/>
      <c r="Y273" s="81"/>
      <c r="Z273" s="81">
        <f>+Z272-Z271</f>
        <v>0</v>
      </c>
      <c r="AA273" s="105"/>
      <c r="AB273" s="105"/>
      <c r="AD273" s="102"/>
      <c r="AI273" s="78"/>
      <c r="AJ273" s="78"/>
      <c r="AK273" s="78"/>
      <c r="AL273" s="102"/>
      <c r="AM273" s="102"/>
    </row>
    <row r="274" spans="1:39" ht="13.8" thickBot="1">
      <c r="L274" s="97"/>
      <c r="M274" s="97"/>
      <c r="AC274" s="86">
        <f>AF272+AD272</f>
        <v>46559.43248016436</v>
      </c>
      <c r="AD274" s="102"/>
      <c r="AI274" s="78"/>
      <c r="AJ274" s="78"/>
      <c r="AK274" s="78"/>
      <c r="AL274" s="102"/>
      <c r="AM274" s="102"/>
    </row>
    <row r="275" spans="1:39" ht="13.8" thickBot="1">
      <c r="A275" s="78">
        <v>2005</v>
      </c>
      <c r="J275" s="319">
        <f>SUM(J5:J16)</f>
        <v>104508.94023145307</v>
      </c>
      <c r="K275" s="81">
        <f>SUM('MWh Impact Summary'!B11:E11,'MWh Impact Summary'!N11)</f>
        <v>104508.94023145307</v>
      </c>
      <c r="L275" s="97"/>
      <c r="M275" s="97"/>
      <c r="W275" s="81"/>
      <c r="X275" s="81"/>
      <c r="Y275" s="81">
        <f>SUM(Y5:Y16)</f>
        <v>0</v>
      </c>
      <c r="Z275" s="81">
        <f>SUM(Z5:Z16)</f>
        <v>104508.94023145307</v>
      </c>
      <c r="AA275" s="81">
        <f>+Z275-'MWh by month- AllWgtbyCDH'!Y275</f>
        <v>0</v>
      </c>
      <c r="AB275" s="81">
        <f>AVERAGE(AB5:AB16)</f>
        <v>4321895.166666667</v>
      </c>
      <c r="AD275" s="102"/>
      <c r="AI275" s="127" t="s">
        <v>251</v>
      </c>
      <c r="AJ275" s="128">
        <f>SUM('MWh Impact Summary'!M11:M28)</f>
        <v>1635736.7688186388</v>
      </c>
      <c r="AK275" s="129"/>
      <c r="AL275" s="130"/>
      <c r="AM275" s="131">
        <f>SUM(AM5:AM271)</f>
        <v>64652532.055073403</v>
      </c>
    </row>
    <row r="276" spans="1:39">
      <c r="A276" s="78">
        <v>2006</v>
      </c>
      <c r="J276" s="319">
        <f>SUM(J17:J28)</f>
        <v>523995.00862670643</v>
      </c>
      <c r="K276" s="81">
        <f>SUM('MWh Impact Summary'!B12:E12,'MWh Impact Summary'!N12)</f>
        <v>523995.00862670649</v>
      </c>
      <c r="L276" s="97"/>
      <c r="M276" s="97"/>
      <c r="W276" s="81"/>
      <c r="X276" s="81"/>
      <c r="Y276" s="81">
        <f>SUM(Y17:Y28)</f>
        <v>1367.8209417769033</v>
      </c>
      <c r="Z276" s="81">
        <f>SUM(Z17:Z28)</f>
        <v>525362.82956848328</v>
      </c>
      <c r="AA276" s="81">
        <f>+Z276-'MWh by month- AllWgtbyCDH'!Y276</f>
        <v>0</v>
      </c>
      <c r="AB276" s="81">
        <f>AVERAGE(AB17:AB28)</f>
        <v>4409562.5</v>
      </c>
      <c r="AC276" s="86"/>
      <c r="AD276" s="102"/>
      <c r="AF276" s="106"/>
      <c r="AI276" s="78"/>
      <c r="AJ276" s="78"/>
      <c r="AK276" s="78"/>
      <c r="AL276" s="102"/>
      <c r="AM276" s="102"/>
    </row>
    <row r="277" spans="1:39">
      <c r="A277" s="78">
        <v>2007</v>
      </c>
      <c r="J277" s="319">
        <f>SUM(J29:J40)</f>
        <v>939574.41399289889</v>
      </c>
      <c r="K277" s="81">
        <f>SUM('MWh Impact Summary'!B13:E13,'MWh Impact Summary'!N13)</f>
        <v>939574.41399289877</v>
      </c>
      <c r="L277" s="97"/>
      <c r="M277" s="97"/>
      <c r="W277" s="81"/>
      <c r="X277" s="81"/>
      <c r="Y277" s="81">
        <f>SUM(Y29:Y40)</f>
        <v>136056.66988666815</v>
      </c>
      <c r="Z277" s="81">
        <f>SUM(Z29:Z40)</f>
        <v>1075631.0838795668</v>
      </c>
      <c r="AA277" s="81">
        <f>+Z277-'MWh by month- AllWgtbyCDH'!Y277</f>
        <v>0</v>
      </c>
      <c r="AB277" s="81">
        <f>AVERAGE(AB29:AB40)</f>
        <v>4496589.333333333</v>
      </c>
      <c r="AD277" s="102"/>
    </row>
    <row r="278" spans="1:39">
      <c r="A278" s="78">
        <v>2008</v>
      </c>
      <c r="J278" s="319">
        <f>SUM(J41:J52)</f>
        <v>1258245.6704983776</v>
      </c>
      <c r="K278" s="81">
        <f>SUM('MWh Impact Summary'!B14:E14,'MWh Impact Summary'!N14)</f>
        <v>1258245.6704983781</v>
      </c>
      <c r="L278" s="97"/>
      <c r="M278" s="97"/>
      <c r="W278" s="81"/>
      <c r="X278" s="81"/>
      <c r="Y278" s="81">
        <f>SUM(Y41:Y52)</f>
        <v>1754902.861468164</v>
      </c>
      <c r="Z278" s="81">
        <f>SUM(Z41:Z52)</f>
        <v>3013148.5319665424</v>
      </c>
      <c r="AA278" s="81">
        <f>+Z278-'MWh by month- AllWgtbyCDH'!Y278</f>
        <v>0</v>
      </c>
      <c r="AB278" s="81">
        <f>AVERAGE(AB41:AB52)</f>
        <v>4509730.166666667</v>
      </c>
    </row>
    <row r="279" spans="1:39">
      <c r="A279" s="78">
        <v>2009</v>
      </c>
      <c r="J279" s="319">
        <f>SUM(J53:J64)</f>
        <v>1548378.2378467501</v>
      </c>
      <c r="K279" s="81">
        <f>SUM('MWh Impact Summary'!B15:E15,'MWh Impact Summary'!N15)</f>
        <v>1548378.2378467503</v>
      </c>
      <c r="L279" s="97"/>
      <c r="M279" s="97"/>
      <c r="W279" s="81"/>
      <c r="X279" s="81"/>
      <c r="Y279" s="81">
        <f>SUM(Y53:Y64)</f>
        <v>2178220.0368855577</v>
      </c>
      <c r="Z279" s="81">
        <f>SUM(Z53:Z64)</f>
        <v>3726598.2747323085</v>
      </c>
      <c r="AA279" s="81">
        <f>+Z279-'MWh by month- AllWgtbyCDH'!Y279</f>
        <v>0</v>
      </c>
      <c r="AB279" s="81">
        <f>AVERAGE(AB53:AB64)</f>
        <v>4499066.75</v>
      </c>
    </row>
    <row r="280" spans="1:39">
      <c r="A280" s="78">
        <v>2010</v>
      </c>
      <c r="J280" s="319">
        <f>SUM(J65:J76)</f>
        <v>1882877.3064484617</v>
      </c>
      <c r="K280" s="81">
        <f>SUM('MWh Impact Summary'!B16:E16,'MWh Impact Summary'!N16)</f>
        <v>1882877.306448462</v>
      </c>
      <c r="L280" s="97"/>
      <c r="M280" s="97"/>
      <c r="W280" s="81"/>
      <c r="X280" s="81"/>
      <c r="Y280" s="81">
        <f>SUM(Y65:Y76)</f>
        <v>2611128.6782838134</v>
      </c>
      <c r="Z280" s="81">
        <f>SUM(Z65:Z76)</f>
        <v>4494005.9847322749</v>
      </c>
      <c r="AA280" s="81">
        <f>+Z280-'MWh by month- AllWgtbyCDH'!Y280</f>
        <v>0</v>
      </c>
      <c r="AB280" s="81">
        <f>AVERAGE(AB65:AB76)</f>
        <v>4520327.666666667</v>
      </c>
    </row>
    <row r="281" spans="1:39">
      <c r="A281" s="78">
        <v>2011</v>
      </c>
      <c r="J281" s="319">
        <f>SUM(J77:J88)</f>
        <v>2255529.351642882</v>
      </c>
      <c r="K281" s="81">
        <f>SUM('MWh Impact Summary'!B17:E17,'MWh Impact Summary'!N17)</f>
        <v>2255529.3516428825</v>
      </c>
      <c r="L281" s="97"/>
      <c r="M281" s="97"/>
      <c r="W281" s="81"/>
      <c r="X281" s="81"/>
      <c r="Y281" s="81">
        <f>SUM(Y77:Y88)</f>
        <v>3035487.0522158351</v>
      </c>
      <c r="Z281" s="81">
        <f>SUM(Z77:Z88)</f>
        <v>5291016.4038587166</v>
      </c>
      <c r="AA281" s="81">
        <f>+Z281-'MWh by month- AllWgtbyCDH'!Y281</f>
        <v>0</v>
      </c>
      <c r="AB281" s="81">
        <f>AVERAGE(AB77:AB88)</f>
        <v>4547050.833333333</v>
      </c>
    </row>
    <row r="282" spans="1:39">
      <c r="A282" s="78">
        <v>2012</v>
      </c>
      <c r="J282" s="319">
        <f>SUM(J89:J100)</f>
        <v>2633605.7732989891</v>
      </c>
      <c r="K282" s="81">
        <f>SUM('MWh Impact Summary'!B18:E18,'MWh Impact Summary'!N18)</f>
        <v>2633605.77329899</v>
      </c>
      <c r="L282" s="97"/>
      <c r="M282" s="97"/>
      <c r="W282" s="81"/>
      <c r="X282" s="81"/>
      <c r="Y282" s="81">
        <f>SUM(Y89:Y100)</f>
        <v>3434526.8863944178</v>
      </c>
      <c r="Z282" s="81">
        <f>SUM(Z89:Z100)</f>
        <v>6068132.6596934069</v>
      </c>
      <c r="AA282" s="81">
        <f>+Z282-'MWh by month- AllWgtbyCDH'!Y282</f>
        <v>0</v>
      </c>
      <c r="AB282" s="81">
        <f>AVERAGE(AB89:AB100)</f>
        <v>4576448.666666667</v>
      </c>
    </row>
    <row r="283" spans="1:39">
      <c r="A283" s="78">
        <v>2013</v>
      </c>
      <c r="J283" s="319">
        <f>SUM(J101:J112)</f>
        <v>3036742.4276550999</v>
      </c>
      <c r="K283" s="81">
        <f>SUM('MWh Impact Summary'!B19:E19,'MWh Impact Summary'!N19)</f>
        <v>3036742.4276550999</v>
      </c>
      <c r="W283" s="81"/>
      <c r="X283" s="81"/>
      <c r="Y283" s="81">
        <f>SUM(Y101:Y112)</f>
        <v>4155744.3509899336</v>
      </c>
      <c r="Z283" s="81">
        <f>SUM(Z101:Z112)</f>
        <v>7192486.778645033</v>
      </c>
      <c r="AA283" s="81">
        <f>+Z283-'MWh by month- AllWgtbyCDH'!Y283</f>
        <v>0</v>
      </c>
      <c r="AB283" s="81">
        <f>AVERAGE(AB101:AB112)</f>
        <v>4626934.333333333</v>
      </c>
    </row>
    <row r="284" spans="1:39">
      <c r="A284" s="78">
        <v>2014</v>
      </c>
      <c r="J284" s="319">
        <f>SUM(J113:J124)</f>
        <v>3474083.7080153469</v>
      </c>
      <c r="K284" s="81">
        <f>SUM('MWh Impact Summary'!B20:E20,'MWh Impact Summary'!N20)</f>
        <v>3474083.7080153474</v>
      </c>
      <c r="W284" s="81"/>
      <c r="X284" s="81"/>
      <c r="Y284" s="81">
        <f>SUM(Y113:Y124)</f>
        <v>4910864.7329712622</v>
      </c>
      <c r="Z284" s="81">
        <f>SUM(Z113:Z124)</f>
        <v>8384948.4409866091</v>
      </c>
      <c r="AA284" s="81">
        <f>+Z284-'MWh by month- AllWgtbyCDH'!Y284</f>
        <v>0</v>
      </c>
      <c r="AB284" s="81">
        <f>AVERAGE(AB113:AB124)</f>
        <v>4708829.333333333</v>
      </c>
    </row>
    <row r="285" spans="1:39">
      <c r="A285" s="78">
        <v>2015</v>
      </c>
      <c r="J285" s="319">
        <f>SUM(J125:J136)</f>
        <v>4039997.9425893626</v>
      </c>
      <c r="K285" s="81">
        <f>SUM('MWh Impact Summary'!B21:E21,'MWh Impact Summary'!N21)</f>
        <v>4039997.9425893626</v>
      </c>
      <c r="W285" s="81"/>
      <c r="X285" s="81"/>
      <c r="Y285" s="81">
        <f>SUM(Y125:Y136)</f>
        <v>5800287.9445377765</v>
      </c>
      <c r="Z285" s="81">
        <f>SUM(Z125:Z136)</f>
        <v>9840285.8871271405</v>
      </c>
      <c r="AA285" s="81">
        <f>+Z285-'MWh by month- AllWgtbyCDH'!Y285</f>
        <v>0</v>
      </c>
      <c r="AB285" s="81">
        <f>AVERAGE(AB125:AB136)</f>
        <v>4780487.4751066575</v>
      </c>
    </row>
    <row r="286" spans="1:39">
      <c r="A286" s="78">
        <v>2016</v>
      </c>
      <c r="J286" s="319">
        <f>SUM(J137:J148)</f>
        <v>4575939.1961389175</v>
      </c>
      <c r="K286" s="81">
        <f>SUM('MWh Impact Summary'!B22:E22,'MWh Impact Summary'!N22)</f>
        <v>4575939.1961389165</v>
      </c>
      <c r="W286" s="81"/>
      <c r="X286" s="81"/>
      <c r="Y286" s="81">
        <f>SUM(Y137:Y148)</f>
        <v>6619830.477604825</v>
      </c>
      <c r="Z286" s="81">
        <f>SUM(Z137:Z148)</f>
        <v>11195769.673743743</v>
      </c>
      <c r="AA286" s="81">
        <f>+Z286-'MWh by month- AllWgtbyCDH'!Y286</f>
        <v>0</v>
      </c>
      <c r="AB286" s="81">
        <f>AVERAGE(AB137:AB148)</f>
        <v>4852827.4973874111</v>
      </c>
    </row>
    <row r="287" spans="1:39">
      <c r="A287" s="78">
        <v>2017</v>
      </c>
      <c r="J287" s="319">
        <f>SUM(J149:J160)</f>
        <v>5107282.6344742086</v>
      </c>
      <c r="K287" s="81">
        <f>SUM('MWh Impact Summary'!B23:E23,'MWh Impact Summary'!N23)</f>
        <v>5107282.6344742095</v>
      </c>
      <c r="W287" s="81"/>
      <c r="X287" s="81"/>
      <c r="Y287" s="81">
        <f>SUM(Y149:Y160)</f>
        <v>7476087.5976180388</v>
      </c>
      <c r="Z287" s="81">
        <f>SUM(Z149:Z160)</f>
        <v>12583370.232092246</v>
      </c>
      <c r="AA287" s="81">
        <f>+Z287-'MWh by month- AllWgtbyCDH'!Y287</f>
        <v>0</v>
      </c>
      <c r="AB287" s="81">
        <f>AVERAGE(AB149:AB160)</f>
        <v>4922917.6134850439</v>
      </c>
    </row>
    <row r="288" spans="1:39">
      <c r="A288" s="78">
        <v>2018</v>
      </c>
      <c r="J288" s="319">
        <f>SUM(J161:J172)</f>
        <v>5645813.9724402977</v>
      </c>
      <c r="K288" s="81">
        <f>SUM('MWh Impact Summary'!B24:E24,'MWh Impact Summary'!N24)</f>
        <v>5645813.9724402977</v>
      </c>
      <c r="W288" s="81"/>
      <c r="X288" s="81"/>
      <c r="Y288" s="81">
        <f>SUM(Y161:Y172)</f>
        <v>8121182.6862091804</v>
      </c>
      <c r="Z288" s="81">
        <f>SUM(Z161:Z172)</f>
        <v>13766996.658649476</v>
      </c>
      <c r="AA288" s="81">
        <f>+Z288-'MWh by month- AllWgtbyCDH'!Y288</f>
        <v>0</v>
      </c>
      <c r="AB288" s="81">
        <f>AVERAGE(AB161:AB172)</f>
        <v>4991658.9753791485</v>
      </c>
    </row>
    <row r="289" spans="1:28">
      <c r="A289" s="78">
        <v>2019</v>
      </c>
      <c r="J289" s="319">
        <f>SUM(J173:J184)</f>
        <v>6178818.5956216026</v>
      </c>
      <c r="K289" s="81">
        <f>SUM('MWh Impact Summary'!B25:E25,'MWh Impact Summary'!N25)</f>
        <v>6178818.5956216045</v>
      </c>
      <c r="W289" s="81"/>
      <c r="X289" s="81"/>
      <c r="Y289" s="81">
        <f>SUM(Y173:Y184)</f>
        <v>8825351.2505414505</v>
      </c>
      <c r="Z289" s="81">
        <f>SUM(Z173:Z184)</f>
        <v>15004169.846163055</v>
      </c>
      <c r="AA289" s="81">
        <f>+Z289-'MWh by month- AllWgtbyCDH'!Y289</f>
        <v>0</v>
      </c>
      <c r="AB289" s="81">
        <f>AVERAGE(AB173:AB184)</f>
        <v>5058945.3176616272</v>
      </c>
    </row>
    <row r="290" spans="1:28">
      <c r="A290" s="78">
        <v>2020</v>
      </c>
      <c r="J290" s="319">
        <f>SUM(J185:J196)</f>
        <v>6602699.0569757409</v>
      </c>
      <c r="K290" s="81">
        <f>SUM('MWh Impact Summary'!B26:E26,'MWh Impact Summary'!N26)</f>
        <v>6602699.0569757428</v>
      </c>
      <c r="W290" s="81"/>
      <c r="X290" s="81"/>
      <c r="Y290" s="81">
        <f>SUM(Y185:Y196)</f>
        <v>9551225.2281682696</v>
      </c>
      <c r="Z290" s="81">
        <f>SUM(Z185:Z196)</f>
        <v>16153924.285144012</v>
      </c>
      <c r="AA290" s="81">
        <f>+Z290-'MWh by month- AllWgtbyCDH'!Y290</f>
        <v>0</v>
      </c>
      <c r="AB290" s="81">
        <f>AVERAGE(AB185:AB196)</f>
        <v>5123908.5663745506</v>
      </c>
    </row>
    <row r="291" spans="1:28">
      <c r="A291" s="78">
        <v>2021</v>
      </c>
      <c r="J291" s="319">
        <f>SUM(J197:J208)</f>
        <v>6943997.269991735</v>
      </c>
      <c r="K291" s="81">
        <f>SUM('MWh Impact Summary'!B27:E27,'MWh Impact Summary'!N27)</f>
        <v>6943997.2699917359</v>
      </c>
      <c r="W291" s="81"/>
      <c r="X291" s="81"/>
      <c r="Y291" s="81">
        <f>SUM(Y197:Y208)</f>
        <v>10259823.684878606</v>
      </c>
      <c r="Z291" s="81">
        <f>SUM(Z197:Z208)</f>
        <v>17203820.954870343</v>
      </c>
      <c r="AA291" s="81">
        <f>+Z291-'MWh by month- AllWgtbyCDH'!Y291</f>
        <v>0</v>
      </c>
      <c r="AB291" s="81">
        <f>AVERAGE(AB197:AB208)</f>
        <v>5185332.6771582505</v>
      </c>
    </row>
    <row r="292" spans="1:28">
      <c r="A292" s="78">
        <v>2022</v>
      </c>
      <c r="J292" s="319">
        <f>SUM(J209:J220)</f>
        <v>7269834.1270947866</v>
      </c>
      <c r="K292" s="81">
        <f>SUM('MWh Impact Summary'!B28:E28,'MWh Impact Summary'!N28)</f>
        <v>7269834.1270947866</v>
      </c>
      <c r="W292" s="81"/>
      <c r="X292" s="81"/>
      <c r="Y292" s="81">
        <f>SUM(Y209:Y220)</f>
        <v>11195704.039134977</v>
      </c>
      <c r="Z292" s="81">
        <f>SUM(Z209:Z220)</f>
        <v>18465538.166229766</v>
      </c>
      <c r="AA292" s="81">
        <f>+Z292-'MWh by month- AllWgtbyCDH'!Y292</f>
        <v>0</v>
      </c>
      <c r="AB292" s="81">
        <f>AVERAGE(AB209:AB220)</f>
        <v>5247054.0847409368</v>
      </c>
    </row>
    <row r="293" spans="1:28">
      <c r="A293" s="78">
        <v>2023</v>
      </c>
      <c r="J293" s="319">
        <f>SUM(J221:J232)</f>
        <v>7370166.7033470888</v>
      </c>
      <c r="K293" s="81">
        <f>SUM('MWh Impact Summary'!B29:E29,'MWh Impact Summary'!N29)</f>
        <v>7370166.7033470906</v>
      </c>
      <c r="W293" s="81"/>
      <c r="X293" s="81"/>
      <c r="Y293" s="81">
        <f>SUM(Y221:Y232)</f>
        <v>12030375.656389676</v>
      </c>
      <c r="Z293" s="81">
        <f>SUM(Z221:Z232)</f>
        <v>19400542.359736767</v>
      </c>
      <c r="AA293" s="81">
        <f>+Z293-'MWh by month- AllWgtbyCDH'!Y293</f>
        <v>0</v>
      </c>
      <c r="AB293" s="81">
        <f>AVERAGE(AB221:AB232)</f>
        <v>5309376.0310086822</v>
      </c>
    </row>
    <row r="294" spans="1:28">
      <c r="A294" s="78">
        <v>2024</v>
      </c>
      <c r="J294" s="319">
        <f>SUM(J233:J244)</f>
        <v>7410651.096063192</v>
      </c>
      <c r="K294" s="81">
        <f>SUM('MWh Impact Summary'!B30:E30,'MWh Impact Summary'!N30)</f>
        <v>7410651.096063192</v>
      </c>
      <c r="W294" s="81"/>
      <c r="X294" s="81"/>
      <c r="Y294" s="81">
        <f>SUM(Y233:Y244)</f>
        <v>12783060.419189345</v>
      </c>
      <c r="Z294" s="81">
        <f>SUM(Z233:Z244)</f>
        <v>20193711.515252538</v>
      </c>
      <c r="AA294" s="81">
        <f>+Z294-'MWh by month- AllWgtbyCDH'!Y294</f>
        <v>0</v>
      </c>
      <c r="AB294" s="81">
        <f>AVERAGE(AB233:AB244)</f>
        <v>5372352.5973116057</v>
      </c>
    </row>
    <row r="295" spans="1:28" ht="409.6">
      <c r="A295" s="78">
        <v>2025</v>
      </c>
      <c r="J295" s="319">
        <f>SUM(J245:J256)</f>
        <v>7520575.047466577</v>
      </c>
      <c r="K295" s="81">
        <f>SUM('MWh Impact Summary'!B31:E31,'MWh Impact Summary'!N31)</f>
        <v>7520575.0474665752</v>
      </c>
      <c r="W295" s="81"/>
      <c r="X295" s="81"/>
      <c r="Y295" s="81">
        <f>SUM(Y245:Y256)</f>
        <v>13476154.744595226</v>
      </c>
      <c r="Z295" s="81">
        <f>SUM(Z245:Z256)</f>
        <v>20996729.792061806</v>
      </c>
      <c r="AA295" s="81">
        <f>+Z295-'MWh by month- AllWgtbyCDH'!Y295</f>
        <v>0</v>
      </c>
      <c r="AB295" s="81">
        <f>AVERAGE(AB245:AB256)</f>
        <v>5433671.8395568365</v>
      </c>
    </row>
    <row r="296" spans="1:28">
      <c r="A296" s="78">
        <v>2026</v>
      </c>
      <c r="J296" s="319">
        <f>SUM(J257:J268)</f>
        <v>7628612.0934024518</v>
      </c>
      <c r="K296" s="81">
        <f>SUM('MWh Impact Summary'!B32:E32,'MWh Impact Summary'!N32)</f>
        <v>7628612.0934024528</v>
      </c>
      <c r="W296" s="81"/>
      <c r="X296" s="81"/>
      <c r="Y296" s="81">
        <f>SUM(Y257:Y268)</f>
        <v>14126618.102473853</v>
      </c>
      <c r="Z296" s="81">
        <f>SUM(Z257:Z268)</f>
        <v>21755230.195876304</v>
      </c>
      <c r="AA296" s="81">
        <f>+Z296-'MWh by month- AllWgtbyCDH'!Y296</f>
        <v>0</v>
      </c>
      <c r="AB296" s="81">
        <f>AVERAGE(AB257:AB268)</f>
        <v>5489001.9422878725</v>
      </c>
    </row>
    <row r="298" spans="1:28">
      <c r="J298" s="319">
        <f>SUM(J275:J296)</f>
        <v>93951928.57386291</v>
      </c>
      <c r="K298" s="81">
        <f>SUM(K275:K296)</f>
        <v>93951928.57386294</v>
      </c>
      <c r="L298" s="81">
        <f>+K298-J298</f>
        <v>0</v>
      </c>
      <c r="M298" s="81"/>
    </row>
  </sheetData>
  <pageMargins left="0.75" right="0.75" top="1" bottom="1" header="0.5" footer="0.5"/>
  <pageSetup orientation="portrait" r:id="rId1"/>
  <headerFooter alignWithMargins="0"/>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U298"/>
  <sheetViews>
    <sheetView zoomScale="75" zoomScaleNormal="75" workbookViewId="0">
      <pane xSplit="2" ySplit="4" topLeftCell="C5" activePane="bottomRight" state="frozen"/>
      <selection activeCell="AB18" sqref="AB18"/>
      <selection pane="topRight" activeCell="AB18" sqref="AB18"/>
      <selection pane="bottomLeft" activeCell="AB18" sqref="AB18"/>
      <selection pane="bottomRight" activeCell="A2" sqref="A1:A2"/>
    </sheetView>
  </sheetViews>
  <sheetFormatPr defaultColWidth="9.109375" defaultRowHeight="13.2"/>
  <cols>
    <col min="1" max="1" width="12.33203125" style="78" customWidth="1"/>
    <col min="2" max="2" width="9.109375" style="78"/>
    <col min="3" max="3" width="18.109375" style="102" customWidth="1"/>
    <col min="4" max="4" width="10.6640625" style="102" customWidth="1"/>
    <col min="5" max="5" width="19.5546875" style="102" customWidth="1"/>
    <col min="6" max="6" width="19.6640625" style="102" customWidth="1"/>
    <col min="7" max="7" width="17.109375" style="102" customWidth="1"/>
    <col min="8" max="8" width="18" style="102" customWidth="1"/>
    <col min="9" max="9" width="19" style="102" bestFit="1" customWidth="1"/>
    <col min="10" max="10" width="19.5546875" style="102" customWidth="1"/>
    <col min="11" max="11" width="14.109375" style="78" customWidth="1"/>
    <col min="12" max="12" width="14.33203125" style="78" customWidth="1"/>
    <col min="13" max="13" width="19.44140625" style="78" customWidth="1"/>
    <col min="14" max="14" width="17.33203125" style="78" customWidth="1"/>
    <col min="15" max="15" width="19.6640625" style="78" customWidth="1"/>
    <col min="16" max="16" width="17.109375" style="78" customWidth="1"/>
    <col min="17" max="17" width="19" style="78" customWidth="1"/>
    <col min="18" max="20" width="15.6640625" style="78" customWidth="1"/>
    <col min="21" max="25" width="19.6640625" style="78" customWidth="1"/>
    <col min="26" max="26" width="13" style="78" customWidth="1"/>
    <col min="27" max="30" width="15.44140625" style="78" customWidth="1"/>
    <col min="31" max="31" width="17.6640625" style="78" customWidth="1"/>
    <col min="32" max="33" width="17.5546875" style="78" customWidth="1"/>
    <col min="34" max="34" width="19.33203125" style="78" customWidth="1"/>
    <col min="35" max="35" width="19.44140625" style="102" customWidth="1"/>
    <col min="36" max="37" width="17.88671875" style="102" customWidth="1"/>
    <col min="38" max="38" width="9.109375" style="78"/>
    <col min="39" max="39" width="12.88671875" style="78" customWidth="1"/>
    <col min="40" max="41" width="15.44140625" style="78" customWidth="1"/>
    <col min="42" max="42" width="17.5546875" style="78" customWidth="1"/>
    <col min="43" max="43" width="10.6640625" style="78" bestFit="1" customWidth="1"/>
    <col min="44" max="44" width="22.33203125" style="78" customWidth="1"/>
    <col min="45" max="45" width="20.6640625" style="78" customWidth="1"/>
    <col min="46" max="46" width="9.109375" style="78"/>
    <col min="47" max="47" width="15" style="141" customWidth="1"/>
    <col min="48" max="16384" width="9.109375" style="78"/>
  </cols>
  <sheetData>
    <row r="1" spans="1:47">
      <c r="A1" s="416" t="s">
        <v>387</v>
      </c>
    </row>
    <row r="2" spans="1:47">
      <c r="A2" s="416" t="s">
        <v>380</v>
      </c>
    </row>
    <row r="3" spans="1:47" s="62" customFormat="1" ht="52.8">
      <c r="C3" s="294" t="s">
        <v>248</v>
      </c>
      <c r="D3" s="314" t="s">
        <v>364</v>
      </c>
      <c r="E3" s="315" t="s">
        <v>23</v>
      </c>
      <c r="F3" s="316" t="s">
        <v>169</v>
      </c>
      <c r="G3" s="315" t="s">
        <v>43</v>
      </c>
      <c r="H3" s="315" t="s">
        <v>187</v>
      </c>
      <c r="I3" s="315" t="s">
        <v>95</v>
      </c>
      <c r="J3" s="294" t="s">
        <v>228</v>
      </c>
      <c r="K3" s="272" t="s">
        <v>363</v>
      </c>
      <c r="L3" s="273" t="s">
        <v>365</v>
      </c>
      <c r="M3" s="274" t="s">
        <v>366</v>
      </c>
      <c r="N3" s="275" t="s">
        <v>59</v>
      </c>
      <c r="O3" s="275" t="s">
        <v>353</v>
      </c>
      <c r="P3" s="276" t="s">
        <v>70</v>
      </c>
      <c r="Q3" s="277" t="s">
        <v>89</v>
      </c>
      <c r="R3" s="277" t="s">
        <v>129</v>
      </c>
      <c r="S3" s="277" t="s">
        <v>327</v>
      </c>
      <c r="T3" s="277" t="s">
        <v>146</v>
      </c>
      <c r="U3" s="277" t="s">
        <v>147</v>
      </c>
      <c r="V3" s="278" t="s">
        <v>261</v>
      </c>
      <c r="W3" s="278" t="s">
        <v>212</v>
      </c>
      <c r="X3" s="278" t="s">
        <v>214</v>
      </c>
      <c r="Y3" s="294" t="s">
        <v>229</v>
      </c>
      <c r="Z3" s="279" t="s">
        <v>230</v>
      </c>
      <c r="AA3" s="279" t="s">
        <v>230</v>
      </c>
      <c r="AB3" s="279"/>
      <c r="AC3" s="305" t="s">
        <v>256</v>
      </c>
      <c r="AD3" s="306" t="s">
        <v>228</v>
      </c>
      <c r="AE3" s="280" t="s">
        <v>228</v>
      </c>
      <c r="AF3" s="305" t="s">
        <v>229</v>
      </c>
      <c r="AG3" s="281" t="s">
        <v>229</v>
      </c>
      <c r="AH3" s="280" t="s">
        <v>230</v>
      </c>
      <c r="AI3" s="282" t="s">
        <v>230</v>
      </c>
      <c r="AJ3" s="282"/>
      <c r="AK3" s="283" t="s">
        <v>230</v>
      </c>
      <c r="AL3" s="284"/>
      <c r="AM3" s="285" t="s">
        <v>231</v>
      </c>
      <c r="AN3" s="286"/>
      <c r="AO3" s="285" t="s">
        <v>231</v>
      </c>
      <c r="AP3" s="287"/>
      <c r="AQ3" s="284"/>
      <c r="AR3" s="281" t="s">
        <v>250</v>
      </c>
      <c r="AS3" s="281" t="s">
        <v>232</v>
      </c>
      <c r="AT3" s="284"/>
      <c r="AU3" s="288" t="s">
        <v>259</v>
      </c>
    </row>
    <row r="4" spans="1:47" s="62" customFormat="1" ht="39.6">
      <c r="C4" s="283"/>
      <c r="D4" s="283" t="s">
        <v>233</v>
      </c>
      <c r="E4" s="283" t="s">
        <v>234</v>
      </c>
      <c r="F4" s="283" t="s">
        <v>234</v>
      </c>
      <c r="G4" s="283" t="s">
        <v>234</v>
      </c>
      <c r="H4" s="283" t="s">
        <v>235</v>
      </c>
      <c r="I4" s="283" t="s">
        <v>234</v>
      </c>
      <c r="J4" s="283" t="s">
        <v>234</v>
      </c>
      <c r="K4" s="289"/>
      <c r="L4" s="272" t="s">
        <v>233</v>
      </c>
      <c r="M4" s="290" t="s">
        <v>233</v>
      </c>
      <c r="N4" s="272" t="s">
        <v>234</v>
      </c>
      <c r="O4" s="272"/>
      <c r="P4" s="290" t="s">
        <v>234</v>
      </c>
      <c r="Q4" s="290" t="s">
        <v>234</v>
      </c>
      <c r="R4" s="290" t="s">
        <v>234</v>
      </c>
      <c r="S4" s="290"/>
      <c r="T4" s="290" t="s">
        <v>234</v>
      </c>
      <c r="U4" s="290" t="s">
        <v>234</v>
      </c>
      <c r="V4" s="272"/>
      <c r="W4" s="272" t="s">
        <v>234</v>
      </c>
      <c r="X4" s="272" t="s">
        <v>234</v>
      </c>
      <c r="Y4" s="291" t="s">
        <v>234</v>
      </c>
      <c r="Z4" s="292" t="s">
        <v>236</v>
      </c>
      <c r="AA4" s="292" t="s">
        <v>237</v>
      </c>
      <c r="AB4" s="292" t="s">
        <v>246</v>
      </c>
      <c r="AC4" s="307" t="s">
        <v>238</v>
      </c>
      <c r="AD4" s="307" t="s">
        <v>238</v>
      </c>
      <c r="AE4" s="281" t="s">
        <v>239</v>
      </c>
      <c r="AF4" s="307" t="s">
        <v>238</v>
      </c>
      <c r="AG4" s="281" t="s">
        <v>239</v>
      </c>
      <c r="AH4" s="281" t="s">
        <v>239</v>
      </c>
      <c r="AI4" s="293" t="s">
        <v>239</v>
      </c>
      <c r="AJ4" s="293"/>
      <c r="AK4" s="294" t="s">
        <v>240</v>
      </c>
      <c r="AL4" s="284"/>
      <c r="AM4" s="286" t="s">
        <v>241</v>
      </c>
      <c r="AN4" s="286" t="s">
        <v>104</v>
      </c>
      <c r="AO4" s="286" t="s">
        <v>238</v>
      </c>
      <c r="AP4" s="295" t="s">
        <v>239</v>
      </c>
      <c r="AQ4" s="284"/>
      <c r="AR4" s="281" t="s">
        <v>239</v>
      </c>
      <c r="AS4" s="281" t="s">
        <v>234</v>
      </c>
      <c r="AT4" s="284"/>
      <c r="AU4" s="296" t="s">
        <v>258</v>
      </c>
    </row>
    <row r="5" spans="1:47">
      <c r="A5" s="78">
        <v>2005</v>
      </c>
      <c r="B5" s="78">
        <v>1</v>
      </c>
      <c r="C5" s="317">
        <v>26.112829868525239</v>
      </c>
      <c r="D5" s="318">
        <f t="shared" ref="D5:D16" si="0">C5/(SUM(C$5:C$16))</f>
        <v>1.3280829182176284E-2</v>
      </c>
      <c r="E5" s="102">
        <f>$D5*'MWh Impact Summary'!B$11</f>
        <v>0</v>
      </c>
      <c r="F5" s="319">
        <f>$D5*'MWh Impact Summary'!N$11</f>
        <v>0</v>
      </c>
      <c r="G5" s="319">
        <f>$D5*'MWh Impact Summary'!C$11</f>
        <v>771.55365860638869</v>
      </c>
      <c r="H5" s="319">
        <f>$D5*'MWh Impact Summary'!D$11</f>
        <v>0</v>
      </c>
      <c r="I5" s="319">
        <f>$D5*'MWh Impact Summary'!E$11</f>
        <v>616.41172461781036</v>
      </c>
      <c r="J5" s="104">
        <f>SUM(E5:I5)</f>
        <v>1387.9653832241991</v>
      </c>
      <c r="K5" s="298">
        <v>13.3</v>
      </c>
      <c r="L5" s="299">
        <f t="shared" ref="L5:L10" si="1">K5/(SUM(K$5:K$16))</f>
        <v>9.3629003871876101E-2</v>
      </c>
      <c r="M5" s="297">
        <f>1/12</f>
        <v>8.3333333333333329E-2</v>
      </c>
      <c r="N5" s="301">
        <f>$L5*'MWh Impact Summary'!F$11</f>
        <v>0</v>
      </c>
      <c r="O5" s="301">
        <f>$L5*'MWh Impact Summary'!G$11</f>
        <v>0</v>
      </c>
      <c r="P5" s="303">
        <f>$M5*'MWh Impact Summary'!H$11</f>
        <v>0</v>
      </c>
      <c r="Q5" s="303">
        <f>$M5*'MWh Impact Summary'!I$11</f>
        <v>0</v>
      </c>
      <c r="R5" s="303">
        <f>$M5*'MWh Impact Summary'!J$11</f>
        <v>0</v>
      </c>
      <c r="S5" s="303">
        <f>$M5*'MWh Impact Summary'!K$11</f>
        <v>0</v>
      </c>
      <c r="T5" s="303">
        <f>$M5*'MWh Impact Summary'!L$11</f>
        <v>0</v>
      </c>
      <c r="U5" s="303">
        <f>$M5*'MWh Impact Summary'!M$11</f>
        <v>0</v>
      </c>
      <c r="V5" s="301">
        <f>$L5*'MWh Impact Summary'!O$11</f>
        <v>0</v>
      </c>
      <c r="W5" s="301">
        <f>$L5*'MWh Impact Summary'!P$11</f>
        <v>0</v>
      </c>
      <c r="X5" s="301">
        <f>$L5*'MWh Impact Summary'!Q$11</f>
        <v>0</v>
      </c>
      <c r="Y5" s="85">
        <f t="shared" ref="Y5:Y68" si="2">SUM(N5:X5)</f>
        <v>0</v>
      </c>
      <c r="Z5" s="81">
        <f t="shared" ref="Z5:Z68" si="3">Y5+J5</f>
        <v>1387.9653832241991</v>
      </c>
      <c r="AA5" s="81"/>
      <c r="AB5" s="81">
        <f>+'MWh by mo-WgtbyActulCDH&amp;Days'!AB5</f>
        <v>4272459</v>
      </c>
      <c r="AC5" s="308">
        <f>+Z5*1000/AB5</f>
        <v>0.32486335930296795</v>
      </c>
      <c r="AD5" s="309">
        <f t="shared" ref="AD5:AD68" si="4">+J5*1000/AB5</f>
        <v>0.32486335930296795</v>
      </c>
      <c r="AE5" s="107">
        <f t="shared" ref="AE5:AE68" si="5">+AD5/K5/1000</f>
        <v>2.4425816488944957E-5</v>
      </c>
      <c r="AF5" s="309">
        <f>+Y5*1000/AB5</f>
        <v>0</v>
      </c>
      <c r="AG5" s="107">
        <f t="shared" ref="AG5:AG68" si="6">+AF5/K5/1000</f>
        <v>0</v>
      </c>
      <c r="AH5" s="119">
        <f>AE5+AG5</f>
        <v>2.4425816488944957E-5</v>
      </c>
      <c r="AI5" s="122">
        <f t="shared" ref="AI5:AI68" si="7">+AC5/K5/1000</f>
        <v>2.4425816488944957E-5</v>
      </c>
      <c r="AJ5" s="87" t="b">
        <f>AH5=AI5</f>
        <v>1</v>
      </c>
      <c r="AK5" s="88">
        <f t="shared" ref="AK5:AK16" si="8">AI5</f>
        <v>2.4425816488944957E-5</v>
      </c>
      <c r="AM5" s="89">
        <f t="shared" ref="AM5:AM68" si="9">+W5</f>
        <v>0</v>
      </c>
      <c r="AN5" s="90"/>
      <c r="AO5" s="91"/>
      <c r="AP5" s="92"/>
      <c r="AR5" s="94">
        <f t="shared" ref="AR5:AR68" si="10">AI5</f>
        <v>2.4425816488944957E-5</v>
      </c>
      <c r="AS5" s="95">
        <v>1374.7828602320258</v>
      </c>
      <c r="AU5" s="141">
        <v>0.32486335930296795</v>
      </c>
    </row>
    <row r="6" spans="1:47">
      <c r="A6" s="78">
        <v>2005</v>
      </c>
      <c r="B6" s="78">
        <v>2</v>
      </c>
      <c r="C6" s="317">
        <v>35.042184420393127</v>
      </c>
      <c r="D6" s="318">
        <f t="shared" si="0"/>
        <v>1.7822245532205266E-2</v>
      </c>
      <c r="E6" s="102">
        <f>$D6*'MWh Impact Summary'!B$11</f>
        <v>0</v>
      </c>
      <c r="F6" s="319">
        <f>$D6*'MWh Impact Summary'!N$11</f>
        <v>0</v>
      </c>
      <c r="G6" s="319">
        <f>$D6*'MWh Impact Summary'!C$11</f>
        <v>1035.388570723341</v>
      </c>
      <c r="H6" s="319">
        <f>$D6*'MWh Impact Summary'!D$11</f>
        <v>0</v>
      </c>
      <c r="I6" s="319">
        <f>$D6*'MWh Impact Summary'!E$11</f>
        <v>827.19542239218094</v>
      </c>
      <c r="J6" s="104">
        <f t="shared" ref="J6:J69" si="11">SUM(E6:I6)</f>
        <v>1862.5839931155219</v>
      </c>
      <c r="K6" s="298">
        <v>12.733333333333333</v>
      </c>
      <c r="L6" s="299">
        <f t="shared" si="1"/>
        <v>8.9639798193124468E-2</v>
      </c>
      <c r="M6" s="297">
        <f t="shared" ref="M6:M69" si="12">1/12</f>
        <v>8.3333333333333329E-2</v>
      </c>
      <c r="N6" s="301">
        <f>$L6*'MWh Impact Summary'!F$11</f>
        <v>0</v>
      </c>
      <c r="O6" s="301">
        <f>$L6*'MWh Impact Summary'!G$11</f>
        <v>0</v>
      </c>
      <c r="P6" s="303">
        <f>$M6*'MWh Impact Summary'!H$11</f>
        <v>0</v>
      </c>
      <c r="Q6" s="303">
        <f>$M6*'MWh Impact Summary'!I$11</f>
        <v>0</v>
      </c>
      <c r="R6" s="303">
        <f>$M6*'MWh Impact Summary'!J$11</f>
        <v>0</v>
      </c>
      <c r="S6" s="303">
        <f>$M6*'MWh Impact Summary'!K$11</f>
        <v>0</v>
      </c>
      <c r="T6" s="303">
        <f>$M6*'MWh Impact Summary'!L$11</f>
        <v>0</v>
      </c>
      <c r="U6" s="303">
        <f>$M6*'MWh Impact Summary'!M$11</f>
        <v>0</v>
      </c>
      <c r="V6" s="301">
        <f>$L6*'MWh Impact Summary'!O$11</f>
        <v>0</v>
      </c>
      <c r="W6" s="301">
        <f>$L6*'MWh Impact Summary'!P$11</f>
        <v>0</v>
      </c>
      <c r="X6" s="301">
        <f>$L6*'MWh Impact Summary'!Q$11</f>
        <v>0</v>
      </c>
      <c r="Y6" s="85">
        <f t="shared" si="2"/>
        <v>0</v>
      </c>
      <c r="Z6" s="81">
        <f t="shared" si="3"/>
        <v>1862.5839931155219</v>
      </c>
      <c r="AA6" s="81"/>
      <c r="AB6" s="81">
        <f>+'MWh by mo-WgtbyActulCDH&amp;Days'!AB6</f>
        <v>4287988</v>
      </c>
      <c r="AC6" s="308">
        <f t="shared" ref="AC6:AC69" si="13">+Z6*1000/AB6</f>
        <v>0.43437248264582878</v>
      </c>
      <c r="AD6" s="309">
        <f t="shared" si="4"/>
        <v>0.43437248264582878</v>
      </c>
      <c r="AE6" s="107">
        <f t="shared" si="5"/>
        <v>3.4113022197316397E-5</v>
      </c>
      <c r="AF6" s="309">
        <f t="shared" ref="AF6:AF69" si="14">+Y6*1000/AB6</f>
        <v>0</v>
      </c>
      <c r="AG6" s="107">
        <f t="shared" si="6"/>
        <v>0</v>
      </c>
      <c r="AH6" s="119">
        <f t="shared" ref="AH6:AH69" si="15">AE6+AG6</f>
        <v>3.4113022197316397E-5</v>
      </c>
      <c r="AI6" s="122">
        <f t="shared" si="7"/>
        <v>3.4113022197316397E-5</v>
      </c>
      <c r="AJ6" s="87" t="b">
        <f t="shared" ref="AJ6:AJ69" si="16">AH6=AI6</f>
        <v>1</v>
      </c>
      <c r="AK6" s="88">
        <f t="shared" si="8"/>
        <v>3.4113022197316397E-5</v>
      </c>
      <c r="AM6" s="89">
        <f t="shared" si="9"/>
        <v>0</v>
      </c>
      <c r="AN6" s="90"/>
      <c r="AO6" s="96"/>
      <c r="AP6" s="92"/>
      <c r="AR6" s="94">
        <f t="shared" si="10"/>
        <v>3.4113022197316397E-5</v>
      </c>
      <c r="AS6" s="95">
        <v>1609.5466669451559</v>
      </c>
      <c r="AU6" s="141">
        <v>0.43437248264582878</v>
      </c>
    </row>
    <row r="7" spans="1:47">
      <c r="A7" s="78">
        <v>2005</v>
      </c>
      <c r="B7" s="78">
        <v>3</v>
      </c>
      <c r="C7" s="317">
        <v>64.582270600115152</v>
      </c>
      <c r="D7" s="318">
        <f t="shared" si="0"/>
        <v>3.2846156787895278E-2</v>
      </c>
      <c r="E7" s="102">
        <f>$D7*'MWh Impact Summary'!B$11</f>
        <v>0</v>
      </c>
      <c r="F7" s="319">
        <f>$D7*'MWh Impact Summary'!N$11</f>
        <v>0</v>
      </c>
      <c r="G7" s="319">
        <f>$D7*'MWh Impact Summary'!C$11</f>
        <v>1908.2070925865844</v>
      </c>
      <c r="H7" s="319">
        <f>$D7*'MWh Impact Summary'!D$11</f>
        <v>0</v>
      </c>
      <c r="I7" s="319">
        <f>$D7*'MWh Impact Summary'!E$11</f>
        <v>1524.5099439925002</v>
      </c>
      <c r="J7" s="104">
        <f t="shared" si="11"/>
        <v>3432.7170365790844</v>
      </c>
      <c r="K7" s="298">
        <v>12</v>
      </c>
      <c r="L7" s="299">
        <f t="shared" si="1"/>
        <v>8.4477296726504739E-2</v>
      </c>
      <c r="M7" s="297">
        <f t="shared" si="12"/>
        <v>8.3333333333333329E-2</v>
      </c>
      <c r="N7" s="301">
        <f>$L7*'MWh Impact Summary'!F$11</f>
        <v>0</v>
      </c>
      <c r="O7" s="301">
        <f>$L7*'MWh Impact Summary'!G$11</f>
        <v>0</v>
      </c>
      <c r="P7" s="303">
        <f>$M7*'MWh Impact Summary'!H$11</f>
        <v>0</v>
      </c>
      <c r="Q7" s="303">
        <f>$M7*'MWh Impact Summary'!I$11</f>
        <v>0</v>
      </c>
      <c r="R7" s="303">
        <f>$M7*'MWh Impact Summary'!J$11</f>
        <v>0</v>
      </c>
      <c r="S7" s="303">
        <f>$M7*'MWh Impact Summary'!K$11</f>
        <v>0</v>
      </c>
      <c r="T7" s="303">
        <f>$M7*'MWh Impact Summary'!L$11</f>
        <v>0</v>
      </c>
      <c r="U7" s="303">
        <f>$M7*'MWh Impact Summary'!M$11</f>
        <v>0</v>
      </c>
      <c r="V7" s="301">
        <f>$L7*'MWh Impact Summary'!O$11</f>
        <v>0</v>
      </c>
      <c r="W7" s="301">
        <f>$L7*'MWh Impact Summary'!P$11</f>
        <v>0</v>
      </c>
      <c r="X7" s="301">
        <f>$L7*'MWh Impact Summary'!Q$11</f>
        <v>0</v>
      </c>
      <c r="Y7" s="85">
        <f t="shared" si="2"/>
        <v>0</v>
      </c>
      <c r="Z7" s="81">
        <f t="shared" si="3"/>
        <v>3432.7170365790844</v>
      </c>
      <c r="AA7" s="81"/>
      <c r="AB7" s="81">
        <f>+'MWh by mo-WgtbyActulCDH&amp;Days'!AB7</f>
        <v>4299864</v>
      </c>
      <c r="AC7" s="308">
        <f t="shared" si="13"/>
        <v>0.79833153713212435</v>
      </c>
      <c r="AD7" s="309">
        <f t="shared" si="4"/>
        <v>0.79833153713212435</v>
      </c>
      <c r="AE7" s="107">
        <f t="shared" si="5"/>
        <v>6.6527628094343688E-5</v>
      </c>
      <c r="AF7" s="309">
        <f t="shared" si="14"/>
        <v>0</v>
      </c>
      <c r="AG7" s="107">
        <f t="shared" si="6"/>
        <v>0</v>
      </c>
      <c r="AH7" s="119">
        <f t="shared" si="15"/>
        <v>6.6527628094343688E-5</v>
      </c>
      <c r="AI7" s="122">
        <f t="shared" si="7"/>
        <v>6.6527628094343688E-5</v>
      </c>
      <c r="AJ7" s="87" t="b">
        <f t="shared" si="16"/>
        <v>1</v>
      </c>
      <c r="AK7" s="88">
        <f t="shared" si="8"/>
        <v>6.6527628094343688E-5</v>
      </c>
      <c r="AM7" s="89">
        <f t="shared" si="9"/>
        <v>0</v>
      </c>
      <c r="AN7" s="90"/>
      <c r="AO7" s="96"/>
      <c r="AP7" s="92"/>
      <c r="AR7" s="94">
        <f t="shared" si="10"/>
        <v>6.6527628094343688E-5</v>
      </c>
      <c r="AS7" s="95">
        <v>3159.7166533048885</v>
      </c>
      <c r="AU7" s="141">
        <v>0.79833153713212435</v>
      </c>
    </row>
    <row r="8" spans="1:47">
      <c r="A8" s="78">
        <v>2005</v>
      </c>
      <c r="B8" s="78">
        <v>4</v>
      </c>
      <c r="C8" s="317">
        <v>114.03392869270741</v>
      </c>
      <c r="D8" s="318">
        <f t="shared" si="0"/>
        <v>5.7996974497419709E-2</v>
      </c>
      <c r="E8" s="102">
        <f>$D8*'MWh Impact Summary'!B$11</f>
        <v>0</v>
      </c>
      <c r="F8" s="319">
        <f>$D8*'MWh Impact Summary'!N$11</f>
        <v>0</v>
      </c>
      <c r="G8" s="319">
        <f>$D8*'MWh Impact Summary'!C$11</f>
        <v>3369.3512090073382</v>
      </c>
      <c r="H8" s="319">
        <f>$D8*'MWh Impact Summary'!D$11</f>
        <v>0</v>
      </c>
      <c r="I8" s="319">
        <f>$D8*'MWh Impact Summary'!E$11</f>
        <v>2691.8511323486068</v>
      </c>
      <c r="J8" s="104">
        <f t="shared" si="11"/>
        <v>6061.2023413559455</v>
      </c>
      <c r="K8" s="298">
        <v>11.2</v>
      </c>
      <c r="L8" s="299">
        <f t="shared" si="1"/>
        <v>7.8845476944737758E-2</v>
      </c>
      <c r="M8" s="297">
        <f t="shared" si="12"/>
        <v>8.3333333333333329E-2</v>
      </c>
      <c r="N8" s="301">
        <f>$L8*'MWh Impact Summary'!F$11</f>
        <v>0</v>
      </c>
      <c r="O8" s="301">
        <f>$L8*'MWh Impact Summary'!G$11</f>
        <v>0</v>
      </c>
      <c r="P8" s="303">
        <f>$M8*'MWh Impact Summary'!H$11</f>
        <v>0</v>
      </c>
      <c r="Q8" s="303">
        <f>$M8*'MWh Impact Summary'!I$11</f>
        <v>0</v>
      </c>
      <c r="R8" s="303">
        <f>$M8*'MWh Impact Summary'!J$11</f>
        <v>0</v>
      </c>
      <c r="S8" s="303">
        <f>$M8*'MWh Impact Summary'!K$11</f>
        <v>0</v>
      </c>
      <c r="T8" s="303">
        <f>$M8*'MWh Impact Summary'!L$11</f>
        <v>0</v>
      </c>
      <c r="U8" s="303">
        <f>$M8*'MWh Impact Summary'!M$11</f>
        <v>0</v>
      </c>
      <c r="V8" s="301">
        <f>$L8*'MWh Impact Summary'!O$11</f>
        <v>0</v>
      </c>
      <c r="W8" s="301">
        <f>$L8*'MWh Impact Summary'!P$11</f>
        <v>0</v>
      </c>
      <c r="X8" s="301">
        <f>$L8*'MWh Impact Summary'!Q$11</f>
        <v>0</v>
      </c>
      <c r="Y8" s="85">
        <f t="shared" si="2"/>
        <v>0</v>
      </c>
      <c r="Z8" s="81">
        <f t="shared" si="3"/>
        <v>6061.2023413559455</v>
      </c>
      <c r="AA8" s="81"/>
      <c r="AB8" s="81">
        <f>+'MWh by mo-WgtbyActulCDH&amp;Days'!AB8</f>
        <v>4310180</v>
      </c>
      <c r="AC8" s="308">
        <f t="shared" si="13"/>
        <v>1.4062527182985272</v>
      </c>
      <c r="AD8" s="309">
        <f t="shared" si="4"/>
        <v>1.4062527182985272</v>
      </c>
      <c r="AE8" s="107">
        <f t="shared" si="5"/>
        <v>1.2555827841951136E-4</v>
      </c>
      <c r="AF8" s="309">
        <f t="shared" si="14"/>
        <v>0</v>
      </c>
      <c r="AG8" s="107">
        <f t="shared" si="6"/>
        <v>0</v>
      </c>
      <c r="AH8" s="119">
        <f t="shared" si="15"/>
        <v>1.2555827841951136E-4</v>
      </c>
      <c r="AI8" s="122">
        <f t="shared" si="7"/>
        <v>1.2555827841951136E-4</v>
      </c>
      <c r="AJ8" s="87" t="b">
        <f t="shared" si="16"/>
        <v>1</v>
      </c>
      <c r="AK8" s="88">
        <f t="shared" si="8"/>
        <v>1.2555827841951136E-4</v>
      </c>
      <c r="AM8" s="89">
        <f t="shared" si="9"/>
        <v>0</v>
      </c>
      <c r="AN8" s="90"/>
      <c r="AO8" s="96"/>
      <c r="AP8" s="92"/>
      <c r="AR8" s="94">
        <f t="shared" si="10"/>
        <v>1.2555827841951136E-4</v>
      </c>
      <c r="AS8" s="95">
        <v>5970.3384166432006</v>
      </c>
      <c r="AU8" s="141">
        <v>1.4062527182985272</v>
      </c>
    </row>
    <row r="9" spans="1:47">
      <c r="A9" s="78">
        <v>2005</v>
      </c>
      <c r="B9" s="78">
        <v>5</v>
      </c>
      <c r="C9" s="317">
        <v>208.47875842628665</v>
      </c>
      <c r="D9" s="318">
        <f t="shared" si="0"/>
        <v>0.10603105035770212</v>
      </c>
      <c r="E9" s="102">
        <f>$D9*'MWh Impact Summary'!B$11</f>
        <v>0</v>
      </c>
      <c r="F9" s="319">
        <f>$D9*'MWh Impact Summary'!N$11</f>
        <v>0</v>
      </c>
      <c r="G9" s="319">
        <f>$D9*'MWh Impact Summary'!C$11</f>
        <v>6159.9049055728929</v>
      </c>
      <c r="H9" s="319">
        <f>$D9*'MWh Impact Summary'!D$11</f>
        <v>0</v>
      </c>
      <c r="I9" s="319">
        <f>$D9*'MWh Impact Summary'!E$11</f>
        <v>4921.2877989383906</v>
      </c>
      <c r="J9" s="104">
        <f>SUM(E9:I9)</f>
        <v>11081.192704511282</v>
      </c>
      <c r="K9" s="298">
        <v>10.533333333333333</v>
      </c>
      <c r="L9" s="299">
        <f t="shared" si="1"/>
        <v>7.4152293793265281E-2</v>
      </c>
      <c r="M9" s="297">
        <f t="shared" si="12"/>
        <v>8.3333333333333329E-2</v>
      </c>
      <c r="N9" s="301">
        <f>$L9*'MWh Impact Summary'!F$11</f>
        <v>0</v>
      </c>
      <c r="O9" s="301">
        <f>$L9*'MWh Impact Summary'!G$11</f>
        <v>0</v>
      </c>
      <c r="P9" s="303">
        <f>$M9*'MWh Impact Summary'!H$11</f>
        <v>0</v>
      </c>
      <c r="Q9" s="303">
        <f>$M9*'MWh Impact Summary'!I$11</f>
        <v>0</v>
      </c>
      <c r="R9" s="303">
        <f>$M9*'MWh Impact Summary'!J$11</f>
        <v>0</v>
      </c>
      <c r="S9" s="303">
        <f>$M9*'MWh Impact Summary'!K$11</f>
        <v>0</v>
      </c>
      <c r="T9" s="303">
        <f>$M9*'MWh Impact Summary'!L$11</f>
        <v>0</v>
      </c>
      <c r="U9" s="303">
        <f>$M9*'MWh Impact Summary'!M$11</f>
        <v>0</v>
      </c>
      <c r="V9" s="301">
        <f>$L9*'MWh Impact Summary'!O$11</f>
        <v>0</v>
      </c>
      <c r="W9" s="301">
        <f>$L9*'MWh Impact Summary'!P$11</f>
        <v>0</v>
      </c>
      <c r="X9" s="301">
        <f>$L9*'MWh Impact Summary'!Q$11</f>
        <v>0</v>
      </c>
      <c r="Y9" s="85">
        <f t="shared" si="2"/>
        <v>0</v>
      </c>
      <c r="Z9" s="81">
        <f t="shared" si="3"/>
        <v>11081.192704511282</v>
      </c>
      <c r="AA9" s="81"/>
      <c r="AB9" s="81">
        <f>+'MWh by mo-WgtbyActulCDH&amp;Days'!AB9</f>
        <v>4313996</v>
      </c>
      <c r="AC9" s="308">
        <f t="shared" si="13"/>
        <v>2.5686608667488988</v>
      </c>
      <c r="AD9" s="309">
        <f t="shared" si="4"/>
        <v>2.5686608667488988</v>
      </c>
      <c r="AE9" s="107">
        <f t="shared" si="5"/>
        <v>2.4386020886856636E-4</v>
      </c>
      <c r="AF9" s="309">
        <f t="shared" si="14"/>
        <v>0</v>
      </c>
      <c r="AG9" s="107">
        <f t="shared" si="6"/>
        <v>0</v>
      </c>
      <c r="AH9" s="119">
        <f t="shared" si="15"/>
        <v>2.4386020886856636E-4</v>
      </c>
      <c r="AI9" s="122">
        <f t="shared" si="7"/>
        <v>2.4386020886856636E-4</v>
      </c>
      <c r="AJ9" s="87" t="b">
        <f t="shared" si="16"/>
        <v>1</v>
      </c>
      <c r="AK9" s="88">
        <f t="shared" si="8"/>
        <v>2.4386020886856636E-4</v>
      </c>
      <c r="AM9" s="89">
        <f t="shared" si="9"/>
        <v>0</v>
      </c>
      <c r="AN9" s="90"/>
      <c r="AO9" s="96"/>
      <c r="AP9" s="92"/>
      <c r="AR9" s="94">
        <f t="shared" si="10"/>
        <v>2.4386020886856636E-4</v>
      </c>
      <c r="AS9" s="95">
        <v>10211.168855045597</v>
      </c>
      <c r="AU9" s="141">
        <v>2.5686608667488988</v>
      </c>
    </row>
    <row r="10" spans="1:47">
      <c r="A10" s="78">
        <v>2005</v>
      </c>
      <c r="B10" s="78">
        <v>6</v>
      </c>
      <c r="C10" s="317">
        <v>271.66325293295364</v>
      </c>
      <c r="D10" s="318">
        <f t="shared" si="0"/>
        <v>0.13816630657965029</v>
      </c>
      <c r="E10" s="102">
        <f>$D10*'MWh Impact Summary'!B$11</f>
        <v>0</v>
      </c>
      <c r="F10" s="319">
        <f>$D10*'MWh Impact Summary'!N$11</f>
        <v>0</v>
      </c>
      <c r="G10" s="319">
        <f>$D10*'MWh Impact Summary'!C$11</f>
        <v>8026.812021701835</v>
      </c>
      <c r="H10" s="319">
        <f>$D10*'MWh Impact Summary'!D$11</f>
        <v>0</v>
      </c>
      <c r="I10" s="319">
        <f>$D10*'MWh Impact Summary'!E$11</f>
        <v>6412.8022546314596</v>
      </c>
      <c r="J10" s="104">
        <f>SUM(E10:I10)</f>
        <v>14439.614276333294</v>
      </c>
      <c r="K10" s="298">
        <v>10.199999999999999</v>
      </c>
      <c r="L10" s="299">
        <f t="shared" si="1"/>
        <v>7.1805702217529022E-2</v>
      </c>
      <c r="M10" s="297">
        <f t="shared" si="12"/>
        <v>8.3333333333333329E-2</v>
      </c>
      <c r="N10" s="301">
        <f>$L10*'MWh Impact Summary'!F$11</f>
        <v>0</v>
      </c>
      <c r="O10" s="301">
        <f>$L10*'MWh Impact Summary'!G$11</f>
        <v>0</v>
      </c>
      <c r="P10" s="303">
        <f>$M10*'MWh Impact Summary'!H$11</f>
        <v>0</v>
      </c>
      <c r="Q10" s="303">
        <f>$M10*'MWh Impact Summary'!I$11</f>
        <v>0</v>
      </c>
      <c r="R10" s="303">
        <f>$M10*'MWh Impact Summary'!J$11</f>
        <v>0</v>
      </c>
      <c r="S10" s="303">
        <f>$M10*'MWh Impact Summary'!K$11</f>
        <v>0</v>
      </c>
      <c r="T10" s="303">
        <f>$M10*'MWh Impact Summary'!L$11</f>
        <v>0</v>
      </c>
      <c r="U10" s="303">
        <f>$M10*'MWh Impact Summary'!M$11</f>
        <v>0</v>
      </c>
      <c r="V10" s="301">
        <f>$L10*'MWh Impact Summary'!O$11</f>
        <v>0</v>
      </c>
      <c r="W10" s="301">
        <f>$L10*'MWh Impact Summary'!P$11</f>
        <v>0</v>
      </c>
      <c r="X10" s="301">
        <f>$L10*'MWh Impact Summary'!Q$11</f>
        <v>0</v>
      </c>
      <c r="Y10" s="85">
        <f t="shared" si="2"/>
        <v>0</v>
      </c>
      <c r="Z10" s="81">
        <f t="shared" si="3"/>
        <v>14439.614276333294</v>
      </c>
      <c r="AA10" s="81"/>
      <c r="AB10" s="81">
        <f>+'MWh by mo-WgtbyActulCDH&amp;Days'!AB10</f>
        <v>4320906</v>
      </c>
      <c r="AC10" s="308">
        <f t="shared" si="13"/>
        <v>3.3418024544698017</v>
      </c>
      <c r="AD10" s="309">
        <f t="shared" si="4"/>
        <v>3.3418024544698017</v>
      </c>
      <c r="AE10" s="107">
        <f t="shared" si="5"/>
        <v>3.2762769161468646E-4</v>
      </c>
      <c r="AF10" s="309">
        <f t="shared" si="14"/>
        <v>0</v>
      </c>
      <c r="AG10" s="107">
        <f t="shared" si="6"/>
        <v>0</v>
      </c>
      <c r="AH10" s="119">
        <f t="shared" si="15"/>
        <v>3.2762769161468646E-4</v>
      </c>
      <c r="AI10" s="122">
        <f t="shared" si="7"/>
        <v>3.2762769161468646E-4</v>
      </c>
      <c r="AJ10" s="87" t="b">
        <f t="shared" si="16"/>
        <v>1</v>
      </c>
      <c r="AK10" s="88">
        <f t="shared" si="8"/>
        <v>3.2762769161468646E-4</v>
      </c>
      <c r="AM10" s="89">
        <f t="shared" si="9"/>
        <v>0</v>
      </c>
      <c r="AN10" s="90"/>
      <c r="AO10" s="96"/>
      <c r="AP10" s="92"/>
      <c r="AR10" s="94">
        <f t="shared" si="10"/>
        <v>3.2762769161468646E-4</v>
      </c>
      <c r="AS10" s="95">
        <v>14808.878014280665</v>
      </c>
      <c r="AU10" s="141">
        <v>3.3418024544698017</v>
      </c>
    </row>
    <row r="11" spans="1:47">
      <c r="A11" s="78">
        <v>2005</v>
      </c>
      <c r="B11" s="78">
        <v>7</v>
      </c>
      <c r="C11" s="317">
        <v>322.31916585708109</v>
      </c>
      <c r="D11" s="318">
        <f t="shared" si="0"/>
        <v>0.16392960109808263</v>
      </c>
      <c r="E11" s="102">
        <f>$D11*'MWh Impact Summary'!B$11</f>
        <v>0</v>
      </c>
      <c r="F11" s="319">
        <f>$D11*'MWh Impact Summary'!N$11</f>
        <v>0</v>
      </c>
      <c r="G11" s="319">
        <f>$D11*'MWh Impact Summary'!C$11</f>
        <v>9523.5381576066338</v>
      </c>
      <c r="H11" s="319">
        <f>$D11*'MWh Impact Summary'!D$11</f>
        <v>0</v>
      </c>
      <c r="I11" s="319">
        <f>$D11*'MWh Impact Summary'!E$11</f>
        <v>7608.5707257188296</v>
      </c>
      <c r="J11" s="104">
        <f t="shared" si="11"/>
        <v>17132.108883325462</v>
      </c>
      <c r="K11" s="298">
        <v>10.366666666666667</v>
      </c>
      <c r="L11" s="299">
        <f t="shared" ref="L11:L14" si="17">K11/(SUM(K$5:K$16))</f>
        <v>7.2978998005397158E-2</v>
      </c>
      <c r="M11" s="297">
        <f t="shared" si="12"/>
        <v>8.3333333333333329E-2</v>
      </c>
      <c r="N11" s="301">
        <f>$L11*'MWh Impact Summary'!F$11</f>
        <v>0</v>
      </c>
      <c r="O11" s="301">
        <f>$L11*'MWh Impact Summary'!G$11</f>
        <v>0</v>
      </c>
      <c r="P11" s="303">
        <f>$M11*'MWh Impact Summary'!H$11</f>
        <v>0</v>
      </c>
      <c r="Q11" s="303">
        <f>$M11*'MWh Impact Summary'!I$11</f>
        <v>0</v>
      </c>
      <c r="R11" s="303">
        <f>$M11*'MWh Impact Summary'!J$11</f>
        <v>0</v>
      </c>
      <c r="S11" s="303">
        <f>$M11*'MWh Impact Summary'!K$11</f>
        <v>0</v>
      </c>
      <c r="T11" s="303">
        <f>$M11*'MWh Impact Summary'!L$11</f>
        <v>0</v>
      </c>
      <c r="U11" s="303">
        <f>$M11*'MWh Impact Summary'!M$11</f>
        <v>0</v>
      </c>
      <c r="V11" s="301">
        <f>$L11*'MWh Impact Summary'!O$11</f>
        <v>0</v>
      </c>
      <c r="W11" s="301">
        <f>$L11*'MWh Impact Summary'!P$11</f>
        <v>0</v>
      </c>
      <c r="X11" s="301">
        <f>$L11*'MWh Impact Summary'!Q$11</f>
        <v>0</v>
      </c>
      <c r="Y11" s="85">
        <f t="shared" si="2"/>
        <v>0</v>
      </c>
      <c r="Z11" s="81">
        <f t="shared" si="3"/>
        <v>17132.108883325462</v>
      </c>
      <c r="AA11" s="81"/>
      <c r="AB11" s="81">
        <f>+'MWh by mo-WgtbyActulCDH&amp;Days'!AB11</f>
        <v>4327794</v>
      </c>
      <c r="AC11" s="308">
        <f t="shared" si="13"/>
        <v>3.9586239278776811</v>
      </c>
      <c r="AD11" s="309">
        <f t="shared" si="4"/>
        <v>3.9586239278776811</v>
      </c>
      <c r="AE11" s="107">
        <f t="shared" si="5"/>
        <v>3.8186082905572482E-4</v>
      </c>
      <c r="AF11" s="309">
        <f t="shared" si="14"/>
        <v>0</v>
      </c>
      <c r="AG11" s="107">
        <f t="shared" si="6"/>
        <v>0</v>
      </c>
      <c r="AH11" s="119">
        <f t="shared" si="15"/>
        <v>3.8186082905572482E-4</v>
      </c>
      <c r="AI11" s="122">
        <f t="shared" si="7"/>
        <v>3.8186082905572482E-4</v>
      </c>
      <c r="AJ11" s="87" t="b">
        <f t="shared" si="16"/>
        <v>1</v>
      </c>
      <c r="AK11" s="88">
        <f t="shared" si="8"/>
        <v>3.8186082905572482E-4</v>
      </c>
      <c r="AM11" s="89">
        <f t="shared" si="9"/>
        <v>0</v>
      </c>
      <c r="AN11" s="90"/>
      <c r="AO11" s="96"/>
      <c r="AP11" s="92"/>
      <c r="AR11" s="94">
        <f t="shared" si="10"/>
        <v>3.8186082905572482E-4</v>
      </c>
      <c r="AS11" s="95">
        <v>16664.117811051237</v>
      </c>
      <c r="AU11" s="141">
        <v>3.9586239278776811</v>
      </c>
    </row>
    <row r="12" spans="1:47">
      <c r="A12" s="78">
        <v>2005</v>
      </c>
      <c r="B12" s="78">
        <v>8</v>
      </c>
      <c r="C12" s="317">
        <v>326.45437890907908</v>
      </c>
      <c r="D12" s="318">
        <f t="shared" si="0"/>
        <v>0.16603274573816959</v>
      </c>
      <c r="E12" s="102">
        <f>$D12*'MWh Impact Summary'!B$11</f>
        <v>0</v>
      </c>
      <c r="F12" s="319">
        <f>$D12*'MWh Impact Summary'!N$11</f>
        <v>0</v>
      </c>
      <c r="G12" s="319">
        <f>$D12*'MWh Impact Summary'!C$11</f>
        <v>9645.7209610580376</v>
      </c>
      <c r="H12" s="319">
        <f>$D12*'MWh Impact Summary'!D$11</f>
        <v>0</v>
      </c>
      <c r="I12" s="319">
        <f>$D12*'MWh Impact Summary'!E$11</f>
        <v>7706.1853397563755</v>
      </c>
      <c r="J12" s="104">
        <f t="shared" si="11"/>
        <v>17351.906300814415</v>
      </c>
      <c r="K12" s="298">
        <v>10.933333333333334</v>
      </c>
      <c r="L12" s="299">
        <f t="shared" si="17"/>
        <v>7.6968203684148764E-2</v>
      </c>
      <c r="M12" s="297">
        <f t="shared" si="12"/>
        <v>8.3333333333333329E-2</v>
      </c>
      <c r="N12" s="301">
        <f>$L12*'MWh Impact Summary'!F$11</f>
        <v>0</v>
      </c>
      <c r="O12" s="301">
        <f>$L12*'MWh Impact Summary'!G$11</f>
        <v>0</v>
      </c>
      <c r="P12" s="303">
        <f>$M12*'MWh Impact Summary'!H$11</f>
        <v>0</v>
      </c>
      <c r="Q12" s="303">
        <f>$M12*'MWh Impact Summary'!I$11</f>
        <v>0</v>
      </c>
      <c r="R12" s="303">
        <f>$M12*'MWh Impact Summary'!J$11</f>
        <v>0</v>
      </c>
      <c r="S12" s="303">
        <f>$M12*'MWh Impact Summary'!K$11</f>
        <v>0</v>
      </c>
      <c r="T12" s="303">
        <f>$M12*'MWh Impact Summary'!L$11</f>
        <v>0</v>
      </c>
      <c r="U12" s="303">
        <f>$M12*'MWh Impact Summary'!M$11</f>
        <v>0</v>
      </c>
      <c r="V12" s="301">
        <f>$L12*'MWh Impact Summary'!O$11</f>
        <v>0</v>
      </c>
      <c r="W12" s="301">
        <f>$L12*'MWh Impact Summary'!P$11</f>
        <v>0</v>
      </c>
      <c r="X12" s="301">
        <f>$L12*'MWh Impact Summary'!Q$11</f>
        <v>0</v>
      </c>
      <c r="Y12" s="85">
        <f t="shared" si="2"/>
        <v>0</v>
      </c>
      <c r="Z12" s="81">
        <f t="shared" si="3"/>
        <v>17351.906300814415</v>
      </c>
      <c r="AA12" s="81"/>
      <c r="AB12" s="81">
        <f>+'MWh by mo-WgtbyActulCDH&amp;Days'!AB12</f>
        <v>4340306</v>
      </c>
      <c r="AC12" s="308">
        <f t="shared" si="13"/>
        <v>3.9978532160668894</v>
      </c>
      <c r="AD12" s="309">
        <f t="shared" si="4"/>
        <v>3.9978532160668894</v>
      </c>
      <c r="AE12" s="107">
        <f t="shared" si="5"/>
        <v>3.6565730634758133E-4</v>
      </c>
      <c r="AF12" s="309">
        <f t="shared" si="14"/>
        <v>0</v>
      </c>
      <c r="AG12" s="107">
        <f t="shared" si="6"/>
        <v>0</v>
      </c>
      <c r="AH12" s="119">
        <f t="shared" si="15"/>
        <v>3.6565730634758133E-4</v>
      </c>
      <c r="AI12" s="122">
        <f t="shared" si="7"/>
        <v>3.6565730634758133E-4</v>
      </c>
      <c r="AJ12" s="87" t="b">
        <f t="shared" si="16"/>
        <v>1</v>
      </c>
      <c r="AK12" s="88">
        <f t="shared" si="8"/>
        <v>3.6565730634758133E-4</v>
      </c>
      <c r="AM12" s="89">
        <f t="shared" si="9"/>
        <v>0</v>
      </c>
      <c r="AN12" s="90"/>
      <c r="AO12" s="96"/>
      <c r="AP12" s="92"/>
      <c r="AR12" s="94">
        <f t="shared" si="10"/>
        <v>3.6565730634758133E-4</v>
      </c>
      <c r="AS12" s="95">
        <v>17403.825127899949</v>
      </c>
      <c r="AU12" s="141">
        <v>3.9978532160668894</v>
      </c>
    </row>
    <row r="13" spans="1:47">
      <c r="A13" s="78">
        <v>2005</v>
      </c>
      <c r="B13" s="78">
        <v>9</v>
      </c>
      <c r="C13" s="317">
        <v>277.87653293728147</v>
      </c>
      <c r="D13" s="318">
        <f t="shared" si="0"/>
        <v>0.14132634365008559</v>
      </c>
      <c r="E13" s="102">
        <f>$D13*'MWh Impact Summary'!B$11</f>
        <v>0</v>
      </c>
      <c r="F13" s="319">
        <f>$D13*'MWh Impact Summary'!N$11</f>
        <v>0</v>
      </c>
      <c r="G13" s="319">
        <f>$D13*'MWh Impact Summary'!C$11</f>
        <v>8210.395300244285</v>
      </c>
      <c r="H13" s="319">
        <f>$D13*'MWh Impact Summary'!D$11</f>
        <v>0</v>
      </c>
      <c r="I13" s="319">
        <f>$D13*'MWh Impact Summary'!E$11</f>
        <v>6559.4711014123086</v>
      </c>
      <c r="J13" s="104">
        <f t="shared" si="11"/>
        <v>14769.866401656593</v>
      </c>
      <c r="K13" s="298">
        <v>11.683333333333334</v>
      </c>
      <c r="L13" s="299">
        <f t="shared" si="17"/>
        <v>8.2248034729555317E-2</v>
      </c>
      <c r="M13" s="297">
        <f t="shared" si="12"/>
        <v>8.3333333333333329E-2</v>
      </c>
      <c r="N13" s="301">
        <f>$L13*'MWh Impact Summary'!F$11</f>
        <v>0</v>
      </c>
      <c r="O13" s="301">
        <f>$L13*'MWh Impact Summary'!G$11</f>
        <v>0</v>
      </c>
      <c r="P13" s="303">
        <f>$M13*'MWh Impact Summary'!H$11</f>
        <v>0</v>
      </c>
      <c r="Q13" s="303">
        <f>$M13*'MWh Impact Summary'!I$11</f>
        <v>0</v>
      </c>
      <c r="R13" s="303">
        <f>$M13*'MWh Impact Summary'!J$11</f>
        <v>0</v>
      </c>
      <c r="S13" s="303">
        <f>$M13*'MWh Impact Summary'!K$11</f>
        <v>0</v>
      </c>
      <c r="T13" s="303">
        <f>$M13*'MWh Impact Summary'!L$11</f>
        <v>0</v>
      </c>
      <c r="U13" s="303">
        <f>$M13*'MWh Impact Summary'!M$11</f>
        <v>0</v>
      </c>
      <c r="V13" s="301">
        <f>$L13*'MWh Impact Summary'!O$11</f>
        <v>0</v>
      </c>
      <c r="W13" s="301">
        <f>$L13*'MWh Impact Summary'!P$11</f>
        <v>0</v>
      </c>
      <c r="X13" s="301">
        <f>$L13*'MWh Impact Summary'!Q$11</f>
        <v>0</v>
      </c>
      <c r="Y13" s="85">
        <f t="shared" si="2"/>
        <v>0</v>
      </c>
      <c r="Z13" s="81">
        <f t="shared" si="3"/>
        <v>14769.866401656593</v>
      </c>
      <c r="AA13" s="81"/>
      <c r="AB13" s="81">
        <f>+'MWh by mo-WgtbyActulCDH&amp;Days'!AB13</f>
        <v>4343095</v>
      </c>
      <c r="AC13" s="308">
        <f t="shared" si="13"/>
        <v>3.4007698200607153</v>
      </c>
      <c r="AD13" s="309">
        <f t="shared" si="4"/>
        <v>3.4007698200607153</v>
      </c>
      <c r="AE13" s="107">
        <f t="shared" si="5"/>
        <v>2.9107872924913396E-4</v>
      </c>
      <c r="AF13" s="309">
        <f t="shared" si="14"/>
        <v>0</v>
      </c>
      <c r="AG13" s="107">
        <f t="shared" si="6"/>
        <v>0</v>
      </c>
      <c r="AH13" s="119">
        <f t="shared" si="15"/>
        <v>2.9107872924913396E-4</v>
      </c>
      <c r="AI13" s="122">
        <f t="shared" si="7"/>
        <v>2.9107872924913396E-4</v>
      </c>
      <c r="AJ13" s="87" t="b">
        <f t="shared" si="16"/>
        <v>1</v>
      </c>
      <c r="AK13" s="88">
        <f t="shared" si="8"/>
        <v>2.9107872924913396E-4</v>
      </c>
      <c r="AM13" s="89">
        <f t="shared" si="9"/>
        <v>0</v>
      </c>
      <c r="AN13" s="90"/>
      <c r="AO13" s="96"/>
      <c r="AP13" s="92"/>
      <c r="AR13" s="94">
        <f t="shared" si="10"/>
        <v>2.9107872924913396E-4</v>
      </c>
      <c r="AS13" s="95">
        <v>15722.431837506771</v>
      </c>
      <c r="AU13" s="141">
        <v>3.4007698200607153</v>
      </c>
    </row>
    <row r="14" spans="1:47">
      <c r="A14" s="78">
        <v>2005</v>
      </c>
      <c r="B14" s="78">
        <v>10</v>
      </c>
      <c r="C14" s="317">
        <v>198.89039579254836</v>
      </c>
      <c r="D14" s="318">
        <f t="shared" si="0"/>
        <v>0.10115446643644242</v>
      </c>
      <c r="E14" s="102">
        <f>$D14*'MWh Impact Summary'!B$11</f>
        <v>0</v>
      </c>
      <c r="F14" s="319">
        <f>$D14*'MWh Impact Summary'!N$11</f>
        <v>0</v>
      </c>
      <c r="G14" s="319">
        <f>$D14*'MWh Impact Summary'!C$11</f>
        <v>5876.5983353025222</v>
      </c>
      <c r="H14" s="319">
        <f>$D14*'MWh Impact Summary'!D$11</f>
        <v>0</v>
      </c>
      <c r="I14" s="319">
        <f>$D14*'MWh Impact Summary'!E$11</f>
        <v>4694.9477516481656</v>
      </c>
      <c r="J14" s="104">
        <f t="shared" si="11"/>
        <v>10571.546086950688</v>
      </c>
      <c r="K14" s="298">
        <v>12.466666666666667</v>
      </c>
      <c r="L14" s="299">
        <f t="shared" si="17"/>
        <v>8.7762524932535488E-2</v>
      </c>
      <c r="M14" s="297">
        <f t="shared" si="12"/>
        <v>8.3333333333333329E-2</v>
      </c>
      <c r="N14" s="301">
        <f>$L14*'MWh Impact Summary'!F$11</f>
        <v>0</v>
      </c>
      <c r="O14" s="301">
        <f>$L14*'MWh Impact Summary'!G$11</f>
        <v>0</v>
      </c>
      <c r="P14" s="303">
        <f>$M14*'MWh Impact Summary'!H$11</f>
        <v>0</v>
      </c>
      <c r="Q14" s="303">
        <f>$M14*'MWh Impact Summary'!I$11</f>
        <v>0</v>
      </c>
      <c r="R14" s="303">
        <f>$M14*'MWh Impact Summary'!J$11</f>
        <v>0</v>
      </c>
      <c r="S14" s="303">
        <f>$M14*'MWh Impact Summary'!K$11</f>
        <v>0</v>
      </c>
      <c r="T14" s="303">
        <f>$M14*'MWh Impact Summary'!L$11</f>
        <v>0</v>
      </c>
      <c r="U14" s="303">
        <f>$M14*'MWh Impact Summary'!M$11</f>
        <v>0</v>
      </c>
      <c r="V14" s="301">
        <f>$L14*'MWh Impact Summary'!O$11</f>
        <v>0</v>
      </c>
      <c r="W14" s="301">
        <f>$L14*'MWh Impact Summary'!P$11</f>
        <v>0</v>
      </c>
      <c r="X14" s="301">
        <f>$L14*'MWh Impact Summary'!Q$11</f>
        <v>0</v>
      </c>
      <c r="Y14" s="85">
        <f t="shared" si="2"/>
        <v>0</v>
      </c>
      <c r="Z14" s="81">
        <f t="shared" si="3"/>
        <v>10571.546086950688</v>
      </c>
      <c r="AA14" s="81"/>
      <c r="AB14" s="81">
        <f>+'MWh by mo-WgtbyActulCDH&amp;Days'!AB14</f>
        <v>4344668</v>
      </c>
      <c r="AC14" s="308">
        <f t="shared" si="13"/>
        <v>2.4332229958539267</v>
      </c>
      <c r="AD14" s="309">
        <f t="shared" si="4"/>
        <v>2.4332229958539267</v>
      </c>
      <c r="AE14" s="107">
        <f t="shared" si="5"/>
        <v>1.9517831517544865E-4</v>
      </c>
      <c r="AF14" s="309">
        <f t="shared" si="14"/>
        <v>0</v>
      </c>
      <c r="AG14" s="107">
        <f t="shared" si="6"/>
        <v>0</v>
      </c>
      <c r="AH14" s="119">
        <f t="shared" si="15"/>
        <v>1.9517831517544865E-4</v>
      </c>
      <c r="AI14" s="122">
        <f t="shared" si="7"/>
        <v>1.9517831517544865E-4</v>
      </c>
      <c r="AJ14" s="87" t="b">
        <f t="shared" si="16"/>
        <v>1</v>
      </c>
      <c r="AK14" s="88">
        <f t="shared" si="8"/>
        <v>1.9517831517544865E-4</v>
      </c>
      <c r="AM14" s="89">
        <f t="shared" si="9"/>
        <v>0</v>
      </c>
      <c r="AN14" s="90"/>
      <c r="AO14" s="96"/>
      <c r="AP14" s="92"/>
      <c r="AR14" s="94">
        <f t="shared" si="10"/>
        <v>1.9517831517544865E-4</v>
      </c>
      <c r="AS14" s="95">
        <v>10562.607614854458</v>
      </c>
      <c r="AU14" s="141">
        <v>2.4332229958539267</v>
      </c>
    </row>
    <row r="15" spans="1:47">
      <c r="A15" s="78">
        <v>2005</v>
      </c>
      <c r="B15" s="78">
        <v>11</v>
      </c>
      <c r="C15" s="317">
        <v>78.117279066674627</v>
      </c>
      <c r="D15" s="318">
        <f t="shared" si="0"/>
        <v>3.9729981188725644E-2</v>
      </c>
      <c r="E15" s="102">
        <f>$D15*'MWh Impact Summary'!B$11</f>
        <v>0</v>
      </c>
      <c r="F15" s="319">
        <f>$D15*'MWh Impact Summary'!N$11</f>
        <v>0</v>
      </c>
      <c r="G15" s="319">
        <f>$D15*'MWh Impact Summary'!C$11</f>
        <v>2308.1248860322394</v>
      </c>
      <c r="H15" s="319">
        <f>$D15*'MWh Impact Summary'!D$11</f>
        <v>0</v>
      </c>
      <c r="I15" s="319">
        <f>$D15*'MWh Impact Summary'!E$11</f>
        <v>1844.0133434170443</v>
      </c>
      <c r="J15" s="104">
        <f t="shared" si="11"/>
        <v>4152.1382294492832</v>
      </c>
      <c r="K15" s="298">
        <v>13.15</v>
      </c>
      <c r="L15" s="299">
        <f>K15/(SUM(K$5:K$16))</f>
        <v>9.2573037662794788E-2</v>
      </c>
      <c r="M15" s="297">
        <f t="shared" si="12"/>
        <v>8.3333333333333329E-2</v>
      </c>
      <c r="N15" s="301">
        <f>$L15*'MWh Impact Summary'!F$11</f>
        <v>0</v>
      </c>
      <c r="O15" s="301">
        <f>$L15*'MWh Impact Summary'!G$11</f>
        <v>0</v>
      </c>
      <c r="P15" s="303">
        <f>$M15*'MWh Impact Summary'!H$11</f>
        <v>0</v>
      </c>
      <c r="Q15" s="303">
        <f>$M15*'MWh Impact Summary'!I$11</f>
        <v>0</v>
      </c>
      <c r="R15" s="303">
        <f>$M15*'MWh Impact Summary'!J$11</f>
        <v>0</v>
      </c>
      <c r="S15" s="303">
        <f>$M15*'MWh Impact Summary'!K$11</f>
        <v>0</v>
      </c>
      <c r="T15" s="303">
        <f>$M15*'MWh Impact Summary'!L$11</f>
        <v>0</v>
      </c>
      <c r="U15" s="303">
        <f>$M15*'MWh Impact Summary'!M$11</f>
        <v>0</v>
      </c>
      <c r="V15" s="301">
        <f>$L15*'MWh Impact Summary'!O$11</f>
        <v>0</v>
      </c>
      <c r="W15" s="301">
        <f>$L15*'MWh Impact Summary'!P$11</f>
        <v>0</v>
      </c>
      <c r="X15" s="301">
        <f>$L15*'MWh Impact Summary'!Q$11</f>
        <v>0</v>
      </c>
      <c r="Y15" s="85">
        <f t="shared" si="2"/>
        <v>0</v>
      </c>
      <c r="Z15" s="81">
        <f t="shared" si="3"/>
        <v>4152.1382294492832</v>
      </c>
      <c r="AA15" s="81"/>
      <c r="AB15" s="81">
        <f>+'MWh by mo-WgtbyActulCDH&amp;Days'!AB15</f>
        <v>4345746</v>
      </c>
      <c r="AC15" s="308">
        <f t="shared" si="13"/>
        <v>0.95544889863542037</v>
      </c>
      <c r="AD15" s="309">
        <f t="shared" si="4"/>
        <v>0.95544889863542037</v>
      </c>
      <c r="AE15" s="107">
        <f t="shared" si="5"/>
        <v>7.265771092284565E-5</v>
      </c>
      <c r="AF15" s="309">
        <f t="shared" si="14"/>
        <v>0</v>
      </c>
      <c r="AG15" s="107">
        <f t="shared" si="6"/>
        <v>0</v>
      </c>
      <c r="AH15" s="119">
        <f t="shared" si="15"/>
        <v>7.265771092284565E-5</v>
      </c>
      <c r="AI15" s="122">
        <f t="shared" si="7"/>
        <v>7.265771092284565E-5</v>
      </c>
      <c r="AJ15" s="87" t="b">
        <f t="shared" si="16"/>
        <v>1</v>
      </c>
      <c r="AK15" s="88">
        <f t="shared" si="8"/>
        <v>7.265771092284565E-5</v>
      </c>
      <c r="AM15" s="89">
        <f t="shared" si="9"/>
        <v>0</v>
      </c>
      <c r="AN15" s="90"/>
      <c r="AO15" s="96"/>
      <c r="AP15" s="92"/>
      <c r="AR15" s="94">
        <f t="shared" si="10"/>
        <v>7.265771092284565E-5</v>
      </c>
      <c r="AS15" s="95">
        <v>4865.4451527342171</v>
      </c>
      <c r="AU15" s="141">
        <v>0.95544889863542037</v>
      </c>
    </row>
    <row r="16" spans="1:47">
      <c r="A16" s="78">
        <v>2005</v>
      </c>
      <c r="B16" s="78">
        <v>12</v>
      </c>
      <c r="C16" s="317">
        <v>42.633806123140985</v>
      </c>
      <c r="D16" s="318">
        <f t="shared" si="0"/>
        <v>2.1683298951445065E-2</v>
      </c>
      <c r="E16" s="102">
        <f>$D16*'MWh Impact Summary'!B$11</f>
        <v>0</v>
      </c>
      <c r="F16" s="319">
        <f>$D16*'MWh Impact Summary'!N$11</f>
        <v>0</v>
      </c>
      <c r="G16" s="319">
        <f>$D16*'MWh Impact Summary'!C$11</f>
        <v>1259.6975992354458</v>
      </c>
      <c r="H16" s="319">
        <f>$D16*'MWh Impact Summary'!D$11</f>
        <v>0</v>
      </c>
      <c r="I16" s="319">
        <f>$D16*'MWh Impact Summary'!E$11</f>
        <v>1006.4009949018558</v>
      </c>
      <c r="J16" s="104">
        <f t="shared" si="11"/>
        <v>2266.0985941373015</v>
      </c>
      <c r="K16" s="298">
        <v>13.483333333333333</v>
      </c>
      <c r="L16" s="299">
        <f>K16/(SUM(K$5:K$16))</f>
        <v>9.491962923853102E-2</v>
      </c>
      <c r="M16" s="297">
        <f t="shared" si="12"/>
        <v>8.3333333333333329E-2</v>
      </c>
      <c r="N16" s="301">
        <f>$L16*'MWh Impact Summary'!F$11</f>
        <v>0</v>
      </c>
      <c r="O16" s="301">
        <f>$L16*'MWh Impact Summary'!G$11</f>
        <v>0</v>
      </c>
      <c r="P16" s="303">
        <f>$M16*'MWh Impact Summary'!H$11</f>
        <v>0</v>
      </c>
      <c r="Q16" s="303">
        <f>$M16*'MWh Impact Summary'!I$11</f>
        <v>0</v>
      </c>
      <c r="R16" s="303">
        <f>$M16*'MWh Impact Summary'!J$11</f>
        <v>0</v>
      </c>
      <c r="S16" s="303">
        <f>$M16*'MWh Impact Summary'!K$11</f>
        <v>0</v>
      </c>
      <c r="T16" s="303">
        <f>$M16*'MWh Impact Summary'!L$11</f>
        <v>0</v>
      </c>
      <c r="U16" s="303">
        <f>$M16*'MWh Impact Summary'!M$11</f>
        <v>0</v>
      </c>
      <c r="V16" s="301">
        <f>$L16*'MWh Impact Summary'!O$11</f>
        <v>0</v>
      </c>
      <c r="W16" s="301">
        <f>$L16*'MWh Impact Summary'!P$11</f>
        <v>0</v>
      </c>
      <c r="X16" s="301">
        <f>$L16*'MWh Impact Summary'!Q$11</f>
        <v>0</v>
      </c>
      <c r="Y16" s="85">
        <f t="shared" si="2"/>
        <v>0</v>
      </c>
      <c r="Z16" s="81">
        <f t="shared" si="3"/>
        <v>2266.0985941373015</v>
      </c>
      <c r="AA16" s="81">
        <f>SUM(Z5:Z16)</f>
        <v>104508.94023145307</v>
      </c>
      <c r="AB16" s="81">
        <f>+'MWh by mo-WgtbyActulCDH&amp;Days'!AB16</f>
        <v>4355740</v>
      </c>
      <c r="AC16" s="308">
        <f t="shared" si="13"/>
        <v>0.52025570721330971</v>
      </c>
      <c r="AD16" s="309">
        <f t="shared" si="4"/>
        <v>0.52025570721330971</v>
      </c>
      <c r="AE16" s="107">
        <f t="shared" si="5"/>
        <v>3.8585095714213333E-5</v>
      </c>
      <c r="AF16" s="309">
        <f t="shared" si="14"/>
        <v>0</v>
      </c>
      <c r="AG16" s="107">
        <f t="shared" si="6"/>
        <v>0</v>
      </c>
      <c r="AH16" s="119">
        <f t="shared" si="15"/>
        <v>3.8585095714213333E-5</v>
      </c>
      <c r="AI16" s="122">
        <f t="shared" si="7"/>
        <v>3.8585095714213333E-5</v>
      </c>
      <c r="AJ16" s="87" t="b">
        <f t="shared" si="16"/>
        <v>1</v>
      </c>
      <c r="AK16" s="88">
        <f t="shared" si="8"/>
        <v>3.8585095714213333E-5</v>
      </c>
      <c r="AM16" s="89">
        <f t="shared" si="9"/>
        <v>0</v>
      </c>
      <c r="AN16" s="90">
        <f>SUM(AM5:AM16)</f>
        <v>0</v>
      </c>
      <c r="AO16" s="96"/>
      <c r="AP16" s="92"/>
      <c r="AR16" s="94">
        <f t="shared" si="10"/>
        <v>3.8585095714213333E-5</v>
      </c>
      <c r="AS16" s="95">
        <v>2156.0812209549281</v>
      </c>
      <c r="AU16" s="141">
        <v>0.52025570721330971</v>
      </c>
    </row>
    <row r="17" spans="1:47">
      <c r="A17" s="78">
        <v>2006</v>
      </c>
      <c r="B17" s="78">
        <v>1</v>
      </c>
      <c r="C17" s="317">
        <f>+C5</f>
        <v>26.112829868525239</v>
      </c>
      <c r="D17" s="318">
        <f t="shared" ref="D17:D28" si="18">C17/(SUM(C$17:C$28))</f>
        <v>1.3280829182176284E-2</v>
      </c>
      <c r="E17" s="104">
        <f>$D17*'MWh Impact Summary'!B$12</f>
        <v>2904.9799644588265</v>
      </c>
      <c r="F17" s="320">
        <f>$D17*'MWh Impact Summary'!N$12</f>
        <v>0</v>
      </c>
      <c r="G17" s="320">
        <f>$D17*'MWh Impact Summary'!C$12</f>
        <v>2638.1203832080691</v>
      </c>
      <c r="H17" s="320">
        <f>$D17*'MWh Impact Summary'!D$12</f>
        <v>0</v>
      </c>
      <c r="I17" s="320">
        <f>$D17*'MWh Impact Summary'!E$12</f>
        <v>1415.9878542173815</v>
      </c>
      <c r="J17" s="104">
        <f t="shared" si="11"/>
        <v>6959.0882018842767</v>
      </c>
      <c r="K17" s="298">
        <f>+K5</f>
        <v>13.3</v>
      </c>
      <c r="L17" s="299">
        <f>K17/(SUM(K$17:K$28))</f>
        <v>9.3629003871876101E-2</v>
      </c>
      <c r="M17" s="297">
        <f t="shared" si="12"/>
        <v>8.3333333333333329E-2</v>
      </c>
      <c r="N17" s="302">
        <f>$L17*'MWh Impact Summary'!F$12</f>
        <v>0</v>
      </c>
      <c r="O17" s="302">
        <f>$L17*'MWh Impact Summary'!G$12</f>
        <v>0</v>
      </c>
      <c r="P17" s="304">
        <f>$M17*'MWh Impact Summary'!H$12</f>
        <v>0</v>
      </c>
      <c r="Q17" s="304">
        <f>(1/12)*'MWh Impact Summary'!I$12</f>
        <v>113.98507848140862</v>
      </c>
      <c r="R17" s="304">
        <f>$M17*'MWh Impact Summary'!J$12</f>
        <v>0</v>
      </c>
      <c r="S17" s="304">
        <f>$M17*'MWh Impact Summary'!K$12</f>
        <v>0</v>
      </c>
      <c r="T17" s="304">
        <f>$M17*'MWh Impact Summary'!L$12</f>
        <v>0</v>
      </c>
      <c r="U17" s="304">
        <f>$M17*'MWh Impact Summary'!M$12</f>
        <v>0</v>
      </c>
      <c r="V17" s="302">
        <f>$L17*'MWh Impact Summary'!O$12</f>
        <v>0</v>
      </c>
      <c r="W17" s="302">
        <f>$L17*'MWh Impact Summary'!P$12</f>
        <v>0</v>
      </c>
      <c r="X17" s="302">
        <f>$L17*'MWh Impact Summary'!Q$12</f>
        <v>0</v>
      </c>
      <c r="Y17" s="85">
        <f t="shared" si="2"/>
        <v>113.98507848140862</v>
      </c>
      <c r="Z17" s="81">
        <f t="shared" si="3"/>
        <v>7073.0732803656856</v>
      </c>
      <c r="AA17" s="81"/>
      <c r="AB17" s="81">
        <f>+'MWh by mo-WgtbyActulCDH&amp;Days'!AB17</f>
        <v>4369236</v>
      </c>
      <c r="AC17" s="308">
        <f t="shared" si="13"/>
        <v>1.6188352564076844</v>
      </c>
      <c r="AD17" s="309">
        <f t="shared" si="4"/>
        <v>1.5927471534804432</v>
      </c>
      <c r="AE17" s="107">
        <f t="shared" si="5"/>
        <v>1.1975542507371753E-4</v>
      </c>
      <c r="AF17" s="309">
        <f t="shared" si="14"/>
        <v>2.6088102927241428E-2</v>
      </c>
      <c r="AG17" s="107">
        <f t="shared" si="6"/>
        <v>1.9615114982888291E-6</v>
      </c>
      <c r="AH17" s="119">
        <f t="shared" si="15"/>
        <v>1.2171693657200635E-4</v>
      </c>
      <c r="AI17" s="122">
        <f t="shared" si="7"/>
        <v>1.2171693657200635E-4</v>
      </c>
      <c r="AJ17" s="87" t="b">
        <f t="shared" si="16"/>
        <v>1</v>
      </c>
      <c r="AK17" s="88">
        <f>AI17-AI5</f>
        <v>9.7291120083061388E-5</v>
      </c>
      <c r="AM17" s="89">
        <f t="shared" si="9"/>
        <v>0</v>
      </c>
      <c r="AN17" s="90"/>
      <c r="AO17" s="96"/>
      <c r="AP17" s="92"/>
      <c r="AR17" s="94">
        <f t="shared" si="10"/>
        <v>1.2171693657200635E-4</v>
      </c>
      <c r="AS17" s="95">
        <v>7009.1637420817888</v>
      </c>
      <c r="AU17" s="141">
        <v>1.6188352564076844</v>
      </c>
    </row>
    <row r="18" spans="1:47">
      <c r="A18" s="78">
        <v>2006</v>
      </c>
      <c r="B18" s="78">
        <v>2</v>
      </c>
      <c r="C18" s="317">
        <f t="shared" ref="C18:C81" si="19">+C6</f>
        <v>35.042184420393127</v>
      </c>
      <c r="D18" s="318">
        <f t="shared" si="18"/>
        <v>1.7822245532205266E-2</v>
      </c>
      <c r="E18" s="104">
        <f>$D18*'MWh Impact Summary'!B$12</f>
        <v>3898.345915193695</v>
      </c>
      <c r="F18" s="320">
        <f>$D18*'MWh Impact Summary'!N$12</f>
        <v>0</v>
      </c>
      <c r="G18" s="320">
        <f>$D18*'MWh Impact Summary'!C$12</f>
        <v>3540.2329604652823</v>
      </c>
      <c r="H18" s="320">
        <f>$D18*'MWh Impact Summary'!D$12</f>
        <v>0</v>
      </c>
      <c r="I18" s="320">
        <f>$D18*'MWh Impact Summary'!E$12</f>
        <v>1900.1888257362029</v>
      </c>
      <c r="J18" s="104">
        <f t="shared" si="11"/>
        <v>9338.7677013951798</v>
      </c>
      <c r="K18" s="298">
        <f t="shared" ref="K18:K81" si="20">+K6</f>
        <v>12.733333333333333</v>
      </c>
      <c r="L18" s="299">
        <f>K18/(SUM(K$17:K$28))</f>
        <v>8.9639798193124468E-2</v>
      </c>
      <c r="M18" s="297">
        <f t="shared" si="12"/>
        <v>8.3333333333333329E-2</v>
      </c>
      <c r="N18" s="302">
        <f>$L18*'MWh Impact Summary'!F$12</f>
        <v>0</v>
      </c>
      <c r="O18" s="302">
        <f>$L18*'MWh Impact Summary'!G$12</f>
        <v>0</v>
      </c>
      <c r="P18" s="304">
        <f>$M18*'MWh Impact Summary'!H$12</f>
        <v>0</v>
      </c>
      <c r="Q18" s="304">
        <f>$M18*'MWh Impact Summary'!I$12</f>
        <v>113.98507848140862</v>
      </c>
      <c r="R18" s="304">
        <f>$M18*'MWh Impact Summary'!J$12</f>
        <v>0</v>
      </c>
      <c r="S18" s="304">
        <f>$M18*'MWh Impact Summary'!K$12</f>
        <v>0</v>
      </c>
      <c r="T18" s="304">
        <f>$M18*'MWh Impact Summary'!L$12</f>
        <v>0</v>
      </c>
      <c r="U18" s="304">
        <f>$M18*'MWh Impact Summary'!M$12</f>
        <v>0</v>
      </c>
      <c r="V18" s="302">
        <f>$L18*'MWh Impact Summary'!O$12</f>
        <v>0</v>
      </c>
      <c r="W18" s="302">
        <f>$L18*'MWh Impact Summary'!P$12</f>
        <v>0</v>
      </c>
      <c r="X18" s="302">
        <f>$L18*'MWh Impact Summary'!Q$12</f>
        <v>0</v>
      </c>
      <c r="Y18" s="85">
        <f t="shared" si="2"/>
        <v>113.98507848140862</v>
      </c>
      <c r="Z18" s="81">
        <f t="shared" si="3"/>
        <v>9452.7527798765877</v>
      </c>
      <c r="AA18" s="81"/>
      <c r="AB18" s="81">
        <f>+'MWh by mo-WgtbyActulCDH&amp;Days'!AB18</f>
        <v>4377958</v>
      </c>
      <c r="AC18" s="308">
        <f t="shared" si="13"/>
        <v>2.1591693615782948</v>
      </c>
      <c r="AD18" s="309">
        <f t="shared" si="4"/>
        <v>2.1331332327526167</v>
      </c>
      <c r="AE18" s="107">
        <f t="shared" si="5"/>
        <v>1.6752355231041495E-4</v>
      </c>
      <c r="AF18" s="309">
        <f t="shared" si="14"/>
        <v>2.6036128825678233E-2</v>
      </c>
      <c r="AG18" s="107">
        <f t="shared" si="6"/>
        <v>2.0447221590846784E-6</v>
      </c>
      <c r="AH18" s="119">
        <f t="shared" si="15"/>
        <v>1.6956827446949963E-4</v>
      </c>
      <c r="AI18" s="122">
        <f t="shared" si="7"/>
        <v>1.695682744694996E-4</v>
      </c>
      <c r="AJ18" s="87" t="b">
        <f t="shared" si="16"/>
        <v>1</v>
      </c>
      <c r="AK18" s="88">
        <f>AI18-AI6</f>
        <v>1.3545525227218322E-4</v>
      </c>
      <c r="AM18" s="89">
        <f t="shared" si="9"/>
        <v>0</v>
      </c>
      <c r="AN18" s="90"/>
      <c r="AO18" s="96"/>
      <c r="AP18" s="92"/>
      <c r="AR18" s="94">
        <f t="shared" si="10"/>
        <v>1.695682744694996E-4</v>
      </c>
      <c r="AS18" s="95">
        <v>8174.9983119916897</v>
      </c>
      <c r="AU18" s="141">
        <v>2.1591693615782948</v>
      </c>
    </row>
    <row r="19" spans="1:47">
      <c r="A19" s="78">
        <v>2006</v>
      </c>
      <c r="B19" s="78">
        <v>3</v>
      </c>
      <c r="C19" s="317">
        <f t="shared" si="19"/>
        <v>64.582270600115152</v>
      </c>
      <c r="D19" s="318">
        <f t="shared" si="18"/>
        <v>3.2846156787895278E-2</v>
      </c>
      <c r="E19" s="104">
        <f>$D19*'MWh Impact Summary'!B$12</f>
        <v>7184.5986473770272</v>
      </c>
      <c r="F19" s="320">
        <f>$D19*'MWh Impact Summary'!N$12</f>
        <v>0</v>
      </c>
      <c r="G19" s="320">
        <f>$D19*'MWh Impact Summary'!C$12</f>
        <v>6524.6013289958782</v>
      </c>
      <c r="H19" s="320">
        <f>$D19*'MWh Impact Summary'!D$12</f>
        <v>0</v>
      </c>
      <c r="I19" s="320">
        <f>$D19*'MWh Impact Summary'!E$12</f>
        <v>3502.0222330544366</v>
      </c>
      <c r="J19" s="104">
        <f t="shared" si="11"/>
        <v>17211.222209427342</v>
      </c>
      <c r="K19" s="298">
        <f t="shared" si="20"/>
        <v>12</v>
      </c>
      <c r="L19" s="299">
        <f>K19/(SUM(K$17:K$28))</f>
        <v>8.4477296726504739E-2</v>
      </c>
      <c r="M19" s="297">
        <f t="shared" si="12"/>
        <v>8.3333333333333329E-2</v>
      </c>
      <c r="N19" s="302">
        <f>$L19*'MWh Impact Summary'!F$12</f>
        <v>0</v>
      </c>
      <c r="O19" s="302">
        <f>$L19*'MWh Impact Summary'!G$12</f>
        <v>0</v>
      </c>
      <c r="P19" s="304">
        <f>$M19*'MWh Impact Summary'!H$12</f>
        <v>0</v>
      </c>
      <c r="Q19" s="304">
        <f>$M19*'MWh Impact Summary'!I$12</f>
        <v>113.98507848140862</v>
      </c>
      <c r="R19" s="304">
        <f>$M19*'MWh Impact Summary'!J$12</f>
        <v>0</v>
      </c>
      <c r="S19" s="304">
        <f>$M19*'MWh Impact Summary'!K$12</f>
        <v>0</v>
      </c>
      <c r="T19" s="304">
        <f>$M19*'MWh Impact Summary'!L$12</f>
        <v>0</v>
      </c>
      <c r="U19" s="304">
        <f>$M19*'MWh Impact Summary'!M$12</f>
        <v>0</v>
      </c>
      <c r="V19" s="302">
        <f>$L19*'MWh Impact Summary'!O$12</f>
        <v>0</v>
      </c>
      <c r="W19" s="302">
        <f>$L19*'MWh Impact Summary'!P$12</f>
        <v>0</v>
      </c>
      <c r="X19" s="302">
        <f>$L19*'MWh Impact Summary'!Q$12</f>
        <v>0</v>
      </c>
      <c r="Y19" s="85">
        <f t="shared" si="2"/>
        <v>113.98507848140862</v>
      </c>
      <c r="Z19" s="81">
        <f t="shared" si="3"/>
        <v>17325.20728790875</v>
      </c>
      <c r="AA19" s="81"/>
      <c r="AB19" s="81">
        <f>+'MWh by mo-WgtbyActulCDH&amp;Days'!AB19</f>
        <v>4390093</v>
      </c>
      <c r="AC19" s="308">
        <f t="shared" si="13"/>
        <v>3.9464328632465762</v>
      </c>
      <c r="AD19" s="309">
        <f t="shared" si="4"/>
        <v>3.9204687029243668</v>
      </c>
      <c r="AE19" s="107">
        <f t="shared" si="5"/>
        <v>3.2670572524369723E-4</v>
      </c>
      <c r="AF19" s="309">
        <f t="shared" si="14"/>
        <v>2.5964160322209263E-2</v>
      </c>
      <c r="AG19" s="107">
        <f t="shared" si="6"/>
        <v>2.1636800268507721E-6</v>
      </c>
      <c r="AH19" s="119">
        <f t="shared" si="15"/>
        <v>3.2886940527054799E-4</v>
      </c>
      <c r="AI19" s="122">
        <f t="shared" si="7"/>
        <v>3.2886940527054805E-4</v>
      </c>
      <c r="AJ19" s="87" t="b">
        <f t="shared" si="16"/>
        <v>1</v>
      </c>
      <c r="AK19" s="88">
        <f>AI19-AI7</f>
        <v>2.6234177717620439E-4</v>
      </c>
      <c r="AM19" s="89">
        <f t="shared" si="9"/>
        <v>0</v>
      </c>
      <c r="AN19" s="90"/>
      <c r="AO19" s="96"/>
      <c r="AP19" s="92"/>
      <c r="AR19" s="94">
        <f t="shared" si="10"/>
        <v>3.2886940527054805E-4</v>
      </c>
      <c r="AS19" s="95">
        <v>15958.602864016615</v>
      </c>
      <c r="AU19" s="141">
        <v>3.9464328632465762</v>
      </c>
    </row>
    <row r="20" spans="1:47">
      <c r="A20" s="78">
        <v>2006</v>
      </c>
      <c r="B20" s="78">
        <v>4</v>
      </c>
      <c r="C20" s="317">
        <f t="shared" si="19"/>
        <v>114.03392869270741</v>
      </c>
      <c r="D20" s="318">
        <f t="shared" si="18"/>
        <v>5.7996974497419709E-2</v>
      </c>
      <c r="E20" s="104">
        <f>$D20*'MWh Impact Summary'!B$12</f>
        <v>12685.958580082086</v>
      </c>
      <c r="F20" s="320">
        <f>$D20*'MWh Impact Summary'!N$12</f>
        <v>0</v>
      </c>
      <c r="G20" s="320">
        <f>$D20*'MWh Impact Summary'!C$12</f>
        <v>11520.590957632468</v>
      </c>
      <c r="H20" s="320">
        <f>$D20*'MWh Impact Summary'!D$12</f>
        <v>0</v>
      </c>
      <c r="I20" s="320">
        <f>$D20*'MWh Impact Summary'!E$12</f>
        <v>6183.5756143837634</v>
      </c>
      <c r="J20" s="104">
        <f t="shared" si="11"/>
        <v>30390.125152098321</v>
      </c>
      <c r="K20" s="298">
        <f t="shared" si="20"/>
        <v>11.2</v>
      </c>
      <c r="L20" s="299">
        <f>K20/(SUM(K$17:K$28))</f>
        <v>7.8845476944737758E-2</v>
      </c>
      <c r="M20" s="297">
        <f t="shared" si="12"/>
        <v>8.3333333333333329E-2</v>
      </c>
      <c r="N20" s="302">
        <f>$L20*'MWh Impact Summary'!F$12</f>
        <v>0</v>
      </c>
      <c r="O20" s="302">
        <f>$L20*'MWh Impact Summary'!G$12</f>
        <v>0</v>
      </c>
      <c r="P20" s="304">
        <f>$M20*'MWh Impact Summary'!H$12</f>
        <v>0</v>
      </c>
      <c r="Q20" s="304">
        <f>$M20*'MWh Impact Summary'!I$12</f>
        <v>113.98507848140862</v>
      </c>
      <c r="R20" s="304">
        <f>$M20*'MWh Impact Summary'!J$12</f>
        <v>0</v>
      </c>
      <c r="S20" s="304">
        <f>$M20*'MWh Impact Summary'!K$12</f>
        <v>0</v>
      </c>
      <c r="T20" s="304">
        <f>$M20*'MWh Impact Summary'!L$12</f>
        <v>0</v>
      </c>
      <c r="U20" s="304">
        <f>$M20*'MWh Impact Summary'!M$12</f>
        <v>0</v>
      </c>
      <c r="V20" s="302">
        <f>$L20*'MWh Impact Summary'!O$12</f>
        <v>0</v>
      </c>
      <c r="W20" s="302">
        <f>$L20*'MWh Impact Summary'!P$12</f>
        <v>0</v>
      </c>
      <c r="X20" s="302">
        <f>$L20*'MWh Impact Summary'!Q$12</f>
        <v>0</v>
      </c>
      <c r="Y20" s="85">
        <f t="shared" si="2"/>
        <v>113.98507848140862</v>
      </c>
      <c r="Z20" s="81">
        <f t="shared" si="3"/>
        <v>30504.110230579729</v>
      </c>
      <c r="AA20" s="81"/>
      <c r="AB20" s="81">
        <f>+'MWh by mo-WgtbyActulCDH&amp;Days'!AB20</f>
        <v>4398215</v>
      </c>
      <c r="AC20" s="308">
        <f t="shared" si="13"/>
        <v>6.9355659581397751</v>
      </c>
      <c r="AD20" s="309">
        <f t="shared" si="4"/>
        <v>6.9096497447483403</v>
      </c>
      <c r="AE20" s="107">
        <f t="shared" si="5"/>
        <v>6.1693301292395895E-4</v>
      </c>
      <c r="AF20" s="309">
        <f t="shared" si="14"/>
        <v>2.5916213391434621E-2</v>
      </c>
      <c r="AG20" s="107">
        <f t="shared" si="6"/>
        <v>2.3139476242352341E-6</v>
      </c>
      <c r="AH20" s="119">
        <f t="shared" si="15"/>
        <v>6.1924696054819421E-4</v>
      </c>
      <c r="AI20" s="122">
        <f t="shared" si="7"/>
        <v>6.1924696054819432E-4</v>
      </c>
      <c r="AJ20" s="87" t="b">
        <f t="shared" si="16"/>
        <v>1</v>
      </c>
      <c r="AK20" s="88">
        <f>AI20-AI8</f>
        <v>4.936886821286829E-4</v>
      </c>
      <c r="AM20" s="89">
        <f t="shared" si="9"/>
        <v>0</v>
      </c>
      <c r="AN20" s="90"/>
      <c r="AO20" s="96"/>
      <c r="AP20" s="92"/>
      <c r="AR20" s="94">
        <f t="shared" si="10"/>
        <v>6.1924696054819432E-4</v>
      </c>
      <c r="AS20" s="95">
        <v>30050.715671449223</v>
      </c>
      <c r="AU20" s="141">
        <v>6.9355659581397751</v>
      </c>
    </row>
    <row r="21" spans="1:47">
      <c r="A21" s="78">
        <v>2006</v>
      </c>
      <c r="B21" s="78">
        <v>5</v>
      </c>
      <c r="C21" s="317">
        <f t="shared" si="19"/>
        <v>208.47875842628665</v>
      </c>
      <c r="D21" s="318">
        <f t="shared" si="18"/>
        <v>0.10603105035770212</v>
      </c>
      <c r="E21" s="104">
        <f>$D21*'MWh Impact Summary'!B$12</f>
        <v>23192.684182176621</v>
      </c>
      <c r="F21" s="320">
        <f>$D21*'MWh Impact Summary'!N$12</f>
        <v>0</v>
      </c>
      <c r="G21" s="320">
        <f>$D21*'MWh Impact Summary'!C$12</f>
        <v>21062.139371314315</v>
      </c>
      <c r="H21" s="320">
        <f>$D21*'MWh Impact Summary'!D$12</f>
        <v>0</v>
      </c>
      <c r="I21" s="320">
        <f>$D21*'MWh Impact Summary'!E$12</f>
        <v>11304.91759339194</v>
      </c>
      <c r="J21" s="104">
        <f t="shared" si="11"/>
        <v>55559.741146882872</v>
      </c>
      <c r="K21" s="298">
        <f t="shared" si="20"/>
        <v>10.533333333333333</v>
      </c>
      <c r="L21" s="299">
        <f>K21/(SUM(K$17:K$28))</f>
        <v>7.4152293793265281E-2</v>
      </c>
      <c r="M21" s="297">
        <f t="shared" si="12"/>
        <v>8.3333333333333329E-2</v>
      </c>
      <c r="N21" s="302">
        <f>$L21*'MWh Impact Summary'!F$12</f>
        <v>0</v>
      </c>
      <c r="O21" s="302">
        <f>$L21*'MWh Impact Summary'!G$12</f>
        <v>0</v>
      </c>
      <c r="P21" s="304">
        <f>$M21*'MWh Impact Summary'!H$12</f>
        <v>0</v>
      </c>
      <c r="Q21" s="304">
        <f>$M21*'MWh Impact Summary'!I$12</f>
        <v>113.98507848140862</v>
      </c>
      <c r="R21" s="304">
        <f>$M21*'MWh Impact Summary'!J$12</f>
        <v>0</v>
      </c>
      <c r="S21" s="304">
        <f>$M21*'MWh Impact Summary'!K$12</f>
        <v>0</v>
      </c>
      <c r="T21" s="304">
        <f>$M21*'MWh Impact Summary'!L$12</f>
        <v>0</v>
      </c>
      <c r="U21" s="304">
        <f>$M21*'MWh Impact Summary'!M$12</f>
        <v>0</v>
      </c>
      <c r="V21" s="302">
        <f>$L21*'MWh Impact Summary'!O$12</f>
        <v>0</v>
      </c>
      <c r="W21" s="302">
        <f>$L21*'MWh Impact Summary'!P$12</f>
        <v>0</v>
      </c>
      <c r="X21" s="302">
        <f>$L21*'MWh Impact Summary'!Q$12</f>
        <v>0</v>
      </c>
      <c r="Y21" s="85">
        <f t="shared" si="2"/>
        <v>113.98507848140862</v>
      </c>
      <c r="Z21" s="81">
        <f t="shared" si="3"/>
        <v>55673.726225364284</v>
      </c>
      <c r="AA21" s="81"/>
      <c r="AB21" s="81">
        <f>+'MWh by mo-WgtbyActulCDH&amp;Days'!AB21</f>
        <v>4397210</v>
      </c>
      <c r="AC21" s="308">
        <f t="shared" si="13"/>
        <v>12.661147915465552</v>
      </c>
      <c r="AD21" s="309">
        <f t="shared" si="4"/>
        <v>12.635225778819494</v>
      </c>
      <c r="AE21" s="107">
        <f t="shared" si="5"/>
        <v>1.1995467511537493E-3</v>
      </c>
      <c r="AF21" s="309">
        <f t="shared" si="14"/>
        <v>2.5922136646057074E-2</v>
      </c>
      <c r="AG21" s="107">
        <f t="shared" si="6"/>
        <v>2.460962339815545E-6</v>
      </c>
      <c r="AH21" s="119">
        <f t="shared" si="15"/>
        <v>1.202007713493565E-3</v>
      </c>
      <c r="AI21" s="122">
        <f t="shared" si="7"/>
        <v>1.2020077134935652E-3</v>
      </c>
      <c r="AJ21" s="87" t="b">
        <f t="shared" si="16"/>
        <v>0</v>
      </c>
      <c r="AK21" s="88">
        <f>AI21-AI9</f>
        <v>9.5814750462499881E-4</v>
      </c>
      <c r="AM21" s="89">
        <f t="shared" si="9"/>
        <v>0</v>
      </c>
      <c r="AN21" s="90"/>
      <c r="AO21" s="96"/>
      <c r="AP21" s="92"/>
      <c r="AR21" s="94">
        <f t="shared" si="10"/>
        <v>1.2020077134935652E-3</v>
      </c>
      <c r="AS21" s="95">
        <v>51309.971910408989</v>
      </c>
      <c r="AU21" s="141">
        <v>12.661147915465552</v>
      </c>
    </row>
    <row r="22" spans="1:47">
      <c r="A22" s="78">
        <v>2006</v>
      </c>
      <c r="B22" s="78">
        <v>6</v>
      </c>
      <c r="C22" s="317">
        <f t="shared" si="19"/>
        <v>271.66325293295364</v>
      </c>
      <c r="D22" s="318">
        <f t="shared" si="18"/>
        <v>0.13816630657965029</v>
      </c>
      <c r="E22" s="104">
        <f>$D22*'MWh Impact Summary'!B$12</f>
        <v>30221.784112382407</v>
      </c>
      <c r="F22" s="320">
        <f>$D22*'MWh Impact Summary'!N$12</f>
        <v>0</v>
      </c>
      <c r="G22" s="320">
        <f>$D22*'MWh Impact Summary'!C$12</f>
        <v>27445.526530040148</v>
      </c>
      <c r="H22" s="320">
        <f>$D22*'MWh Impact Summary'!D$12</f>
        <v>0</v>
      </c>
      <c r="I22" s="320">
        <f>$D22*'MWh Impact Summary'!E$12</f>
        <v>14731.144365701475</v>
      </c>
      <c r="J22" s="104">
        <f t="shared" si="11"/>
        <v>72398.45500812403</v>
      </c>
      <c r="K22" s="298">
        <f t="shared" si="20"/>
        <v>10.199999999999999</v>
      </c>
      <c r="L22" s="299">
        <f t="shared" ref="L22:L28" si="21">K22/(SUM(K$17:K$28))</f>
        <v>7.1805702217529022E-2</v>
      </c>
      <c r="M22" s="297">
        <f t="shared" si="12"/>
        <v>8.3333333333333329E-2</v>
      </c>
      <c r="N22" s="302">
        <f>$L22*'MWh Impact Summary'!F$12</f>
        <v>0</v>
      </c>
      <c r="O22" s="302">
        <f>$L22*'MWh Impact Summary'!G$12</f>
        <v>0</v>
      </c>
      <c r="P22" s="304">
        <f>$M22*'MWh Impact Summary'!H$12</f>
        <v>0</v>
      </c>
      <c r="Q22" s="304">
        <f>$M22*'MWh Impact Summary'!I$12</f>
        <v>113.98507848140862</v>
      </c>
      <c r="R22" s="304">
        <f>$M22*'MWh Impact Summary'!J$12</f>
        <v>0</v>
      </c>
      <c r="S22" s="304">
        <f>$M22*'MWh Impact Summary'!K$12</f>
        <v>0</v>
      </c>
      <c r="T22" s="304">
        <f>$M22*'MWh Impact Summary'!L$12</f>
        <v>0</v>
      </c>
      <c r="U22" s="304">
        <f>$M22*'MWh Impact Summary'!M$12</f>
        <v>0</v>
      </c>
      <c r="V22" s="302">
        <f>$L22*'MWh Impact Summary'!O$12</f>
        <v>0</v>
      </c>
      <c r="W22" s="302">
        <f>$L22*'MWh Impact Summary'!P$12</f>
        <v>0</v>
      </c>
      <c r="X22" s="302">
        <f>$L22*'MWh Impact Summary'!Q$12</f>
        <v>0</v>
      </c>
      <c r="Y22" s="85">
        <f t="shared" si="2"/>
        <v>113.98507848140862</v>
      </c>
      <c r="Z22" s="81">
        <f t="shared" si="3"/>
        <v>72512.440086605435</v>
      </c>
      <c r="AA22" s="81"/>
      <c r="AB22" s="81">
        <f>+'MWh by mo-WgtbyActulCDH&amp;Days'!AB22</f>
        <v>4403628</v>
      </c>
      <c r="AC22" s="308">
        <f t="shared" si="13"/>
        <v>16.466522623301838</v>
      </c>
      <c r="AD22" s="309">
        <f t="shared" si="4"/>
        <v>16.440638266475737</v>
      </c>
      <c r="AE22" s="107">
        <f t="shared" si="5"/>
        <v>1.6118272810270332E-3</v>
      </c>
      <c r="AF22" s="309">
        <f t="shared" si="14"/>
        <v>2.5884356826100803E-2</v>
      </c>
      <c r="AG22" s="107">
        <f t="shared" si="6"/>
        <v>2.537682041774589E-6</v>
      </c>
      <c r="AH22" s="119">
        <f t="shared" si="15"/>
        <v>1.6143649630688077E-3</v>
      </c>
      <c r="AI22" s="122">
        <f t="shared" si="7"/>
        <v>1.6143649630688077E-3</v>
      </c>
      <c r="AJ22" s="87" t="b">
        <f t="shared" si="16"/>
        <v>1</v>
      </c>
      <c r="AK22" s="88">
        <f t="shared" ref="AK22:AK85" si="22">AI22-AI10</f>
        <v>1.2867372714541214E-3</v>
      </c>
      <c r="AM22" s="89">
        <f t="shared" si="9"/>
        <v>0</v>
      </c>
      <c r="AN22" s="90"/>
      <c r="AO22" s="96"/>
      <c r="AP22" s="92"/>
      <c r="AR22" s="94">
        <f t="shared" si="10"/>
        <v>1.6143649630688077E-3</v>
      </c>
      <c r="AS22" s="95">
        <v>74366.069194837764</v>
      </c>
      <c r="AU22" s="141">
        <v>16.466522623301838</v>
      </c>
    </row>
    <row r="23" spans="1:47">
      <c r="A23" s="78">
        <v>2006</v>
      </c>
      <c r="B23" s="78">
        <v>7</v>
      </c>
      <c r="C23" s="317">
        <f t="shared" si="19"/>
        <v>322.31916585708109</v>
      </c>
      <c r="D23" s="318">
        <f t="shared" si="18"/>
        <v>0.16392960109808263</v>
      </c>
      <c r="E23" s="104">
        <f>$D23*'MWh Impact Summary'!B$12</f>
        <v>35857.114058116545</v>
      </c>
      <c r="F23" s="320">
        <f>$D23*'MWh Impact Summary'!N$12</f>
        <v>0</v>
      </c>
      <c r="G23" s="320">
        <f>$D23*'MWh Impact Summary'!C$12</f>
        <v>32563.17931175687</v>
      </c>
      <c r="H23" s="320">
        <f>$D23*'MWh Impact Summary'!D$12</f>
        <v>0</v>
      </c>
      <c r="I23" s="320">
        <f>$D23*'MWh Impact Summary'!E$12</f>
        <v>17477.999371688948</v>
      </c>
      <c r="J23" s="104">
        <f t="shared" si="11"/>
        <v>85898.292741562356</v>
      </c>
      <c r="K23" s="298">
        <f t="shared" si="20"/>
        <v>10.366666666666667</v>
      </c>
      <c r="L23" s="299">
        <f t="shared" si="21"/>
        <v>7.2978998005397158E-2</v>
      </c>
      <c r="M23" s="297">
        <f t="shared" si="12"/>
        <v>8.3333333333333329E-2</v>
      </c>
      <c r="N23" s="302">
        <f>$L23*'MWh Impact Summary'!F$12</f>
        <v>0</v>
      </c>
      <c r="O23" s="302">
        <f>$L23*'MWh Impact Summary'!G$12</f>
        <v>0</v>
      </c>
      <c r="P23" s="304">
        <f>$M23*'MWh Impact Summary'!H$12</f>
        <v>0</v>
      </c>
      <c r="Q23" s="304">
        <f>$M23*'MWh Impact Summary'!I$12</f>
        <v>113.98507848140862</v>
      </c>
      <c r="R23" s="304">
        <f>$M23*'MWh Impact Summary'!J$12</f>
        <v>0</v>
      </c>
      <c r="S23" s="304">
        <f>$M23*'MWh Impact Summary'!K$12</f>
        <v>0</v>
      </c>
      <c r="T23" s="304">
        <f>$M23*'MWh Impact Summary'!L$12</f>
        <v>0</v>
      </c>
      <c r="U23" s="304">
        <f>$M23*'MWh Impact Summary'!M$12</f>
        <v>0</v>
      </c>
      <c r="V23" s="302">
        <f>$L23*'MWh Impact Summary'!O$12</f>
        <v>0</v>
      </c>
      <c r="W23" s="302">
        <f>$L23*'MWh Impact Summary'!P$12</f>
        <v>0</v>
      </c>
      <c r="X23" s="302">
        <f>$L23*'MWh Impact Summary'!Q$12</f>
        <v>0</v>
      </c>
      <c r="Y23" s="85">
        <f t="shared" si="2"/>
        <v>113.98507848140862</v>
      </c>
      <c r="Z23" s="81">
        <f t="shared" si="3"/>
        <v>86012.277820043761</v>
      </c>
      <c r="AA23" s="81"/>
      <c r="AB23" s="81">
        <f>+'MWh by mo-WgtbyActulCDH&amp;Days'!AB23</f>
        <v>4406505</v>
      </c>
      <c r="AC23" s="308">
        <f t="shared" si="13"/>
        <v>19.51938731943882</v>
      </c>
      <c r="AD23" s="309">
        <f t="shared" si="4"/>
        <v>19.493519862467501</v>
      </c>
      <c r="AE23" s="107">
        <f t="shared" si="5"/>
        <v>1.8804038452540997E-3</v>
      </c>
      <c r="AF23" s="309">
        <f t="shared" si="14"/>
        <v>2.5867456971320497E-2</v>
      </c>
      <c r="AG23" s="107">
        <f t="shared" si="6"/>
        <v>2.4952530840502084E-6</v>
      </c>
      <c r="AH23" s="119">
        <f t="shared" si="15"/>
        <v>1.8828990983381499E-3</v>
      </c>
      <c r="AI23" s="122">
        <f t="shared" si="7"/>
        <v>1.8828990983381496E-3</v>
      </c>
      <c r="AJ23" s="87" t="b">
        <f t="shared" si="16"/>
        <v>1</v>
      </c>
      <c r="AK23" s="88">
        <f t="shared" si="22"/>
        <v>1.5010382692824248E-3</v>
      </c>
      <c r="AM23" s="89">
        <f t="shared" si="9"/>
        <v>0</v>
      </c>
      <c r="AN23" s="90"/>
      <c r="AO23" s="96"/>
      <c r="AP23" s="92"/>
      <c r="AR23" s="94">
        <f t="shared" si="10"/>
        <v>1.8828990983381496E-3</v>
      </c>
      <c r="AS23" s="95">
        <v>83664.266541867051</v>
      </c>
      <c r="AU23" s="141">
        <v>19.51938731943882</v>
      </c>
    </row>
    <row r="24" spans="1:47">
      <c r="A24" s="78">
        <v>2006</v>
      </c>
      <c r="B24" s="78">
        <v>8</v>
      </c>
      <c r="C24" s="317">
        <f t="shared" si="19"/>
        <v>326.45437890907908</v>
      </c>
      <c r="D24" s="318">
        <f t="shared" si="18"/>
        <v>0.16603274573816959</v>
      </c>
      <c r="E24" s="104">
        <f>$D24*'MWh Impact Summary'!B$12</f>
        <v>36317.145051513486</v>
      </c>
      <c r="F24" s="320">
        <f>$D24*'MWh Impact Summary'!N$12</f>
        <v>0</v>
      </c>
      <c r="G24" s="320">
        <f>$D24*'MWh Impact Summary'!C$12</f>
        <v>32980.950571950059</v>
      </c>
      <c r="H24" s="320">
        <f>$D24*'MWh Impact Summary'!D$12</f>
        <v>0</v>
      </c>
      <c r="I24" s="320">
        <f>$D24*'MWh Impact Summary'!E$12</f>
        <v>17702.234411924404</v>
      </c>
      <c r="J24" s="104">
        <f t="shared" si="11"/>
        <v>87000.330035387946</v>
      </c>
      <c r="K24" s="298">
        <f t="shared" si="20"/>
        <v>10.933333333333334</v>
      </c>
      <c r="L24" s="299">
        <f t="shared" si="21"/>
        <v>7.6968203684148764E-2</v>
      </c>
      <c r="M24" s="297">
        <f t="shared" si="12"/>
        <v>8.3333333333333329E-2</v>
      </c>
      <c r="N24" s="302">
        <f>$L24*'MWh Impact Summary'!F$12</f>
        <v>0</v>
      </c>
      <c r="O24" s="302">
        <f>$L24*'MWh Impact Summary'!G$12</f>
        <v>0</v>
      </c>
      <c r="P24" s="304">
        <f>$M24*'MWh Impact Summary'!H$12</f>
        <v>0</v>
      </c>
      <c r="Q24" s="304">
        <f>$M24*'MWh Impact Summary'!I$12</f>
        <v>113.98507848140862</v>
      </c>
      <c r="R24" s="304">
        <f>$M24*'MWh Impact Summary'!J$12</f>
        <v>0</v>
      </c>
      <c r="S24" s="304">
        <f>$M24*'MWh Impact Summary'!K$12</f>
        <v>0</v>
      </c>
      <c r="T24" s="304">
        <f>$M24*'MWh Impact Summary'!L$12</f>
        <v>0</v>
      </c>
      <c r="U24" s="304">
        <f>$M24*'MWh Impact Summary'!M$12</f>
        <v>0</v>
      </c>
      <c r="V24" s="302">
        <f>$L24*'MWh Impact Summary'!O$12</f>
        <v>0</v>
      </c>
      <c r="W24" s="302">
        <f>$L24*'MWh Impact Summary'!P$12</f>
        <v>0</v>
      </c>
      <c r="X24" s="302">
        <f>$L24*'MWh Impact Summary'!Q$12</f>
        <v>0</v>
      </c>
      <c r="Y24" s="85">
        <f t="shared" si="2"/>
        <v>113.98507848140862</v>
      </c>
      <c r="Z24" s="81">
        <f t="shared" si="3"/>
        <v>87114.31511386935</v>
      </c>
      <c r="AA24" s="81"/>
      <c r="AB24" s="81">
        <f>+'MWh by mo-WgtbyActulCDH&amp;Days'!AB24</f>
        <v>4416127</v>
      </c>
      <c r="AC24" s="308">
        <f t="shared" si="13"/>
        <v>19.72640621836042</v>
      </c>
      <c r="AD24" s="309">
        <f t="shared" si="4"/>
        <v>19.700595122239001</v>
      </c>
      <c r="AE24" s="107">
        <f t="shared" si="5"/>
        <v>1.8018837002047867E-3</v>
      </c>
      <c r="AF24" s="309">
        <f t="shared" si="14"/>
        <v>2.5811096121422374E-2</v>
      </c>
      <c r="AG24" s="107">
        <f t="shared" si="6"/>
        <v>2.3607709867154611E-6</v>
      </c>
      <c r="AH24" s="119">
        <f t="shared" si="15"/>
        <v>1.8042444711915023E-3</v>
      </c>
      <c r="AI24" s="122">
        <f t="shared" si="7"/>
        <v>1.8042444711915018E-3</v>
      </c>
      <c r="AJ24" s="87" t="b">
        <f t="shared" si="16"/>
        <v>1</v>
      </c>
      <c r="AK24" s="88">
        <f t="shared" si="22"/>
        <v>1.4385871648439205E-3</v>
      </c>
      <c r="AM24" s="89">
        <f t="shared" si="9"/>
        <v>0</v>
      </c>
      <c r="AN24" s="90"/>
      <c r="AO24" s="96"/>
      <c r="AP24" s="92"/>
      <c r="AR24" s="94">
        <f t="shared" si="10"/>
        <v>1.8042444711915018E-3</v>
      </c>
      <c r="AS24" s="95">
        <v>87376.815760398633</v>
      </c>
      <c r="AU24" s="141">
        <v>19.72640621836042</v>
      </c>
    </row>
    <row r="25" spans="1:47">
      <c r="A25" s="78">
        <v>2006</v>
      </c>
      <c r="B25" s="78">
        <v>9</v>
      </c>
      <c r="C25" s="317">
        <f t="shared" si="19"/>
        <v>277.87653293728147</v>
      </c>
      <c r="D25" s="318">
        <f t="shared" si="18"/>
        <v>0.14132634365008559</v>
      </c>
      <c r="E25" s="104">
        <f>$D25*'MWh Impact Summary'!B$12</f>
        <v>30912.994295921373</v>
      </c>
      <c r="F25" s="320">
        <f>$D25*'MWh Impact Summary'!N$12</f>
        <v>0</v>
      </c>
      <c r="G25" s="320">
        <f>$D25*'MWh Impact Summary'!C$12</f>
        <v>28073.240213640318</v>
      </c>
      <c r="H25" s="320">
        <f>$D25*'MWh Impact Summary'!D$12</f>
        <v>0</v>
      </c>
      <c r="I25" s="320">
        <f>$D25*'MWh Impact Summary'!E$12</f>
        <v>15068.064150545801</v>
      </c>
      <c r="J25" s="104">
        <f t="shared" si="11"/>
        <v>74054.298660107495</v>
      </c>
      <c r="K25" s="298">
        <f t="shared" si="20"/>
        <v>11.683333333333334</v>
      </c>
      <c r="L25" s="299">
        <f t="shared" si="21"/>
        <v>8.2248034729555317E-2</v>
      </c>
      <c r="M25" s="297">
        <f t="shared" si="12"/>
        <v>8.3333333333333329E-2</v>
      </c>
      <c r="N25" s="302">
        <f>$L25*'MWh Impact Summary'!F$12</f>
        <v>0</v>
      </c>
      <c r="O25" s="302">
        <f>$L25*'MWh Impact Summary'!G$12</f>
        <v>0</v>
      </c>
      <c r="P25" s="304">
        <f>$M25*'MWh Impact Summary'!H$12</f>
        <v>0</v>
      </c>
      <c r="Q25" s="304">
        <f>$M25*'MWh Impact Summary'!I$12</f>
        <v>113.98507848140862</v>
      </c>
      <c r="R25" s="304">
        <f>$M25*'MWh Impact Summary'!J$12</f>
        <v>0</v>
      </c>
      <c r="S25" s="304">
        <f>$M25*'MWh Impact Summary'!K$12</f>
        <v>0</v>
      </c>
      <c r="T25" s="304">
        <f>$M25*'MWh Impact Summary'!L$12</f>
        <v>0</v>
      </c>
      <c r="U25" s="304">
        <f>$M25*'MWh Impact Summary'!M$12</f>
        <v>0</v>
      </c>
      <c r="V25" s="302">
        <f>$L25*'MWh Impact Summary'!O$12</f>
        <v>0</v>
      </c>
      <c r="W25" s="302">
        <f>$L25*'MWh Impact Summary'!P$12</f>
        <v>0</v>
      </c>
      <c r="X25" s="302">
        <f>$L25*'MWh Impact Summary'!Q$12</f>
        <v>0</v>
      </c>
      <c r="Y25" s="85">
        <f t="shared" si="2"/>
        <v>113.98507848140862</v>
      </c>
      <c r="Z25" s="81">
        <f t="shared" si="3"/>
        <v>74168.2837385889</v>
      </c>
      <c r="AA25" s="81"/>
      <c r="AB25" s="81">
        <f>+'MWh by mo-WgtbyActulCDH&amp;Days'!AB25</f>
        <v>4425222</v>
      </c>
      <c r="AC25" s="308">
        <f t="shared" si="13"/>
        <v>16.760353206819659</v>
      </c>
      <c r="AD25" s="309">
        <f t="shared" si="4"/>
        <v>16.734595159317994</v>
      </c>
      <c r="AE25" s="107">
        <f t="shared" si="5"/>
        <v>1.4323476598560336E-3</v>
      </c>
      <c r="AF25" s="309">
        <f t="shared" si="14"/>
        <v>2.5758047501664012E-2</v>
      </c>
      <c r="AG25" s="107">
        <f t="shared" si="6"/>
        <v>2.204683095720172E-6</v>
      </c>
      <c r="AH25" s="119">
        <f t="shared" si="15"/>
        <v>1.4345523429517538E-3</v>
      </c>
      <c r="AI25" s="122">
        <f t="shared" si="7"/>
        <v>1.434552342951754E-3</v>
      </c>
      <c r="AJ25" s="87" t="b">
        <f t="shared" si="16"/>
        <v>1</v>
      </c>
      <c r="AK25" s="88">
        <f t="shared" si="22"/>
        <v>1.1434736137026201E-3</v>
      </c>
      <c r="AM25" s="89">
        <f t="shared" si="9"/>
        <v>0</v>
      </c>
      <c r="AN25" s="90"/>
      <c r="AO25" s="96"/>
      <c r="AP25" s="92"/>
      <c r="AR25" s="94">
        <f t="shared" si="10"/>
        <v>1.434552342951754E-3</v>
      </c>
      <c r="AS25" s="95">
        <v>78946.516019981806</v>
      </c>
      <c r="AU25" s="141">
        <v>16.760353206819659</v>
      </c>
    </row>
    <row r="26" spans="1:47">
      <c r="A26" s="78">
        <v>2006</v>
      </c>
      <c r="B26" s="78">
        <v>10</v>
      </c>
      <c r="C26" s="317">
        <f t="shared" si="19"/>
        <v>198.89039579254836</v>
      </c>
      <c r="D26" s="318">
        <f t="shared" si="18"/>
        <v>0.10115446643644242</v>
      </c>
      <c r="E26" s="104">
        <f>$D26*'MWh Impact Summary'!B$12</f>
        <v>22126.005408439083</v>
      </c>
      <c r="F26" s="320">
        <f>$D26*'MWh Impact Summary'!N$12</f>
        <v>0</v>
      </c>
      <c r="G26" s="320">
        <f>$D26*'MWh Impact Summary'!C$12</f>
        <v>20093.448691942758</v>
      </c>
      <c r="H26" s="320">
        <f>$D26*'MWh Impact Summary'!D$12</f>
        <v>0</v>
      </c>
      <c r="I26" s="320">
        <f>$D26*'MWh Impact Summary'!E$12</f>
        <v>10784.981412611698</v>
      </c>
      <c r="J26" s="104">
        <f t="shared" si="11"/>
        <v>53004.435512993543</v>
      </c>
      <c r="K26" s="298">
        <f t="shared" si="20"/>
        <v>12.466666666666667</v>
      </c>
      <c r="L26" s="299">
        <f t="shared" si="21"/>
        <v>8.7762524932535488E-2</v>
      </c>
      <c r="M26" s="297">
        <f t="shared" si="12"/>
        <v>8.3333333333333329E-2</v>
      </c>
      <c r="N26" s="302">
        <f>$L26*'MWh Impact Summary'!F$12</f>
        <v>0</v>
      </c>
      <c r="O26" s="302">
        <f>$L26*'MWh Impact Summary'!G$12</f>
        <v>0</v>
      </c>
      <c r="P26" s="304">
        <f>$M26*'MWh Impact Summary'!H$12</f>
        <v>0</v>
      </c>
      <c r="Q26" s="304">
        <f>$M26*'MWh Impact Summary'!I$12</f>
        <v>113.98507848140862</v>
      </c>
      <c r="R26" s="304">
        <f>$M26*'MWh Impact Summary'!J$12</f>
        <v>0</v>
      </c>
      <c r="S26" s="304">
        <f>$M26*'MWh Impact Summary'!K$12</f>
        <v>0</v>
      </c>
      <c r="T26" s="304">
        <f>$M26*'MWh Impact Summary'!L$12</f>
        <v>0</v>
      </c>
      <c r="U26" s="304">
        <f>$M26*'MWh Impact Summary'!M$12</f>
        <v>0</v>
      </c>
      <c r="V26" s="302">
        <f>$L26*'MWh Impact Summary'!O$12</f>
        <v>0</v>
      </c>
      <c r="W26" s="302">
        <f>$L26*'MWh Impact Summary'!P$12</f>
        <v>0</v>
      </c>
      <c r="X26" s="302">
        <f>$L26*'MWh Impact Summary'!Q$12</f>
        <v>0</v>
      </c>
      <c r="Y26" s="85">
        <f t="shared" si="2"/>
        <v>113.98507848140862</v>
      </c>
      <c r="Z26" s="81">
        <f t="shared" si="3"/>
        <v>53118.420591474955</v>
      </c>
      <c r="AA26" s="81"/>
      <c r="AB26" s="81">
        <f>+'MWh by mo-WgtbyActulCDH&amp;Days'!AB26</f>
        <v>4429977</v>
      </c>
      <c r="AC26" s="308">
        <f t="shared" si="13"/>
        <v>11.990676383077149</v>
      </c>
      <c r="AD26" s="309">
        <f t="shared" si="4"/>
        <v>11.964945983465274</v>
      </c>
      <c r="AE26" s="107">
        <f t="shared" si="5"/>
        <v>9.5975502541165289E-4</v>
      </c>
      <c r="AF26" s="309">
        <f t="shared" si="14"/>
        <v>2.5730399611873522E-2</v>
      </c>
      <c r="AG26" s="107">
        <f t="shared" si="6"/>
        <v>2.0639357977438652E-6</v>
      </c>
      <c r="AH26" s="119">
        <f t="shared" si="15"/>
        <v>9.6181896120939672E-4</v>
      </c>
      <c r="AI26" s="122">
        <f t="shared" si="7"/>
        <v>9.6181896120939704E-4</v>
      </c>
      <c r="AJ26" s="87" t="b">
        <f t="shared" si="16"/>
        <v>1</v>
      </c>
      <c r="AK26" s="88">
        <f t="shared" si="22"/>
        <v>7.6664064603394842E-4</v>
      </c>
      <c r="AM26" s="89">
        <f t="shared" si="9"/>
        <v>0</v>
      </c>
      <c r="AN26" s="90"/>
      <c r="AO26" s="96"/>
      <c r="AP26" s="92"/>
      <c r="AR26" s="94">
        <f t="shared" si="10"/>
        <v>9.6181896120939704E-4</v>
      </c>
      <c r="AS26" s="95">
        <v>53072.042749228778</v>
      </c>
      <c r="AU26" s="141">
        <v>11.990676383077149</v>
      </c>
    </row>
    <row r="27" spans="1:47">
      <c r="A27" s="78">
        <v>2006</v>
      </c>
      <c r="B27" s="78">
        <v>11</v>
      </c>
      <c r="C27" s="317">
        <f t="shared" si="19"/>
        <v>78.117279066674627</v>
      </c>
      <c r="D27" s="318">
        <f t="shared" si="18"/>
        <v>3.9729981188725644E-2</v>
      </c>
      <c r="E27" s="104">
        <f>$D27*'MWh Impact Summary'!B$12</f>
        <v>8690.3308338961288</v>
      </c>
      <c r="F27" s="320">
        <f>$D27*'MWh Impact Summary'!N$12</f>
        <v>0</v>
      </c>
      <c r="G27" s="320">
        <f>$D27*'MWh Impact Summary'!C$12</f>
        <v>7892.0127471494989</v>
      </c>
      <c r="H27" s="320">
        <f>$D27*'MWh Impact Summary'!D$12</f>
        <v>0</v>
      </c>
      <c r="I27" s="320">
        <f>$D27*'MWh Impact Summary'!E$12</f>
        <v>4235.9682546795539</v>
      </c>
      <c r="J27" s="104">
        <f t="shared" si="11"/>
        <v>20818.311835725181</v>
      </c>
      <c r="K27" s="298">
        <f t="shared" si="20"/>
        <v>13.15</v>
      </c>
      <c r="L27" s="299">
        <f t="shared" si="21"/>
        <v>9.2573037662794788E-2</v>
      </c>
      <c r="M27" s="297">
        <f t="shared" si="12"/>
        <v>8.3333333333333329E-2</v>
      </c>
      <c r="N27" s="302">
        <f>$L27*'MWh Impact Summary'!F$12</f>
        <v>0</v>
      </c>
      <c r="O27" s="302">
        <f>$L27*'MWh Impact Summary'!G$12</f>
        <v>0</v>
      </c>
      <c r="P27" s="304">
        <f>$M27*'MWh Impact Summary'!H$12</f>
        <v>0</v>
      </c>
      <c r="Q27" s="304">
        <f>$M27*'MWh Impact Summary'!I$12</f>
        <v>113.98507848140862</v>
      </c>
      <c r="R27" s="304">
        <f>$M27*'MWh Impact Summary'!J$12</f>
        <v>0</v>
      </c>
      <c r="S27" s="304">
        <f>$M27*'MWh Impact Summary'!K$12</f>
        <v>0</v>
      </c>
      <c r="T27" s="304">
        <f>$M27*'MWh Impact Summary'!L$12</f>
        <v>0</v>
      </c>
      <c r="U27" s="304">
        <f>$M27*'MWh Impact Summary'!M$12</f>
        <v>0</v>
      </c>
      <c r="V27" s="302">
        <f>$L27*'MWh Impact Summary'!O$12</f>
        <v>0</v>
      </c>
      <c r="W27" s="302">
        <f>$L27*'MWh Impact Summary'!P$12</f>
        <v>0</v>
      </c>
      <c r="X27" s="302">
        <f>$L27*'MWh Impact Summary'!Q$12</f>
        <v>0</v>
      </c>
      <c r="Y27" s="85">
        <f t="shared" si="2"/>
        <v>113.98507848140862</v>
      </c>
      <c r="Z27" s="81">
        <f t="shared" si="3"/>
        <v>20932.296914206589</v>
      </c>
      <c r="AA27" s="81"/>
      <c r="AB27" s="81">
        <f>+'MWh by mo-WgtbyActulCDH&amp;Days'!AB27</f>
        <v>4443418</v>
      </c>
      <c r="AC27" s="308">
        <f t="shared" si="13"/>
        <v>4.7108547776073708</v>
      </c>
      <c r="AD27" s="309">
        <f t="shared" si="4"/>
        <v>4.6852022104886784</v>
      </c>
      <c r="AE27" s="107">
        <f t="shared" si="5"/>
        <v>3.5628914148202876E-4</v>
      </c>
      <c r="AF27" s="309">
        <f t="shared" si="14"/>
        <v>2.5652567118693001E-2</v>
      </c>
      <c r="AG27" s="107">
        <f t="shared" si="6"/>
        <v>1.9507655603568821E-6</v>
      </c>
      <c r="AH27" s="119">
        <f t="shared" si="15"/>
        <v>3.5823990704238564E-4</v>
      </c>
      <c r="AI27" s="122">
        <f t="shared" si="7"/>
        <v>3.5823990704238564E-4</v>
      </c>
      <c r="AJ27" s="87" t="b">
        <f t="shared" si="16"/>
        <v>1</v>
      </c>
      <c r="AK27" s="88">
        <f t="shared" si="22"/>
        <v>2.8558219611953998E-4</v>
      </c>
      <c r="AM27" s="89">
        <f t="shared" si="9"/>
        <v>0</v>
      </c>
      <c r="AN27" s="90"/>
      <c r="AO27" s="96"/>
      <c r="AP27" s="92"/>
      <c r="AR27" s="94">
        <f t="shared" si="10"/>
        <v>3.5823990704238564E-4</v>
      </c>
      <c r="AS27" s="95">
        <v>24510.91635790365</v>
      </c>
      <c r="AU27" s="141">
        <v>4.7108547776073708</v>
      </c>
    </row>
    <row r="28" spans="1:47">
      <c r="A28" s="78">
        <v>2006</v>
      </c>
      <c r="B28" s="78">
        <v>12</v>
      </c>
      <c r="C28" s="317">
        <f t="shared" si="19"/>
        <v>42.633806123140985</v>
      </c>
      <c r="D28" s="318">
        <f t="shared" si="18"/>
        <v>2.1683298951445065E-2</v>
      </c>
      <c r="E28" s="104">
        <f>$D28*'MWh Impact Summary'!B$12</f>
        <v>4742.8927933095456</v>
      </c>
      <c r="F28" s="320">
        <f>$D28*'MWh Impact Summary'!N$12</f>
        <v>0</v>
      </c>
      <c r="G28" s="320">
        <f>$D28*'MWh Impact Summary'!C$12</f>
        <v>4307.197401181219</v>
      </c>
      <c r="H28" s="320">
        <f>$D28*'MWh Impact Summary'!D$12</f>
        <v>0</v>
      </c>
      <c r="I28" s="320">
        <f>$D28*'MWh Impact Summary'!E$12</f>
        <v>2311.8502266271489</v>
      </c>
      <c r="J28" s="104">
        <f t="shared" si="11"/>
        <v>11361.940421117914</v>
      </c>
      <c r="K28" s="298">
        <f t="shared" si="20"/>
        <v>13.483333333333333</v>
      </c>
      <c r="L28" s="299">
        <f t="shared" si="21"/>
        <v>9.491962923853102E-2</v>
      </c>
      <c r="M28" s="297">
        <f t="shared" si="12"/>
        <v>8.3333333333333329E-2</v>
      </c>
      <c r="N28" s="302">
        <f>$L28*'MWh Impact Summary'!F$12</f>
        <v>0</v>
      </c>
      <c r="O28" s="302">
        <f>$L28*'MWh Impact Summary'!G$12</f>
        <v>0</v>
      </c>
      <c r="P28" s="304">
        <f>$M28*'MWh Impact Summary'!H$12</f>
        <v>0</v>
      </c>
      <c r="Q28" s="304">
        <f>$M28*'MWh Impact Summary'!I$12</f>
        <v>113.98507848140862</v>
      </c>
      <c r="R28" s="304">
        <f>$M28*'MWh Impact Summary'!J$12</f>
        <v>0</v>
      </c>
      <c r="S28" s="304">
        <f>$M28*'MWh Impact Summary'!K$12</f>
        <v>0</v>
      </c>
      <c r="T28" s="304">
        <f>$M28*'MWh Impact Summary'!L$12</f>
        <v>0</v>
      </c>
      <c r="U28" s="304">
        <f>$M28*'MWh Impact Summary'!M$12</f>
        <v>0</v>
      </c>
      <c r="V28" s="302">
        <f>$L28*'MWh Impact Summary'!O$12</f>
        <v>0</v>
      </c>
      <c r="W28" s="302">
        <f>$L28*'MWh Impact Summary'!P$12</f>
        <v>0</v>
      </c>
      <c r="X28" s="302">
        <f>$L28*'MWh Impact Summary'!Q$12</f>
        <v>0</v>
      </c>
      <c r="Y28" s="85">
        <f t="shared" si="2"/>
        <v>113.98507848140862</v>
      </c>
      <c r="Z28" s="81">
        <f t="shared" si="3"/>
        <v>11475.925499599321</v>
      </c>
      <c r="AA28" s="81">
        <f>SUM(Z17:Z28)</f>
        <v>525362.8295684834</v>
      </c>
      <c r="AB28" s="81">
        <f>+'MWh by mo-WgtbyActulCDH&amp;Days'!AB28</f>
        <v>4457161</v>
      </c>
      <c r="AC28" s="308">
        <f t="shared" si="13"/>
        <v>2.5747163944940112</v>
      </c>
      <c r="AD28" s="309">
        <f t="shared" si="4"/>
        <v>2.5491429232908378</v>
      </c>
      <c r="AE28" s="107">
        <f t="shared" si="5"/>
        <v>1.8905880766063074E-4</v>
      </c>
      <c r="AF28" s="309">
        <f t="shared" si="14"/>
        <v>2.5573471203173638E-2</v>
      </c>
      <c r="AG28" s="107">
        <f t="shared" si="6"/>
        <v>1.8966727715579954E-6</v>
      </c>
      <c r="AH28" s="119">
        <f t="shared" si="15"/>
        <v>1.9095548043218872E-4</v>
      </c>
      <c r="AI28" s="122">
        <f t="shared" si="7"/>
        <v>1.9095548043218875E-4</v>
      </c>
      <c r="AJ28" s="87" t="b">
        <f t="shared" si="16"/>
        <v>1</v>
      </c>
      <c r="AK28" s="88">
        <f t="shared" si="22"/>
        <v>1.5237038471797542E-4</v>
      </c>
      <c r="AM28" s="89">
        <f t="shared" si="9"/>
        <v>0</v>
      </c>
      <c r="AN28" s="90">
        <f>SUM(AM17:AM28)</f>
        <v>0</v>
      </c>
      <c r="AO28" s="96"/>
      <c r="AP28" s="92"/>
      <c r="AR28" s="94">
        <f t="shared" si="10"/>
        <v>1.9095548043218875E-4</v>
      </c>
      <c r="AS28" s="95">
        <v>10922.750444317473</v>
      </c>
      <c r="AU28" s="141">
        <v>2.5747163944940112</v>
      </c>
    </row>
    <row r="29" spans="1:47">
      <c r="A29" s="78">
        <v>2007</v>
      </c>
      <c r="B29" s="78">
        <v>1</v>
      </c>
      <c r="C29" s="317">
        <f t="shared" si="19"/>
        <v>26.112829868525239</v>
      </c>
      <c r="D29" s="318">
        <f t="shared" ref="D29:D40" si="23">C29/(SUM(C$29:C$40))</f>
        <v>1.3280829182176284E-2</v>
      </c>
      <c r="E29" s="104">
        <f>$D29*'MWh Impact Summary'!B$13</f>
        <v>5627.9493354226015</v>
      </c>
      <c r="F29" s="320">
        <f>$D29*'MWh Impact Summary'!N$13</f>
        <v>0</v>
      </c>
      <c r="G29" s="320">
        <f>$D29*'MWh Impact Summary'!C$13</f>
        <v>4595.7889343750658</v>
      </c>
      <c r="H29" s="320">
        <f>$D29*'MWh Impact Summary'!D$13</f>
        <v>0</v>
      </c>
      <c r="I29" s="320">
        <f>$D29*'MWh Impact Summary'!E$13</f>
        <v>2254.5890263854044</v>
      </c>
      <c r="J29" s="104">
        <f t="shared" si="11"/>
        <v>12478.327296183073</v>
      </c>
      <c r="K29" s="298">
        <f t="shared" si="20"/>
        <v>13.3</v>
      </c>
      <c r="L29" s="299">
        <f t="shared" ref="L29:L40" si="24">K29/(SUM(K$29:K$40))</f>
        <v>9.3629003871876101E-2</v>
      </c>
      <c r="M29" s="297">
        <f t="shared" si="12"/>
        <v>8.3333333333333329E-2</v>
      </c>
      <c r="N29" s="302">
        <f>$L29*'MWh Impact Summary'!F$13</f>
        <v>12482.715047106098</v>
      </c>
      <c r="O29" s="302">
        <f>$L29*'MWh Impact Summary'!G$13</f>
        <v>0</v>
      </c>
      <c r="P29" s="304">
        <f>$M29*'MWh Impact Summary'!H$13</f>
        <v>0</v>
      </c>
      <c r="Q29" s="304">
        <f>$M29*'MWh Impact Summary'!I$13</f>
        <v>227.97015696281724</v>
      </c>
      <c r="R29" s="304">
        <f>$M29*'MWh Impact Summary'!J$13</f>
        <v>0</v>
      </c>
      <c r="S29" s="304">
        <f>$M29*'MWh Impact Summary'!K$13</f>
        <v>0</v>
      </c>
      <c r="T29" s="304">
        <f>$M29*'MWh Impact Summary'!L$13</f>
        <v>0</v>
      </c>
      <c r="U29" s="304">
        <f>$M29*'MWh Impact Summary'!M$13</f>
        <v>0</v>
      </c>
      <c r="V29" s="302">
        <f>$L29*'MWh Impact Summary'!O$13</f>
        <v>0</v>
      </c>
      <c r="W29" s="302">
        <f>$L29*'MWh Impact Summary'!P$13</f>
        <v>0</v>
      </c>
      <c r="X29" s="302">
        <f>$L29*'MWh Impact Summary'!Q$13</f>
        <v>0</v>
      </c>
      <c r="Y29" s="85">
        <f t="shared" si="2"/>
        <v>12710.685204068915</v>
      </c>
      <c r="Z29" s="81">
        <f t="shared" si="3"/>
        <v>25189.012500251989</v>
      </c>
      <c r="AA29" s="81"/>
      <c r="AB29" s="81">
        <f>+'MWh by mo-WgtbyActulCDH&amp;Days'!AB29</f>
        <v>4465732</v>
      </c>
      <c r="AC29" s="308">
        <f>+Z29*1000/AB29</f>
        <v>5.6405114548414437</v>
      </c>
      <c r="AD29" s="309">
        <f t="shared" si="4"/>
        <v>2.7942400699780179</v>
      </c>
      <c r="AE29" s="107">
        <f t="shared" si="5"/>
        <v>2.1009323834421186E-4</v>
      </c>
      <c r="AF29" s="309">
        <f t="shared" si="14"/>
        <v>2.8462713848634258</v>
      </c>
      <c r="AG29" s="107">
        <f t="shared" si="6"/>
        <v>2.1400536728296432E-4</v>
      </c>
      <c r="AH29" s="119">
        <f t="shared" si="15"/>
        <v>4.2409860562717615E-4</v>
      </c>
      <c r="AI29" s="122">
        <f t="shared" si="7"/>
        <v>4.2409860562717621E-4</v>
      </c>
      <c r="AJ29" s="87" t="b">
        <f t="shared" si="16"/>
        <v>1</v>
      </c>
      <c r="AK29" s="88">
        <f t="shared" si="22"/>
        <v>3.0238166905516989E-4</v>
      </c>
      <c r="AM29" s="89">
        <f t="shared" si="9"/>
        <v>0</v>
      </c>
      <c r="AN29" s="90"/>
      <c r="AO29" s="96"/>
      <c r="AP29" s="92"/>
      <c r="AR29" s="94">
        <f t="shared" si="10"/>
        <v>4.2409860562717621E-4</v>
      </c>
      <c r="AS29" s="95">
        <v>23915.309480274562</v>
      </c>
      <c r="AU29" s="141">
        <v>5.6405114548414437</v>
      </c>
    </row>
    <row r="30" spans="1:47">
      <c r="A30" s="78">
        <v>2007</v>
      </c>
      <c r="B30" s="78">
        <v>2</v>
      </c>
      <c r="C30" s="317">
        <f t="shared" si="19"/>
        <v>35.042184420393127</v>
      </c>
      <c r="D30" s="318">
        <f t="shared" si="23"/>
        <v>1.7822245532205266E-2</v>
      </c>
      <c r="E30" s="104">
        <f>$D30*'MWh Impact Summary'!B$13</f>
        <v>7552.4422099582198</v>
      </c>
      <c r="F30" s="320">
        <f>$D30*'MWh Impact Summary'!N$13</f>
        <v>0</v>
      </c>
      <c r="G30" s="320">
        <f>$D30*'MWh Impact Summary'!C$13</f>
        <v>6167.3316988783499</v>
      </c>
      <c r="H30" s="320">
        <f>$D30*'MWh Impact Summary'!D$13</f>
        <v>0</v>
      </c>
      <c r="I30" s="320">
        <f>$D30*'MWh Impact Summary'!E$13</f>
        <v>3025.5519931227541</v>
      </c>
      <c r="J30" s="104">
        <f t="shared" si="11"/>
        <v>16745.325901959324</v>
      </c>
      <c r="K30" s="298">
        <f t="shared" si="20"/>
        <v>12.733333333333333</v>
      </c>
      <c r="L30" s="299">
        <f t="shared" si="24"/>
        <v>8.9639798193124468E-2</v>
      </c>
      <c r="M30" s="297">
        <f t="shared" si="12"/>
        <v>8.3333333333333329E-2</v>
      </c>
      <c r="N30" s="302">
        <f>$L30*'MWh Impact Summary'!F$13</f>
        <v>11950.870045099067</v>
      </c>
      <c r="O30" s="302">
        <f>$L30*'MWh Impact Summary'!G$13</f>
        <v>0</v>
      </c>
      <c r="P30" s="304">
        <f>$M30*'MWh Impact Summary'!H$13</f>
        <v>0</v>
      </c>
      <c r="Q30" s="304">
        <f>$M30*'MWh Impact Summary'!I$13</f>
        <v>227.97015696281724</v>
      </c>
      <c r="R30" s="304">
        <f>$M30*'MWh Impact Summary'!J$13</f>
        <v>0</v>
      </c>
      <c r="S30" s="304">
        <f>$M30*'MWh Impact Summary'!K$13</f>
        <v>0</v>
      </c>
      <c r="T30" s="304">
        <f>$M30*'MWh Impact Summary'!L$13</f>
        <v>0</v>
      </c>
      <c r="U30" s="304">
        <f>$M30*'MWh Impact Summary'!M$13</f>
        <v>0</v>
      </c>
      <c r="V30" s="302">
        <f>$L30*'MWh Impact Summary'!O$13</f>
        <v>0</v>
      </c>
      <c r="W30" s="302">
        <f>$L30*'MWh Impact Summary'!P$13</f>
        <v>0</v>
      </c>
      <c r="X30" s="302">
        <f>$L30*'MWh Impact Summary'!Q$13</f>
        <v>0</v>
      </c>
      <c r="Y30" s="85">
        <f t="shared" si="2"/>
        <v>12178.840202061885</v>
      </c>
      <c r="Z30" s="81">
        <f t="shared" si="3"/>
        <v>28924.166104021209</v>
      </c>
      <c r="AA30" s="81"/>
      <c r="AB30" s="81">
        <f>+'MWh by mo-WgtbyActulCDH&amp;Days'!AB30</f>
        <v>4476835</v>
      </c>
      <c r="AC30" s="308">
        <f t="shared" si="13"/>
        <v>6.4608514953133653</v>
      </c>
      <c r="AD30" s="309">
        <f t="shared" si="4"/>
        <v>3.7404384798544785</v>
      </c>
      <c r="AE30" s="107">
        <f t="shared" si="5"/>
        <v>2.9375171307757689E-4</v>
      </c>
      <c r="AF30" s="309">
        <f t="shared" si="14"/>
        <v>2.7204130154588868</v>
      </c>
      <c r="AG30" s="107">
        <f t="shared" si="6"/>
        <v>2.1364500121404874E-4</v>
      </c>
      <c r="AH30" s="119">
        <f t="shared" si="15"/>
        <v>5.0739671429162565E-4</v>
      </c>
      <c r="AI30" s="122">
        <f t="shared" si="7"/>
        <v>5.0739671429162554E-4</v>
      </c>
      <c r="AJ30" s="87" t="b">
        <f t="shared" si="16"/>
        <v>1</v>
      </c>
      <c r="AK30" s="88">
        <f t="shared" si="22"/>
        <v>3.3782843982212596E-4</v>
      </c>
      <c r="AM30" s="89">
        <f t="shared" si="9"/>
        <v>0</v>
      </c>
      <c r="AN30" s="90"/>
      <c r="AO30" s="96"/>
      <c r="AP30" s="92"/>
      <c r="AR30" s="94">
        <f t="shared" si="10"/>
        <v>5.0739671429162554E-4</v>
      </c>
      <c r="AS30" s="95">
        <v>24907.649804064211</v>
      </c>
      <c r="AU30" s="141">
        <v>6.4608514953133653</v>
      </c>
    </row>
    <row r="31" spans="1:47">
      <c r="A31" s="78">
        <v>2007</v>
      </c>
      <c r="B31" s="78">
        <v>3</v>
      </c>
      <c r="C31" s="317">
        <f t="shared" si="19"/>
        <v>64.582270600115152</v>
      </c>
      <c r="D31" s="318">
        <f t="shared" si="23"/>
        <v>3.2846156787895278E-2</v>
      </c>
      <c r="E31" s="104">
        <f>$D31*'MWh Impact Summary'!B$13</f>
        <v>13919.048557127064</v>
      </c>
      <c r="F31" s="320">
        <f>$D31*'MWh Impact Summary'!N$13</f>
        <v>0</v>
      </c>
      <c r="G31" s="320">
        <f>$D31*'MWh Impact Summary'!C$13</f>
        <v>11366.308671837105</v>
      </c>
      <c r="H31" s="320">
        <f>$D31*'MWh Impact Summary'!D$13</f>
        <v>0</v>
      </c>
      <c r="I31" s="320">
        <f>$D31*'MWh Impact Summary'!E$13</f>
        <v>5576.0512869414142</v>
      </c>
      <c r="J31" s="104">
        <f t="shared" si="11"/>
        <v>30861.408515905583</v>
      </c>
      <c r="K31" s="298">
        <f t="shared" si="20"/>
        <v>12</v>
      </c>
      <c r="L31" s="299">
        <f t="shared" si="24"/>
        <v>8.4477296726504739E-2</v>
      </c>
      <c r="M31" s="297">
        <f t="shared" si="12"/>
        <v>8.3333333333333329E-2</v>
      </c>
      <c r="N31" s="302">
        <f>$L31*'MWh Impact Summary'!F$13</f>
        <v>11262.600042501739</v>
      </c>
      <c r="O31" s="302">
        <f>$L31*'MWh Impact Summary'!G$13</f>
        <v>0</v>
      </c>
      <c r="P31" s="304">
        <f>$M31*'MWh Impact Summary'!H$13</f>
        <v>0</v>
      </c>
      <c r="Q31" s="304">
        <f>$M31*'MWh Impact Summary'!I$13</f>
        <v>227.97015696281724</v>
      </c>
      <c r="R31" s="304">
        <f>$M31*'MWh Impact Summary'!J$13</f>
        <v>0</v>
      </c>
      <c r="S31" s="304">
        <f>$M31*'MWh Impact Summary'!K$13</f>
        <v>0</v>
      </c>
      <c r="T31" s="304">
        <f>$M31*'MWh Impact Summary'!L$13</f>
        <v>0</v>
      </c>
      <c r="U31" s="304">
        <f>$M31*'MWh Impact Summary'!M$13</f>
        <v>0</v>
      </c>
      <c r="V31" s="302">
        <f>$L31*'MWh Impact Summary'!O$13</f>
        <v>0</v>
      </c>
      <c r="W31" s="302">
        <f>$L31*'MWh Impact Summary'!P$13</f>
        <v>0</v>
      </c>
      <c r="X31" s="302">
        <f>$L31*'MWh Impact Summary'!Q$13</f>
        <v>0</v>
      </c>
      <c r="Y31" s="85">
        <f t="shared" si="2"/>
        <v>11490.570199464557</v>
      </c>
      <c r="Z31" s="81">
        <f t="shared" si="3"/>
        <v>42351.97871537014</v>
      </c>
      <c r="AA31" s="81"/>
      <c r="AB31" s="81">
        <f>+'MWh by mo-WgtbyActulCDH&amp;Days'!AB31</f>
        <v>4488392</v>
      </c>
      <c r="AC31" s="308">
        <f t="shared" si="13"/>
        <v>9.4358912312850887</v>
      </c>
      <c r="AD31" s="309">
        <f t="shared" si="4"/>
        <v>6.8758273599778228</v>
      </c>
      <c r="AE31" s="107">
        <f t="shared" si="5"/>
        <v>5.7298561333148524E-4</v>
      </c>
      <c r="AF31" s="309">
        <f t="shared" si="14"/>
        <v>2.560063871307265</v>
      </c>
      <c r="AG31" s="107">
        <f t="shared" si="6"/>
        <v>2.1333865594227208E-4</v>
      </c>
      <c r="AH31" s="119">
        <f t="shared" si="15"/>
        <v>7.8632426927375729E-4</v>
      </c>
      <c r="AI31" s="122">
        <f t="shared" si="7"/>
        <v>7.863242692737574E-4</v>
      </c>
      <c r="AJ31" s="87" t="b">
        <f t="shared" si="16"/>
        <v>1</v>
      </c>
      <c r="AK31" s="88">
        <f t="shared" si="22"/>
        <v>4.5745486400320935E-4</v>
      </c>
      <c r="AM31" s="89">
        <f t="shared" si="9"/>
        <v>0</v>
      </c>
      <c r="AN31" s="90"/>
      <c r="AO31" s="96"/>
      <c r="AP31" s="92"/>
      <c r="AR31" s="94">
        <f t="shared" si="10"/>
        <v>7.863242692737574E-4</v>
      </c>
      <c r="AS31" s="95">
        <v>39962.531076133993</v>
      </c>
      <c r="AU31" s="141">
        <v>9.4358912312850887</v>
      </c>
    </row>
    <row r="32" spans="1:47">
      <c r="A32" s="78">
        <v>2007</v>
      </c>
      <c r="B32" s="78">
        <v>4</v>
      </c>
      <c r="C32" s="317">
        <f t="shared" si="19"/>
        <v>114.03392869270741</v>
      </c>
      <c r="D32" s="318">
        <f t="shared" si="23"/>
        <v>5.7996974497419709E-2</v>
      </c>
      <c r="E32" s="104">
        <f>$D32*'MWh Impact Summary'!B$13</f>
        <v>24577.082469920613</v>
      </c>
      <c r="F32" s="320">
        <f>$D32*'MWh Impact Summary'!N$13</f>
        <v>0</v>
      </c>
      <c r="G32" s="320">
        <f>$D32*'MWh Impact Summary'!C$13</f>
        <v>20069.669594138784</v>
      </c>
      <c r="H32" s="320">
        <f>$D32*'MWh Impact Summary'!D$13</f>
        <v>0</v>
      </c>
      <c r="I32" s="320">
        <f>$D32*'MWh Impact Summary'!E$13</f>
        <v>9845.7212627148292</v>
      </c>
      <c r="J32" s="104">
        <f t="shared" si="11"/>
        <v>54492.473326774227</v>
      </c>
      <c r="K32" s="298">
        <f t="shared" si="20"/>
        <v>11.2</v>
      </c>
      <c r="L32" s="299">
        <f t="shared" si="24"/>
        <v>7.8845476944737758E-2</v>
      </c>
      <c r="M32" s="297">
        <f t="shared" si="12"/>
        <v>8.3333333333333329E-2</v>
      </c>
      <c r="N32" s="302">
        <f>$L32*'MWh Impact Summary'!F$13</f>
        <v>10511.76003966829</v>
      </c>
      <c r="O32" s="302">
        <f>$L32*'MWh Impact Summary'!G$13</f>
        <v>0</v>
      </c>
      <c r="P32" s="304">
        <f>$M32*'MWh Impact Summary'!H$13</f>
        <v>0</v>
      </c>
      <c r="Q32" s="304">
        <f>$M32*'MWh Impact Summary'!I$13</f>
        <v>227.97015696281724</v>
      </c>
      <c r="R32" s="304">
        <f>$M32*'MWh Impact Summary'!J$13</f>
        <v>0</v>
      </c>
      <c r="S32" s="304">
        <f>$M32*'MWh Impact Summary'!K$13</f>
        <v>0</v>
      </c>
      <c r="T32" s="304">
        <f>$M32*'MWh Impact Summary'!L$13</f>
        <v>0</v>
      </c>
      <c r="U32" s="304">
        <f>$M32*'MWh Impact Summary'!M$13</f>
        <v>0</v>
      </c>
      <c r="V32" s="302">
        <f>$L32*'MWh Impact Summary'!O$13</f>
        <v>0</v>
      </c>
      <c r="W32" s="302">
        <f>$L32*'MWh Impact Summary'!P$13</f>
        <v>0</v>
      </c>
      <c r="X32" s="302">
        <f>$L32*'MWh Impact Summary'!Q$13</f>
        <v>0</v>
      </c>
      <c r="Y32" s="85">
        <f t="shared" si="2"/>
        <v>10739.730196631108</v>
      </c>
      <c r="Z32" s="81">
        <f t="shared" si="3"/>
        <v>65232.203523405333</v>
      </c>
      <c r="AA32" s="81"/>
      <c r="AB32" s="81">
        <f>+'MWh by mo-WgtbyActulCDH&amp;Days'!AB32</f>
        <v>4493310</v>
      </c>
      <c r="AC32" s="308">
        <f t="shared" si="13"/>
        <v>14.517628101200525</v>
      </c>
      <c r="AD32" s="309">
        <f t="shared" si="4"/>
        <v>12.12746801951662</v>
      </c>
      <c r="AE32" s="107">
        <f t="shared" si="5"/>
        <v>1.0828096445996982E-3</v>
      </c>
      <c r="AF32" s="309">
        <f t="shared" si="14"/>
        <v>2.3901600816839053</v>
      </c>
      <c r="AG32" s="107">
        <f t="shared" si="6"/>
        <v>2.1340715015034868E-4</v>
      </c>
      <c r="AH32" s="119">
        <f t="shared" si="15"/>
        <v>1.2962167947500468E-3</v>
      </c>
      <c r="AI32" s="122">
        <f t="shared" si="7"/>
        <v>1.296216794750047E-3</v>
      </c>
      <c r="AJ32" s="87" t="b">
        <f t="shared" si="16"/>
        <v>1</v>
      </c>
      <c r="AK32" s="88">
        <f t="shared" si="22"/>
        <v>6.769698342018527E-4</v>
      </c>
      <c r="AM32" s="89">
        <f t="shared" si="9"/>
        <v>0</v>
      </c>
      <c r="AN32" s="90"/>
      <c r="AO32" s="96"/>
      <c r="AP32" s="92"/>
      <c r="AR32" s="94">
        <f t="shared" si="10"/>
        <v>1.296216794750047E-3</v>
      </c>
      <c r="AS32" s="95">
        <v>65231.07069002543</v>
      </c>
      <c r="AU32" s="141">
        <v>14.517628101200525</v>
      </c>
    </row>
    <row r="33" spans="1:47">
      <c r="A33" s="78">
        <v>2007</v>
      </c>
      <c r="B33" s="78">
        <v>5</v>
      </c>
      <c r="C33" s="317">
        <f t="shared" si="19"/>
        <v>208.47875842628665</v>
      </c>
      <c r="D33" s="318">
        <f t="shared" si="23"/>
        <v>0.10603105035770212</v>
      </c>
      <c r="E33" s="104">
        <f>$D33*'MWh Impact Summary'!B$13</f>
        <v>44932.238131309568</v>
      </c>
      <c r="F33" s="320">
        <f>$D33*'MWh Impact Summary'!N$13</f>
        <v>0</v>
      </c>
      <c r="G33" s="320">
        <f>$D33*'MWh Impact Summary'!C$13</f>
        <v>36691.709625184805</v>
      </c>
      <c r="H33" s="320">
        <f>$D33*'MWh Impact Summary'!D$13</f>
        <v>0</v>
      </c>
      <c r="I33" s="320">
        <f>$D33*'MWh Impact Summary'!E$13</f>
        <v>18000.114248395148</v>
      </c>
      <c r="J33" s="104">
        <f t="shared" si="11"/>
        <v>99624.062004889507</v>
      </c>
      <c r="K33" s="298">
        <f t="shared" si="20"/>
        <v>10.533333333333333</v>
      </c>
      <c r="L33" s="299">
        <f t="shared" si="24"/>
        <v>7.4152293793265281E-2</v>
      </c>
      <c r="M33" s="297">
        <f t="shared" si="12"/>
        <v>8.3333333333333329E-2</v>
      </c>
      <c r="N33" s="302">
        <f>$L33*'MWh Impact Summary'!F$13</f>
        <v>9886.0600373070847</v>
      </c>
      <c r="O33" s="302">
        <f>$L33*'MWh Impact Summary'!G$13</f>
        <v>0</v>
      </c>
      <c r="P33" s="304">
        <f>$M33*'MWh Impact Summary'!H$13</f>
        <v>0</v>
      </c>
      <c r="Q33" s="304">
        <f>$M33*'MWh Impact Summary'!I$13</f>
        <v>227.97015696281724</v>
      </c>
      <c r="R33" s="304">
        <f>$M33*'MWh Impact Summary'!J$13</f>
        <v>0</v>
      </c>
      <c r="S33" s="304">
        <f>$M33*'MWh Impact Summary'!K$13</f>
        <v>0</v>
      </c>
      <c r="T33" s="304">
        <f>$M33*'MWh Impact Summary'!L$13</f>
        <v>0</v>
      </c>
      <c r="U33" s="304">
        <f>$M33*'MWh Impact Summary'!M$13</f>
        <v>0</v>
      </c>
      <c r="V33" s="302">
        <f>$L33*'MWh Impact Summary'!O$13</f>
        <v>0</v>
      </c>
      <c r="W33" s="302">
        <f>$L33*'MWh Impact Summary'!P$13</f>
        <v>0</v>
      </c>
      <c r="X33" s="302">
        <f>$L33*'MWh Impact Summary'!Q$13</f>
        <v>0</v>
      </c>
      <c r="Y33" s="85">
        <f t="shared" si="2"/>
        <v>10114.030194269902</v>
      </c>
      <c r="Z33" s="81">
        <f t="shared" si="3"/>
        <v>109738.09219915941</v>
      </c>
      <c r="AA33" s="81"/>
      <c r="AB33" s="81">
        <f>+'MWh by mo-WgtbyActulCDH&amp;Days'!AB33</f>
        <v>4494060</v>
      </c>
      <c r="AC33" s="308">
        <f t="shared" si="13"/>
        <v>24.418475098053744</v>
      </c>
      <c r="AD33" s="309">
        <f t="shared" si="4"/>
        <v>22.167942129141469</v>
      </c>
      <c r="AE33" s="107">
        <f t="shared" si="5"/>
        <v>2.1045514679564684E-3</v>
      </c>
      <c r="AF33" s="309">
        <f t="shared" si="14"/>
        <v>2.2505329689122759</v>
      </c>
      <c r="AG33" s="107">
        <f t="shared" si="6"/>
        <v>2.1365819325116546E-4</v>
      </c>
      <c r="AH33" s="119">
        <f t="shared" si="15"/>
        <v>2.3182096612076337E-3</v>
      </c>
      <c r="AI33" s="122">
        <f t="shared" si="7"/>
        <v>2.3182096612076341E-3</v>
      </c>
      <c r="AJ33" s="87" t="b">
        <f t="shared" si="16"/>
        <v>1</v>
      </c>
      <c r="AK33" s="88">
        <f t="shared" si="22"/>
        <v>1.1162019477140689E-3</v>
      </c>
      <c r="AM33" s="89">
        <f t="shared" si="9"/>
        <v>0</v>
      </c>
      <c r="AN33" s="90"/>
      <c r="AO33" s="96"/>
      <c r="AP33" s="92"/>
      <c r="AR33" s="94">
        <f t="shared" si="10"/>
        <v>2.3182096612076341E-3</v>
      </c>
      <c r="AS33" s="95">
        <v>102984.96257484006</v>
      </c>
      <c r="AU33" s="141">
        <v>24.418475098053744</v>
      </c>
    </row>
    <row r="34" spans="1:47">
      <c r="A34" s="78">
        <v>2007</v>
      </c>
      <c r="B34" s="78">
        <v>6</v>
      </c>
      <c r="C34" s="317">
        <f t="shared" si="19"/>
        <v>271.66325293295364</v>
      </c>
      <c r="D34" s="318">
        <f t="shared" si="23"/>
        <v>0.13816630657965029</v>
      </c>
      <c r="E34" s="104">
        <f>$D34*'MWh Impact Summary'!B$13</f>
        <v>58550.031976641752</v>
      </c>
      <c r="F34" s="320">
        <f>$D34*'MWh Impact Summary'!N$13</f>
        <v>0</v>
      </c>
      <c r="G34" s="320">
        <f>$D34*'MWh Impact Summary'!C$13</f>
        <v>47812.013404586025</v>
      </c>
      <c r="H34" s="320">
        <f>$D34*'MWh Impact Summary'!D$13</f>
        <v>0</v>
      </c>
      <c r="I34" s="320">
        <f>$D34*'MWh Impact Summary'!E$13</f>
        <v>23455.481156910359</v>
      </c>
      <c r="J34" s="104">
        <f t="shared" si="11"/>
        <v>129817.52653813813</v>
      </c>
      <c r="K34" s="298">
        <f t="shared" si="20"/>
        <v>10.199999999999999</v>
      </c>
      <c r="L34" s="299">
        <f t="shared" si="24"/>
        <v>7.1805702217529022E-2</v>
      </c>
      <c r="M34" s="297">
        <f t="shared" si="12"/>
        <v>8.3333333333333329E-2</v>
      </c>
      <c r="N34" s="302">
        <f>$L34*'MWh Impact Summary'!F$13</f>
        <v>9573.2100361264784</v>
      </c>
      <c r="O34" s="302">
        <f>$L34*'MWh Impact Summary'!G$13</f>
        <v>0</v>
      </c>
      <c r="P34" s="304">
        <f>$M34*'MWh Impact Summary'!H$13</f>
        <v>0</v>
      </c>
      <c r="Q34" s="304">
        <f>$M34*'MWh Impact Summary'!I$13</f>
        <v>227.97015696281724</v>
      </c>
      <c r="R34" s="304">
        <f>$M34*'MWh Impact Summary'!J$13</f>
        <v>0</v>
      </c>
      <c r="S34" s="304">
        <f>$M34*'MWh Impact Summary'!K$13</f>
        <v>0</v>
      </c>
      <c r="T34" s="304">
        <f>$M34*'MWh Impact Summary'!L$13</f>
        <v>0</v>
      </c>
      <c r="U34" s="304">
        <f>$M34*'MWh Impact Summary'!M$13</f>
        <v>0</v>
      </c>
      <c r="V34" s="302">
        <f>$L34*'MWh Impact Summary'!O$13</f>
        <v>0</v>
      </c>
      <c r="W34" s="302">
        <f>$L34*'MWh Impact Summary'!P$13</f>
        <v>0</v>
      </c>
      <c r="X34" s="302">
        <f>$L34*'MWh Impact Summary'!Q$13</f>
        <v>0</v>
      </c>
      <c r="Y34" s="85">
        <f t="shared" si="2"/>
        <v>9801.1801930892962</v>
      </c>
      <c r="Z34" s="81">
        <f t="shared" si="3"/>
        <v>139618.70673122743</v>
      </c>
      <c r="AA34" s="81"/>
      <c r="AB34" s="81">
        <f>+'MWh by mo-WgtbyActulCDH&amp;Days'!AB34</f>
        <v>4497400</v>
      </c>
      <c r="AC34" s="308">
        <f t="shared" si="13"/>
        <v>31.044315989511144</v>
      </c>
      <c r="AD34" s="309">
        <f t="shared" si="4"/>
        <v>28.865016795957249</v>
      </c>
      <c r="AE34" s="107">
        <f t="shared" si="5"/>
        <v>2.829903607446789E-3</v>
      </c>
      <c r="AF34" s="309">
        <f t="shared" si="14"/>
        <v>2.1792991935538972</v>
      </c>
      <c r="AG34" s="107">
        <f t="shared" si="6"/>
        <v>2.1365678368175464E-4</v>
      </c>
      <c r="AH34" s="119">
        <f t="shared" si="15"/>
        <v>3.0435603911285435E-3</v>
      </c>
      <c r="AI34" s="122">
        <f t="shared" si="7"/>
        <v>3.0435603911285435E-3</v>
      </c>
      <c r="AJ34" s="87" t="b">
        <f t="shared" si="16"/>
        <v>1</v>
      </c>
      <c r="AK34" s="88">
        <f t="shared" si="22"/>
        <v>1.4291954280597357E-3</v>
      </c>
      <c r="AM34" s="89">
        <f t="shared" si="9"/>
        <v>0</v>
      </c>
      <c r="AN34" s="90"/>
      <c r="AO34" s="96"/>
      <c r="AP34" s="92"/>
      <c r="AR34" s="94">
        <f t="shared" si="10"/>
        <v>3.0435603911285435E-3</v>
      </c>
      <c r="AS34" s="95">
        <v>144692.84347818667</v>
      </c>
      <c r="AU34" s="141">
        <v>31.044315989511144</v>
      </c>
    </row>
    <row r="35" spans="1:47">
      <c r="A35" s="78">
        <v>2007</v>
      </c>
      <c r="B35" s="78">
        <v>7</v>
      </c>
      <c r="C35" s="317">
        <f t="shared" si="19"/>
        <v>322.31916585708109</v>
      </c>
      <c r="D35" s="318">
        <f t="shared" si="23"/>
        <v>0.16392960109808263</v>
      </c>
      <c r="E35" s="104">
        <f>$D35*'MWh Impact Summary'!B$13</f>
        <v>69467.612067040012</v>
      </c>
      <c r="F35" s="320">
        <f>$D35*'MWh Impact Summary'!N$13</f>
        <v>0</v>
      </c>
      <c r="G35" s="320">
        <f>$D35*'MWh Impact Summary'!C$13</f>
        <v>56727.31998949121</v>
      </c>
      <c r="H35" s="320">
        <f>$D35*'MWh Impact Summary'!D$13</f>
        <v>0</v>
      </c>
      <c r="I35" s="320">
        <f>$D35*'MWh Impact Summary'!E$13</f>
        <v>27829.126831289443</v>
      </c>
      <c r="J35" s="104">
        <f t="shared" si="11"/>
        <v>154024.05888782066</v>
      </c>
      <c r="K35" s="298">
        <f t="shared" si="20"/>
        <v>10.366666666666667</v>
      </c>
      <c r="L35" s="299">
        <f t="shared" si="24"/>
        <v>7.2978998005397158E-2</v>
      </c>
      <c r="M35" s="297">
        <f t="shared" si="12"/>
        <v>8.3333333333333329E-2</v>
      </c>
      <c r="N35" s="302">
        <f>$L35*'MWh Impact Summary'!F$13</f>
        <v>9729.6350367167815</v>
      </c>
      <c r="O35" s="302">
        <f>$L35*'MWh Impact Summary'!G$13</f>
        <v>0</v>
      </c>
      <c r="P35" s="304">
        <f>$M35*'MWh Impact Summary'!H$13</f>
        <v>0</v>
      </c>
      <c r="Q35" s="304">
        <f>$M35*'MWh Impact Summary'!I$13</f>
        <v>227.97015696281724</v>
      </c>
      <c r="R35" s="304">
        <f>$M35*'MWh Impact Summary'!J$13</f>
        <v>0</v>
      </c>
      <c r="S35" s="304">
        <f>$M35*'MWh Impact Summary'!K$13</f>
        <v>0</v>
      </c>
      <c r="T35" s="304">
        <f>$M35*'MWh Impact Summary'!L$13</f>
        <v>0</v>
      </c>
      <c r="U35" s="304">
        <f>$M35*'MWh Impact Summary'!M$13</f>
        <v>0</v>
      </c>
      <c r="V35" s="302">
        <f>$L35*'MWh Impact Summary'!O$13</f>
        <v>0</v>
      </c>
      <c r="W35" s="302">
        <f>$L35*'MWh Impact Summary'!P$13</f>
        <v>0</v>
      </c>
      <c r="X35" s="302">
        <f>$L35*'MWh Impact Summary'!Q$13</f>
        <v>0</v>
      </c>
      <c r="Y35" s="85">
        <f t="shared" si="2"/>
        <v>9957.6051936795993</v>
      </c>
      <c r="Z35" s="81">
        <f t="shared" si="3"/>
        <v>163981.66408150026</v>
      </c>
      <c r="AA35" s="81"/>
      <c r="AB35" s="81">
        <f>+'MWh by mo-WgtbyActulCDH&amp;Days'!AB35</f>
        <v>4502735</v>
      </c>
      <c r="AC35" s="308">
        <f t="shared" si="13"/>
        <v>36.418235601584428</v>
      </c>
      <c r="AD35" s="309">
        <f t="shared" si="4"/>
        <v>34.206778521902947</v>
      </c>
      <c r="AE35" s="107">
        <f t="shared" si="5"/>
        <v>3.2996892464858146E-3</v>
      </c>
      <c r="AF35" s="309">
        <f t="shared" si="14"/>
        <v>2.2114570796814821</v>
      </c>
      <c r="AG35" s="107">
        <f t="shared" si="6"/>
        <v>2.1332383405287607E-4</v>
      </c>
      <c r="AH35" s="119">
        <f t="shared" si="15"/>
        <v>3.5130130805386905E-3</v>
      </c>
      <c r="AI35" s="122">
        <f t="shared" si="7"/>
        <v>3.5130130805386909E-3</v>
      </c>
      <c r="AJ35" s="87" t="b">
        <f t="shared" si="16"/>
        <v>1</v>
      </c>
      <c r="AK35" s="88">
        <f t="shared" si="22"/>
        <v>1.6301139822005413E-3</v>
      </c>
      <c r="AM35" s="89">
        <f t="shared" si="9"/>
        <v>0</v>
      </c>
      <c r="AN35" s="90"/>
      <c r="AO35" s="96"/>
      <c r="AP35" s="92"/>
      <c r="AR35" s="94">
        <f t="shared" si="10"/>
        <v>3.5130130805386909E-3</v>
      </c>
      <c r="AS35" s="95">
        <v>160999.38431175053</v>
      </c>
      <c r="AU35" s="141">
        <v>36.418235601584428</v>
      </c>
    </row>
    <row r="36" spans="1:47">
      <c r="A36" s="78">
        <v>2007</v>
      </c>
      <c r="B36" s="78">
        <v>8</v>
      </c>
      <c r="C36" s="317">
        <f t="shared" si="19"/>
        <v>326.45437890907908</v>
      </c>
      <c r="D36" s="318">
        <f t="shared" si="23"/>
        <v>0.16603274573816959</v>
      </c>
      <c r="E36" s="104">
        <f>$D36*'MWh Impact Summary'!B$13</f>
        <v>70358.850958611642</v>
      </c>
      <c r="F36" s="320">
        <f>$D36*'MWh Impact Summary'!N$13</f>
        <v>0</v>
      </c>
      <c r="G36" s="320">
        <f>$D36*'MWh Impact Summary'!C$13</f>
        <v>57455.106540444947</v>
      </c>
      <c r="H36" s="320">
        <f>$D36*'MWh Impact Summary'!D$13</f>
        <v>0</v>
      </c>
      <c r="I36" s="320">
        <f>$D36*'MWh Impact Summary'!E$13</f>
        <v>28186.162281516077</v>
      </c>
      <c r="J36" s="104">
        <f t="shared" si="11"/>
        <v>156000.11978057266</v>
      </c>
      <c r="K36" s="298">
        <f t="shared" si="20"/>
        <v>10.933333333333334</v>
      </c>
      <c r="L36" s="299">
        <f t="shared" si="24"/>
        <v>7.6968203684148764E-2</v>
      </c>
      <c r="M36" s="297">
        <f t="shared" si="12"/>
        <v>8.3333333333333329E-2</v>
      </c>
      <c r="N36" s="302">
        <f>$L36*'MWh Impact Summary'!F$13</f>
        <v>10261.480038723808</v>
      </c>
      <c r="O36" s="302">
        <f>$L36*'MWh Impact Summary'!G$13</f>
        <v>0</v>
      </c>
      <c r="P36" s="304">
        <f>$M36*'MWh Impact Summary'!H$13</f>
        <v>0</v>
      </c>
      <c r="Q36" s="304">
        <f>$M36*'MWh Impact Summary'!I$13</f>
        <v>227.97015696281724</v>
      </c>
      <c r="R36" s="304">
        <f>$M36*'MWh Impact Summary'!J$13</f>
        <v>0</v>
      </c>
      <c r="S36" s="304">
        <f>$M36*'MWh Impact Summary'!K$13</f>
        <v>0</v>
      </c>
      <c r="T36" s="304">
        <f>$M36*'MWh Impact Summary'!L$13</f>
        <v>0</v>
      </c>
      <c r="U36" s="304">
        <f>$M36*'MWh Impact Summary'!M$13</f>
        <v>0</v>
      </c>
      <c r="V36" s="302">
        <f>$L36*'MWh Impact Summary'!O$13</f>
        <v>0</v>
      </c>
      <c r="W36" s="302">
        <f>$L36*'MWh Impact Summary'!P$13</f>
        <v>0</v>
      </c>
      <c r="X36" s="302">
        <f>$L36*'MWh Impact Summary'!Q$13</f>
        <v>0</v>
      </c>
      <c r="Y36" s="85">
        <f t="shared" si="2"/>
        <v>10489.450195686626</v>
      </c>
      <c r="Z36" s="81">
        <f t="shared" si="3"/>
        <v>166489.56997625928</v>
      </c>
      <c r="AA36" s="81"/>
      <c r="AB36" s="81">
        <f>+'MWh by mo-WgtbyActulCDH&amp;Days'!AB36</f>
        <v>4508215</v>
      </c>
      <c r="AC36" s="308">
        <f t="shared" si="13"/>
        <v>36.930263968390882</v>
      </c>
      <c r="AD36" s="309">
        <f t="shared" si="4"/>
        <v>34.603522631589811</v>
      </c>
      <c r="AE36" s="107">
        <f t="shared" si="5"/>
        <v>3.1649563382551656E-3</v>
      </c>
      <c r="AF36" s="309">
        <f t="shared" si="14"/>
        <v>2.3267413368010676</v>
      </c>
      <c r="AG36" s="107">
        <f t="shared" si="6"/>
        <v>2.1281170763424399E-4</v>
      </c>
      <c r="AH36" s="119">
        <f t="shared" si="15"/>
        <v>3.3777680458894096E-3</v>
      </c>
      <c r="AI36" s="122">
        <f t="shared" si="7"/>
        <v>3.3777680458894096E-3</v>
      </c>
      <c r="AJ36" s="87" t="b">
        <f t="shared" si="16"/>
        <v>1</v>
      </c>
      <c r="AK36" s="88">
        <f t="shared" si="22"/>
        <v>1.5735235746979078E-3</v>
      </c>
      <c r="AM36" s="89">
        <f t="shared" si="9"/>
        <v>0</v>
      </c>
      <c r="AN36" s="90"/>
      <c r="AO36" s="96"/>
      <c r="AP36" s="92"/>
      <c r="AR36" s="94">
        <f t="shared" si="10"/>
        <v>3.3777680458894096E-3</v>
      </c>
      <c r="AS36" s="95">
        <v>168022.38742171641</v>
      </c>
      <c r="AU36" s="141">
        <v>36.930263968390882</v>
      </c>
    </row>
    <row r="37" spans="1:47">
      <c r="A37" s="78">
        <v>2007</v>
      </c>
      <c r="B37" s="78">
        <v>9</v>
      </c>
      <c r="C37" s="317">
        <f t="shared" si="19"/>
        <v>277.87653293728147</v>
      </c>
      <c r="D37" s="318">
        <f t="shared" si="23"/>
        <v>0.14132634365008559</v>
      </c>
      <c r="E37" s="104">
        <f>$D37*'MWh Impact Summary'!B$13</f>
        <v>59889.144790044629</v>
      </c>
      <c r="F37" s="320">
        <f>$D37*'MWh Impact Summary'!N$13</f>
        <v>0</v>
      </c>
      <c r="G37" s="320">
        <f>$D37*'MWh Impact Summary'!C$13</f>
        <v>48905.534238361382</v>
      </c>
      <c r="H37" s="320">
        <f>$D37*'MWh Impact Summary'!D$13</f>
        <v>0</v>
      </c>
      <c r="I37" s="320">
        <f>$D37*'MWh Impact Summary'!E$13</f>
        <v>23991.937488382202</v>
      </c>
      <c r="J37" s="104">
        <f t="shared" si="11"/>
        <v>132786.6165167882</v>
      </c>
      <c r="K37" s="298">
        <f t="shared" si="20"/>
        <v>11.683333333333334</v>
      </c>
      <c r="L37" s="299">
        <f t="shared" si="24"/>
        <v>8.2248034729555317E-2</v>
      </c>
      <c r="M37" s="297">
        <f t="shared" si="12"/>
        <v>8.3333333333333329E-2</v>
      </c>
      <c r="N37" s="302">
        <f>$L37*'MWh Impact Summary'!F$13</f>
        <v>10965.392541380166</v>
      </c>
      <c r="O37" s="302">
        <f>$L37*'MWh Impact Summary'!G$13</f>
        <v>0</v>
      </c>
      <c r="P37" s="304">
        <f>$M37*'MWh Impact Summary'!H$13</f>
        <v>0</v>
      </c>
      <c r="Q37" s="304">
        <f>$M37*'MWh Impact Summary'!I$13</f>
        <v>227.97015696281724</v>
      </c>
      <c r="R37" s="304">
        <f>$M37*'MWh Impact Summary'!J$13</f>
        <v>0</v>
      </c>
      <c r="S37" s="304">
        <f>$M37*'MWh Impact Summary'!K$13</f>
        <v>0</v>
      </c>
      <c r="T37" s="304">
        <f>$M37*'MWh Impact Summary'!L$13</f>
        <v>0</v>
      </c>
      <c r="U37" s="304">
        <f>$M37*'MWh Impact Summary'!M$13</f>
        <v>0</v>
      </c>
      <c r="V37" s="302">
        <f>$L37*'MWh Impact Summary'!O$13</f>
        <v>0</v>
      </c>
      <c r="W37" s="302">
        <f>$L37*'MWh Impact Summary'!P$13</f>
        <v>0</v>
      </c>
      <c r="X37" s="302">
        <f>$L37*'MWh Impact Summary'!Q$13</f>
        <v>0</v>
      </c>
      <c r="Y37" s="85">
        <f t="shared" si="2"/>
        <v>11193.362698342984</v>
      </c>
      <c r="Z37" s="81">
        <f t="shared" si="3"/>
        <v>143979.97921513117</v>
      </c>
      <c r="AA37" s="81"/>
      <c r="AB37" s="81">
        <f>+'MWh by mo-WgtbyActulCDH&amp;Days'!AB37</f>
        <v>4507674</v>
      </c>
      <c r="AC37" s="308">
        <f t="shared" si="13"/>
        <v>31.941080746995272</v>
      </c>
      <c r="AD37" s="309">
        <f t="shared" si="4"/>
        <v>29.457901462436769</v>
      </c>
      <c r="AE37" s="107">
        <f t="shared" si="5"/>
        <v>2.5213610381543601E-3</v>
      </c>
      <c r="AF37" s="309">
        <f t="shared" si="14"/>
        <v>2.4831792845585072</v>
      </c>
      <c r="AG37" s="107">
        <f t="shared" si="6"/>
        <v>2.1254030966263971E-4</v>
      </c>
      <c r="AH37" s="119">
        <f t="shared" si="15"/>
        <v>2.7339013478169995E-3</v>
      </c>
      <c r="AI37" s="122">
        <f t="shared" si="7"/>
        <v>2.7339013478169991E-3</v>
      </c>
      <c r="AJ37" s="87" t="b">
        <f t="shared" si="16"/>
        <v>1</v>
      </c>
      <c r="AK37" s="88">
        <f t="shared" si="22"/>
        <v>1.2993490048652451E-3</v>
      </c>
      <c r="AM37" s="89">
        <f t="shared" si="9"/>
        <v>0</v>
      </c>
      <c r="AN37" s="90"/>
      <c r="AO37" s="96"/>
      <c r="AP37" s="92"/>
      <c r="AR37" s="94">
        <f t="shared" si="10"/>
        <v>2.7339013478169991E-3</v>
      </c>
      <c r="AS37" s="95">
        <v>152906.03362448115</v>
      </c>
      <c r="AU37" s="141">
        <v>31.941080746995272</v>
      </c>
    </row>
    <row r="38" spans="1:47">
      <c r="A38" s="78">
        <v>2007</v>
      </c>
      <c r="B38" s="78">
        <v>10</v>
      </c>
      <c r="C38" s="317">
        <f t="shared" si="19"/>
        <v>198.89039579254836</v>
      </c>
      <c r="D38" s="318">
        <f t="shared" si="23"/>
        <v>0.10115446643644242</v>
      </c>
      <c r="E38" s="104">
        <f>$D38*'MWh Impact Summary'!B$13</f>
        <v>42865.713002319942</v>
      </c>
      <c r="F38" s="320">
        <f>$D38*'MWh Impact Summary'!N$13</f>
        <v>0</v>
      </c>
      <c r="G38" s="320">
        <f>$D38*'MWh Impact Summary'!C$13</f>
        <v>35004.183182712775</v>
      </c>
      <c r="H38" s="320">
        <f>$D38*'MWh Impact Summary'!D$13</f>
        <v>0</v>
      </c>
      <c r="I38" s="320">
        <f>$D38*'MWh Impact Summary'!E$13</f>
        <v>17172.252339752034</v>
      </c>
      <c r="J38" s="104">
        <f t="shared" si="11"/>
        <v>95042.148524784745</v>
      </c>
      <c r="K38" s="298">
        <f t="shared" si="20"/>
        <v>12.466666666666667</v>
      </c>
      <c r="L38" s="299">
        <f t="shared" si="24"/>
        <v>8.7762524932535488E-2</v>
      </c>
      <c r="M38" s="297">
        <f t="shared" si="12"/>
        <v>8.3333333333333329E-2</v>
      </c>
      <c r="N38" s="302">
        <f>$L38*'MWh Impact Summary'!F$13</f>
        <v>11700.590044154585</v>
      </c>
      <c r="O38" s="302">
        <f>$L38*'MWh Impact Summary'!G$13</f>
        <v>0</v>
      </c>
      <c r="P38" s="304">
        <f>$M38*'MWh Impact Summary'!H$13</f>
        <v>0</v>
      </c>
      <c r="Q38" s="304">
        <f>$M38*'MWh Impact Summary'!I$13</f>
        <v>227.97015696281724</v>
      </c>
      <c r="R38" s="304">
        <f>$M38*'MWh Impact Summary'!J$13</f>
        <v>0</v>
      </c>
      <c r="S38" s="304">
        <f>$M38*'MWh Impact Summary'!K$13</f>
        <v>0</v>
      </c>
      <c r="T38" s="304">
        <f>$M38*'MWh Impact Summary'!L$13</f>
        <v>0</v>
      </c>
      <c r="U38" s="304">
        <f>$M38*'MWh Impact Summary'!M$13</f>
        <v>0</v>
      </c>
      <c r="V38" s="302">
        <f>$L38*'MWh Impact Summary'!O$13</f>
        <v>0</v>
      </c>
      <c r="W38" s="302">
        <f>$L38*'MWh Impact Summary'!P$13</f>
        <v>0</v>
      </c>
      <c r="X38" s="302">
        <f>$L38*'MWh Impact Summary'!Q$13</f>
        <v>0</v>
      </c>
      <c r="Y38" s="85">
        <f t="shared" si="2"/>
        <v>11928.560201117403</v>
      </c>
      <c r="Z38" s="81">
        <f t="shared" si="3"/>
        <v>106970.70872590215</v>
      </c>
      <c r="AA38" s="81"/>
      <c r="AB38" s="81">
        <f>+'MWh by mo-WgtbyActulCDH&amp;Days'!AB38</f>
        <v>4507737</v>
      </c>
      <c r="AC38" s="308">
        <f t="shared" si="13"/>
        <v>23.730468021071804</v>
      </c>
      <c r="AD38" s="309">
        <f t="shared" si="4"/>
        <v>21.08422663628884</v>
      </c>
      <c r="AE38" s="107">
        <f t="shared" si="5"/>
        <v>1.6912481259055219E-3</v>
      </c>
      <c r="AF38" s="309">
        <f t="shared" si="14"/>
        <v>2.646241384782964</v>
      </c>
      <c r="AG38" s="107">
        <f t="shared" si="6"/>
        <v>2.122653517205586E-4</v>
      </c>
      <c r="AH38" s="119">
        <f t="shared" si="15"/>
        <v>1.9035134776260805E-3</v>
      </c>
      <c r="AI38" s="122">
        <f t="shared" si="7"/>
        <v>1.9035134776260805E-3</v>
      </c>
      <c r="AJ38" s="87" t="b">
        <f t="shared" si="16"/>
        <v>1</v>
      </c>
      <c r="AK38" s="88">
        <f t="shared" si="22"/>
        <v>9.4169451641668348E-4</v>
      </c>
      <c r="AM38" s="89">
        <f t="shared" si="9"/>
        <v>0</v>
      </c>
      <c r="AN38" s="90"/>
      <c r="AO38" s="96"/>
      <c r="AP38" s="92"/>
      <c r="AR38" s="94">
        <f t="shared" si="10"/>
        <v>1.9035134776260805E-3</v>
      </c>
      <c r="AS38" s="95">
        <v>106144.52831218758</v>
      </c>
      <c r="AU38" s="141">
        <v>23.730468021071804</v>
      </c>
    </row>
    <row r="39" spans="1:47">
      <c r="A39" s="78">
        <v>2007</v>
      </c>
      <c r="B39" s="78">
        <v>11</v>
      </c>
      <c r="C39" s="317">
        <f t="shared" si="19"/>
        <v>78.117279066674627</v>
      </c>
      <c r="D39" s="318">
        <f t="shared" si="23"/>
        <v>3.9729981188725644E-2</v>
      </c>
      <c r="E39" s="104">
        <f>$D39*'MWh Impact Summary'!B$13</f>
        <v>16836.171760082882</v>
      </c>
      <c r="F39" s="320">
        <f>$D39*'MWh Impact Summary'!N$13</f>
        <v>0</v>
      </c>
      <c r="G39" s="320">
        <f>$D39*'MWh Impact Summary'!C$13</f>
        <v>13748.434333838361</v>
      </c>
      <c r="H39" s="320">
        <f>$D39*'MWh Impact Summary'!D$13</f>
        <v>0</v>
      </c>
      <c r="I39" s="320">
        <f>$D39*'MWh Impact Summary'!E$13</f>
        <v>6744.6676994245527</v>
      </c>
      <c r="J39" s="104">
        <f t="shared" si="11"/>
        <v>37329.27379334579</v>
      </c>
      <c r="K39" s="298">
        <f t="shared" si="20"/>
        <v>13.15</v>
      </c>
      <c r="L39" s="299">
        <f t="shared" si="24"/>
        <v>9.2573037662794788E-2</v>
      </c>
      <c r="M39" s="297">
        <f t="shared" si="12"/>
        <v>8.3333333333333329E-2</v>
      </c>
      <c r="N39" s="302">
        <f>$L39*'MWh Impact Summary'!F$13</f>
        <v>12341.932546574824</v>
      </c>
      <c r="O39" s="302">
        <f>$L39*'MWh Impact Summary'!G$13</f>
        <v>0</v>
      </c>
      <c r="P39" s="304">
        <f>$M39*'MWh Impact Summary'!H$13</f>
        <v>0</v>
      </c>
      <c r="Q39" s="304">
        <f>$M39*'MWh Impact Summary'!I$13</f>
        <v>227.97015696281724</v>
      </c>
      <c r="R39" s="304">
        <f>$M39*'MWh Impact Summary'!J$13</f>
        <v>0</v>
      </c>
      <c r="S39" s="304">
        <f>$M39*'MWh Impact Summary'!K$13</f>
        <v>0</v>
      </c>
      <c r="T39" s="304">
        <f>$M39*'MWh Impact Summary'!L$13</f>
        <v>0</v>
      </c>
      <c r="U39" s="304">
        <f>$M39*'MWh Impact Summary'!M$13</f>
        <v>0</v>
      </c>
      <c r="V39" s="302">
        <f>$L39*'MWh Impact Summary'!O$13</f>
        <v>0</v>
      </c>
      <c r="W39" s="302">
        <f>$L39*'MWh Impact Summary'!P$13</f>
        <v>0</v>
      </c>
      <c r="X39" s="302">
        <f>$L39*'MWh Impact Summary'!Q$13</f>
        <v>0</v>
      </c>
      <c r="Y39" s="85">
        <f t="shared" si="2"/>
        <v>12569.902703537642</v>
      </c>
      <c r="Z39" s="81">
        <f t="shared" si="3"/>
        <v>49899.176496883432</v>
      </c>
      <c r="AA39" s="81"/>
      <c r="AB39" s="81">
        <f>+'MWh by mo-WgtbyActulCDH&amp;Days'!AB39</f>
        <v>4507950</v>
      </c>
      <c r="AC39" s="308">
        <f t="shared" si="13"/>
        <v>11.069150389175441</v>
      </c>
      <c r="AD39" s="309">
        <f t="shared" si="4"/>
        <v>8.2807648251080401</v>
      </c>
      <c r="AE39" s="107">
        <f t="shared" si="5"/>
        <v>6.2971595628198024E-4</v>
      </c>
      <c r="AF39" s="309">
        <f t="shared" si="14"/>
        <v>2.7883855640674016</v>
      </c>
      <c r="AG39" s="107">
        <f t="shared" si="6"/>
        <v>2.1204452958687464E-4</v>
      </c>
      <c r="AH39" s="119">
        <f t="shared" si="15"/>
        <v>8.4176048586885491E-4</v>
      </c>
      <c r="AI39" s="122">
        <f t="shared" si="7"/>
        <v>8.417604858688548E-4</v>
      </c>
      <c r="AJ39" s="87" t="b">
        <f t="shared" si="16"/>
        <v>1</v>
      </c>
      <c r="AK39" s="88">
        <f t="shared" si="22"/>
        <v>4.8352057882646916E-4</v>
      </c>
      <c r="AM39" s="89">
        <f t="shared" si="9"/>
        <v>0</v>
      </c>
      <c r="AN39" s="90"/>
      <c r="AO39" s="96"/>
      <c r="AP39" s="92"/>
      <c r="AR39" s="94">
        <f t="shared" si="10"/>
        <v>8.417604858688548E-4</v>
      </c>
      <c r="AS39" s="95">
        <v>55297.667493486748</v>
      </c>
      <c r="AU39" s="141">
        <v>11.069150389175441</v>
      </c>
    </row>
    <row r="40" spans="1:47">
      <c r="A40" s="78">
        <v>2007</v>
      </c>
      <c r="B40" s="78">
        <v>12</v>
      </c>
      <c r="C40" s="317">
        <f t="shared" si="19"/>
        <v>42.633806123140985</v>
      </c>
      <c r="D40" s="318">
        <f t="shared" si="23"/>
        <v>2.1683298951445065E-2</v>
      </c>
      <c r="E40" s="104">
        <f>$D40*'MWh Impact Summary'!B$13</f>
        <v>9188.621150803614</v>
      </c>
      <c r="F40" s="320">
        <f>$D40*'MWh Impact Summary'!N$13</f>
        <v>0</v>
      </c>
      <c r="G40" s="320">
        <f>$D40*'MWh Impact Summary'!C$13</f>
        <v>7503.4370230088371</v>
      </c>
      <c r="H40" s="320">
        <f>$D40*'MWh Impact Summary'!D$13</f>
        <v>0</v>
      </c>
      <c r="I40" s="320">
        <f>$D40*'MWh Impact Summary'!E$13</f>
        <v>3681.0147319243856</v>
      </c>
      <c r="J40" s="104">
        <f t="shared" si="11"/>
        <v>20373.072905736837</v>
      </c>
      <c r="K40" s="298">
        <f t="shared" si="20"/>
        <v>13.483333333333333</v>
      </c>
      <c r="L40" s="299">
        <f t="shared" si="24"/>
        <v>9.491962923853102E-2</v>
      </c>
      <c r="M40" s="297">
        <f t="shared" si="12"/>
        <v>8.3333333333333329E-2</v>
      </c>
      <c r="N40" s="302">
        <f>$L40*'MWh Impact Summary'!F$13</f>
        <v>12654.782547755427</v>
      </c>
      <c r="O40" s="302">
        <f>$L40*'MWh Impact Summary'!G$13</f>
        <v>0</v>
      </c>
      <c r="P40" s="304">
        <f>$M40*'MWh Impact Summary'!H$13</f>
        <v>0</v>
      </c>
      <c r="Q40" s="304">
        <f>$M40*'MWh Impact Summary'!I$13</f>
        <v>227.97015696281724</v>
      </c>
      <c r="R40" s="304">
        <f>$M40*'MWh Impact Summary'!J$13</f>
        <v>0</v>
      </c>
      <c r="S40" s="304">
        <f>$M40*'MWh Impact Summary'!K$13</f>
        <v>0</v>
      </c>
      <c r="T40" s="304">
        <f>$M40*'MWh Impact Summary'!L$13</f>
        <v>0</v>
      </c>
      <c r="U40" s="304">
        <f>$M40*'MWh Impact Summary'!M$13</f>
        <v>0</v>
      </c>
      <c r="V40" s="302">
        <f>$L40*'MWh Impact Summary'!O$13</f>
        <v>0</v>
      </c>
      <c r="W40" s="302">
        <f>$L40*'MWh Impact Summary'!P$13</f>
        <v>0</v>
      </c>
      <c r="X40" s="302">
        <f>$L40*'MWh Impact Summary'!Q$13</f>
        <v>0</v>
      </c>
      <c r="Y40" s="85">
        <f t="shared" si="2"/>
        <v>12882.752704718245</v>
      </c>
      <c r="Z40" s="81">
        <f t="shared" si="3"/>
        <v>33255.825610455082</v>
      </c>
      <c r="AA40" s="81">
        <f>SUM(Z29:Z40)</f>
        <v>1075631.0838795668</v>
      </c>
      <c r="AB40" s="81">
        <f>+'MWh by mo-WgtbyActulCDH&amp;Days'!AB40</f>
        <v>4509032</v>
      </c>
      <c r="AC40" s="308">
        <f t="shared" si="13"/>
        <v>7.3753802613188553</v>
      </c>
      <c r="AD40" s="309">
        <f t="shared" si="4"/>
        <v>4.5182808429252308</v>
      </c>
      <c r="AE40" s="107">
        <f t="shared" si="5"/>
        <v>3.3510117500063516E-4</v>
      </c>
      <c r="AF40" s="309">
        <f t="shared" si="14"/>
        <v>2.8570994183936254</v>
      </c>
      <c r="AG40" s="107">
        <f t="shared" si="6"/>
        <v>2.1189859716145553E-4</v>
      </c>
      <c r="AH40" s="119">
        <f t="shared" si="15"/>
        <v>5.4699977216209072E-4</v>
      </c>
      <c r="AI40" s="122">
        <f t="shared" si="7"/>
        <v>5.4699977216209061E-4</v>
      </c>
      <c r="AJ40" s="87" t="b">
        <f t="shared" si="16"/>
        <v>1</v>
      </c>
      <c r="AK40" s="88">
        <f t="shared" si="22"/>
        <v>3.5604429172990187E-4</v>
      </c>
      <c r="AM40" s="89">
        <f t="shared" si="9"/>
        <v>0</v>
      </c>
      <c r="AN40" s="90">
        <f>SUM(AM29:AM40)</f>
        <v>0</v>
      </c>
      <c r="AO40" s="96"/>
      <c r="AP40" s="92"/>
      <c r="AR40" s="94">
        <f t="shared" si="10"/>
        <v>5.4699977216209061E-4</v>
      </c>
      <c r="AS40" s="95">
        <v>30566.715612419801</v>
      </c>
      <c r="AU40" s="141">
        <v>7.3753802613188553</v>
      </c>
    </row>
    <row r="41" spans="1:47">
      <c r="A41" s="78">
        <v>2008</v>
      </c>
      <c r="B41" s="78">
        <v>1</v>
      </c>
      <c r="C41" s="317">
        <f t="shared" si="19"/>
        <v>26.112829868525239</v>
      </c>
      <c r="D41" s="318">
        <f t="shared" ref="D41:D52" si="25">C41/(SUM(C$41:C$52))</f>
        <v>1.3280829182176284E-2</v>
      </c>
      <c r="E41" s="104">
        <f>$D41*'MWh Impact Summary'!B$14</f>
        <v>7662.515265473231</v>
      </c>
      <c r="F41" s="320">
        <f>$D41*'MWh Impact Summary'!N$14</f>
        <v>0</v>
      </c>
      <c r="G41" s="320">
        <f>$D41*'MWh Impact Summary'!C$14</f>
        <v>6134.3656072710173</v>
      </c>
      <c r="H41" s="320">
        <f>$D41*'MWh Impact Summary'!D$14</f>
        <v>0</v>
      </c>
      <c r="I41" s="320">
        <f>$D41*'MWh Impact Summary'!E$14</f>
        <v>2913.664946357575</v>
      </c>
      <c r="J41" s="104">
        <f t="shared" si="11"/>
        <v>16710.545819101822</v>
      </c>
      <c r="K41" s="298">
        <f t="shared" si="20"/>
        <v>13.3</v>
      </c>
      <c r="L41" s="299">
        <f t="shared" ref="L41:L52" si="26">K41/(SUM(K$41:K$52))</f>
        <v>9.3629003871876101E-2</v>
      </c>
      <c r="M41" s="297">
        <f t="shared" si="12"/>
        <v>8.3333333333333329E-2</v>
      </c>
      <c r="N41" s="302">
        <f>$L41*'MWh Impact Summary'!F$14</f>
        <v>21180.253616343431</v>
      </c>
      <c r="O41" s="302">
        <f>$L41*'MWh Impact Summary'!G$14</f>
        <v>0</v>
      </c>
      <c r="P41" s="304">
        <f>$M41*'MWh Impact Summary'!H$14</f>
        <v>0</v>
      </c>
      <c r="Q41" s="304">
        <f>$M41*'MWh Impact Summary'!I$14</f>
        <v>341.95523544422588</v>
      </c>
      <c r="R41" s="304">
        <f>$M41*'MWh Impact Summary'!J$14</f>
        <v>0</v>
      </c>
      <c r="S41" s="304">
        <f>$M41*'MWh Impact Summary'!K$14</f>
        <v>0</v>
      </c>
      <c r="T41" s="304">
        <f>$M41*'MWh Impact Summary'!L$14</f>
        <v>0</v>
      </c>
      <c r="U41" s="304">
        <f>$M41*'MWh Impact Summary'!M$14</f>
        <v>0</v>
      </c>
      <c r="V41" s="302">
        <f>$L41*'MWh Impact Summary'!O$14</f>
        <v>0</v>
      </c>
      <c r="W41" s="302">
        <f>$L41*'MWh Impact Summary'!P$14</f>
        <v>142745.35005806477</v>
      </c>
      <c r="X41" s="302">
        <f>$L41*'MWh Impact Summary'!Q$14</f>
        <v>0</v>
      </c>
      <c r="Y41" s="85">
        <f t="shared" si="2"/>
        <v>164267.55890985244</v>
      </c>
      <c r="Z41" s="81">
        <f t="shared" si="3"/>
        <v>180978.10472895426</v>
      </c>
      <c r="AA41" s="81"/>
      <c r="AB41" s="81">
        <f>+'MWh by mo-WgtbyActulCDH&amp;Days'!AB41</f>
        <v>4512537</v>
      </c>
      <c r="AC41" s="308">
        <f t="shared" si="13"/>
        <v>40.105622342587829</v>
      </c>
      <c r="AD41" s="309">
        <f t="shared" si="4"/>
        <v>3.7031376848770043</v>
      </c>
      <c r="AE41" s="107">
        <f t="shared" si="5"/>
        <v>2.7843140487797023E-4</v>
      </c>
      <c r="AF41" s="309">
        <f t="shared" si="14"/>
        <v>36.402484657710829</v>
      </c>
      <c r="AG41" s="107">
        <f t="shared" si="6"/>
        <v>2.7370289216323931E-3</v>
      </c>
      <c r="AH41" s="119">
        <f t="shared" si="15"/>
        <v>3.0154603265103632E-3</v>
      </c>
      <c r="AI41" s="122">
        <f t="shared" si="7"/>
        <v>3.0154603265103628E-3</v>
      </c>
      <c r="AJ41" s="87" t="b">
        <f t="shared" si="16"/>
        <v>1</v>
      </c>
      <c r="AK41" s="88">
        <f t="shared" si="22"/>
        <v>2.5913617208831864E-3</v>
      </c>
      <c r="AM41" s="89">
        <f t="shared" si="9"/>
        <v>142745.35005806477</v>
      </c>
      <c r="AN41" s="93"/>
      <c r="AO41" s="96">
        <f>+AM41*1000/AB41</f>
        <v>31.633059198864132</v>
      </c>
      <c r="AP41" s="92">
        <f t="shared" ref="AP41:AP104" si="27">+AO41/K41/1000</f>
        <v>2.3784255036739944E-3</v>
      </c>
      <c r="AQ41" s="98"/>
      <c r="AR41" s="94">
        <f t="shared" si="10"/>
        <v>3.0154603265103628E-3</v>
      </c>
      <c r="AS41" s="95">
        <v>166053.03297524751</v>
      </c>
      <c r="AU41" s="141">
        <v>40.105622342587829</v>
      </c>
    </row>
    <row r="42" spans="1:47">
      <c r="A42" s="78">
        <v>2008</v>
      </c>
      <c r="B42" s="78">
        <v>2</v>
      </c>
      <c r="C42" s="317">
        <f t="shared" si="19"/>
        <v>35.042184420393127</v>
      </c>
      <c r="D42" s="318">
        <f t="shared" si="25"/>
        <v>1.7822245532205266E-2</v>
      </c>
      <c r="E42" s="104">
        <f>$D42*'MWh Impact Summary'!B$14</f>
        <v>10282.733599104751</v>
      </c>
      <c r="F42" s="320">
        <f>$D42*'MWh Impact Summary'!N$14</f>
        <v>0</v>
      </c>
      <c r="G42" s="320">
        <f>$D42*'MWh Impact Summary'!C$14</f>
        <v>8232.0289296262381</v>
      </c>
      <c r="H42" s="320">
        <f>$D42*'MWh Impact Summary'!D$14</f>
        <v>0</v>
      </c>
      <c r="I42" s="320">
        <f>$D42*'MWh Impact Summary'!E$14</f>
        <v>3910.0007507253486</v>
      </c>
      <c r="J42" s="104">
        <f t="shared" si="11"/>
        <v>22424.76327945634</v>
      </c>
      <c r="K42" s="298">
        <f t="shared" si="20"/>
        <v>12.733333333333333</v>
      </c>
      <c r="L42" s="299">
        <f t="shared" si="26"/>
        <v>8.9639798193124468E-2</v>
      </c>
      <c r="M42" s="297">
        <f t="shared" si="12"/>
        <v>8.3333333333333329E-2</v>
      </c>
      <c r="N42" s="302">
        <f>$L42*'MWh Impact Summary'!F$14</f>
        <v>20277.836795596962</v>
      </c>
      <c r="O42" s="302">
        <f>$L42*'MWh Impact Summary'!G$14</f>
        <v>0</v>
      </c>
      <c r="P42" s="304">
        <f>$M42*'MWh Impact Summary'!H$14</f>
        <v>0</v>
      </c>
      <c r="Q42" s="304">
        <f>$M42*'MWh Impact Summary'!I$14</f>
        <v>341.95523544422588</v>
      </c>
      <c r="R42" s="304">
        <f>$M42*'MWh Impact Summary'!J$14</f>
        <v>0</v>
      </c>
      <c r="S42" s="304">
        <f>$M42*'MWh Impact Summary'!K$14</f>
        <v>0</v>
      </c>
      <c r="T42" s="304">
        <f>$M42*'MWh Impact Summary'!L$14</f>
        <v>0</v>
      </c>
      <c r="U42" s="304">
        <f>$M42*'MWh Impact Summary'!M$14</f>
        <v>0</v>
      </c>
      <c r="V42" s="302">
        <f>$L42*'MWh Impact Summary'!O$14</f>
        <v>0</v>
      </c>
      <c r="W42" s="302">
        <f>$L42*'MWh Impact Summary'!P$14</f>
        <v>136663.46797539032</v>
      </c>
      <c r="X42" s="302">
        <f>$L42*'MWh Impact Summary'!Q$14</f>
        <v>0</v>
      </c>
      <c r="Y42" s="85">
        <f t="shared" si="2"/>
        <v>157283.26000643152</v>
      </c>
      <c r="Z42" s="81">
        <f t="shared" si="3"/>
        <v>179708.02328588784</v>
      </c>
      <c r="AA42" s="81"/>
      <c r="AB42" s="81">
        <f>+'MWh by mo-WgtbyActulCDH&amp;Days'!AB42</f>
        <v>4519123</v>
      </c>
      <c r="AC42" s="308">
        <f t="shared" si="13"/>
        <v>39.766127915944715</v>
      </c>
      <c r="AD42" s="309">
        <f t="shared" si="4"/>
        <v>4.9621936113392664</v>
      </c>
      <c r="AE42" s="107">
        <f t="shared" si="5"/>
        <v>3.8970106895334553E-4</v>
      </c>
      <c r="AF42" s="309">
        <f t="shared" si="14"/>
        <v>34.803934304605455</v>
      </c>
      <c r="AG42" s="107">
        <f t="shared" si="6"/>
        <v>2.7332932699951932E-3</v>
      </c>
      <c r="AH42" s="119">
        <f t="shared" si="15"/>
        <v>3.122994338948539E-3</v>
      </c>
      <c r="AI42" s="122">
        <f t="shared" si="7"/>
        <v>3.1229943389485381E-3</v>
      </c>
      <c r="AJ42" s="87" t="b">
        <f t="shared" si="16"/>
        <v>1</v>
      </c>
      <c r="AK42" s="88">
        <f t="shared" si="22"/>
        <v>2.6155976246569125E-3</v>
      </c>
      <c r="AM42" s="89">
        <f t="shared" si="9"/>
        <v>136663.46797539032</v>
      </c>
      <c r="AN42" s="93"/>
      <c r="AO42" s="96">
        <f>+AM42*1000/AB42</f>
        <v>30.24114811112473</v>
      </c>
      <c r="AP42" s="92">
        <f t="shared" si="27"/>
        <v>2.3749592757427796E-3</v>
      </c>
      <c r="AQ42" s="98"/>
      <c r="AR42" s="94">
        <f t="shared" si="10"/>
        <v>3.1229943389485381E-3</v>
      </c>
      <c r="AS42" s="95">
        <v>159234.2562554724</v>
      </c>
      <c r="AU42" s="141">
        <v>39.766127915944715</v>
      </c>
    </row>
    <row r="43" spans="1:47">
      <c r="A43" s="78">
        <v>2008</v>
      </c>
      <c r="B43" s="78">
        <v>3</v>
      </c>
      <c r="C43" s="317">
        <f t="shared" si="19"/>
        <v>64.582270600115152</v>
      </c>
      <c r="D43" s="318">
        <f t="shared" si="25"/>
        <v>3.2846156787895278E-2</v>
      </c>
      <c r="E43" s="104">
        <f>$D43*'MWh Impact Summary'!B$14</f>
        <v>18950.938555640103</v>
      </c>
      <c r="F43" s="320">
        <f>$D43*'MWh Impact Summary'!N$14</f>
        <v>0</v>
      </c>
      <c r="G43" s="320">
        <f>$D43*'MWh Impact Summary'!C$14</f>
        <v>15171.517664055877</v>
      </c>
      <c r="H43" s="320">
        <f>$D43*'MWh Impact Summary'!D$14</f>
        <v>0</v>
      </c>
      <c r="I43" s="320">
        <f>$D43*'MWh Impact Summary'!E$14</f>
        <v>7206.0783511841628</v>
      </c>
      <c r="J43" s="104">
        <f t="shared" si="11"/>
        <v>41328.534570880147</v>
      </c>
      <c r="K43" s="298">
        <f t="shared" si="20"/>
        <v>12</v>
      </c>
      <c r="L43" s="299">
        <f t="shared" si="26"/>
        <v>8.4477296726504739E-2</v>
      </c>
      <c r="M43" s="297">
        <f t="shared" si="12"/>
        <v>8.3333333333333329E-2</v>
      </c>
      <c r="N43" s="302">
        <f>$L43*'MWh Impact Summary'!F$14</f>
        <v>19110.003262866248</v>
      </c>
      <c r="O43" s="302">
        <f>$L43*'MWh Impact Summary'!G$14</f>
        <v>0</v>
      </c>
      <c r="P43" s="304">
        <f>$M43*'MWh Impact Summary'!H$14</f>
        <v>0</v>
      </c>
      <c r="Q43" s="304">
        <f>$M43*'MWh Impact Summary'!I$14</f>
        <v>341.95523544422588</v>
      </c>
      <c r="R43" s="304">
        <f>$M43*'MWh Impact Summary'!J$14</f>
        <v>0</v>
      </c>
      <c r="S43" s="304">
        <f>$M43*'MWh Impact Summary'!K$14</f>
        <v>0</v>
      </c>
      <c r="T43" s="304">
        <f>$M43*'MWh Impact Summary'!L$14</f>
        <v>0</v>
      </c>
      <c r="U43" s="304">
        <f>$M43*'MWh Impact Summary'!M$14</f>
        <v>0</v>
      </c>
      <c r="V43" s="302">
        <f>$L43*'MWh Impact Summary'!O$14</f>
        <v>0</v>
      </c>
      <c r="W43" s="302">
        <f>$L43*'MWh Impact Summary'!P$14</f>
        <v>128792.79704487046</v>
      </c>
      <c r="X43" s="302">
        <f>$L43*'MWh Impact Summary'!Q$14</f>
        <v>0</v>
      </c>
      <c r="Y43" s="85">
        <f t="shared" si="2"/>
        <v>148244.75554318095</v>
      </c>
      <c r="Z43" s="81">
        <f t="shared" si="3"/>
        <v>189573.29011406109</v>
      </c>
      <c r="AA43" s="81"/>
      <c r="AB43" s="81">
        <f>+'MWh by mo-WgtbyActulCDH&amp;Days'!AB43</f>
        <v>4519652</v>
      </c>
      <c r="AC43" s="308">
        <f t="shared" si="13"/>
        <v>41.9442227220284</v>
      </c>
      <c r="AD43" s="309">
        <f t="shared" si="4"/>
        <v>9.1441851210845755</v>
      </c>
      <c r="AE43" s="107">
        <f t="shared" si="5"/>
        <v>7.6201542675704789E-4</v>
      </c>
      <c r="AF43" s="309">
        <f t="shared" si="14"/>
        <v>32.800037600943824</v>
      </c>
      <c r="AG43" s="107">
        <f t="shared" si="6"/>
        <v>2.7333364667453189E-3</v>
      </c>
      <c r="AH43" s="119">
        <f t="shared" si="15"/>
        <v>3.4953518935023666E-3</v>
      </c>
      <c r="AI43" s="122">
        <f t="shared" si="7"/>
        <v>3.4953518935023666E-3</v>
      </c>
      <c r="AJ43" s="87" t="b">
        <f t="shared" si="16"/>
        <v>1</v>
      </c>
      <c r="AK43" s="88">
        <f t="shared" si="22"/>
        <v>2.709027624228609E-3</v>
      </c>
      <c r="AM43" s="89">
        <f t="shared" si="9"/>
        <v>128792.79704487046</v>
      </c>
      <c r="AN43" s="93"/>
      <c r="AO43" s="96">
        <f t="shared" ref="AO43:AO106" si="28">+AM43*1000/AB43</f>
        <v>28.496175600437923</v>
      </c>
      <c r="AP43" s="92">
        <f t="shared" si="27"/>
        <v>2.3746813000364935E-3</v>
      </c>
      <c r="AQ43" s="98"/>
      <c r="AR43" s="94">
        <f t="shared" si="10"/>
        <v>3.4953518935023666E-3</v>
      </c>
      <c r="AS43" s="95">
        <v>187542.91902984036</v>
      </c>
      <c r="AU43" s="141">
        <v>41.9442227220284</v>
      </c>
    </row>
    <row r="44" spans="1:47">
      <c r="A44" s="78">
        <v>2008</v>
      </c>
      <c r="B44" s="78">
        <v>4</v>
      </c>
      <c r="C44" s="317">
        <f t="shared" si="19"/>
        <v>114.03392869270741</v>
      </c>
      <c r="D44" s="318">
        <f t="shared" si="25"/>
        <v>5.7996974497419709E-2</v>
      </c>
      <c r="E44" s="104">
        <f>$D44*'MWh Impact Summary'!B$14</f>
        <v>33461.969606096347</v>
      </c>
      <c r="F44" s="320">
        <f>$D44*'MWh Impact Summary'!N$14</f>
        <v>0</v>
      </c>
      <c r="G44" s="320">
        <f>$D44*'MWh Impact Summary'!C$14</f>
        <v>26788.586827110008</v>
      </c>
      <c r="H44" s="320">
        <f>$D44*'MWh Impact Summary'!D$14</f>
        <v>0</v>
      </c>
      <c r="I44" s="320">
        <f>$D44*'MWh Impact Summary'!E$14</f>
        <v>12723.885630176839</v>
      </c>
      <c r="J44" s="104">
        <f t="shared" si="11"/>
        <v>72974.442063383191</v>
      </c>
      <c r="K44" s="298">
        <f t="shared" si="20"/>
        <v>11.2</v>
      </c>
      <c r="L44" s="299">
        <f t="shared" si="26"/>
        <v>7.8845476944737758E-2</v>
      </c>
      <c r="M44" s="297">
        <f t="shared" si="12"/>
        <v>8.3333333333333329E-2</v>
      </c>
      <c r="N44" s="302">
        <f>$L44*'MWh Impact Summary'!F$14</f>
        <v>17836.003045341833</v>
      </c>
      <c r="O44" s="302">
        <f>$L44*'MWh Impact Summary'!G$14</f>
        <v>0</v>
      </c>
      <c r="P44" s="304">
        <f>$M44*'MWh Impact Summary'!H$14</f>
        <v>0</v>
      </c>
      <c r="Q44" s="304">
        <f>$M44*'MWh Impact Summary'!I$14</f>
        <v>341.95523544422588</v>
      </c>
      <c r="R44" s="304">
        <f>$M44*'MWh Impact Summary'!J$14</f>
        <v>0</v>
      </c>
      <c r="S44" s="304">
        <f>$M44*'MWh Impact Summary'!K$14</f>
        <v>0</v>
      </c>
      <c r="T44" s="304">
        <f>$M44*'MWh Impact Summary'!L$14</f>
        <v>0</v>
      </c>
      <c r="U44" s="304">
        <f>$M44*'MWh Impact Summary'!M$14</f>
        <v>0</v>
      </c>
      <c r="V44" s="302">
        <f>$L44*'MWh Impact Summary'!O$14</f>
        <v>0</v>
      </c>
      <c r="W44" s="302">
        <f>$L44*'MWh Impact Summary'!P$14</f>
        <v>120206.61057521243</v>
      </c>
      <c r="X44" s="302">
        <f>$L44*'MWh Impact Summary'!Q$14</f>
        <v>0</v>
      </c>
      <c r="Y44" s="85">
        <f t="shared" si="2"/>
        <v>138384.56885599848</v>
      </c>
      <c r="Z44" s="81">
        <f t="shared" si="3"/>
        <v>211359.01091938169</v>
      </c>
      <c r="AA44" s="81"/>
      <c r="AB44" s="81">
        <f>+'MWh by mo-WgtbyActulCDH&amp;Days'!AB44</f>
        <v>4518324</v>
      </c>
      <c r="AC44" s="308">
        <f t="shared" si="13"/>
        <v>46.778188310395997</v>
      </c>
      <c r="AD44" s="309">
        <f t="shared" si="4"/>
        <v>16.150776717956301</v>
      </c>
      <c r="AE44" s="107">
        <f t="shared" si="5"/>
        <v>1.4420336355318126E-3</v>
      </c>
      <c r="AF44" s="309">
        <f t="shared" si="14"/>
        <v>30.627411592439692</v>
      </c>
      <c r="AG44" s="107">
        <f t="shared" si="6"/>
        <v>2.7345903207535442E-3</v>
      </c>
      <c r="AH44" s="119">
        <f t="shared" si="15"/>
        <v>4.1766239562853573E-3</v>
      </c>
      <c r="AI44" s="122">
        <f t="shared" si="7"/>
        <v>4.1766239562853573E-3</v>
      </c>
      <c r="AJ44" s="87" t="b">
        <f t="shared" si="16"/>
        <v>1</v>
      </c>
      <c r="AK44" s="88">
        <f t="shared" si="22"/>
        <v>2.8804071615353101E-3</v>
      </c>
      <c r="AM44" s="89">
        <f t="shared" si="9"/>
        <v>120206.61057521243</v>
      </c>
      <c r="AN44" s="93"/>
      <c r="AO44" s="96">
        <f t="shared" si="28"/>
        <v>26.60424763146964</v>
      </c>
      <c r="AP44" s="92">
        <f t="shared" si="27"/>
        <v>2.3753792528097891E-3</v>
      </c>
      <c r="AQ44" s="98"/>
      <c r="AR44" s="94">
        <f t="shared" si="10"/>
        <v>4.1766239562853573E-3</v>
      </c>
      <c r="AS44" s="95">
        <v>221381.67633899365</v>
      </c>
      <c r="AU44" s="141">
        <v>46.778188310395997</v>
      </c>
    </row>
    <row r="45" spans="1:47">
      <c r="A45" s="78">
        <v>2008</v>
      </c>
      <c r="B45" s="78">
        <v>5</v>
      </c>
      <c r="C45" s="317">
        <f t="shared" si="19"/>
        <v>208.47875842628665</v>
      </c>
      <c r="D45" s="318">
        <f t="shared" si="25"/>
        <v>0.10603105035770212</v>
      </c>
      <c r="E45" s="104">
        <f>$D45*'MWh Impact Summary'!B$14</f>
        <v>61175.739167734529</v>
      </c>
      <c r="F45" s="320">
        <f>$D45*'MWh Impact Summary'!N$14</f>
        <v>0</v>
      </c>
      <c r="G45" s="320">
        <f>$D45*'MWh Impact Summary'!C$14</f>
        <v>48975.347826175785</v>
      </c>
      <c r="H45" s="320">
        <f>$D45*'MWh Impact Summary'!D$14</f>
        <v>0</v>
      </c>
      <c r="I45" s="320">
        <f>$D45*'MWh Impact Summary'!E$14</f>
        <v>23262.023057063874</v>
      </c>
      <c r="J45" s="104">
        <f t="shared" si="11"/>
        <v>133413.11005097418</v>
      </c>
      <c r="K45" s="298">
        <f t="shared" si="20"/>
        <v>10.533333333333333</v>
      </c>
      <c r="L45" s="299">
        <f t="shared" si="26"/>
        <v>7.4152293793265281E-2</v>
      </c>
      <c r="M45" s="297">
        <f t="shared" si="12"/>
        <v>8.3333333333333329E-2</v>
      </c>
      <c r="N45" s="302">
        <f>$L45*'MWh Impact Summary'!F$14</f>
        <v>16774.33619740482</v>
      </c>
      <c r="O45" s="302">
        <f>$L45*'MWh Impact Summary'!G$14</f>
        <v>0</v>
      </c>
      <c r="P45" s="304">
        <f>$M45*'MWh Impact Summary'!H$14</f>
        <v>0</v>
      </c>
      <c r="Q45" s="304">
        <f>$M45*'MWh Impact Summary'!I$14</f>
        <v>341.95523544422588</v>
      </c>
      <c r="R45" s="304">
        <f>$M45*'MWh Impact Summary'!J$14</f>
        <v>0</v>
      </c>
      <c r="S45" s="304">
        <f>$M45*'MWh Impact Summary'!K$14</f>
        <v>0</v>
      </c>
      <c r="T45" s="304">
        <f>$M45*'MWh Impact Summary'!L$14</f>
        <v>0</v>
      </c>
      <c r="U45" s="304">
        <f>$M45*'MWh Impact Summary'!M$14</f>
        <v>0</v>
      </c>
      <c r="V45" s="302">
        <f>$L45*'MWh Impact Summary'!O$14</f>
        <v>0</v>
      </c>
      <c r="W45" s="302">
        <f>$L45*'MWh Impact Summary'!P$14</f>
        <v>113051.45518383075</v>
      </c>
      <c r="X45" s="302">
        <f>$L45*'MWh Impact Summary'!Q$14</f>
        <v>0</v>
      </c>
      <c r="Y45" s="85">
        <f t="shared" si="2"/>
        <v>130167.7466166798</v>
      </c>
      <c r="Z45" s="81">
        <f t="shared" si="3"/>
        <v>263580.85666765401</v>
      </c>
      <c r="AA45" s="81"/>
      <c r="AB45" s="81">
        <f>+'MWh by mo-WgtbyActulCDH&amp;Days'!AB45</f>
        <v>4514164</v>
      </c>
      <c r="AC45" s="308">
        <f t="shared" si="13"/>
        <v>58.389738757310106</v>
      </c>
      <c r="AD45" s="309">
        <f t="shared" si="4"/>
        <v>29.554333881306523</v>
      </c>
      <c r="AE45" s="107">
        <f t="shared" si="5"/>
        <v>2.8057911912632775E-3</v>
      </c>
      <c r="AF45" s="309">
        <f t="shared" si="14"/>
        <v>28.835404876003576</v>
      </c>
      <c r="AG45" s="107">
        <f t="shared" si="6"/>
        <v>2.7375384375952763E-3</v>
      </c>
      <c r="AH45" s="119">
        <f t="shared" si="15"/>
        <v>5.5433296288585534E-3</v>
      </c>
      <c r="AI45" s="122">
        <f t="shared" si="7"/>
        <v>5.5433296288585543E-3</v>
      </c>
      <c r="AJ45" s="87" t="b">
        <f t="shared" si="16"/>
        <v>1</v>
      </c>
      <c r="AK45" s="88">
        <f t="shared" si="22"/>
        <v>3.2251199676509201E-3</v>
      </c>
      <c r="AM45" s="89">
        <f t="shared" si="9"/>
        <v>113051.45518383075</v>
      </c>
      <c r="AN45" s="93"/>
      <c r="AO45" s="96">
        <f t="shared" si="28"/>
        <v>25.043719099224298</v>
      </c>
      <c r="AP45" s="92">
        <f t="shared" si="27"/>
        <v>2.3775682689136991E-3</v>
      </c>
      <c r="AQ45" s="98"/>
      <c r="AR45" s="94">
        <f t="shared" si="10"/>
        <v>5.5433296288585543E-3</v>
      </c>
      <c r="AS45" s="95">
        <v>267616.95239971823</v>
      </c>
      <c r="AU45" s="141">
        <v>58.389738757310106</v>
      </c>
    </row>
    <row r="46" spans="1:47">
      <c r="A46" s="78">
        <v>2008</v>
      </c>
      <c r="B46" s="78">
        <v>6</v>
      </c>
      <c r="C46" s="317">
        <f t="shared" si="19"/>
        <v>271.66325293295364</v>
      </c>
      <c r="D46" s="318">
        <f t="shared" si="25"/>
        <v>0.13816630657965029</v>
      </c>
      <c r="E46" s="104">
        <f>$D46*'MWh Impact Summary'!B$14</f>
        <v>79716.516101379384</v>
      </c>
      <c r="F46" s="320">
        <f>$D46*'MWh Impact Summary'!N$14</f>
        <v>0</v>
      </c>
      <c r="G46" s="320">
        <f>$D46*'MWh Impact Summary'!C$14</f>
        <v>63818.50316269054</v>
      </c>
      <c r="H46" s="320">
        <f>$D46*'MWh Impact Summary'!D$14</f>
        <v>0</v>
      </c>
      <c r="I46" s="320">
        <f>$D46*'MWh Impact Summary'!E$14</f>
        <v>30312.137798526612</v>
      </c>
      <c r="J46" s="104">
        <f t="shared" si="11"/>
        <v>173847.15706259653</v>
      </c>
      <c r="K46" s="298">
        <f t="shared" si="20"/>
        <v>10.199999999999999</v>
      </c>
      <c r="L46" s="299">
        <f t="shared" si="26"/>
        <v>7.1805702217529022E-2</v>
      </c>
      <c r="M46" s="297">
        <f t="shared" si="12"/>
        <v>8.3333333333333329E-2</v>
      </c>
      <c r="N46" s="302">
        <f>$L46*'MWh Impact Summary'!F$14</f>
        <v>16243.50277343631</v>
      </c>
      <c r="O46" s="302">
        <f>$L46*'MWh Impact Summary'!G$14</f>
        <v>0</v>
      </c>
      <c r="P46" s="304">
        <f>$M46*'MWh Impact Summary'!H$14</f>
        <v>0</v>
      </c>
      <c r="Q46" s="304">
        <f>$M46*'MWh Impact Summary'!I$14</f>
        <v>341.95523544422588</v>
      </c>
      <c r="R46" s="304">
        <f>$M46*'MWh Impact Summary'!J$14</f>
        <v>0</v>
      </c>
      <c r="S46" s="304">
        <f>$M46*'MWh Impact Summary'!K$14</f>
        <v>0</v>
      </c>
      <c r="T46" s="304">
        <f>$M46*'MWh Impact Summary'!L$14</f>
        <v>0</v>
      </c>
      <c r="U46" s="304">
        <f>$M46*'MWh Impact Summary'!M$14</f>
        <v>0</v>
      </c>
      <c r="V46" s="302">
        <f>$L46*'MWh Impact Summary'!O$14</f>
        <v>0</v>
      </c>
      <c r="W46" s="302">
        <f>$L46*'MWh Impact Summary'!P$14</f>
        <v>109473.87748813987</v>
      </c>
      <c r="X46" s="302">
        <f>$L46*'MWh Impact Summary'!Q$14</f>
        <v>0</v>
      </c>
      <c r="Y46" s="85">
        <f t="shared" si="2"/>
        <v>126059.33549702041</v>
      </c>
      <c r="Z46" s="81">
        <f t="shared" si="3"/>
        <v>299906.49255961692</v>
      </c>
      <c r="AA46" s="81"/>
      <c r="AB46" s="81">
        <f>+'MWh by mo-WgtbyActulCDH&amp;Days'!AB46</f>
        <v>4514262</v>
      </c>
      <c r="AC46" s="308">
        <f t="shared" si="13"/>
        <v>66.435331524757956</v>
      </c>
      <c r="AD46" s="309">
        <f t="shared" si="4"/>
        <v>38.510648487526097</v>
      </c>
      <c r="AE46" s="107">
        <f t="shared" si="5"/>
        <v>3.7755537732868725E-3</v>
      </c>
      <c r="AF46" s="309">
        <f t="shared" si="14"/>
        <v>27.924683037231869</v>
      </c>
      <c r="AG46" s="107">
        <f t="shared" si="6"/>
        <v>2.7377140232580266E-3</v>
      </c>
      <c r="AH46" s="119">
        <f t="shared" si="15"/>
        <v>6.5132677965448992E-3</v>
      </c>
      <c r="AI46" s="122">
        <f t="shared" si="7"/>
        <v>6.5132677965448983E-3</v>
      </c>
      <c r="AJ46" s="87" t="b">
        <f t="shared" si="16"/>
        <v>1</v>
      </c>
      <c r="AK46" s="88">
        <f t="shared" si="22"/>
        <v>3.4697074054163548E-3</v>
      </c>
      <c r="AM46" s="89">
        <f t="shared" si="9"/>
        <v>109473.87748813987</v>
      </c>
      <c r="AN46" s="93"/>
      <c r="AO46" s="96">
        <f t="shared" si="28"/>
        <v>24.250669874309438</v>
      </c>
      <c r="AP46" s="92">
        <f t="shared" si="27"/>
        <v>2.3775166543440625E-3</v>
      </c>
      <c r="AQ46" s="98"/>
      <c r="AR46" s="94">
        <f t="shared" si="10"/>
        <v>6.5132677965448983E-3</v>
      </c>
      <c r="AS46" s="95">
        <v>327794.14361333713</v>
      </c>
      <c r="AU46" s="141">
        <v>66.435331524757956</v>
      </c>
    </row>
    <row r="47" spans="1:47">
      <c r="A47" s="78">
        <v>2008</v>
      </c>
      <c r="B47" s="78">
        <v>7</v>
      </c>
      <c r="C47" s="317">
        <f t="shared" si="19"/>
        <v>322.31916585708109</v>
      </c>
      <c r="D47" s="318">
        <f t="shared" si="25"/>
        <v>0.16392960109808263</v>
      </c>
      <c r="E47" s="104">
        <f>$D47*'MWh Impact Summary'!B$14</f>
        <v>94580.922143233271</v>
      </c>
      <c r="F47" s="320">
        <f>$D47*'MWh Impact Summary'!N$14</f>
        <v>0</v>
      </c>
      <c r="G47" s="320">
        <f>$D47*'MWh Impact Summary'!C$14</f>
        <v>75718.473085951584</v>
      </c>
      <c r="H47" s="320">
        <f>$D47*'MWh Impact Summary'!D$14</f>
        <v>0</v>
      </c>
      <c r="I47" s="320">
        <f>$D47*'MWh Impact Summary'!E$14</f>
        <v>35964.31561900377</v>
      </c>
      <c r="J47" s="104">
        <f t="shared" si="11"/>
        <v>206263.71084818861</v>
      </c>
      <c r="K47" s="298">
        <f t="shared" si="20"/>
        <v>10.366666666666667</v>
      </c>
      <c r="L47" s="299">
        <f t="shared" si="26"/>
        <v>7.2978998005397158E-2</v>
      </c>
      <c r="M47" s="297">
        <f t="shared" si="12"/>
        <v>8.3333333333333329E-2</v>
      </c>
      <c r="N47" s="302">
        <f>$L47*'MWh Impact Summary'!F$14</f>
        <v>16508.919485420567</v>
      </c>
      <c r="O47" s="302">
        <f>$L47*'MWh Impact Summary'!G$14</f>
        <v>0</v>
      </c>
      <c r="P47" s="304">
        <f>$M47*'MWh Impact Summary'!H$14</f>
        <v>0</v>
      </c>
      <c r="Q47" s="304">
        <f>$M47*'MWh Impact Summary'!I$14</f>
        <v>341.95523544422588</v>
      </c>
      <c r="R47" s="304">
        <f>$M47*'MWh Impact Summary'!J$14</f>
        <v>0</v>
      </c>
      <c r="S47" s="304">
        <f>$M47*'MWh Impact Summary'!K$14</f>
        <v>0</v>
      </c>
      <c r="T47" s="304">
        <f>$M47*'MWh Impact Summary'!L$14</f>
        <v>0</v>
      </c>
      <c r="U47" s="304">
        <f>$M47*'MWh Impact Summary'!M$14</f>
        <v>0</v>
      </c>
      <c r="V47" s="302">
        <f>$L47*'MWh Impact Summary'!O$14</f>
        <v>0</v>
      </c>
      <c r="W47" s="302">
        <f>$L47*'MWh Impact Summary'!P$14</f>
        <v>111262.66633598533</v>
      </c>
      <c r="X47" s="302">
        <f>$L47*'MWh Impact Summary'!Q$14</f>
        <v>0</v>
      </c>
      <c r="Y47" s="85">
        <f t="shared" si="2"/>
        <v>128113.54105685012</v>
      </c>
      <c r="Z47" s="81">
        <f t="shared" si="3"/>
        <v>334377.25190503872</v>
      </c>
      <c r="AA47" s="81"/>
      <c r="AB47" s="81">
        <f>+'MWh by mo-WgtbyActulCDH&amp;Days'!AB47</f>
        <v>4509574</v>
      </c>
      <c r="AC47" s="308">
        <f t="shared" si="13"/>
        <v>74.148301348428632</v>
      </c>
      <c r="AD47" s="309">
        <f t="shared" si="4"/>
        <v>45.739067780723545</v>
      </c>
      <c r="AE47" s="107">
        <f t="shared" si="5"/>
        <v>4.4121287248286368E-3</v>
      </c>
      <c r="AF47" s="309">
        <f t="shared" si="14"/>
        <v>28.40923356770509</v>
      </c>
      <c r="AG47" s="107">
        <f t="shared" si="6"/>
        <v>2.7404405370776612E-3</v>
      </c>
      <c r="AH47" s="119">
        <f t="shared" si="15"/>
        <v>7.152569261906298E-3</v>
      </c>
      <c r="AI47" s="122">
        <f t="shared" si="7"/>
        <v>7.152569261906298E-3</v>
      </c>
      <c r="AJ47" s="87" t="b">
        <f t="shared" si="16"/>
        <v>1</v>
      </c>
      <c r="AK47" s="88">
        <f t="shared" si="22"/>
        <v>3.6395561813676071E-3</v>
      </c>
      <c r="AM47" s="89">
        <f t="shared" si="9"/>
        <v>111262.66633598533</v>
      </c>
      <c r="AN47" s="93"/>
      <c r="AO47" s="96">
        <f t="shared" si="28"/>
        <v>24.672544753891462</v>
      </c>
      <c r="AP47" s="92">
        <f t="shared" si="27"/>
        <v>2.3799882399252216E-3</v>
      </c>
      <c r="AQ47" s="98"/>
      <c r="AR47" s="94">
        <f t="shared" si="10"/>
        <v>7.152569261906298E-3</v>
      </c>
      <c r="AS47" s="95">
        <v>345307.86638142471</v>
      </c>
      <c r="AU47" s="141">
        <v>74.148301348428632</v>
      </c>
    </row>
    <row r="48" spans="1:47">
      <c r="A48" s="78">
        <v>2008</v>
      </c>
      <c r="B48" s="78">
        <v>8</v>
      </c>
      <c r="C48" s="317">
        <f t="shared" si="19"/>
        <v>326.45437890907908</v>
      </c>
      <c r="D48" s="318">
        <f t="shared" si="25"/>
        <v>0.16603274573816959</v>
      </c>
      <c r="E48" s="104">
        <f>$D48*'MWh Impact Summary'!B$14</f>
        <v>95794.353751238028</v>
      </c>
      <c r="F48" s="320">
        <f>$D48*'MWh Impact Summary'!N$14</f>
        <v>0</v>
      </c>
      <c r="G48" s="320">
        <f>$D48*'MWh Impact Summary'!C$14</f>
        <v>76689.907773522165</v>
      </c>
      <c r="H48" s="320">
        <f>$D48*'MWh Impact Summary'!D$14</f>
        <v>0</v>
      </c>
      <c r="I48" s="320">
        <f>$D48*'MWh Impact Summary'!E$14</f>
        <v>36425.721961249721</v>
      </c>
      <c r="J48" s="104">
        <f t="shared" si="11"/>
        <v>208909.98348600991</v>
      </c>
      <c r="K48" s="298">
        <f t="shared" si="20"/>
        <v>10.933333333333334</v>
      </c>
      <c r="L48" s="299">
        <f t="shared" si="26"/>
        <v>7.6968203684148764E-2</v>
      </c>
      <c r="M48" s="297">
        <f t="shared" si="12"/>
        <v>8.3333333333333329E-2</v>
      </c>
      <c r="N48" s="302">
        <f>$L48*'MWh Impact Summary'!F$14</f>
        <v>17411.336306167028</v>
      </c>
      <c r="O48" s="302">
        <f>$L48*'MWh Impact Summary'!G$14</f>
        <v>0</v>
      </c>
      <c r="P48" s="304">
        <f>$M48*'MWh Impact Summary'!H$14</f>
        <v>0</v>
      </c>
      <c r="Q48" s="304">
        <f>$M48*'MWh Impact Summary'!I$14</f>
        <v>341.95523544422588</v>
      </c>
      <c r="R48" s="304">
        <f>$M48*'MWh Impact Summary'!J$14</f>
        <v>0</v>
      </c>
      <c r="S48" s="304">
        <f>$M48*'MWh Impact Summary'!K$14</f>
        <v>0</v>
      </c>
      <c r="T48" s="304">
        <f>$M48*'MWh Impact Summary'!L$14</f>
        <v>0</v>
      </c>
      <c r="U48" s="304">
        <f>$M48*'MWh Impact Summary'!M$14</f>
        <v>0</v>
      </c>
      <c r="V48" s="302">
        <f>$L48*'MWh Impact Summary'!O$14</f>
        <v>0</v>
      </c>
      <c r="W48" s="302">
        <f>$L48*'MWh Impact Summary'!P$14</f>
        <v>117344.54841865975</v>
      </c>
      <c r="X48" s="302">
        <f>$L48*'MWh Impact Summary'!Q$14</f>
        <v>0</v>
      </c>
      <c r="Y48" s="85">
        <f t="shared" si="2"/>
        <v>135097.839960271</v>
      </c>
      <c r="Z48" s="81">
        <f t="shared" si="3"/>
        <v>344007.82344628091</v>
      </c>
      <c r="AA48" s="81"/>
      <c r="AB48" s="81">
        <f>+'MWh by mo-WgtbyActulCDH&amp;Days'!AB48</f>
        <v>4507318</v>
      </c>
      <c r="AC48" s="308">
        <f t="shared" si="13"/>
        <v>76.322066347721844</v>
      </c>
      <c r="AD48" s="309">
        <f t="shared" si="4"/>
        <v>46.349066892109654</v>
      </c>
      <c r="AE48" s="107">
        <f t="shared" si="5"/>
        <v>4.2392439230588101E-3</v>
      </c>
      <c r="AF48" s="309">
        <f t="shared" si="14"/>
        <v>29.972999455612186</v>
      </c>
      <c r="AG48" s="107">
        <f t="shared" si="6"/>
        <v>2.7414328770377001E-3</v>
      </c>
      <c r="AH48" s="119">
        <f t="shared" si="15"/>
        <v>6.9806768000965098E-3</v>
      </c>
      <c r="AI48" s="122">
        <f t="shared" si="7"/>
        <v>6.9806768000965098E-3</v>
      </c>
      <c r="AJ48" s="87" t="b">
        <f t="shared" si="16"/>
        <v>1</v>
      </c>
      <c r="AK48" s="88">
        <f t="shared" si="22"/>
        <v>3.6029087542071001E-3</v>
      </c>
      <c r="AM48" s="89">
        <f t="shared" si="9"/>
        <v>117344.54841865975</v>
      </c>
      <c r="AN48" s="93"/>
      <c r="AO48" s="96">
        <f t="shared" si="28"/>
        <v>26.03422887372485</v>
      </c>
      <c r="AP48" s="92">
        <f t="shared" si="27"/>
        <v>2.3811794701577606E-3</v>
      </c>
      <c r="AQ48" s="98"/>
      <c r="AR48" s="94">
        <f t="shared" si="10"/>
        <v>6.9806768000965098E-3</v>
      </c>
      <c r="AS48" s="95">
        <v>359036.26475295093</v>
      </c>
      <c r="AU48" s="141">
        <v>76.322066347721844</v>
      </c>
    </row>
    <row r="49" spans="1:47">
      <c r="A49" s="78">
        <v>2008</v>
      </c>
      <c r="B49" s="78">
        <v>9</v>
      </c>
      <c r="C49" s="317">
        <f t="shared" si="19"/>
        <v>277.87653293728147</v>
      </c>
      <c r="D49" s="318">
        <f t="shared" si="25"/>
        <v>0.14132634365008559</v>
      </c>
      <c r="E49" s="104">
        <f>$D49*'MWh Impact Summary'!B$14</f>
        <v>81539.733007456933</v>
      </c>
      <c r="F49" s="320">
        <f>$D49*'MWh Impact Summary'!N$14</f>
        <v>0</v>
      </c>
      <c r="G49" s="320">
        <f>$D49*'MWh Impact Summary'!C$14</f>
        <v>65278.112533210522</v>
      </c>
      <c r="H49" s="320">
        <f>$D49*'MWh Impact Summary'!D$14</f>
        <v>0</v>
      </c>
      <c r="I49" s="320">
        <f>$D49*'MWh Impact Summary'!E$14</f>
        <v>31005.414484418681</v>
      </c>
      <c r="J49" s="104">
        <f t="shared" si="11"/>
        <v>177823.26002508611</v>
      </c>
      <c r="K49" s="298">
        <f t="shared" si="20"/>
        <v>11.683333333333334</v>
      </c>
      <c r="L49" s="299">
        <f t="shared" si="26"/>
        <v>8.2248034729555317E-2</v>
      </c>
      <c r="M49" s="297">
        <f t="shared" si="12"/>
        <v>8.3333333333333329E-2</v>
      </c>
      <c r="N49" s="302">
        <f>$L49*'MWh Impact Summary'!F$14</f>
        <v>18605.711510096171</v>
      </c>
      <c r="O49" s="302">
        <f>$L49*'MWh Impact Summary'!G$14</f>
        <v>0</v>
      </c>
      <c r="P49" s="304">
        <f>$M49*'MWh Impact Summary'!H$14</f>
        <v>0</v>
      </c>
      <c r="Q49" s="304">
        <f>$M49*'MWh Impact Summary'!I$14</f>
        <v>341.95523544422588</v>
      </c>
      <c r="R49" s="304">
        <f>$M49*'MWh Impact Summary'!J$14</f>
        <v>0</v>
      </c>
      <c r="S49" s="304">
        <f>$M49*'MWh Impact Summary'!K$14</f>
        <v>0</v>
      </c>
      <c r="T49" s="304">
        <f>$M49*'MWh Impact Summary'!L$14</f>
        <v>0</v>
      </c>
      <c r="U49" s="304">
        <f>$M49*'MWh Impact Summary'!M$14</f>
        <v>0</v>
      </c>
      <c r="V49" s="302">
        <f>$L49*'MWh Impact Summary'!O$14</f>
        <v>0</v>
      </c>
      <c r="W49" s="302">
        <f>$L49*'MWh Impact Summary'!P$14</f>
        <v>125394.09823396416</v>
      </c>
      <c r="X49" s="302">
        <f>$L49*'MWh Impact Summary'!Q$14</f>
        <v>0</v>
      </c>
      <c r="Y49" s="85">
        <f t="shared" si="2"/>
        <v>144341.76497950457</v>
      </c>
      <c r="Z49" s="81">
        <f t="shared" si="3"/>
        <v>322165.02500459069</v>
      </c>
      <c r="AA49" s="81"/>
      <c r="AB49" s="81">
        <f>+'MWh by mo-WgtbyActulCDH&amp;Days'!AB49</f>
        <v>4503137</v>
      </c>
      <c r="AC49" s="308">
        <f t="shared" si="13"/>
        <v>71.542354808345976</v>
      </c>
      <c r="AD49" s="309">
        <f t="shared" si="4"/>
        <v>39.48875195782098</v>
      </c>
      <c r="AE49" s="107">
        <f t="shared" si="5"/>
        <v>3.3799217082300412E-3</v>
      </c>
      <c r="AF49" s="309">
        <f t="shared" si="14"/>
        <v>32.053602850524996</v>
      </c>
      <c r="AG49" s="107">
        <f t="shared" si="6"/>
        <v>2.7435323409864478E-3</v>
      </c>
      <c r="AH49" s="119">
        <f t="shared" si="15"/>
        <v>6.1234540492164889E-3</v>
      </c>
      <c r="AI49" s="122">
        <f t="shared" si="7"/>
        <v>6.1234540492164881E-3</v>
      </c>
      <c r="AJ49" s="87" t="b">
        <f t="shared" si="16"/>
        <v>1</v>
      </c>
      <c r="AK49" s="88">
        <f t="shared" si="22"/>
        <v>3.3895527013994889E-3</v>
      </c>
      <c r="AM49" s="89">
        <f t="shared" si="9"/>
        <v>125394.09823396416</v>
      </c>
      <c r="AN49" s="93"/>
      <c r="AO49" s="96">
        <f t="shared" si="28"/>
        <v>27.845943446527201</v>
      </c>
      <c r="AP49" s="92">
        <f t="shared" si="27"/>
        <v>2.3833903092605308E-3</v>
      </c>
      <c r="AR49" s="94">
        <f t="shared" si="10"/>
        <v>6.1234540492164881E-3</v>
      </c>
      <c r="AS49" s="95">
        <v>338792.96476964944</v>
      </c>
      <c r="AU49" s="141">
        <v>71.542354808345976</v>
      </c>
    </row>
    <row r="50" spans="1:47">
      <c r="A50" s="78">
        <v>2008</v>
      </c>
      <c r="B50" s="78">
        <v>10</v>
      </c>
      <c r="C50" s="317">
        <f t="shared" si="19"/>
        <v>198.89039579254836</v>
      </c>
      <c r="D50" s="318">
        <f t="shared" si="25"/>
        <v>0.10115446643644242</v>
      </c>
      <c r="E50" s="104">
        <f>$D50*'MWh Impact Summary'!B$14</f>
        <v>58362.142348782705</v>
      </c>
      <c r="F50" s="320">
        <f>$D50*'MWh Impact Summary'!N$14</f>
        <v>0</v>
      </c>
      <c r="G50" s="320">
        <f>$D50*'MWh Impact Summary'!C$14</f>
        <v>46722.871849171745</v>
      </c>
      <c r="H50" s="320">
        <f>$D50*'MWh Impact Summary'!D$14</f>
        <v>0</v>
      </c>
      <c r="I50" s="320">
        <f>$D50*'MWh Impact Summary'!E$14</f>
        <v>22192.155247272723</v>
      </c>
      <c r="J50" s="104">
        <f t="shared" si="11"/>
        <v>127277.16944522716</v>
      </c>
      <c r="K50" s="298">
        <f t="shared" si="20"/>
        <v>12.466666666666667</v>
      </c>
      <c r="L50" s="299">
        <f t="shared" si="26"/>
        <v>8.7762524932535488E-2</v>
      </c>
      <c r="M50" s="297">
        <f t="shared" si="12"/>
        <v>8.3333333333333329E-2</v>
      </c>
      <c r="N50" s="302">
        <f>$L50*'MWh Impact Summary'!F$14</f>
        <v>19853.170056422161</v>
      </c>
      <c r="O50" s="302">
        <f>$L50*'MWh Impact Summary'!G$14</f>
        <v>0</v>
      </c>
      <c r="P50" s="304">
        <f>$M50*'MWh Impact Summary'!H$14</f>
        <v>0</v>
      </c>
      <c r="Q50" s="304">
        <f>$M50*'MWh Impact Summary'!I$14</f>
        <v>341.95523544422588</v>
      </c>
      <c r="R50" s="304">
        <f>$M50*'MWh Impact Summary'!J$14</f>
        <v>0</v>
      </c>
      <c r="S50" s="304">
        <f>$M50*'MWh Impact Summary'!K$14</f>
        <v>0</v>
      </c>
      <c r="T50" s="304">
        <f>$M50*'MWh Impact Summary'!L$14</f>
        <v>0</v>
      </c>
      <c r="U50" s="304">
        <f>$M50*'MWh Impact Summary'!M$14</f>
        <v>0</v>
      </c>
      <c r="V50" s="302">
        <f>$L50*'MWh Impact Summary'!O$14</f>
        <v>0</v>
      </c>
      <c r="W50" s="302">
        <f>$L50*'MWh Impact Summary'!P$14</f>
        <v>133801.40581883767</v>
      </c>
      <c r="X50" s="302">
        <f>$L50*'MWh Impact Summary'!Q$14</f>
        <v>0</v>
      </c>
      <c r="Y50" s="85">
        <f t="shared" si="2"/>
        <v>153996.53111070406</v>
      </c>
      <c r="Z50" s="81">
        <f t="shared" si="3"/>
        <v>281273.70055593119</v>
      </c>
      <c r="AA50" s="81"/>
      <c r="AB50" s="81">
        <f>+'MWh by mo-WgtbyActulCDH&amp;Days'!AB50</f>
        <v>4501918</v>
      </c>
      <c r="AC50" s="308">
        <f t="shared" si="13"/>
        <v>62.478637006700524</v>
      </c>
      <c r="AD50" s="309">
        <f t="shared" si="4"/>
        <v>28.271765377607313</v>
      </c>
      <c r="AE50" s="107">
        <f t="shared" si="5"/>
        <v>2.267788666652993E-3</v>
      </c>
      <c r="AF50" s="309">
        <f t="shared" si="14"/>
        <v>34.206871629093214</v>
      </c>
      <c r="AG50" s="107">
        <f t="shared" si="6"/>
        <v>2.7438667082160329E-3</v>
      </c>
      <c r="AH50" s="119">
        <f t="shared" si="15"/>
        <v>5.0116553748690259E-3</v>
      </c>
      <c r="AI50" s="122">
        <f t="shared" si="7"/>
        <v>5.0116553748690259E-3</v>
      </c>
      <c r="AJ50" s="87" t="b">
        <f t="shared" si="16"/>
        <v>1</v>
      </c>
      <c r="AK50" s="88">
        <f t="shared" si="22"/>
        <v>3.1081418972429453E-3</v>
      </c>
      <c r="AM50" s="89">
        <f t="shared" si="9"/>
        <v>133801.40581883767</v>
      </c>
      <c r="AN50" s="93"/>
      <c r="AO50" s="96">
        <f t="shared" si="28"/>
        <v>29.720977996231312</v>
      </c>
      <c r="AP50" s="92">
        <f t="shared" si="27"/>
        <v>2.3840356681468968E-3</v>
      </c>
      <c r="AR50" s="94">
        <f t="shared" si="10"/>
        <v>5.0116553748690259E-3</v>
      </c>
      <c r="AS50" s="95">
        <v>271848.13393304445</v>
      </c>
      <c r="AU50" s="141">
        <v>62.478637006700524</v>
      </c>
    </row>
    <row r="51" spans="1:47">
      <c r="A51" s="78">
        <v>2008</v>
      </c>
      <c r="B51" s="78">
        <v>11</v>
      </c>
      <c r="C51" s="317">
        <f t="shared" si="19"/>
        <v>78.117279066674627</v>
      </c>
      <c r="D51" s="318">
        <f t="shared" si="25"/>
        <v>3.9729981188725644E-2</v>
      </c>
      <c r="E51" s="104">
        <f>$D51*'MWh Impact Summary'!B$14</f>
        <v>22922.634059938147</v>
      </c>
      <c r="F51" s="320">
        <f>$D51*'MWh Impact Summary'!N$14</f>
        <v>0</v>
      </c>
      <c r="G51" s="320">
        <f>$D51*'MWh Impact Summary'!C$14</f>
        <v>18351.130553559746</v>
      </c>
      <c r="H51" s="320">
        <f>$D51*'MWh Impact Summary'!D$14</f>
        <v>0</v>
      </c>
      <c r="I51" s="320">
        <f>$D51*'MWh Impact Summary'!E$14</f>
        <v>8716.3122061981521</v>
      </c>
      <c r="J51" s="104">
        <f t="shared" si="11"/>
        <v>49990.076819696042</v>
      </c>
      <c r="K51" s="298">
        <f t="shared" si="20"/>
        <v>13.15</v>
      </c>
      <c r="L51" s="299">
        <f t="shared" si="26"/>
        <v>9.2573037662794788E-2</v>
      </c>
      <c r="M51" s="297">
        <f t="shared" si="12"/>
        <v>8.3333333333333329E-2</v>
      </c>
      <c r="N51" s="302">
        <f>$L51*'MWh Impact Summary'!F$14</f>
        <v>20941.378575557599</v>
      </c>
      <c r="O51" s="302">
        <f>$L51*'MWh Impact Summary'!G$14</f>
        <v>0</v>
      </c>
      <c r="P51" s="304">
        <f>$M51*'MWh Impact Summary'!H$14</f>
        <v>0</v>
      </c>
      <c r="Q51" s="304">
        <f>$M51*'MWh Impact Summary'!I$14</f>
        <v>341.95523544422588</v>
      </c>
      <c r="R51" s="304">
        <f>$M51*'MWh Impact Summary'!J$14</f>
        <v>0</v>
      </c>
      <c r="S51" s="304">
        <f>$M51*'MWh Impact Summary'!K$14</f>
        <v>0</v>
      </c>
      <c r="T51" s="304">
        <f>$M51*'MWh Impact Summary'!L$14</f>
        <v>0</v>
      </c>
      <c r="U51" s="304">
        <f>$M51*'MWh Impact Summary'!M$14</f>
        <v>0</v>
      </c>
      <c r="V51" s="302">
        <f>$L51*'MWh Impact Summary'!O$14</f>
        <v>0</v>
      </c>
      <c r="W51" s="302">
        <f>$L51*'MWh Impact Summary'!P$14</f>
        <v>141135.4400950039</v>
      </c>
      <c r="X51" s="302">
        <f>$L51*'MWh Impact Summary'!Q$14</f>
        <v>0</v>
      </c>
      <c r="Y51" s="85">
        <f t="shared" si="2"/>
        <v>162418.77390600572</v>
      </c>
      <c r="Z51" s="81">
        <f t="shared" si="3"/>
        <v>212408.85072570178</v>
      </c>
      <c r="AA51" s="81"/>
      <c r="AB51" s="81">
        <f>+'MWh by mo-WgtbyActulCDH&amp;Days'!AB51</f>
        <v>4498960</v>
      </c>
      <c r="AC51" s="308">
        <f t="shared" si="13"/>
        <v>47.212878248684532</v>
      </c>
      <c r="AD51" s="309">
        <f t="shared" si="4"/>
        <v>11.11147394502197</v>
      </c>
      <c r="AE51" s="107">
        <f t="shared" si="5"/>
        <v>8.4497900722600532E-4</v>
      </c>
      <c r="AF51" s="309">
        <f t="shared" si="14"/>
        <v>36.101404303662562</v>
      </c>
      <c r="AG51" s="107">
        <f t="shared" si="6"/>
        <v>2.7453539394420197E-3</v>
      </c>
      <c r="AH51" s="119">
        <f t="shared" si="15"/>
        <v>3.5903329466680251E-3</v>
      </c>
      <c r="AI51" s="122">
        <f t="shared" si="7"/>
        <v>3.5903329466680256E-3</v>
      </c>
      <c r="AJ51" s="87" t="b">
        <f t="shared" si="16"/>
        <v>1</v>
      </c>
      <c r="AK51" s="88">
        <f t="shared" si="22"/>
        <v>2.7485724607991709E-3</v>
      </c>
      <c r="AM51" s="89">
        <f t="shared" si="9"/>
        <v>141135.4400950039</v>
      </c>
      <c r="AN51" s="93"/>
      <c r="AO51" s="96">
        <f t="shared" si="28"/>
        <v>31.370681245221984</v>
      </c>
      <c r="AP51" s="92">
        <f t="shared" si="27"/>
        <v>2.385603136518782E-3</v>
      </c>
      <c r="AR51" s="94">
        <f t="shared" si="10"/>
        <v>3.5903329466680256E-3</v>
      </c>
      <c r="AS51" s="95">
        <v>208079.20515712729</v>
      </c>
      <c r="AU51" s="141">
        <v>47.212878248684532</v>
      </c>
    </row>
    <row r="52" spans="1:47">
      <c r="A52" s="78">
        <v>2008</v>
      </c>
      <c r="B52" s="78">
        <v>12</v>
      </c>
      <c r="C52" s="317">
        <f t="shared" si="19"/>
        <v>42.633806123140985</v>
      </c>
      <c r="D52" s="318">
        <f t="shared" si="25"/>
        <v>2.1683298951445065E-2</v>
      </c>
      <c r="E52" s="104">
        <f>$D52*'MWh Impact Summary'!B$14</f>
        <v>12510.409323255924</v>
      </c>
      <c r="F52" s="320">
        <f>$D52*'MWh Impact Summary'!N$14</f>
        <v>0</v>
      </c>
      <c r="G52" s="320">
        <f>$D52*'MWh Impact Summary'!C$14</f>
        <v>10015.435144549001</v>
      </c>
      <c r="H52" s="320">
        <f>$D52*'MWh Impact Summary'!D$14</f>
        <v>0</v>
      </c>
      <c r="I52" s="320">
        <f>$D52*'MWh Impact Summary'!E$14</f>
        <v>4757.0725599728485</v>
      </c>
      <c r="J52" s="104">
        <f t="shared" si="11"/>
        <v>27282.917027777774</v>
      </c>
      <c r="K52" s="298">
        <f t="shared" si="20"/>
        <v>13.483333333333333</v>
      </c>
      <c r="L52" s="299">
        <f t="shared" si="26"/>
        <v>9.491962923853102E-2</v>
      </c>
      <c r="M52" s="297">
        <f t="shared" si="12"/>
        <v>8.3333333333333329E-2</v>
      </c>
      <c r="N52" s="302">
        <f>$L52*'MWh Impact Summary'!F$14</f>
        <v>21472.211999526106</v>
      </c>
      <c r="O52" s="302">
        <f>$L52*'MWh Impact Summary'!G$14</f>
        <v>0</v>
      </c>
      <c r="P52" s="304">
        <f>$M52*'MWh Impact Summary'!H$14</f>
        <v>0</v>
      </c>
      <c r="Q52" s="304">
        <f>$M52*'MWh Impact Summary'!I$14</f>
        <v>341.95523544422588</v>
      </c>
      <c r="R52" s="304">
        <f>$M52*'MWh Impact Summary'!J$14</f>
        <v>0</v>
      </c>
      <c r="S52" s="304">
        <f>$M52*'MWh Impact Summary'!K$14</f>
        <v>0</v>
      </c>
      <c r="T52" s="304">
        <f>$M52*'MWh Impact Summary'!L$14</f>
        <v>0</v>
      </c>
      <c r="U52" s="304">
        <f>$M52*'MWh Impact Summary'!M$14</f>
        <v>0</v>
      </c>
      <c r="V52" s="302">
        <f>$L52*'MWh Impact Summary'!O$14</f>
        <v>0</v>
      </c>
      <c r="W52" s="302">
        <f>$L52*'MWh Impact Summary'!P$14</f>
        <v>144713.01779069472</v>
      </c>
      <c r="X52" s="302">
        <f>$L52*'MWh Impact Summary'!Q$14</f>
        <v>0</v>
      </c>
      <c r="Y52" s="85">
        <f t="shared" si="2"/>
        <v>166527.18502566507</v>
      </c>
      <c r="Z52" s="81">
        <f t="shared" si="3"/>
        <v>193810.10205344285</v>
      </c>
      <c r="AA52" s="81">
        <f>SUM(Z41:Z52)</f>
        <v>3013148.5319665428</v>
      </c>
      <c r="AB52" s="81">
        <f>+'MWh by mo-WgtbyActulCDH&amp;Days'!AB52</f>
        <v>4497793</v>
      </c>
      <c r="AC52" s="308">
        <f t="shared" si="13"/>
        <v>43.090044840534652</v>
      </c>
      <c r="AD52" s="309">
        <f t="shared" si="4"/>
        <v>6.0658454107998683</v>
      </c>
      <c r="AE52" s="107">
        <f t="shared" si="5"/>
        <v>4.4987728633868004E-4</v>
      </c>
      <c r="AF52" s="309">
        <f t="shared" si="14"/>
        <v>37.024199429734779</v>
      </c>
      <c r="AG52" s="107">
        <f t="shared" si="6"/>
        <v>2.7459233198814425E-3</v>
      </c>
      <c r="AH52" s="119">
        <f t="shared" si="15"/>
        <v>3.1958006062201227E-3</v>
      </c>
      <c r="AI52" s="122">
        <f t="shared" si="7"/>
        <v>3.1958006062201227E-3</v>
      </c>
      <c r="AJ52" s="87" t="b">
        <f t="shared" si="16"/>
        <v>1</v>
      </c>
      <c r="AK52" s="88">
        <f t="shared" si="22"/>
        <v>2.648800834058032E-3</v>
      </c>
      <c r="AM52" s="89">
        <f t="shared" si="9"/>
        <v>144713.01779069472</v>
      </c>
      <c r="AN52" s="90">
        <f>SUM(AM41:AM52)</f>
        <v>1524584.735018654</v>
      </c>
      <c r="AO52" s="96">
        <f t="shared" si="28"/>
        <v>32.174228069343059</v>
      </c>
      <c r="AP52" s="92">
        <f t="shared" si="27"/>
        <v>2.3862221065025758E-3</v>
      </c>
      <c r="AR52" s="94">
        <f t="shared" si="10"/>
        <v>3.1958006062201227E-3</v>
      </c>
      <c r="AS52" s="95">
        <v>170636.93213893208</v>
      </c>
      <c r="AU52" s="141">
        <v>43.090044840534652</v>
      </c>
    </row>
    <row r="53" spans="1:47">
      <c r="A53" s="78">
        <v>2009</v>
      </c>
      <c r="B53" s="78">
        <v>1</v>
      </c>
      <c r="C53" s="317">
        <f t="shared" si="19"/>
        <v>26.112829868525239</v>
      </c>
      <c r="D53" s="318">
        <f t="shared" ref="D53:D64" si="29">C53/(SUM(C$53:C$64))</f>
        <v>1.3280829182176284E-2</v>
      </c>
      <c r="E53" s="104">
        <f>$D53*'MWh Impact Summary'!B$15</f>
        <v>9421.4074064152974</v>
      </c>
      <c r="F53" s="320">
        <f>$D53*'MWh Impact Summary'!N$15</f>
        <v>226.7047254762337</v>
      </c>
      <c r="G53" s="320">
        <f>$D53*'MWh Impact Summary'!C$15</f>
        <v>7441.8753869140264</v>
      </c>
      <c r="H53" s="320">
        <f>$D53*'MWh Impact Summary'!D$15</f>
        <v>0</v>
      </c>
      <c r="I53" s="320">
        <f>$D53*'MWh Impact Summary'!E$15</f>
        <v>3473.7593674362515</v>
      </c>
      <c r="J53" s="104">
        <f t="shared" si="11"/>
        <v>20563.746886241806</v>
      </c>
      <c r="K53" s="298">
        <f t="shared" si="20"/>
        <v>13.3</v>
      </c>
      <c r="L53" s="299">
        <f t="shared" ref="L53:L64" si="30">K53/(SUM(K$53:K$64))</f>
        <v>9.3629003871876101E-2</v>
      </c>
      <c r="M53" s="297">
        <f t="shared" si="12"/>
        <v>8.3333333333333329E-2</v>
      </c>
      <c r="N53" s="302">
        <f>$L53*'MWh Impact Summary'!F$15</f>
        <v>27790.829840323066</v>
      </c>
      <c r="O53" s="302">
        <f>$L53*'MWh Impact Summary'!G$15</f>
        <v>0</v>
      </c>
      <c r="P53" s="304">
        <f>$M53*'MWh Impact Summary'!H$15</f>
        <v>0</v>
      </c>
      <c r="Q53" s="304">
        <f>$M53*'MWh Impact Summary'!I$15</f>
        <v>455.94031392563448</v>
      </c>
      <c r="R53" s="304">
        <f>$M53*'MWh Impact Summary'!J$15</f>
        <v>2846.9059709715102</v>
      </c>
      <c r="S53" s="304">
        <f>$M53*'MWh Impact Summary'!K$15</f>
        <v>0</v>
      </c>
      <c r="T53" s="304">
        <f>$M53*'MWh Impact Summary'!L$15</f>
        <v>0</v>
      </c>
      <c r="U53" s="304">
        <f>$M53*'MWh Impact Summary'!M$15</f>
        <v>0</v>
      </c>
      <c r="V53" s="302">
        <f>$L53*'MWh Impact Summary'!O$15</f>
        <v>0</v>
      </c>
      <c r="W53" s="302">
        <f>$L53*'MWh Impact Summary'!P$15</f>
        <v>172442.83593587083</v>
      </c>
      <c r="X53" s="302">
        <f>$L53*'MWh Impact Summary'!Q$15</f>
        <v>0</v>
      </c>
      <c r="Y53" s="85">
        <f t="shared" si="2"/>
        <v>203536.51206109102</v>
      </c>
      <c r="Z53" s="81">
        <f t="shared" si="3"/>
        <v>224100.25894733283</v>
      </c>
      <c r="AA53" s="81"/>
      <c r="AB53" s="81">
        <f>+'MWh by mo-WgtbyActulCDH&amp;Days'!AB53</f>
        <v>4497781</v>
      </c>
      <c r="AC53" s="308">
        <f t="shared" si="13"/>
        <v>49.824626620845443</v>
      </c>
      <c r="AD53" s="309">
        <f t="shared" si="4"/>
        <v>4.5719760224523611</v>
      </c>
      <c r="AE53" s="107">
        <f t="shared" si="5"/>
        <v>3.4375759567310983E-4</v>
      </c>
      <c r="AF53" s="309">
        <f t="shared" si="14"/>
        <v>45.252650598393082</v>
      </c>
      <c r="AG53" s="107">
        <f t="shared" si="6"/>
        <v>3.4024549322100063E-3</v>
      </c>
      <c r="AH53" s="119">
        <f t="shared" si="15"/>
        <v>3.7462125278831162E-3</v>
      </c>
      <c r="AI53" s="122">
        <f t="shared" si="7"/>
        <v>3.7462125278831158E-3</v>
      </c>
      <c r="AJ53" s="87" t="b">
        <f t="shared" si="16"/>
        <v>1</v>
      </c>
      <c r="AK53" s="88">
        <f t="shared" si="22"/>
        <v>7.3075220137275299E-4</v>
      </c>
      <c r="AM53" s="89">
        <f t="shared" si="9"/>
        <v>172442.83593587083</v>
      </c>
      <c r="AN53" s="90"/>
      <c r="AO53" s="96">
        <f t="shared" si="28"/>
        <v>38.339535859098262</v>
      </c>
      <c r="AP53" s="92">
        <f t="shared" si="27"/>
        <v>2.8826718691051323E-3</v>
      </c>
      <c r="AR53" s="94">
        <f t="shared" si="10"/>
        <v>3.7462125278831158E-3</v>
      </c>
      <c r="AS53" s="95">
        <v>211653.90202135124</v>
      </c>
      <c r="AU53" s="141">
        <v>49.824626620845443</v>
      </c>
    </row>
    <row r="54" spans="1:47">
      <c r="A54" s="78">
        <v>2009</v>
      </c>
      <c r="B54" s="78">
        <v>2</v>
      </c>
      <c r="C54" s="317">
        <f t="shared" si="19"/>
        <v>35.042184420393127</v>
      </c>
      <c r="D54" s="318">
        <f t="shared" si="29"/>
        <v>1.7822245532205266E-2</v>
      </c>
      <c r="E54" s="104">
        <f>$D54*'MWh Impact Summary'!B$15</f>
        <v>12643.083782857277</v>
      </c>
      <c r="F54" s="320">
        <f>$D54*'MWh Impact Summary'!N$15</f>
        <v>304.22703472243165</v>
      </c>
      <c r="G54" s="320">
        <f>$D54*'MWh Impact Summary'!C$15</f>
        <v>9986.6453025128867</v>
      </c>
      <c r="H54" s="320">
        <f>$D54*'MWh Impact Summary'!D$15</f>
        <v>0</v>
      </c>
      <c r="I54" s="320">
        <f>$D54*'MWh Impact Summary'!E$15</f>
        <v>4661.6210115355098</v>
      </c>
      <c r="J54" s="104">
        <f t="shared" si="11"/>
        <v>27595.577131628106</v>
      </c>
      <c r="K54" s="298">
        <f t="shared" si="20"/>
        <v>12.733333333333333</v>
      </c>
      <c r="L54" s="299">
        <f t="shared" si="30"/>
        <v>8.9639798193124468E-2</v>
      </c>
      <c r="M54" s="297">
        <f t="shared" si="12"/>
        <v>8.3333333333333329E-2</v>
      </c>
      <c r="N54" s="302">
        <f>$L54*'MWh Impact Summary'!F$15</f>
        <v>26606.759395998521</v>
      </c>
      <c r="O54" s="302">
        <f>$L54*'MWh Impact Summary'!G$15</f>
        <v>0</v>
      </c>
      <c r="P54" s="304">
        <f>$M54*'MWh Impact Summary'!H$15</f>
        <v>0</v>
      </c>
      <c r="Q54" s="304">
        <f>$M54*'MWh Impact Summary'!I$15</f>
        <v>455.94031392563448</v>
      </c>
      <c r="R54" s="304">
        <f>$M54*'MWh Impact Summary'!J$15</f>
        <v>2846.9059709715102</v>
      </c>
      <c r="S54" s="304">
        <f>$M54*'MWh Impact Summary'!K$15</f>
        <v>0</v>
      </c>
      <c r="T54" s="304">
        <f>$M54*'MWh Impact Summary'!L$15</f>
        <v>0</v>
      </c>
      <c r="U54" s="304">
        <f>$M54*'MWh Impact Summary'!M$15</f>
        <v>0</v>
      </c>
      <c r="V54" s="302">
        <f>$L54*'MWh Impact Summary'!O$15</f>
        <v>0</v>
      </c>
      <c r="W54" s="302">
        <f>$L54*'MWh Impact Summary'!P$15</f>
        <v>165095.64743734998</v>
      </c>
      <c r="X54" s="302">
        <f>$L54*'MWh Impact Summary'!Q$15</f>
        <v>0</v>
      </c>
      <c r="Y54" s="85">
        <f t="shared" si="2"/>
        <v>195005.25311824566</v>
      </c>
      <c r="Z54" s="81">
        <f t="shared" si="3"/>
        <v>222600.83024987378</v>
      </c>
      <c r="AA54" s="81"/>
      <c r="AB54" s="81">
        <f>+'MWh by mo-WgtbyActulCDH&amp;Days'!AB54</f>
        <v>4502684</v>
      </c>
      <c r="AC54" s="308">
        <f t="shared" si="13"/>
        <v>49.437364525219579</v>
      </c>
      <c r="AD54" s="309">
        <f t="shared" si="4"/>
        <v>6.1286950475823101</v>
      </c>
      <c r="AE54" s="107">
        <f t="shared" si="5"/>
        <v>4.8131112939128095E-4</v>
      </c>
      <c r="AF54" s="309">
        <f t="shared" si="14"/>
        <v>43.30866947763726</v>
      </c>
      <c r="AG54" s="107">
        <f t="shared" si="6"/>
        <v>3.4012044092385282E-3</v>
      </c>
      <c r="AH54" s="119">
        <f t="shared" si="15"/>
        <v>3.8825155386298092E-3</v>
      </c>
      <c r="AI54" s="122">
        <f t="shared" si="7"/>
        <v>3.88251553862981E-3</v>
      </c>
      <c r="AJ54" s="87" t="b">
        <f t="shared" si="16"/>
        <v>1</v>
      </c>
      <c r="AK54" s="88">
        <f t="shared" si="22"/>
        <v>7.5952119968127193E-4</v>
      </c>
      <c r="AM54" s="89">
        <f t="shared" si="9"/>
        <v>165095.64743734998</v>
      </c>
      <c r="AN54" s="99"/>
      <c r="AO54" s="96">
        <f t="shared" si="28"/>
        <v>36.666052389497011</v>
      </c>
      <c r="AP54" s="92">
        <f t="shared" si="27"/>
        <v>2.8795329101699227E-3</v>
      </c>
      <c r="AR54" s="94">
        <f t="shared" si="10"/>
        <v>3.88251553862981E-3</v>
      </c>
      <c r="AS54" s="95">
        <v>196612.42709287113</v>
      </c>
      <c r="AU54" s="141">
        <v>49.437364525219579</v>
      </c>
    </row>
    <row r="55" spans="1:47">
      <c r="A55" s="78">
        <v>2009</v>
      </c>
      <c r="B55" s="78">
        <v>3</v>
      </c>
      <c r="C55" s="317">
        <f t="shared" si="19"/>
        <v>64.582270600115152</v>
      </c>
      <c r="D55" s="318">
        <f t="shared" si="29"/>
        <v>3.2846156787895278E-2</v>
      </c>
      <c r="E55" s="104">
        <f>$D55*'MWh Impact Summary'!B$15</f>
        <v>23301.031930225083</v>
      </c>
      <c r="F55" s="320">
        <f>$D55*'MWh Impact Summary'!N$15</f>
        <v>560.68629867950142</v>
      </c>
      <c r="G55" s="320">
        <f>$D55*'MWh Impact Summary'!C$15</f>
        <v>18405.25184094732</v>
      </c>
      <c r="H55" s="320">
        <f>$D55*'MWh Impact Summary'!D$15</f>
        <v>0</v>
      </c>
      <c r="I55" s="320">
        <f>$D55*'MWh Impact Summary'!E$15</f>
        <v>8591.304297427454</v>
      </c>
      <c r="J55" s="104">
        <f>SUM(E55:I55)</f>
        <v>50858.274367279359</v>
      </c>
      <c r="K55" s="298">
        <f t="shared" si="20"/>
        <v>12</v>
      </c>
      <c r="L55" s="299">
        <f>K55/(SUM(K$53:K$64))</f>
        <v>8.4477296726504739E-2</v>
      </c>
      <c r="M55" s="297">
        <f t="shared" si="12"/>
        <v>8.3333333333333329E-2</v>
      </c>
      <c r="N55" s="302">
        <f>$L55*'MWh Impact Summary'!F$15</f>
        <v>25074.43293863735</v>
      </c>
      <c r="O55" s="302">
        <f>$L55*'MWh Impact Summary'!G$15</f>
        <v>0</v>
      </c>
      <c r="P55" s="304">
        <f>$M55*'MWh Impact Summary'!H$15</f>
        <v>0</v>
      </c>
      <c r="Q55" s="304">
        <f>$M55*'MWh Impact Summary'!I$15</f>
        <v>455.94031392563448</v>
      </c>
      <c r="R55" s="304">
        <f>$M55*'MWh Impact Summary'!J$15</f>
        <v>2846.9059709715102</v>
      </c>
      <c r="S55" s="304">
        <f>$M55*'MWh Impact Summary'!K$15</f>
        <v>0</v>
      </c>
      <c r="T55" s="304">
        <f>$M55*'MWh Impact Summary'!L$15</f>
        <v>0</v>
      </c>
      <c r="U55" s="304">
        <f>$M55*'MWh Impact Summary'!M$15</f>
        <v>0</v>
      </c>
      <c r="V55" s="302">
        <f>$L55*'MWh Impact Summary'!O$15</f>
        <v>0</v>
      </c>
      <c r="W55" s="302">
        <f>$L55*'MWh Impact Summary'!P$15</f>
        <v>155587.52114514657</v>
      </c>
      <c r="X55" s="302">
        <f>$L55*'MWh Impact Summary'!Q$15</f>
        <v>0</v>
      </c>
      <c r="Y55" s="85">
        <f t="shared" si="2"/>
        <v>183964.80036868108</v>
      </c>
      <c r="Z55" s="81">
        <f t="shared" si="3"/>
        <v>234823.07473596046</v>
      </c>
      <c r="AA55" s="81"/>
      <c r="AB55" s="81">
        <f>+'MWh by mo-WgtbyActulCDH&amp;Days'!AB55</f>
        <v>4502987</v>
      </c>
      <c r="AC55" s="308">
        <f t="shared" si="13"/>
        <v>52.148290620417171</v>
      </c>
      <c r="AD55" s="309">
        <f t="shared" si="4"/>
        <v>11.294341815172764</v>
      </c>
      <c r="AE55" s="107">
        <f t="shared" si="5"/>
        <v>9.4119515126439698E-4</v>
      </c>
      <c r="AF55" s="309">
        <f t="shared" si="14"/>
        <v>40.8539488052444</v>
      </c>
      <c r="AG55" s="107">
        <f t="shared" si="6"/>
        <v>3.4044957337703665E-3</v>
      </c>
      <c r="AH55" s="119">
        <f t="shared" si="15"/>
        <v>4.3456908850347635E-3</v>
      </c>
      <c r="AI55" s="122">
        <f t="shared" si="7"/>
        <v>4.3456908850347644E-3</v>
      </c>
      <c r="AJ55" s="87" t="b">
        <f t="shared" si="16"/>
        <v>1</v>
      </c>
      <c r="AK55" s="88">
        <f t="shared" si="22"/>
        <v>8.5033899153239782E-4</v>
      </c>
      <c r="AM55" s="89">
        <f t="shared" si="9"/>
        <v>155587.52114514657</v>
      </c>
      <c r="AN55" s="93"/>
      <c r="AO55" s="96">
        <f t="shared" si="28"/>
        <v>34.552069802810131</v>
      </c>
      <c r="AP55" s="92">
        <f t="shared" si="27"/>
        <v>2.8793391502341774E-3</v>
      </c>
      <c r="AR55" s="94">
        <f t="shared" si="10"/>
        <v>4.3456908850347644E-3</v>
      </c>
      <c r="AS55" s="95">
        <v>238059.33620390375</v>
      </c>
      <c r="AU55" s="141">
        <v>52.148290620417171</v>
      </c>
    </row>
    <row r="56" spans="1:47">
      <c r="A56" s="78">
        <v>2009</v>
      </c>
      <c r="B56" s="78">
        <v>4</v>
      </c>
      <c r="C56" s="317">
        <f t="shared" si="19"/>
        <v>114.03392869270741</v>
      </c>
      <c r="D56" s="318">
        <f t="shared" si="29"/>
        <v>5.7996974497419709E-2</v>
      </c>
      <c r="E56" s="104">
        <f>$D56*'MWh Impact Summary'!B$15</f>
        <v>41142.997743920256</v>
      </c>
      <c r="F56" s="320">
        <f>$D56*'MWh Impact Summary'!N$15</f>
        <v>990.01259646764879</v>
      </c>
      <c r="G56" s="320">
        <f>$D56*'MWh Impact Summary'!C$15</f>
        <v>32498.442010463565</v>
      </c>
      <c r="H56" s="320">
        <f>$D56*'MWh Impact Summary'!D$15</f>
        <v>0</v>
      </c>
      <c r="I56" s="320">
        <f>$D56*'MWh Impact Summary'!E$15</f>
        <v>15169.800821906159</v>
      </c>
      <c r="J56" s="104">
        <f t="shared" si="11"/>
        <v>89801.253172757628</v>
      </c>
      <c r="K56" s="298">
        <f t="shared" si="20"/>
        <v>11.2</v>
      </c>
      <c r="L56" s="299">
        <f>K56/(SUM(K$53:K$64))</f>
        <v>7.8845476944737758E-2</v>
      </c>
      <c r="M56" s="297">
        <f t="shared" si="12"/>
        <v>8.3333333333333329E-2</v>
      </c>
      <c r="N56" s="302">
        <f>$L56*'MWh Impact Summary'!F$15</f>
        <v>23402.804076061526</v>
      </c>
      <c r="O56" s="302">
        <f>$L56*'MWh Impact Summary'!G$15</f>
        <v>0</v>
      </c>
      <c r="P56" s="304">
        <f>$M56*'MWh Impact Summary'!H$15</f>
        <v>0</v>
      </c>
      <c r="Q56" s="304">
        <f>$M56*'MWh Impact Summary'!I$15</f>
        <v>455.94031392563448</v>
      </c>
      <c r="R56" s="304">
        <f>$M56*'MWh Impact Summary'!J$15</f>
        <v>2846.9059709715102</v>
      </c>
      <c r="S56" s="304">
        <f>$M56*'MWh Impact Summary'!K$15</f>
        <v>0</v>
      </c>
      <c r="T56" s="304">
        <f>$M56*'MWh Impact Summary'!L$15</f>
        <v>0</v>
      </c>
      <c r="U56" s="304">
        <f>$M56*'MWh Impact Summary'!M$15</f>
        <v>0</v>
      </c>
      <c r="V56" s="302">
        <f>$L56*'MWh Impact Summary'!O$15</f>
        <v>0</v>
      </c>
      <c r="W56" s="302">
        <f>$L56*'MWh Impact Summary'!P$15</f>
        <v>145215.01973547015</v>
      </c>
      <c r="X56" s="302">
        <f>$L56*'MWh Impact Summary'!Q$15</f>
        <v>0</v>
      </c>
      <c r="Y56" s="85">
        <f t="shared" si="2"/>
        <v>171920.67009642883</v>
      </c>
      <c r="Z56" s="81">
        <f t="shared" si="3"/>
        <v>261721.92326918646</v>
      </c>
      <c r="AA56" s="81"/>
      <c r="AB56" s="81">
        <f>+'MWh by mo-WgtbyActulCDH&amp;Days'!AB56</f>
        <v>4502465</v>
      </c>
      <c r="AC56" s="308">
        <f t="shared" si="13"/>
        <v>58.128585845572694</v>
      </c>
      <c r="AD56" s="309">
        <f t="shared" si="4"/>
        <v>19.944908660646472</v>
      </c>
      <c r="AE56" s="107">
        <f t="shared" si="5"/>
        <v>1.7807954161291495E-3</v>
      </c>
      <c r="AF56" s="309">
        <f t="shared" si="14"/>
        <v>38.183677184926225</v>
      </c>
      <c r="AG56" s="107">
        <f t="shared" si="6"/>
        <v>3.40925689151127E-3</v>
      </c>
      <c r="AH56" s="119">
        <f t="shared" si="15"/>
        <v>5.1900523076404198E-3</v>
      </c>
      <c r="AI56" s="122">
        <f t="shared" si="7"/>
        <v>5.1900523076404198E-3</v>
      </c>
      <c r="AJ56" s="87" t="b">
        <f t="shared" si="16"/>
        <v>1</v>
      </c>
      <c r="AK56" s="88">
        <f t="shared" si="22"/>
        <v>1.0134283513550625E-3</v>
      </c>
      <c r="AM56" s="89">
        <f t="shared" si="9"/>
        <v>145215.01973547015</v>
      </c>
      <c r="AN56" s="93"/>
      <c r="AO56" s="96">
        <f t="shared" si="28"/>
        <v>32.252337272021023</v>
      </c>
      <c r="AP56" s="92">
        <f t="shared" si="27"/>
        <v>2.8796729707161626E-3</v>
      </c>
      <c r="AR56" s="94">
        <f t="shared" si="10"/>
        <v>5.1900523076404198E-3</v>
      </c>
      <c r="AS56" s="95">
        <v>279638.2946346883</v>
      </c>
      <c r="AU56" s="141">
        <v>58.128585845572694</v>
      </c>
    </row>
    <row r="57" spans="1:47">
      <c r="A57" s="78">
        <v>2009</v>
      </c>
      <c r="B57" s="78">
        <v>5</v>
      </c>
      <c r="C57" s="317">
        <f t="shared" si="19"/>
        <v>208.47875842628665</v>
      </c>
      <c r="D57" s="318">
        <f t="shared" si="29"/>
        <v>0.10603105035770212</v>
      </c>
      <c r="E57" s="104">
        <f>$D57*'MWh Impact Summary'!B$15</f>
        <v>75218.324808417703</v>
      </c>
      <c r="F57" s="320">
        <f>$D57*'MWh Impact Summary'!N$15</f>
        <v>1809.957784530483</v>
      </c>
      <c r="G57" s="320">
        <f>$D57*'MWh Impact Summary'!C$15</f>
        <v>59414.201709981106</v>
      </c>
      <c r="H57" s="320">
        <f>$D57*'MWh Impact Summary'!D$15</f>
        <v>0</v>
      </c>
      <c r="I57" s="320">
        <f>$D57*'MWh Impact Summary'!E$15</f>
        <v>27733.686606969542</v>
      </c>
      <c r="J57" s="104">
        <f t="shared" si="11"/>
        <v>164176.17090989885</v>
      </c>
      <c r="K57" s="298">
        <f t="shared" si="20"/>
        <v>10.533333333333333</v>
      </c>
      <c r="L57" s="299">
        <f>K57/(SUM(K$53:K$64))</f>
        <v>7.4152293793265281E-2</v>
      </c>
      <c r="M57" s="297">
        <f t="shared" si="12"/>
        <v>8.3333333333333329E-2</v>
      </c>
      <c r="N57" s="302">
        <f>$L57*'MWh Impact Summary'!F$15</f>
        <v>22009.780023915009</v>
      </c>
      <c r="O57" s="302">
        <f>$L57*'MWh Impact Summary'!G$15</f>
        <v>0</v>
      </c>
      <c r="P57" s="304">
        <f>$M57*'MWh Impact Summary'!H$15</f>
        <v>0</v>
      </c>
      <c r="Q57" s="304">
        <f>$M57*'MWh Impact Summary'!I$15</f>
        <v>455.94031392563448</v>
      </c>
      <c r="R57" s="304">
        <f>$M57*'MWh Impact Summary'!J$15</f>
        <v>2846.9059709715102</v>
      </c>
      <c r="S57" s="304">
        <f>$M57*'MWh Impact Summary'!K$15</f>
        <v>0</v>
      </c>
      <c r="T57" s="304">
        <f>$M57*'MWh Impact Summary'!L$15</f>
        <v>0</v>
      </c>
      <c r="U57" s="304">
        <f>$M57*'MWh Impact Summary'!M$15</f>
        <v>0</v>
      </c>
      <c r="V57" s="302">
        <f>$L57*'MWh Impact Summary'!O$15</f>
        <v>0</v>
      </c>
      <c r="W57" s="302">
        <f>$L57*'MWh Impact Summary'!P$15</f>
        <v>136571.26856073979</v>
      </c>
      <c r="X57" s="302">
        <f>$L57*'MWh Impact Summary'!Q$15</f>
        <v>0</v>
      </c>
      <c r="Y57" s="85">
        <f t="shared" si="2"/>
        <v>161883.89486955194</v>
      </c>
      <c r="Z57" s="81">
        <f t="shared" si="3"/>
        <v>326060.06577945082</v>
      </c>
      <c r="AA57" s="81"/>
      <c r="AB57" s="81">
        <f>+'MWh by mo-WgtbyActulCDH&amp;Days'!AB57</f>
        <v>4499097</v>
      </c>
      <c r="AC57" s="308">
        <f t="shared" si="13"/>
        <v>72.472335177359113</v>
      </c>
      <c r="AD57" s="309">
        <f t="shared" si="4"/>
        <v>36.490916046019642</v>
      </c>
      <c r="AE57" s="107">
        <f t="shared" si="5"/>
        <v>3.464327472723384E-3</v>
      </c>
      <c r="AF57" s="309">
        <f t="shared" si="14"/>
        <v>35.98141913133945</v>
      </c>
      <c r="AG57" s="107">
        <f t="shared" si="6"/>
        <v>3.4159575124689352E-3</v>
      </c>
      <c r="AH57" s="119">
        <f t="shared" si="15"/>
        <v>6.8802849851923188E-3</v>
      </c>
      <c r="AI57" s="122">
        <f t="shared" si="7"/>
        <v>6.8802849851923214E-3</v>
      </c>
      <c r="AJ57" s="87" t="b">
        <f t="shared" si="16"/>
        <v>1</v>
      </c>
      <c r="AK57" s="88">
        <f t="shared" si="22"/>
        <v>1.3369553563337671E-3</v>
      </c>
      <c r="AM57" s="89">
        <f t="shared" si="9"/>
        <v>136571.26856073979</v>
      </c>
      <c r="AN57" s="93"/>
      <c r="AO57" s="96">
        <f t="shared" si="28"/>
        <v>30.355262080533002</v>
      </c>
      <c r="AP57" s="92">
        <f t="shared" si="27"/>
        <v>2.881828678531614E-3</v>
      </c>
      <c r="AR57" s="94">
        <f t="shared" si="10"/>
        <v>6.8802849851923214E-3</v>
      </c>
      <c r="AS57" s="95">
        <v>336203.57287137385</v>
      </c>
      <c r="AU57" s="141">
        <v>72.472335177359113</v>
      </c>
    </row>
    <row r="58" spans="1:47">
      <c r="A58" s="78">
        <v>2009</v>
      </c>
      <c r="B58" s="78">
        <v>6</v>
      </c>
      <c r="C58" s="317">
        <f t="shared" si="19"/>
        <v>271.66325293295364</v>
      </c>
      <c r="D58" s="318">
        <f t="shared" si="29"/>
        <v>0.13816630657965029</v>
      </c>
      <c r="E58" s="104">
        <f>$D58*'MWh Impact Summary'!B$15</f>
        <v>98015.044563147923</v>
      </c>
      <c r="F58" s="320">
        <f>$D58*'MWh Impact Summary'!N$15</f>
        <v>2358.50895855525</v>
      </c>
      <c r="G58" s="320">
        <f>$D58*'MWh Impact Summary'!C$15</f>
        <v>77421.102412479537</v>
      </c>
      <c r="H58" s="320">
        <f>$D58*'MWh Impact Summary'!D$15</f>
        <v>0</v>
      </c>
      <c r="I58" s="320">
        <f>$D58*'MWh Impact Summary'!E$15</f>
        <v>36139.046377410028</v>
      </c>
      <c r="J58" s="104">
        <f t="shared" si="11"/>
        <v>213933.70231159273</v>
      </c>
      <c r="K58" s="298">
        <f t="shared" si="20"/>
        <v>10.199999999999999</v>
      </c>
      <c r="L58" s="299">
        <f t="shared" si="30"/>
        <v>7.1805702217529022E-2</v>
      </c>
      <c r="M58" s="297">
        <f t="shared" si="12"/>
        <v>8.3333333333333329E-2</v>
      </c>
      <c r="N58" s="302">
        <f>$L58*'MWh Impact Summary'!F$15</f>
        <v>21313.267997841744</v>
      </c>
      <c r="O58" s="302">
        <f>$L58*'MWh Impact Summary'!G$15</f>
        <v>0</v>
      </c>
      <c r="P58" s="304">
        <f>$M58*'MWh Impact Summary'!H$15</f>
        <v>0</v>
      </c>
      <c r="Q58" s="304">
        <f>$M58*'MWh Impact Summary'!I$15</f>
        <v>455.94031392563448</v>
      </c>
      <c r="R58" s="304">
        <f>$M58*'MWh Impact Summary'!J$15</f>
        <v>2846.9059709715102</v>
      </c>
      <c r="S58" s="304">
        <f>$M58*'MWh Impact Summary'!K$15</f>
        <v>0</v>
      </c>
      <c r="T58" s="304">
        <f>$M58*'MWh Impact Summary'!L$15</f>
        <v>0</v>
      </c>
      <c r="U58" s="304">
        <f>$M58*'MWh Impact Summary'!M$15</f>
        <v>0</v>
      </c>
      <c r="V58" s="302">
        <f>$L58*'MWh Impact Summary'!O$15</f>
        <v>0</v>
      </c>
      <c r="W58" s="302">
        <f>$L58*'MWh Impact Summary'!P$15</f>
        <v>132249.39297337458</v>
      </c>
      <c r="X58" s="302">
        <f>$L58*'MWh Impact Summary'!Q$15</f>
        <v>0</v>
      </c>
      <c r="Y58" s="85">
        <f t="shared" si="2"/>
        <v>156865.50725611346</v>
      </c>
      <c r="Z58" s="81">
        <f t="shared" si="3"/>
        <v>370799.20956770622</v>
      </c>
      <c r="AA58" s="81"/>
      <c r="AB58" s="81">
        <f>+'MWh by mo-WgtbyActulCDH&amp;Days'!AB58</f>
        <v>4497918</v>
      </c>
      <c r="AC58" s="308">
        <f t="shared" si="13"/>
        <v>82.437965647151913</v>
      </c>
      <c r="AD58" s="309">
        <f t="shared" si="4"/>
        <v>47.562828471215511</v>
      </c>
      <c r="AE58" s="107">
        <f t="shared" si="5"/>
        <v>4.663022399138776E-3</v>
      </c>
      <c r="AF58" s="309">
        <f t="shared" si="14"/>
        <v>34.875137175936395</v>
      </c>
      <c r="AG58" s="107">
        <f t="shared" si="6"/>
        <v>3.4191310956800391E-3</v>
      </c>
      <c r="AH58" s="119">
        <f t="shared" si="15"/>
        <v>8.082153494818816E-3</v>
      </c>
      <c r="AI58" s="122">
        <f t="shared" si="7"/>
        <v>8.082153494818816E-3</v>
      </c>
      <c r="AJ58" s="87" t="b">
        <f t="shared" si="16"/>
        <v>1</v>
      </c>
      <c r="AK58" s="88">
        <f t="shared" si="22"/>
        <v>1.5688856982739178E-3</v>
      </c>
      <c r="AM58" s="89">
        <f t="shared" si="9"/>
        <v>132249.39297337458</v>
      </c>
      <c r="AN58" s="93"/>
      <c r="AO58" s="96">
        <f t="shared" si="28"/>
        <v>29.402357484812878</v>
      </c>
      <c r="AP58" s="92">
        <f t="shared" si="27"/>
        <v>2.8825840671385175E-3</v>
      </c>
      <c r="AR58" s="94">
        <f t="shared" si="10"/>
        <v>8.082153494818816E-3</v>
      </c>
      <c r="AS58" s="95">
        <v>410391.3099683905</v>
      </c>
      <c r="AU58" s="141">
        <v>82.437965647151913</v>
      </c>
    </row>
    <row r="59" spans="1:47">
      <c r="A59" s="78">
        <v>2009</v>
      </c>
      <c r="B59" s="78">
        <v>7</v>
      </c>
      <c r="C59" s="317">
        <f t="shared" si="19"/>
        <v>322.31916585708109</v>
      </c>
      <c r="D59" s="318">
        <f t="shared" si="29"/>
        <v>0.16392960109808263</v>
      </c>
      <c r="E59" s="104">
        <f>$D59*'MWh Impact Summary'!B$15</f>
        <v>116291.50083406898</v>
      </c>
      <c r="F59" s="320">
        <f>$D59*'MWh Impact Summary'!N$15</f>
        <v>2798.2902802669323</v>
      </c>
      <c r="G59" s="320">
        <f>$D59*'MWh Impact Summary'!C$15</f>
        <v>91857.492244211491</v>
      </c>
      <c r="H59" s="320">
        <f>$D59*'MWh Impact Summary'!D$15</f>
        <v>0</v>
      </c>
      <c r="I59" s="320">
        <f>$D59*'MWh Impact Summary'!E$15</f>
        <v>42877.74352062244</v>
      </c>
      <c r="J59" s="104">
        <f t="shared" si="11"/>
        <v>253825.02687916983</v>
      </c>
      <c r="K59" s="298">
        <f t="shared" si="20"/>
        <v>10.366666666666667</v>
      </c>
      <c r="L59" s="299">
        <f t="shared" si="30"/>
        <v>7.2978998005397158E-2</v>
      </c>
      <c r="M59" s="297">
        <f t="shared" si="12"/>
        <v>8.3333333333333329E-2</v>
      </c>
      <c r="N59" s="302">
        <f>$L59*'MWh Impact Summary'!F$15</f>
        <v>21661.52401087838</v>
      </c>
      <c r="O59" s="302">
        <f>$L59*'MWh Impact Summary'!G$15</f>
        <v>0</v>
      </c>
      <c r="P59" s="304">
        <f>$M59*'MWh Impact Summary'!H$15</f>
        <v>0</v>
      </c>
      <c r="Q59" s="304">
        <f>$M59*'MWh Impact Summary'!I$15</f>
        <v>455.94031392563448</v>
      </c>
      <c r="R59" s="304">
        <f>$M59*'MWh Impact Summary'!J$15</f>
        <v>2846.9059709715102</v>
      </c>
      <c r="S59" s="304">
        <f>$M59*'MWh Impact Summary'!K$15</f>
        <v>0</v>
      </c>
      <c r="T59" s="304">
        <f>$M59*'MWh Impact Summary'!L$15</f>
        <v>0</v>
      </c>
      <c r="U59" s="304">
        <f>$M59*'MWh Impact Summary'!M$15</f>
        <v>0</v>
      </c>
      <c r="V59" s="302">
        <f>$L59*'MWh Impact Summary'!O$15</f>
        <v>0</v>
      </c>
      <c r="W59" s="302">
        <f>$L59*'MWh Impact Summary'!P$15</f>
        <v>134410.3307670572</v>
      </c>
      <c r="X59" s="302">
        <f>$L59*'MWh Impact Summary'!Q$15</f>
        <v>0</v>
      </c>
      <c r="Y59" s="85">
        <f t="shared" si="2"/>
        <v>159374.70106283273</v>
      </c>
      <c r="Z59" s="81">
        <f t="shared" si="3"/>
        <v>413199.72794200259</v>
      </c>
      <c r="AA59" s="81"/>
      <c r="AB59" s="81">
        <f>+'MWh by mo-WgtbyActulCDH&amp;Days'!AB59</f>
        <v>4498393</v>
      </c>
      <c r="AC59" s="308">
        <f t="shared" si="13"/>
        <v>91.854964193213576</v>
      </c>
      <c r="AD59" s="309">
        <f t="shared" si="4"/>
        <v>56.425711777332445</v>
      </c>
      <c r="AE59" s="107">
        <f t="shared" si="5"/>
        <v>5.4429947052089178E-3</v>
      </c>
      <c r="AF59" s="309">
        <f t="shared" si="14"/>
        <v>35.429252415881116</v>
      </c>
      <c r="AG59" s="107">
        <f t="shared" si="6"/>
        <v>3.4176127732361205E-3</v>
      </c>
      <c r="AH59" s="119">
        <f t="shared" si="15"/>
        <v>8.8606074784450383E-3</v>
      </c>
      <c r="AI59" s="122">
        <f t="shared" si="7"/>
        <v>8.86060747844504E-3</v>
      </c>
      <c r="AJ59" s="87" t="b">
        <f t="shared" si="16"/>
        <v>1</v>
      </c>
      <c r="AK59" s="88">
        <f t="shared" si="22"/>
        <v>1.7080382165387421E-3</v>
      </c>
      <c r="AM59" s="89">
        <f t="shared" si="9"/>
        <v>134410.3307670572</v>
      </c>
      <c r="AN59" s="93"/>
      <c r="AO59" s="96">
        <f t="shared" si="28"/>
        <v>29.879632741527299</v>
      </c>
      <c r="AP59" s="92">
        <f t="shared" si="27"/>
        <v>2.8822796856778745E-3</v>
      </c>
      <c r="AR59" s="94">
        <f t="shared" si="10"/>
        <v>8.86060747844504E-3</v>
      </c>
      <c r="AS59" s="95">
        <v>431665.33151051996</v>
      </c>
      <c r="AU59" s="141">
        <v>91.854964193213576</v>
      </c>
    </row>
    <row r="60" spans="1:47">
      <c r="A60" s="78">
        <v>2009</v>
      </c>
      <c r="B60" s="78">
        <v>8</v>
      </c>
      <c r="C60" s="317">
        <f t="shared" si="19"/>
        <v>326.45437890907908</v>
      </c>
      <c r="D60" s="318">
        <f t="shared" si="29"/>
        <v>0.16603274573816959</v>
      </c>
      <c r="E60" s="104">
        <f>$D60*'MWh Impact Summary'!B$15</f>
        <v>117783.46961230387</v>
      </c>
      <c r="F60" s="320">
        <f>$D60*'MWh Impact Summary'!N$15</f>
        <v>2834.1911130935159</v>
      </c>
      <c r="G60" s="320">
        <f>$D60*'MWh Impact Summary'!C$15</f>
        <v>93035.983445136546</v>
      </c>
      <c r="H60" s="320">
        <f>$D60*'MWh Impact Summary'!D$15</f>
        <v>0</v>
      </c>
      <c r="I60" s="320">
        <f>$D60*'MWh Impact Summary'!E$15</f>
        <v>43427.846100390598</v>
      </c>
      <c r="J60" s="104">
        <f t="shared" si="11"/>
        <v>257081.49027092452</v>
      </c>
      <c r="K60" s="298">
        <f t="shared" si="20"/>
        <v>10.933333333333334</v>
      </c>
      <c r="L60" s="299">
        <f t="shared" si="30"/>
        <v>7.6968203684148764E-2</v>
      </c>
      <c r="M60" s="297">
        <f t="shared" si="12"/>
        <v>8.3333333333333329E-2</v>
      </c>
      <c r="N60" s="302">
        <f>$L60*'MWh Impact Summary'!F$15</f>
        <v>22845.594455202918</v>
      </c>
      <c r="O60" s="302">
        <f>$L60*'MWh Impact Summary'!G$15</f>
        <v>0</v>
      </c>
      <c r="P60" s="304">
        <f>$M60*'MWh Impact Summary'!H$15</f>
        <v>0</v>
      </c>
      <c r="Q60" s="304">
        <f>$M60*'MWh Impact Summary'!I$15</f>
        <v>455.94031392563448</v>
      </c>
      <c r="R60" s="304">
        <f>$M60*'MWh Impact Summary'!J$15</f>
        <v>2846.9059709715102</v>
      </c>
      <c r="S60" s="304">
        <f>$M60*'MWh Impact Summary'!K$15</f>
        <v>0</v>
      </c>
      <c r="T60" s="304">
        <f>$M60*'MWh Impact Summary'!L$15</f>
        <v>0</v>
      </c>
      <c r="U60" s="304">
        <f>$M60*'MWh Impact Summary'!M$15</f>
        <v>0</v>
      </c>
      <c r="V60" s="302">
        <f>$L60*'MWh Impact Summary'!O$15</f>
        <v>0</v>
      </c>
      <c r="W60" s="302">
        <f>$L60*'MWh Impact Summary'!P$15</f>
        <v>141757.51926557798</v>
      </c>
      <c r="X60" s="302">
        <f>$L60*'MWh Impact Summary'!Q$15</f>
        <v>0</v>
      </c>
      <c r="Y60" s="85">
        <f t="shared" si="2"/>
        <v>167905.96000567806</v>
      </c>
      <c r="Z60" s="81">
        <f t="shared" si="3"/>
        <v>424987.45027660258</v>
      </c>
      <c r="AA60" s="81"/>
      <c r="AB60" s="81">
        <f>+'MWh by mo-WgtbyActulCDH&amp;Days'!AB60</f>
        <v>4498960</v>
      </c>
      <c r="AC60" s="308">
        <f t="shared" si="13"/>
        <v>94.463487178504053</v>
      </c>
      <c r="AD60" s="309">
        <f t="shared" si="4"/>
        <v>57.142426309841497</v>
      </c>
      <c r="AE60" s="107">
        <f t="shared" si="5"/>
        <v>5.2264414307781858E-3</v>
      </c>
      <c r="AF60" s="309">
        <f t="shared" si="14"/>
        <v>37.321060868662549</v>
      </c>
      <c r="AG60" s="107">
        <f t="shared" si="6"/>
        <v>3.4135116648166966E-3</v>
      </c>
      <c r="AH60" s="119">
        <f t="shared" si="15"/>
        <v>8.6399530955948815E-3</v>
      </c>
      <c r="AI60" s="122">
        <f t="shared" si="7"/>
        <v>8.6399530955948833E-3</v>
      </c>
      <c r="AJ60" s="87" t="b">
        <f t="shared" si="16"/>
        <v>1</v>
      </c>
      <c r="AK60" s="88">
        <f t="shared" si="22"/>
        <v>1.6592762954983735E-3</v>
      </c>
      <c r="AM60" s="89">
        <f t="shared" si="9"/>
        <v>141757.51926557798</v>
      </c>
      <c r="AN60" s="93"/>
      <c r="AO60" s="96">
        <f t="shared" si="28"/>
        <v>31.508953017047933</v>
      </c>
      <c r="AP60" s="92">
        <f t="shared" si="27"/>
        <v>2.8819164344860916E-3</v>
      </c>
      <c r="AR60" s="94">
        <f t="shared" si="10"/>
        <v>8.6399530955948833E-3</v>
      </c>
      <c r="AS60" s="95">
        <v>448779.68352140411</v>
      </c>
      <c r="AU60" s="141">
        <v>94.463487178504053</v>
      </c>
    </row>
    <row r="61" spans="1:47">
      <c r="A61" s="78">
        <v>2009</v>
      </c>
      <c r="B61" s="78">
        <v>9</v>
      </c>
      <c r="C61" s="317">
        <f t="shared" si="19"/>
        <v>277.87653293728147</v>
      </c>
      <c r="D61" s="318">
        <f t="shared" si="29"/>
        <v>0.14132634365008559</v>
      </c>
      <c r="E61" s="104">
        <f>$D61*'MWh Impact Summary'!B$15</f>
        <v>100256.77181161687</v>
      </c>
      <c r="F61" s="320">
        <f>$D61*'MWh Impact Summary'!N$15</f>
        <v>2412.4510224671335</v>
      </c>
      <c r="G61" s="320">
        <f>$D61*'MWh Impact Summary'!C$15</f>
        <v>79191.820322756495</v>
      </c>
      <c r="H61" s="320">
        <f>$D61*'MWh Impact Summary'!D$15</f>
        <v>0</v>
      </c>
      <c r="I61" s="320">
        <f>$D61*'MWh Impact Summary'!E$15</f>
        <v>36965.591785403267</v>
      </c>
      <c r="J61" s="104">
        <f t="shared" si="11"/>
        <v>218826.63494224375</v>
      </c>
      <c r="K61" s="298">
        <f t="shared" si="20"/>
        <v>11.683333333333334</v>
      </c>
      <c r="L61" s="299">
        <f t="shared" si="30"/>
        <v>8.2248034729555317E-2</v>
      </c>
      <c r="M61" s="297">
        <f t="shared" si="12"/>
        <v>8.3333333333333329E-2</v>
      </c>
      <c r="N61" s="302">
        <f>$L61*'MWh Impact Summary'!F$15</f>
        <v>24412.746513867754</v>
      </c>
      <c r="O61" s="302">
        <f>$L61*'MWh Impact Summary'!G$15</f>
        <v>0</v>
      </c>
      <c r="P61" s="304">
        <f>$M61*'MWh Impact Summary'!H$15</f>
        <v>0</v>
      </c>
      <c r="Q61" s="304">
        <f>$M61*'MWh Impact Summary'!I$15</f>
        <v>455.94031392563448</v>
      </c>
      <c r="R61" s="304">
        <f>$M61*'MWh Impact Summary'!J$15</f>
        <v>2846.9059709715102</v>
      </c>
      <c r="S61" s="304">
        <f>$M61*'MWh Impact Summary'!K$15</f>
        <v>0</v>
      </c>
      <c r="T61" s="304">
        <f>$M61*'MWh Impact Summary'!L$15</f>
        <v>0</v>
      </c>
      <c r="U61" s="304">
        <f>$M61*'MWh Impact Summary'!M$15</f>
        <v>0</v>
      </c>
      <c r="V61" s="302">
        <f>$L61*'MWh Impact Summary'!O$15</f>
        <v>0</v>
      </c>
      <c r="W61" s="302">
        <f>$L61*'MWh Impact Summary'!P$15</f>
        <v>151481.73933714966</v>
      </c>
      <c r="X61" s="302">
        <f>$L61*'MWh Impact Summary'!Q$15</f>
        <v>0</v>
      </c>
      <c r="Y61" s="85">
        <f t="shared" si="2"/>
        <v>179197.33213591456</v>
      </c>
      <c r="Z61" s="81">
        <f t="shared" si="3"/>
        <v>398023.96707815828</v>
      </c>
      <c r="AA61" s="81"/>
      <c r="AB61" s="81">
        <f>+'MWh by mo-WgtbyActulCDH&amp;Days'!AB61</f>
        <v>4495923</v>
      </c>
      <c r="AC61" s="308">
        <f t="shared" si="13"/>
        <v>88.529978622444887</v>
      </c>
      <c r="AD61" s="309">
        <f t="shared" si="4"/>
        <v>48.672238146036698</v>
      </c>
      <c r="AE61" s="107">
        <f t="shared" si="5"/>
        <v>4.1659547628562074E-3</v>
      </c>
      <c r="AF61" s="309">
        <f t="shared" si="14"/>
        <v>39.857740476408196</v>
      </c>
      <c r="AG61" s="107">
        <f t="shared" si="6"/>
        <v>3.4115041777239541E-3</v>
      </c>
      <c r="AH61" s="119">
        <f t="shared" si="15"/>
        <v>7.5774589405801611E-3</v>
      </c>
      <c r="AI61" s="122">
        <f t="shared" si="7"/>
        <v>7.5774589405801611E-3</v>
      </c>
      <c r="AJ61" s="87" t="b">
        <f t="shared" si="16"/>
        <v>1</v>
      </c>
      <c r="AK61" s="88">
        <f t="shared" si="22"/>
        <v>1.454004891363673E-3</v>
      </c>
      <c r="AM61" s="89">
        <f t="shared" si="9"/>
        <v>151481.73933714966</v>
      </c>
      <c r="AN61" s="93"/>
      <c r="AO61" s="96">
        <f t="shared" si="28"/>
        <v>33.693134721646622</v>
      </c>
      <c r="AP61" s="92">
        <f t="shared" si="27"/>
        <v>2.8838631716102672E-3</v>
      </c>
      <c r="AR61" s="94">
        <f t="shared" si="10"/>
        <v>7.5774589405801611E-3</v>
      </c>
      <c r="AS61" s="95">
        <v>424214.99137736217</v>
      </c>
      <c r="AU61" s="141">
        <v>88.529978622444887</v>
      </c>
    </row>
    <row r="62" spans="1:47">
      <c r="A62" s="78">
        <v>2009</v>
      </c>
      <c r="B62" s="78">
        <v>10</v>
      </c>
      <c r="C62" s="317">
        <f t="shared" si="19"/>
        <v>198.89039579254836</v>
      </c>
      <c r="D62" s="318">
        <f t="shared" si="29"/>
        <v>0.10115446643644242</v>
      </c>
      <c r="E62" s="104">
        <f>$D62*'MWh Impact Summary'!B$15</f>
        <v>71758.880880366734</v>
      </c>
      <c r="F62" s="320">
        <f>$D62*'MWh Impact Summary'!N$15</f>
        <v>1726.7141403298101</v>
      </c>
      <c r="G62" s="320">
        <f>$D62*'MWh Impact Summary'!C$15</f>
        <v>56681.621585801207</v>
      </c>
      <c r="H62" s="320">
        <f>$D62*'MWh Impact Summary'!D$15</f>
        <v>0</v>
      </c>
      <c r="I62" s="320">
        <f>$D62*'MWh Impact Summary'!E$15</f>
        <v>26458.157884689193</v>
      </c>
      <c r="J62" s="104">
        <f t="shared" si="11"/>
        <v>156625.37449118696</v>
      </c>
      <c r="K62" s="298">
        <f t="shared" si="20"/>
        <v>12.466666666666667</v>
      </c>
      <c r="L62" s="299">
        <f t="shared" si="30"/>
        <v>8.7762524932535488E-2</v>
      </c>
      <c r="M62" s="297">
        <f t="shared" si="12"/>
        <v>8.3333333333333329E-2</v>
      </c>
      <c r="N62" s="302">
        <f>$L62*'MWh Impact Summary'!F$15</f>
        <v>26049.549775139916</v>
      </c>
      <c r="O62" s="302">
        <f>$L62*'MWh Impact Summary'!G$15</f>
        <v>0</v>
      </c>
      <c r="P62" s="304">
        <f>$M62*'MWh Impact Summary'!H$15</f>
        <v>0</v>
      </c>
      <c r="Q62" s="304">
        <f>$M62*'MWh Impact Summary'!I$15</f>
        <v>455.94031392563448</v>
      </c>
      <c r="R62" s="304">
        <f>$M62*'MWh Impact Summary'!J$15</f>
        <v>2846.9059709715102</v>
      </c>
      <c r="S62" s="304">
        <f>$M62*'MWh Impact Summary'!K$15</f>
        <v>0</v>
      </c>
      <c r="T62" s="304">
        <f>$M62*'MWh Impact Summary'!L$15</f>
        <v>0</v>
      </c>
      <c r="U62" s="304">
        <f>$M62*'MWh Impact Summary'!M$15</f>
        <v>0</v>
      </c>
      <c r="V62" s="302">
        <f>$L62*'MWh Impact Summary'!O$15</f>
        <v>0</v>
      </c>
      <c r="W62" s="302">
        <f>$L62*'MWh Impact Summary'!P$15</f>
        <v>161638.14696745784</v>
      </c>
      <c r="X62" s="302">
        <f>$L62*'MWh Impact Summary'!Q$15</f>
        <v>0</v>
      </c>
      <c r="Y62" s="85">
        <f t="shared" si="2"/>
        <v>190990.54302749492</v>
      </c>
      <c r="Z62" s="81">
        <f t="shared" si="3"/>
        <v>347615.91751868185</v>
      </c>
      <c r="AA62" s="81"/>
      <c r="AB62" s="81">
        <f>+'MWh by mo-WgtbyActulCDH&amp;Days'!AB62</f>
        <v>4495215</v>
      </c>
      <c r="AC62" s="308">
        <f t="shared" si="13"/>
        <v>77.330209460210881</v>
      </c>
      <c r="AD62" s="309">
        <f t="shared" si="4"/>
        <v>34.842688167570842</v>
      </c>
      <c r="AE62" s="107">
        <f t="shared" si="5"/>
        <v>2.7948680348318855E-3</v>
      </c>
      <c r="AF62" s="309">
        <f t="shared" si="14"/>
        <v>42.487521292640039</v>
      </c>
      <c r="AG62" s="107">
        <f t="shared" si="6"/>
        <v>3.4080899432598964E-3</v>
      </c>
      <c r="AH62" s="119">
        <f t="shared" si="15"/>
        <v>6.2029579780917814E-3</v>
      </c>
      <c r="AI62" s="122">
        <f t="shared" si="7"/>
        <v>6.2029579780917814E-3</v>
      </c>
      <c r="AJ62" s="87" t="b">
        <f t="shared" si="16"/>
        <v>1</v>
      </c>
      <c r="AK62" s="88">
        <f t="shared" si="22"/>
        <v>1.1913026032227556E-3</v>
      </c>
      <c r="AM62" s="89">
        <f t="shared" si="9"/>
        <v>161638.14696745784</v>
      </c>
      <c r="AN62" s="93"/>
      <c r="AO62" s="96">
        <f t="shared" si="28"/>
        <v>35.957823367171052</v>
      </c>
      <c r="AP62" s="92">
        <f t="shared" si="27"/>
        <v>2.8843173823933999E-3</v>
      </c>
      <c r="AR62" s="94">
        <f t="shared" si="10"/>
        <v>6.2029579780917814E-3</v>
      </c>
      <c r="AS62" s="95">
        <v>341701.86044827267</v>
      </c>
      <c r="AU62" s="141">
        <v>77.330209460210881</v>
      </c>
    </row>
    <row r="63" spans="1:47">
      <c r="A63" s="78">
        <v>2009</v>
      </c>
      <c r="B63" s="78">
        <v>11</v>
      </c>
      <c r="C63" s="317">
        <f t="shared" si="19"/>
        <v>78.117279066674627</v>
      </c>
      <c r="D63" s="318">
        <f t="shared" si="29"/>
        <v>3.9729981188725644E-2</v>
      </c>
      <c r="E63" s="104">
        <f>$D63*'MWh Impact Summary'!B$15</f>
        <v>28184.410317584021</v>
      </c>
      <c r="F63" s="320">
        <f>$D63*'MWh Impact Summary'!N$15</f>
        <v>678.1936846724833</v>
      </c>
      <c r="G63" s="320">
        <f>$D63*'MWh Impact Summary'!C$15</f>
        <v>22262.583538664636</v>
      </c>
      <c r="H63" s="320">
        <f>$D63*'MWh Impact Summary'!D$15</f>
        <v>0</v>
      </c>
      <c r="I63" s="320">
        <f>$D63*'MWh Impact Summary'!E$15</f>
        <v>10391.850721762401</v>
      </c>
      <c r="J63" s="104">
        <f t="shared" si="11"/>
        <v>61517.038262683534</v>
      </c>
      <c r="K63" s="298">
        <f t="shared" si="20"/>
        <v>13.15</v>
      </c>
      <c r="L63" s="299">
        <f t="shared" si="30"/>
        <v>9.2573037662794788E-2</v>
      </c>
      <c r="M63" s="297">
        <f t="shared" si="12"/>
        <v>8.3333333333333329E-2</v>
      </c>
      <c r="N63" s="302">
        <f>$L63*'MWh Impact Summary'!F$15</f>
        <v>27477.399428590099</v>
      </c>
      <c r="O63" s="302">
        <f>$L63*'MWh Impact Summary'!G$15</f>
        <v>0</v>
      </c>
      <c r="P63" s="304">
        <f>$M63*'MWh Impact Summary'!H$15</f>
        <v>0</v>
      </c>
      <c r="Q63" s="304">
        <f>$M63*'MWh Impact Summary'!I$15</f>
        <v>455.94031392563448</v>
      </c>
      <c r="R63" s="304">
        <f>$M63*'MWh Impact Summary'!J$15</f>
        <v>2846.9059709715102</v>
      </c>
      <c r="S63" s="304">
        <f>$M63*'MWh Impact Summary'!K$15</f>
        <v>0</v>
      </c>
      <c r="T63" s="304">
        <f>$M63*'MWh Impact Summary'!L$15</f>
        <v>0</v>
      </c>
      <c r="U63" s="304">
        <f>$M63*'MWh Impact Summary'!M$15</f>
        <v>0</v>
      </c>
      <c r="V63" s="302">
        <f>$L63*'MWh Impact Summary'!O$15</f>
        <v>0</v>
      </c>
      <c r="W63" s="302">
        <f>$L63*'MWh Impact Summary'!P$15</f>
        <v>170497.99192155647</v>
      </c>
      <c r="X63" s="302">
        <f>$L63*'MWh Impact Summary'!Q$15</f>
        <v>0</v>
      </c>
      <c r="Y63" s="85">
        <f t="shared" si="2"/>
        <v>201278.23763504371</v>
      </c>
      <c r="Z63" s="81">
        <f t="shared" si="3"/>
        <v>262795.27589772723</v>
      </c>
      <c r="AA63" s="81"/>
      <c r="AB63" s="81">
        <f>+'MWh by mo-WgtbyActulCDH&amp;Days'!AB63</f>
        <v>4498782</v>
      </c>
      <c r="AC63" s="308">
        <f t="shared" si="13"/>
        <v>58.41476112817363</v>
      </c>
      <c r="AD63" s="309">
        <f t="shared" si="4"/>
        <v>13.674154084968672</v>
      </c>
      <c r="AE63" s="107">
        <f t="shared" si="5"/>
        <v>1.039859626233359E-3</v>
      </c>
      <c r="AF63" s="309">
        <f t="shared" si="14"/>
        <v>44.74060704320496</v>
      </c>
      <c r="AG63" s="107">
        <f t="shared" si="6"/>
        <v>3.4023275318026585E-3</v>
      </c>
      <c r="AH63" s="119">
        <f t="shared" si="15"/>
        <v>4.4421871580360177E-3</v>
      </c>
      <c r="AI63" s="122">
        <f t="shared" si="7"/>
        <v>4.4421871580360177E-3</v>
      </c>
      <c r="AJ63" s="87" t="b">
        <f t="shared" si="16"/>
        <v>1</v>
      </c>
      <c r="AK63" s="88">
        <f t="shared" si="22"/>
        <v>8.518542113679921E-4</v>
      </c>
      <c r="AM63" s="89">
        <f t="shared" si="9"/>
        <v>170497.99192155647</v>
      </c>
      <c r="AN63" s="93"/>
      <c r="AO63" s="96">
        <f t="shared" si="28"/>
        <v>37.898700564187479</v>
      </c>
      <c r="AP63" s="92">
        <f t="shared" si="27"/>
        <v>2.8820304611549413E-3</v>
      </c>
      <c r="AR63" s="94">
        <f t="shared" si="10"/>
        <v>4.4421871580360177E-3</v>
      </c>
      <c r="AS63" s="95">
        <v>263250.27865551104</v>
      </c>
      <c r="AU63" s="141">
        <v>58.41476112817363</v>
      </c>
    </row>
    <row r="64" spans="1:47">
      <c r="A64" s="78">
        <v>2009</v>
      </c>
      <c r="B64" s="78">
        <v>12</v>
      </c>
      <c r="C64" s="317">
        <f t="shared" si="19"/>
        <v>42.633806123140985</v>
      </c>
      <c r="D64" s="318">
        <f t="shared" si="29"/>
        <v>2.1683298951445065E-2</v>
      </c>
      <c r="E64" s="104">
        <f>$D64*'MWh Impact Summary'!B$15</f>
        <v>15382.111352717944</v>
      </c>
      <c r="F64" s="320">
        <f>$D64*'MWh Impact Summary'!N$15</f>
        <v>370.13549897951026</v>
      </c>
      <c r="G64" s="320">
        <f>$D64*'MWh Impact Summary'!C$15</f>
        <v>12150.175757882575</v>
      </c>
      <c r="H64" s="320">
        <f>$D64*'MWh Impact Summary'!D$15</f>
        <v>0</v>
      </c>
      <c r="I64" s="320">
        <f>$D64*'MWh Impact Summary'!E$15</f>
        <v>5671.5256115627635</v>
      </c>
      <c r="J64" s="104">
        <f t="shared" si="11"/>
        <v>33573.948221142797</v>
      </c>
      <c r="K64" s="298">
        <f t="shared" si="20"/>
        <v>13.483333333333333</v>
      </c>
      <c r="L64" s="299">
        <f t="shared" si="30"/>
        <v>9.491962923853102E-2</v>
      </c>
      <c r="M64" s="297">
        <f t="shared" si="12"/>
        <v>8.3333333333333329E-2</v>
      </c>
      <c r="N64" s="302">
        <f>$L64*'MWh Impact Summary'!F$15</f>
        <v>28173.911454663357</v>
      </c>
      <c r="O64" s="302">
        <f>$L64*'MWh Impact Summary'!G$15</f>
        <v>0</v>
      </c>
      <c r="P64" s="304">
        <f>$M64*'MWh Impact Summary'!H$15</f>
        <v>0</v>
      </c>
      <c r="Q64" s="304">
        <f>$M64*'MWh Impact Summary'!I$15</f>
        <v>455.94031392563448</v>
      </c>
      <c r="R64" s="304">
        <f>$M64*'MWh Impact Summary'!J$15</f>
        <v>2846.9059709715102</v>
      </c>
      <c r="S64" s="304">
        <f>$M64*'MWh Impact Summary'!K$15</f>
        <v>0</v>
      </c>
      <c r="T64" s="304">
        <f>$M64*'MWh Impact Summary'!L$15</f>
        <v>0</v>
      </c>
      <c r="U64" s="304">
        <f>$M64*'MWh Impact Summary'!M$15</f>
        <v>0</v>
      </c>
      <c r="V64" s="302">
        <f>$L64*'MWh Impact Summary'!O$15</f>
        <v>0</v>
      </c>
      <c r="W64" s="302">
        <f>$L64*'MWh Impact Summary'!P$15</f>
        <v>174819.86750892163</v>
      </c>
      <c r="X64" s="302">
        <f>$L64*'MWh Impact Summary'!Q$15</f>
        <v>0</v>
      </c>
      <c r="Y64" s="85">
        <f t="shared" si="2"/>
        <v>206296.62524848213</v>
      </c>
      <c r="Z64" s="81">
        <f t="shared" si="3"/>
        <v>239870.57346962491</v>
      </c>
      <c r="AA64" s="81">
        <f>SUM(Z53:Z64)</f>
        <v>3726598.2747323075</v>
      </c>
      <c r="AB64" s="81">
        <f>+'MWh by mo-WgtbyActulCDH&amp;Days'!AB64</f>
        <v>4498596</v>
      </c>
      <c r="AC64" s="308">
        <f t="shared" si="13"/>
        <v>53.321208099065778</v>
      </c>
      <c r="AD64" s="309">
        <f t="shared" si="4"/>
        <v>7.4632059027178252</v>
      </c>
      <c r="AE64" s="107">
        <f t="shared" si="5"/>
        <v>5.5351341676522817E-4</v>
      </c>
      <c r="AF64" s="309">
        <f t="shared" si="14"/>
        <v>45.858002196347961</v>
      </c>
      <c r="AG64" s="107">
        <f t="shared" si="6"/>
        <v>3.4010879255635079E-3</v>
      </c>
      <c r="AH64" s="119">
        <f t="shared" si="15"/>
        <v>3.954601342328736E-3</v>
      </c>
      <c r="AI64" s="122">
        <f t="shared" si="7"/>
        <v>3.9546013423287351E-3</v>
      </c>
      <c r="AJ64" s="87" t="b">
        <f t="shared" si="16"/>
        <v>1</v>
      </c>
      <c r="AK64" s="88">
        <f t="shared" si="22"/>
        <v>7.5880073610861245E-4</v>
      </c>
      <c r="AM64" s="89">
        <f t="shared" si="9"/>
        <v>174819.86750892163</v>
      </c>
      <c r="AN64" s="90">
        <f>SUM(AM53:AM64)</f>
        <v>1841767.2815556724</v>
      </c>
      <c r="AO64" s="96">
        <f t="shared" si="28"/>
        <v>38.860984073457949</v>
      </c>
      <c r="AP64" s="92">
        <f t="shared" si="27"/>
        <v>2.8821496222589333E-3</v>
      </c>
      <c r="AR64" s="94">
        <f t="shared" si="10"/>
        <v>3.9546013423287351E-3</v>
      </c>
      <c r="AS64" s="95">
        <v>217032.35405401044</v>
      </c>
      <c r="AU64" s="141">
        <v>53.321208099065778</v>
      </c>
    </row>
    <row r="65" spans="1:47">
      <c r="A65" s="78">
        <v>2010</v>
      </c>
      <c r="B65" s="78">
        <v>1</v>
      </c>
      <c r="C65" s="317">
        <f t="shared" si="19"/>
        <v>26.112829868525239</v>
      </c>
      <c r="D65" s="318">
        <f t="shared" ref="D65:D76" si="31">C65/(SUM(C$65:C$76))</f>
        <v>1.3280829182176284E-2</v>
      </c>
      <c r="E65" s="321">
        <f>$D65*'MWh Impact Summary'!B$16</f>
        <v>11276.83718231107</v>
      </c>
      <c r="F65" s="319">
        <f>$D65*'MWh Impact Summary'!N$16</f>
        <v>361.86339608289092</v>
      </c>
      <c r="G65" s="319">
        <f>$D65*'MWh Impact Summary'!C$16</f>
        <v>9243.3471774785758</v>
      </c>
      <c r="H65" s="319">
        <f>$D65*'MWh Impact Summary'!D$16</f>
        <v>9.4280314446040983</v>
      </c>
      <c r="I65" s="319">
        <f>$D65*'MWh Impact Summary'!E$16</f>
        <v>4114.6960906210679</v>
      </c>
      <c r="J65" s="104">
        <f t="shared" si="11"/>
        <v>25006.171877938206</v>
      </c>
      <c r="K65" s="298">
        <f t="shared" si="20"/>
        <v>13.3</v>
      </c>
      <c r="L65" s="299">
        <f t="shared" ref="L65:L76" si="32">K65/(SUM(K$65:K$76))</f>
        <v>9.3629003871876101E-2</v>
      </c>
      <c r="M65" s="297">
        <f t="shared" si="12"/>
        <v>8.3333333333333329E-2</v>
      </c>
      <c r="N65" s="302">
        <f>$L65*'MWh Impact Summary'!F$16</f>
        <v>36105.914909748528</v>
      </c>
      <c r="O65" s="302">
        <f>$L65*'MWh Impact Summary'!G$16</f>
        <v>0</v>
      </c>
      <c r="P65" s="304">
        <f>$M65*'MWh Impact Summary'!H$16</f>
        <v>617.18368191880154</v>
      </c>
      <c r="Q65" s="304">
        <f>$M65*'MWh Impact Summary'!I$16</f>
        <v>569.92539240704309</v>
      </c>
      <c r="R65" s="304">
        <f>$M65*'MWh Impact Summary'!J$16</f>
        <v>5780.7444076603188</v>
      </c>
      <c r="S65" s="304">
        <f>$M65*'MWh Impact Summary'!K$16</f>
        <v>0</v>
      </c>
      <c r="T65" s="304">
        <f>$M65*'MWh Impact Summary'!L$16</f>
        <v>0</v>
      </c>
      <c r="U65" s="304">
        <f>$M65*'MWh Impact Summary'!M$16</f>
        <v>0</v>
      </c>
      <c r="V65" s="302">
        <f>$L65*'MWh Impact Summary'!O$16</f>
        <v>0</v>
      </c>
      <c r="W65" s="302">
        <f>$L65*'MWh Impact Summary'!P$16</f>
        <v>200542.74405153078</v>
      </c>
      <c r="X65" s="302">
        <f>$L65*'MWh Impact Summary'!Q$16</f>
        <v>0</v>
      </c>
      <c r="Y65" s="85">
        <f t="shared" si="2"/>
        <v>243616.51244326547</v>
      </c>
      <c r="Z65" s="81">
        <f t="shared" si="3"/>
        <v>268622.68432120368</v>
      </c>
      <c r="AA65" s="81"/>
      <c r="AB65" s="81">
        <f>+'MWh by mo-WgtbyActulCDH&amp;Days'!AB65</f>
        <v>4502130</v>
      </c>
      <c r="AC65" s="308">
        <f t="shared" si="13"/>
        <v>59.665688090127041</v>
      </c>
      <c r="AD65" s="309">
        <f t="shared" si="4"/>
        <v>5.5542980495761354</v>
      </c>
      <c r="AE65" s="107">
        <f t="shared" si="5"/>
        <v>4.1761639470497258E-4</v>
      </c>
      <c r="AF65" s="309">
        <f t="shared" si="14"/>
        <v>54.111390040550909</v>
      </c>
      <c r="AG65" s="107">
        <f t="shared" si="6"/>
        <v>4.0685255669587151E-3</v>
      </c>
      <c r="AH65" s="119">
        <f t="shared" si="15"/>
        <v>4.4861419616636878E-3</v>
      </c>
      <c r="AI65" s="122">
        <f t="shared" si="7"/>
        <v>4.486141961663687E-3</v>
      </c>
      <c r="AJ65" s="87" t="b">
        <f t="shared" si="16"/>
        <v>1</v>
      </c>
      <c r="AK65" s="88">
        <f t="shared" si="22"/>
        <v>7.3992943378057121E-4</v>
      </c>
      <c r="AM65" s="89">
        <f t="shared" si="9"/>
        <v>200542.74405153078</v>
      </c>
      <c r="AN65" s="93"/>
      <c r="AO65" s="96">
        <f t="shared" si="28"/>
        <v>44.54397008783193</v>
      </c>
      <c r="AP65" s="92">
        <f t="shared" si="27"/>
        <v>3.3491706832956339E-3</v>
      </c>
      <c r="AR65" s="94">
        <f t="shared" si="10"/>
        <v>4.486141961663687E-3</v>
      </c>
      <c r="AS65" s="95">
        <v>252377.30894529319</v>
      </c>
      <c r="AU65" s="141">
        <v>59.665688090127041</v>
      </c>
    </row>
    <row r="66" spans="1:47">
      <c r="A66" s="78">
        <v>2010</v>
      </c>
      <c r="B66" s="78">
        <v>2</v>
      </c>
      <c r="C66" s="317">
        <f t="shared" si="19"/>
        <v>35.042184420393127</v>
      </c>
      <c r="D66" s="318">
        <f t="shared" si="31"/>
        <v>1.7822245532205266E-2</v>
      </c>
      <c r="E66" s="321">
        <f>$D66*'MWh Impact Summary'!B$16</f>
        <v>15132.982913414449</v>
      </c>
      <c r="F66" s="319">
        <f>$D66*'MWh Impact Summary'!N$16</f>
        <v>485.60358736954379</v>
      </c>
      <c r="G66" s="319">
        <f>$D66*'MWh Impact Summary'!C$16</f>
        <v>12404.135365096594</v>
      </c>
      <c r="H66" s="319">
        <f>$D66*'MWh Impact Summary'!D$16</f>
        <v>12.651972929264938</v>
      </c>
      <c r="I66" s="319">
        <f>$D66*'MWh Impact Summary'!E$16</f>
        <v>5521.7278237319333</v>
      </c>
      <c r="J66" s="104">
        <f t="shared" si="11"/>
        <v>33557.101662541783</v>
      </c>
      <c r="K66" s="298">
        <f t="shared" si="20"/>
        <v>12.733333333333333</v>
      </c>
      <c r="L66" s="299">
        <f t="shared" si="32"/>
        <v>8.9639798193124468E-2</v>
      </c>
      <c r="M66" s="297">
        <f t="shared" si="12"/>
        <v>8.3333333333333329E-2</v>
      </c>
      <c r="N66" s="302">
        <f>$L66*'MWh Impact Summary'!F$16</f>
        <v>34567.567657954729</v>
      </c>
      <c r="O66" s="302">
        <f>$L66*'MWh Impact Summary'!G$16</f>
        <v>0</v>
      </c>
      <c r="P66" s="304">
        <f>$M66*'MWh Impact Summary'!H$16</f>
        <v>617.18368191880154</v>
      </c>
      <c r="Q66" s="304">
        <f>$M66*'MWh Impact Summary'!I$16</f>
        <v>569.92539240704309</v>
      </c>
      <c r="R66" s="304">
        <f>$M66*'MWh Impact Summary'!J$16</f>
        <v>5780.7444076603188</v>
      </c>
      <c r="S66" s="304">
        <f>$M66*'MWh Impact Summary'!K$16</f>
        <v>0</v>
      </c>
      <c r="T66" s="304">
        <f>$M66*'MWh Impact Summary'!L$16</f>
        <v>0</v>
      </c>
      <c r="U66" s="304">
        <f>$M66*'MWh Impact Summary'!M$16</f>
        <v>0</v>
      </c>
      <c r="V66" s="302">
        <f>$L66*'MWh Impact Summary'!O$16</f>
        <v>0</v>
      </c>
      <c r="W66" s="302">
        <f>$L66*'MWh Impact Summary'!P$16</f>
        <v>191998.31636011213</v>
      </c>
      <c r="X66" s="302">
        <f>$L66*'MWh Impact Summary'!Q$16</f>
        <v>0</v>
      </c>
      <c r="Y66" s="85">
        <f t="shared" si="2"/>
        <v>233533.73750005302</v>
      </c>
      <c r="Z66" s="81">
        <f t="shared" si="3"/>
        <v>267090.83916259481</v>
      </c>
      <c r="AA66" s="81"/>
      <c r="AB66" s="81">
        <f>+'MWh by mo-WgtbyActulCDH&amp;Days'!AB66</f>
        <v>4510659</v>
      </c>
      <c r="AC66" s="308">
        <f t="shared" si="13"/>
        <v>59.213263330833662</v>
      </c>
      <c r="AD66" s="309">
        <f t="shared" si="4"/>
        <v>7.4395119787467383</v>
      </c>
      <c r="AE66" s="107">
        <f t="shared" si="5"/>
        <v>5.8425486744084331E-4</v>
      </c>
      <c r="AF66" s="309">
        <f t="shared" si="14"/>
        <v>51.773751352086919</v>
      </c>
      <c r="AG66" s="107">
        <f t="shared" si="6"/>
        <v>4.0660014150853607E-3</v>
      </c>
      <c r="AH66" s="119">
        <f t="shared" si="15"/>
        <v>4.650256282526204E-3</v>
      </c>
      <c r="AI66" s="122">
        <f t="shared" si="7"/>
        <v>4.650256282526204E-3</v>
      </c>
      <c r="AJ66" s="87" t="b">
        <f t="shared" si="16"/>
        <v>1</v>
      </c>
      <c r="AK66" s="88">
        <f t="shared" si="22"/>
        <v>7.6774074389639397E-4</v>
      </c>
      <c r="AM66" s="89">
        <f t="shared" si="9"/>
        <v>191998.31636011213</v>
      </c>
      <c r="AN66" s="93"/>
      <c r="AO66" s="96">
        <f t="shared" si="28"/>
        <v>42.565469116621792</v>
      </c>
      <c r="AP66" s="92">
        <f t="shared" si="27"/>
        <v>3.3428378887399319E-3</v>
      </c>
      <c r="AR66" s="94">
        <f t="shared" si="10"/>
        <v>4.650256282526204E-3</v>
      </c>
      <c r="AS66" s="95">
        <v>234507.32757270089</v>
      </c>
      <c r="AU66" s="141">
        <v>59.213263330833662</v>
      </c>
    </row>
    <row r="67" spans="1:47">
      <c r="A67" s="78">
        <v>2010</v>
      </c>
      <c r="B67" s="78">
        <v>3</v>
      </c>
      <c r="C67" s="317">
        <f t="shared" si="19"/>
        <v>64.582270600115152</v>
      </c>
      <c r="D67" s="318">
        <f t="shared" si="31"/>
        <v>3.2846156787895278E-2</v>
      </c>
      <c r="E67" s="321">
        <f>$D67*'MWh Impact Summary'!B$16</f>
        <v>27889.882256663463</v>
      </c>
      <c r="F67" s="319">
        <f>$D67*'MWh Impact Summary'!N$16</f>
        <v>894.96082514865964</v>
      </c>
      <c r="G67" s="319">
        <f>$D67*'MWh Impact Summary'!C$16</f>
        <v>22860.653237214465</v>
      </c>
      <c r="H67" s="319">
        <f>$D67*'MWh Impact Summary'!D$16</f>
        <v>23.317414506488497</v>
      </c>
      <c r="I67" s="319">
        <f>$D67*'MWh Impact Summary'!E$16</f>
        <v>10176.469486443049</v>
      </c>
      <c r="J67" s="104">
        <f t="shared" si="11"/>
        <v>61845.283219976125</v>
      </c>
      <c r="K67" s="298">
        <f t="shared" si="20"/>
        <v>12</v>
      </c>
      <c r="L67" s="299">
        <f t="shared" si="32"/>
        <v>8.4477296726504739E-2</v>
      </c>
      <c r="M67" s="297">
        <f t="shared" si="12"/>
        <v>8.3333333333333329E-2</v>
      </c>
      <c r="N67" s="302">
        <f>$L67*'MWh Impact Summary'!F$16</f>
        <v>32576.765332103932</v>
      </c>
      <c r="O67" s="302">
        <f>$L67*'MWh Impact Summary'!G$16</f>
        <v>0</v>
      </c>
      <c r="P67" s="304">
        <f>$M67*'MWh Impact Summary'!H$16</f>
        <v>617.18368191880154</v>
      </c>
      <c r="Q67" s="304">
        <f>$M67*'MWh Impact Summary'!I$16</f>
        <v>569.92539240704309</v>
      </c>
      <c r="R67" s="304">
        <f>$M67*'MWh Impact Summary'!J$16</f>
        <v>5780.7444076603188</v>
      </c>
      <c r="S67" s="304">
        <f>$M67*'MWh Impact Summary'!K$16</f>
        <v>0</v>
      </c>
      <c r="T67" s="304">
        <f>$M67*'MWh Impact Summary'!L$16</f>
        <v>0</v>
      </c>
      <c r="U67" s="304">
        <f>$M67*'MWh Impact Summary'!M$16</f>
        <v>0</v>
      </c>
      <c r="V67" s="302">
        <f>$L67*'MWh Impact Summary'!O$16</f>
        <v>0</v>
      </c>
      <c r="W67" s="302">
        <f>$L67*'MWh Impact Summary'!P$16</f>
        <v>180940.82170062925</v>
      </c>
      <c r="X67" s="302">
        <f>$L67*'MWh Impact Summary'!Q$16</f>
        <v>0</v>
      </c>
      <c r="Y67" s="85">
        <f t="shared" si="2"/>
        <v>220485.44051471935</v>
      </c>
      <c r="Z67" s="81">
        <f t="shared" si="3"/>
        <v>282330.72373469546</v>
      </c>
      <c r="AA67" s="81"/>
      <c r="AB67" s="81">
        <f>+'MWh by mo-WgtbyActulCDH&amp;Days'!AB67</f>
        <v>4516712</v>
      </c>
      <c r="AC67" s="308">
        <f t="shared" si="13"/>
        <v>62.508019934566434</v>
      </c>
      <c r="AD67" s="309">
        <f t="shared" si="4"/>
        <v>13.692545201017051</v>
      </c>
      <c r="AE67" s="107">
        <f t="shared" si="5"/>
        <v>1.1410454334180875E-3</v>
      </c>
      <c r="AF67" s="309">
        <f t="shared" si="14"/>
        <v>48.815474733549394</v>
      </c>
      <c r="AG67" s="107">
        <f t="shared" si="6"/>
        <v>4.0679562277957824E-3</v>
      </c>
      <c r="AH67" s="119">
        <f t="shared" si="15"/>
        <v>5.2090016612138697E-3</v>
      </c>
      <c r="AI67" s="122">
        <f t="shared" si="7"/>
        <v>5.2090016612138688E-3</v>
      </c>
      <c r="AJ67" s="87" t="b">
        <f t="shared" si="16"/>
        <v>1</v>
      </c>
      <c r="AK67" s="88">
        <f t="shared" si="22"/>
        <v>8.6331077617910444E-4</v>
      </c>
      <c r="AM67" s="89">
        <f t="shared" si="9"/>
        <v>180940.82170062925</v>
      </c>
      <c r="AN67" s="93"/>
      <c r="AO67" s="96">
        <f t="shared" si="28"/>
        <v>40.060296450300413</v>
      </c>
      <c r="AP67" s="92">
        <f t="shared" si="27"/>
        <v>3.3383580375250348E-3</v>
      </c>
      <c r="AR67" s="94">
        <f t="shared" si="10"/>
        <v>5.2090016612138688E-3</v>
      </c>
      <c r="AS67" s="95">
        <v>284181.446267744</v>
      </c>
      <c r="AU67" s="141">
        <v>62.508019934566434</v>
      </c>
    </row>
    <row r="68" spans="1:47">
      <c r="A68" s="78">
        <v>2010</v>
      </c>
      <c r="B68" s="78">
        <v>4</v>
      </c>
      <c r="C68" s="317">
        <f t="shared" si="19"/>
        <v>114.03392869270741</v>
      </c>
      <c r="D68" s="318">
        <f t="shared" si="31"/>
        <v>5.7996974497419709E-2</v>
      </c>
      <c r="E68" s="321">
        <f>$D68*'MWh Impact Summary'!B$16</f>
        <v>49245.602778461238</v>
      </c>
      <c r="F68" s="319">
        <f>$D68*'MWh Impact Summary'!N$16</f>
        <v>1580.2463736477371</v>
      </c>
      <c r="G68" s="319">
        <f>$D68*'MWh Impact Summary'!C$16</f>
        <v>40365.414174777819</v>
      </c>
      <c r="H68" s="319">
        <f>$D68*'MWh Impact Summary'!D$16</f>
        <v>41.171924715921477</v>
      </c>
      <c r="I68" s="319">
        <f>$D68*'MWh Impact Summary'!E$16</f>
        <v>17968.751872259043</v>
      </c>
      <c r="J68" s="104">
        <f t="shared" si="11"/>
        <v>109201.18712386176</v>
      </c>
      <c r="K68" s="298">
        <f t="shared" si="20"/>
        <v>11.2</v>
      </c>
      <c r="L68" s="299">
        <f t="shared" si="32"/>
        <v>7.8845476944737758E-2</v>
      </c>
      <c r="M68" s="297">
        <f t="shared" si="12"/>
        <v>8.3333333333333329E-2</v>
      </c>
      <c r="N68" s="302">
        <f>$L68*'MWh Impact Summary'!F$16</f>
        <v>30404.980976630337</v>
      </c>
      <c r="O68" s="302">
        <f>$L68*'MWh Impact Summary'!G$16</f>
        <v>0</v>
      </c>
      <c r="P68" s="304">
        <f>$M68*'MWh Impact Summary'!H$16</f>
        <v>617.18368191880154</v>
      </c>
      <c r="Q68" s="304">
        <f>$M68*'MWh Impact Summary'!I$16</f>
        <v>569.92539240704309</v>
      </c>
      <c r="R68" s="304">
        <f>$M68*'MWh Impact Summary'!J$16</f>
        <v>5780.7444076603188</v>
      </c>
      <c r="S68" s="304">
        <f>$M68*'MWh Impact Summary'!K$16</f>
        <v>0</v>
      </c>
      <c r="T68" s="304">
        <f>$M68*'MWh Impact Summary'!L$16</f>
        <v>0</v>
      </c>
      <c r="U68" s="304">
        <f>$M68*'MWh Impact Summary'!M$16</f>
        <v>0</v>
      </c>
      <c r="V68" s="302">
        <f>$L68*'MWh Impact Summary'!O$16</f>
        <v>0</v>
      </c>
      <c r="W68" s="302">
        <f>$L68*'MWh Impact Summary'!P$16</f>
        <v>168878.10025392062</v>
      </c>
      <c r="X68" s="302">
        <f>$L68*'MWh Impact Summary'!Q$16</f>
        <v>0</v>
      </c>
      <c r="Y68" s="85">
        <f t="shared" si="2"/>
        <v>206250.93471253713</v>
      </c>
      <c r="Z68" s="81">
        <f t="shared" si="3"/>
        <v>315452.1218363989</v>
      </c>
      <c r="AA68" s="81"/>
      <c r="AB68" s="81">
        <f>+'MWh by mo-WgtbyActulCDH&amp;Days'!AB68</f>
        <v>4520229</v>
      </c>
      <c r="AC68" s="308">
        <f t="shared" si="13"/>
        <v>69.786756785198023</v>
      </c>
      <c r="AD68" s="309">
        <f t="shared" si="4"/>
        <v>24.158330722594311</v>
      </c>
      <c r="AE68" s="107">
        <f t="shared" si="5"/>
        <v>2.1569938145173497E-3</v>
      </c>
      <c r="AF68" s="309">
        <f t="shared" si="14"/>
        <v>45.628426062603715</v>
      </c>
      <c r="AG68" s="107">
        <f t="shared" si="6"/>
        <v>4.073966612732475E-3</v>
      </c>
      <c r="AH68" s="119">
        <f t="shared" si="15"/>
        <v>6.2309604272498247E-3</v>
      </c>
      <c r="AI68" s="122">
        <f t="shared" si="7"/>
        <v>6.2309604272498239E-3</v>
      </c>
      <c r="AJ68" s="87" t="b">
        <f t="shared" si="16"/>
        <v>1</v>
      </c>
      <c r="AK68" s="88">
        <f t="shared" si="22"/>
        <v>1.0409081196094041E-3</v>
      </c>
      <c r="AM68" s="89">
        <f t="shared" si="9"/>
        <v>168878.10025392062</v>
      </c>
      <c r="AN68" s="93"/>
      <c r="AO68" s="96">
        <f t="shared" si="28"/>
        <v>37.360518737860538</v>
      </c>
      <c r="AP68" s="92">
        <f t="shared" si="27"/>
        <v>3.3357606015946908E-3</v>
      </c>
      <c r="AR68" s="94">
        <f t="shared" si="10"/>
        <v>6.2309604272498239E-3</v>
      </c>
      <c r="AS68" s="95">
        <v>334261.39929994685</v>
      </c>
      <c r="AU68" s="141">
        <v>69.786756785198023</v>
      </c>
    </row>
    <row r="69" spans="1:47">
      <c r="A69" s="78">
        <v>2010</v>
      </c>
      <c r="B69" s="78">
        <v>5</v>
      </c>
      <c r="C69" s="317">
        <f t="shared" si="19"/>
        <v>208.47875842628665</v>
      </c>
      <c r="D69" s="318">
        <f t="shared" si="31"/>
        <v>0.10603105035770212</v>
      </c>
      <c r="E69" s="321">
        <f>$D69*'MWh Impact Summary'!B$16</f>
        <v>90031.644466742437</v>
      </c>
      <c r="F69" s="319">
        <f>$D69*'MWh Impact Summary'!N$16</f>
        <v>2889.0331655020022</v>
      </c>
      <c r="G69" s="319">
        <f>$D69*'MWh Impact Summary'!C$16</f>
        <v>73796.733366941175</v>
      </c>
      <c r="H69" s="319">
        <f>$D69*'MWh Impact Summary'!D$16</f>
        <v>75.271209588210709</v>
      </c>
      <c r="I69" s="319">
        <f>$D69*'MWh Impact Summary'!E$16</f>
        <v>32850.776288637564</v>
      </c>
      <c r="J69" s="104">
        <f t="shared" si="11"/>
        <v>199643.4584974114</v>
      </c>
      <c r="K69" s="298">
        <f t="shared" si="20"/>
        <v>10.533333333333333</v>
      </c>
      <c r="L69" s="299">
        <f t="shared" si="32"/>
        <v>7.4152293793265281E-2</v>
      </c>
      <c r="M69" s="297">
        <f t="shared" si="12"/>
        <v>8.3333333333333329E-2</v>
      </c>
      <c r="N69" s="302">
        <f>$L69*'MWh Impact Summary'!F$16</f>
        <v>28595.160680402343</v>
      </c>
      <c r="O69" s="302">
        <f>$L69*'MWh Impact Summary'!G$16</f>
        <v>0</v>
      </c>
      <c r="P69" s="304">
        <f>$M69*'MWh Impact Summary'!H$16</f>
        <v>617.18368191880154</v>
      </c>
      <c r="Q69" s="304">
        <f>$M69*'MWh Impact Summary'!I$16</f>
        <v>569.92539240704309</v>
      </c>
      <c r="R69" s="304">
        <f>$M69*'MWh Impact Summary'!J$16</f>
        <v>5780.7444076603188</v>
      </c>
      <c r="S69" s="304">
        <f>$M69*'MWh Impact Summary'!K$16</f>
        <v>0</v>
      </c>
      <c r="T69" s="304">
        <f>$M69*'MWh Impact Summary'!L$16</f>
        <v>0</v>
      </c>
      <c r="U69" s="304">
        <f>$M69*'MWh Impact Summary'!M$16</f>
        <v>0</v>
      </c>
      <c r="V69" s="302">
        <f>$L69*'MWh Impact Summary'!O$16</f>
        <v>0</v>
      </c>
      <c r="W69" s="302">
        <f>$L69*'MWh Impact Summary'!P$16</f>
        <v>158825.83238166347</v>
      </c>
      <c r="X69" s="302">
        <f>$L69*'MWh Impact Summary'!Q$16</f>
        <v>0</v>
      </c>
      <c r="Y69" s="85">
        <f t="shared" ref="Y69:Y132" si="33">SUM(N69:X69)</f>
        <v>194388.84654405198</v>
      </c>
      <c r="Z69" s="81">
        <f t="shared" ref="Z69:Z132" si="34">Y69+J69</f>
        <v>394032.30504146335</v>
      </c>
      <c r="AA69" s="81"/>
      <c r="AB69" s="81">
        <f>+'MWh by mo-WgtbyActulCDH&amp;Days'!AB69</f>
        <v>4521728</v>
      </c>
      <c r="AC69" s="308">
        <f t="shared" si="13"/>
        <v>87.141974272106452</v>
      </c>
      <c r="AD69" s="309">
        <f t="shared" ref="AD69:AD132" si="35">+J69*1000/AB69</f>
        <v>44.152027388071858</v>
      </c>
      <c r="AE69" s="107">
        <f t="shared" ref="AE69:AE132" si="36">+AD69/K69/1000</f>
        <v>4.1916481697536574E-3</v>
      </c>
      <c r="AF69" s="309">
        <f t="shared" si="14"/>
        <v>42.989946884034595</v>
      </c>
      <c r="AG69" s="107">
        <f t="shared" ref="AG69:AG132" si="37">+AF69/K69/1000</f>
        <v>4.0813240712691077E-3</v>
      </c>
      <c r="AH69" s="119">
        <f t="shared" si="15"/>
        <v>8.2729722410227642E-3</v>
      </c>
      <c r="AI69" s="122">
        <f t="shared" ref="AI69:AI132" si="38">+AC69/K69/1000</f>
        <v>8.2729722410227642E-3</v>
      </c>
      <c r="AJ69" s="87" t="b">
        <f t="shared" si="16"/>
        <v>1</v>
      </c>
      <c r="AK69" s="88">
        <f t="shared" si="22"/>
        <v>1.3926872558304429E-3</v>
      </c>
      <c r="AM69" s="89">
        <f t="shared" ref="AM69:AM132" si="39">+W69</f>
        <v>158825.83238166347</v>
      </c>
      <c r="AN69" s="93"/>
      <c r="AO69" s="96">
        <f t="shared" si="28"/>
        <v>35.125030161403664</v>
      </c>
      <c r="AP69" s="92">
        <f t="shared" si="27"/>
        <v>3.3346547621585757E-3</v>
      </c>
      <c r="AR69" s="94">
        <f t="shared" ref="AR69:AR132" si="40">AI69</f>
        <v>8.2729722410227642E-3</v>
      </c>
      <c r="AS69" s="95">
        <v>402473.95118086669</v>
      </c>
      <c r="AU69" s="141">
        <v>87.141974272106452</v>
      </c>
    </row>
    <row r="70" spans="1:47">
      <c r="A70" s="78">
        <v>2010</v>
      </c>
      <c r="B70" s="78">
        <v>6</v>
      </c>
      <c r="C70" s="317">
        <f t="shared" si="19"/>
        <v>271.66325293295364</v>
      </c>
      <c r="D70" s="318">
        <f t="shared" si="31"/>
        <v>0.13816630657965029</v>
      </c>
      <c r="E70" s="321">
        <f>$D70*'MWh Impact Summary'!B$16</f>
        <v>117317.89649632962</v>
      </c>
      <c r="F70" s="319">
        <f>$D70*'MWh Impact Summary'!N$16</f>
        <v>3764.6240484925233</v>
      </c>
      <c r="G70" s="319">
        <f>$D70*'MWh Impact Summary'!C$16</f>
        <v>96162.605694802944</v>
      </c>
      <c r="H70" s="319">
        <f>$D70*'MWh Impact Summary'!D$16</f>
        <v>98.083957345522791</v>
      </c>
      <c r="I70" s="319">
        <f>$D70*'MWh Impact Summary'!E$16</f>
        <v>42806.992977653732</v>
      </c>
      <c r="J70" s="104">
        <f t="shared" ref="J70:J133" si="41">SUM(E70:I70)</f>
        <v>260150.20317462436</v>
      </c>
      <c r="K70" s="298">
        <f t="shared" si="20"/>
        <v>10.199999999999999</v>
      </c>
      <c r="L70" s="299">
        <f t="shared" si="32"/>
        <v>7.1805702217529022E-2</v>
      </c>
      <c r="M70" s="297">
        <f t="shared" ref="M70:M133" si="42">1/12</f>
        <v>8.3333333333333329E-2</v>
      </c>
      <c r="N70" s="302">
        <f>$L70*'MWh Impact Summary'!F$16</f>
        <v>27690.250532288341</v>
      </c>
      <c r="O70" s="302">
        <f>$L70*'MWh Impact Summary'!G$16</f>
        <v>0</v>
      </c>
      <c r="P70" s="304">
        <f>$M70*'MWh Impact Summary'!H$16</f>
        <v>617.18368191880154</v>
      </c>
      <c r="Q70" s="304">
        <f>$M70*'MWh Impact Summary'!I$16</f>
        <v>569.92539240704309</v>
      </c>
      <c r="R70" s="304">
        <f>$M70*'MWh Impact Summary'!J$16</f>
        <v>5780.7444076603188</v>
      </c>
      <c r="S70" s="304">
        <f>$M70*'MWh Impact Summary'!K$16</f>
        <v>0</v>
      </c>
      <c r="T70" s="304">
        <f>$M70*'MWh Impact Summary'!L$16</f>
        <v>0</v>
      </c>
      <c r="U70" s="304">
        <f>$M70*'MWh Impact Summary'!M$16</f>
        <v>0</v>
      </c>
      <c r="V70" s="302">
        <f>$L70*'MWh Impact Summary'!O$16</f>
        <v>0</v>
      </c>
      <c r="W70" s="302">
        <f>$L70*'MWh Impact Summary'!P$16</f>
        <v>153799.69844553486</v>
      </c>
      <c r="X70" s="302">
        <f>$L70*'MWh Impact Summary'!Q$16</f>
        <v>0</v>
      </c>
      <c r="Y70" s="85">
        <f t="shared" si="33"/>
        <v>188457.80245980935</v>
      </c>
      <c r="Z70" s="81">
        <f t="shared" si="34"/>
        <v>448608.00563443371</v>
      </c>
      <c r="AA70" s="81"/>
      <c r="AB70" s="81">
        <f>+'MWh by mo-WgtbyActulCDH&amp;Days'!AB70</f>
        <v>4521918</v>
      </c>
      <c r="AC70" s="308">
        <f t="shared" ref="AC70:AC133" si="43">+Z70*1000/AB70</f>
        <v>99.207461443226904</v>
      </c>
      <c r="AD70" s="309">
        <f t="shared" si="35"/>
        <v>57.530942218462243</v>
      </c>
      <c r="AE70" s="107">
        <f t="shared" si="36"/>
        <v>5.6402884527904165E-3</v>
      </c>
      <c r="AF70" s="309">
        <f t="shared" ref="AF70:AF133" si="44">+Y70*1000/AB70</f>
        <v>41.676519224764654</v>
      </c>
      <c r="AG70" s="107">
        <f t="shared" si="37"/>
        <v>4.0859332573298683E-3</v>
      </c>
      <c r="AH70" s="119">
        <f t="shared" ref="AH70:AH133" si="45">AE70+AG70</f>
        <v>9.7262217101202857E-3</v>
      </c>
      <c r="AI70" s="122">
        <f t="shared" si="38"/>
        <v>9.7262217101202857E-3</v>
      </c>
      <c r="AJ70" s="87" t="b">
        <f t="shared" ref="AJ70:AJ133" si="46">AH70=AI70</f>
        <v>1</v>
      </c>
      <c r="AK70" s="88">
        <f t="shared" si="22"/>
        <v>1.6440682153014696E-3</v>
      </c>
      <c r="AM70" s="89">
        <f t="shared" si="39"/>
        <v>153799.69844553486</v>
      </c>
      <c r="AN70" s="93"/>
      <c r="AO70" s="96">
        <f t="shared" si="28"/>
        <v>34.012049410346421</v>
      </c>
      <c r="AP70" s="92">
        <f t="shared" si="27"/>
        <v>3.3345146480731787E-3</v>
      </c>
      <c r="AR70" s="94">
        <f t="shared" si="40"/>
        <v>9.7262217101202857E-3</v>
      </c>
      <c r="AS70" s="95">
        <v>491747.42381475423</v>
      </c>
      <c r="AU70" s="141">
        <v>99.207461443226904</v>
      </c>
    </row>
    <row r="71" spans="1:47">
      <c r="A71" s="78">
        <v>2010</v>
      </c>
      <c r="B71" s="78">
        <v>7</v>
      </c>
      <c r="C71" s="317">
        <f t="shared" si="19"/>
        <v>322.31916585708109</v>
      </c>
      <c r="D71" s="318">
        <f t="shared" si="31"/>
        <v>0.16392960109808263</v>
      </c>
      <c r="E71" s="321">
        <f>$D71*'MWh Impact Summary'!B$16</f>
        <v>139193.67500225277</v>
      </c>
      <c r="F71" s="319">
        <f>$D71*'MWh Impact Summary'!N$16</f>
        <v>4466.5977822738023</v>
      </c>
      <c r="G71" s="319">
        <f>$D71*'MWh Impact Summary'!C$16</f>
        <v>114093.64542153165</v>
      </c>
      <c r="H71" s="319">
        <f>$D71*'MWh Impact Summary'!D$16</f>
        <v>116.37326349534965</v>
      </c>
      <c r="I71" s="319">
        <f>$D71*'MWh Impact Summary'!E$16</f>
        <v>50789.034293175086</v>
      </c>
      <c r="J71" s="104">
        <f t="shared" si="41"/>
        <v>308659.32576272864</v>
      </c>
      <c r="K71" s="298">
        <f t="shared" si="20"/>
        <v>10.366666666666667</v>
      </c>
      <c r="L71" s="299">
        <f t="shared" si="32"/>
        <v>7.2978998005397158E-2</v>
      </c>
      <c r="M71" s="297">
        <f t="shared" si="42"/>
        <v>8.3333333333333329E-2</v>
      </c>
      <c r="N71" s="302">
        <f>$L71*'MWh Impact Summary'!F$16</f>
        <v>28142.705606345346</v>
      </c>
      <c r="O71" s="302">
        <f>$L71*'MWh Impact Summary'!G$16</f>
        <v>0</v>
      </c>
      <c r="P71" s="304">
        <f>$M71*'MWh Impact Summary'!H$16</f>
        <v>617.18368191880154</v>
      </c>
      <c r="Q71" s="304">
        <f>$M71*'MWh Impact Summary'!I$16</f>
        <v>569.92539240704309</v>
      </c>
      <c r="R71" s="304">
        <f>$M71*'MWh Impact Summary'!J$16</f>
        <v>5780.7444076603188</v>
      </c>
      <c r="S71" s="304">
        <f>$M71*'MWh Impact Summary'!K$16</f>
        <v>0</v>
      </c>
      <c r="T71" s="304">
        <f>$M71*'MWh Impact Summary'!L$16</f>
        <v>0</v>
      </c>
      <c r="U71" s="304">
        <f>$M71*'MWh Impact Summary'!M$16</f>
        <v>0</v>
      </c>
      <c r="V71" s="302">
        <f>$L71*'MWh Impact Summary'!O$16</f>
        <v>0</v>
      </c>
      <c r="W71" s="302">
        <f>$L71*'MWh Impact Summary'!P$16</f>
        <v>156312.76541359918</v>
      </c>
      <c r="X71" s="302">
        <f>$L71*'MWh Impact Summary'!Q$16</f>
        <v>0</v>
      </c>
      <c r="Y71" s="85">
        <f t="shared" si="33"/>
        <v>191423.32450193068</v>
      </c>
      <c r="Z71" s="81">
        <f t="shared" si="34"/>
        <v>500082.65026465931</v>
      </c>
      <c r="AA71" s="81"/>
      <c r="AB71" s="81">
        <f>+'MWh by mo-WgtbyActulCDH&amp;Days'!AB71</f>
        <v>4522790</v>
      </c>
      <c r="AC71" s="308">
        <f t="shared" si="43"/>
        <v>110.56950472267323</v>
      </c>
      <c r="AD71" s="309">
        <f t="shared" si="35"/>
        <v>68.245336564980605</v>
      </c>
      <c r="AE71" s="107">
        <f t="shared" si="36"/>
        <v>6.5831514371363928E-3</v>
      </c>
      <c r="AF71" s="309">
        <f t="shared" si="44"/>
        <v>42.32416815769264</v>
      </c>
      <c r="AG71" s="107">
        <f t="shared" si="37"/>
        <v>4.0827171856295148E-3</v>
      </c>
      <c r="AH71" s="119">
        <f t="shared" si="45"/>
        <v>1.0665868622765907E-2</v>
      </c>
      <c r="AI71" s="122">
        <f t="shared" si="38"/>
        <v>1.0665868622765907E-2</v>
      </c>
      <c r="AJ71" s="87" t="b">
        <f t="shared" si="46"/>
        <v>1</v>
      </c>
      <c r="AK71" s="88">
        <f t="shared" si="22"/>
        <v>1.8052611443208667E-3</v>
      </c>
      <c r="AM71" s="89">
        <f t="shared" si="39"/>
        <v>156312.76541359918</v>
      </c>
      <c r="AN71" s="93"/>
      <c r="AO71" s="96">
        <f t="shared" si="28"/>
        <v>34.561137132964205</v>
      </c>
      <c r="AP71" s="92">
        <f t="shared" si="27"/>
        <v>3.3338717491605344E-3</v>
      </c>
      <c r="AR71" s="94">
        <f t="shared" si="40"/>
        <v>1.0665868622765907E-2</v>
      </c>
      <c r="AS71" s="95">
        <v>517453.27171815862</v>
      </c>
      <c r="AU71" s="141">
        <v>110.56950472267323</v>
      </c>
    </row>
    <row r="72" spans="1:47">
      <c r="A72" s="78">
        <v>2010</v>
      </c>
      <c r="B72" s="78">
        <v>8</v>
      </c>
      <c r="C72" s="317">
        <f t="shared" si="19"/>
        <v>326.45437890907908</v>
      </c>
      <c r="D72" s="318">
        <f t="shared" si="31"/>
        <v>0.16603274573816959</v>
      </c>
      <c r="E72" s="321">
        <f>$D72*'MWh Impact Summary'!B$16</f>
        <v>140979.46859629583</v>
      </c>
      <c r="F72" s="319">
        <f>$D72*'MWh Impact Summary'!N$16</f>
        <v>4523.9022661637673</v>
      </c>
      <c r="G72" s="319">
        <f>$D72*'MWh Impact Summary'!C$16</f>
        <v>115557.41668205406</v>
      </c>
      <c r="H72" s="319">
        <f>$D72*'MWh Impact Summary'!D$16</f>
        <v>117.86628125254673</v>
      </c>
      <c r="I72" s="319">
        <f>$D72*'MWh Impact Summary'!E$16</f>
        <v>51440.635251960884</v>
      </c>
      <c r="J72" s="104">
        <f t="shared" si="41"/>
        <v>312619.28907772707</v>
      </c>
      <c r="K72" s="298">
        <f t="shared" si="20"/>
        <v>10.933333333333334</v>
      </c>
      <c r="L72" s="299">
        <f t="shared" si="32"/>
        <v>7.6968203684148764E-2</v>
      </c>
      <c r="M72" s="297">
        <f t="shared" si="42"/>
        <v>8.3333333333333329E-2</v>
      </c>
      <c r="N72" s="302">
        <f>$L72*'MWh Impact Summary'!F$16</f>
        <v>29681.052858139137</v>
      </c>
      <c r="O72" s="302">
        <f>$L72*'MWh Impact Summary'!G$16</f>
        <v>0</v>
      </c>
      <c r="P72" s="304">
        <f>$M72*'MWh Impact Summary'!H$16</f>
        <v>617.18368191880154</v>
      </c>
      <c r="Q72" s="304">
        <f>$M72*'MWh Impact Summary'!I$16</f>
        <v>569.92539240704309</v>
      </c>
      <c r="R72" s="304">
        <f>$M72*'MWh Impact Summary'!J$16</f>
        <v>5780.7444076603188</v>
      </c>
      <c r="S72" s="304">
        <f>$M72*'MWh Impact Summary'!K$16</f>
        <v>0</v>
      </c>
      <c r="T72" s="304">
        <f>$M72*'MWh Impact Summary'!L$16</f>
        <v>0</v>
      </c>
      <c r="U72" s="304">
        <f>$M72*'MWh Impact Summary'!M$16</f>
        <v>0</v>
      </c>
      <c r="V72" s="302">
        <f>$L72*'MWh Impact Summary'!O$16</f>
        <v>0</v>
      </c>
      <c r="W72" s="302">
        <f>$L72*'MWh Impact Summary'!P$16</f>
        <v>164857.19310501777</v>
      </c>
      <c r="X72" s="302">
        <f>$L72*'MWh Impact Summary'!Q$16</f>
        <v>0</v>
      </c>
      <c r="Y72" s="85">
        <f t="shared" si="33"/>
        <v>201506.09944514307</v>
      </c>
      <c r="Z72" s="81">
        <f t="shared" si="34"/>
        <v>514125.38852287014</v>
      </c>
      <c r="AA72" s="81"/>
      <c r="AB72" s="81">
        <f>+'MWh by mo-WgtbyActulCDH&amp;Days'!AB72</f>
        <v>4526766</v>
      </c>
      <c r="AC72" s="308">
        <f t="shared" si="43"/>
        <v>113.57454494508224</v>
      </c>
      <c r="AD72" s="309">
        <f t="shared" si="35"/>
        <v>69.060183158954331</v>
      </c>
      <c r="AE72" s="107">
        <f t="shared" si="36"/>
        <v>6.3164801669775301E-3</v>
      </c>
      <c r="AF72" s="309">
        <f t="shared" si="44"/>
        <v>44.514361786127907</v>
      </c>
      <c r="AG72" s="107">
        <f t="shared" si="37"/>
        <v>4.0714355292190158E-3</v>
      </c>
      <c r="AH72" s="119">
        <f t="shared" si="45"/>
        <v>1.0387915696196546E-2</v>
      </c>
      <c r="AI72" s="122">
        <f t="shared" si="38"/>
        <v>1.0387915696196546E-2</v>
      </c>
      <c r="AJ72" s="87" t="b">
        <f t="shared" si="46"/>
        <v>1</v>
      </c>
      <c r="AK72" s="88">
        <f t="shared" si="22"/>
        <v>1.7479626006016626E-3</v>
      </c>
      <c r="AM72" s="89">
        <f t="shared" si="39"/>
        <v>164857.19310501777</v>
      </c>
      <c r="AN72" s="93"/>
      <c r="AO72" s="96">
        <f t="shared" si="28"/>
        <v>36.418315659571931</v>
      </c>
      <c r="AP72" s="92">
        <f t="shared" si="27"/>
        <v>3.3309435054486524E-3</v>
      </c>
      <c r="AR72" s="94">
        <f t="shared" si="40"/>
        <v>1.0387915696196546E-2</v>
      </c>
      <c r="AS72" s="95">
        <v>537984.46334324288</v>
      </c>
      <c r="AU72" s="141">
        <v>113.57454494508224</v>
      </c>
    </row>
    <row r="73" spans="1:47">
      <c r="A73" s="78">
        <v>2010</v>
      </c>
      <c r="B73" s="78">
        <v>9</v>
      </c>
      <c r="C73" s="317">
        <f t="shared" si="19"/>
        <v>277.87653293728147</v>
      </c>
      <c r="D73" s="318">
        <f t="shared" si="31"/>
        <v>0.14132634365008559</v>
      </c>
      <c r="E73" s="321">
        <f>$D73*'MWh Impact Summary'!B$16</f>
        <v>120001.10422715344</v>
      </c>
      <c r="F73" s="319">
        <f>$D73*'MWh Impact Summary'!N$16</f>
        <v>3850.7257316306668</v>
      </c>
      <c r="G73" s="319">
        <f>$D73*'MWh Impact Summary'!C$16</f>
        <v>98361.965338321024</v>
      </c>
      <c r="H73" s="319">
        <f>$D73*'MWh Impact Summary'!D$16</f>
        <v>100.32726071593001</v>
      </c>
      <c r="I73" s="319">
        <f>$D73*'MWh Impact Summary'!E$16</f>
        <v>43786.042704261774</v>
      </c>
      <c r="J73" s="104">
        <f t="shared" si="41"/>
        <v>266100.16526208282</v>
      </c>
      <c r="K73" s="298">
        <f t="shared" si="20"/>
        <v>11.683333333333334</v>
      </c>
      <c r="L73" s="299">
        <f t="shared" si="32"/>
        <v>8.2248034729555317E-2</v>
      </c>
      <c r="M73" s="297">
        <f t="shared" si="42"/>
        <v>8.3333333333333329E-2</v>
      </c>
      <c r="N73" s="302">
        <f>$L73*'MWh Impact Summary'!F$16</f>
        <v>31717.100691395637</v>
      </c>
      <c r="O73" s="302">
        <f>$L73*'MWh Impact Summary'!G$16</f>
        <v>0</v>
      </c>
      <c r="P73" s="304">
        <f>$M73*'MWh Impact Summary'!H$16</f>
        <v>617.18368191880154</v>
      </c>
      <c r="Q73" s="304">
        <f>$M73*'MWh Impact Summary'!I$16</f>
        <v>569.92539240704309</v>
      </c>
      <c r="R73" s="304">
        <f>$M73*'MWh Impact Summary'!J$16</f>
        <v>5780.7444076603188</v>
      </c>
      <c r="S73" s="304">
        <f>$M73*'MWh Impact Summary'!K$16</f>
        <v>0</v>
      </c>
      <c r="T73" s="304">
        <f>$M73*'MWh Impact Summary'!L$16</f>
        <v>0</v>
      </c>
      <c r="U73" s="304">
        <f>$M73*'MWh Impact Summary'!M$16</f>
        <v>0</v>
      </c>
      <c r="V73" s="302">
        <f>$L73*'MWh Impact Summary'!O$16</f>
        <v>0</v>
      </c>
      <c r="W73" s="302">
        <f>$L73*'MWh Impact Summary'!P$16</f>
        <v>176165.9944613071</v>
      </c>
      <c r="X73" s="302">
        <f>$L73*'MWh Impact Summary'!Q$16</f>
        <v>0</v>
      </c>
      <c r="Y73" s="85">
        <f t="shared" si="33"/>
        <v>214850.94863468892</v>
      </c>
      <c r="Z73" s="81">
        <f t="shared" si="34"/>
        <v>480951.11389677174</v>
      </c>
      <c r="AA73" s="81"/>
      <c r="AB73" s="81">
        <f>+'MWh by mo-WgtbyActulCDH&amp;Days'!AB73</f>
        <v>4524923</v>
      </c>
      <c r="AC73" s="308">
        <f t="shared" si="43"/>
        <v>106.28934766332415</v>
      </c>
      <c r="AD73" s="309">
        <f t="shared" si="35"/>
        <v>58.807667061314149</v>
      </c>
      <c r="AE73" s="107">
        <f t="shared" si="36"/>
        <v>5.033466510240869E-3</v>
      </c>
      <c r="AF73" s="309">
        <f t="shared" si="44"/>
        <v>47.481680602010002</v>
      </c>
      <c r="AG73" s="107">
        <f t="shared" si="37"/>
        <v>4.064052547960913E-3</v>
      </c>
      <c r="AH73" s="119">
        <f t="shared" si="45"/>
        <v>9.097519058201782E-3</v>
      </c>
      <c r="AI73" s="122">
        <f t="shared" si="38"/>
        <v>9.097519058201782E-3</v>
      </c>
      <c r="AJ73" s="87" t="b">
        <f>AH73=AI73</f>
        <v>1</v>
      </c>
      <c r="AK73" s="88">
        <f t="shared" si="22"/>
        <v>1.5200601176216209E-3</v>
      </c>
      <c r="AM73" s="89">
        <f t="shared" si="39"/>
        <v>176165.9944613071</v>
      </c>
      <c r="AN73" s="93"/>
      <c r="AO73" s="96">
        <f t="shared" si="28"/>
        <v>38.932373978807398</v>
      </c>
      <c r="AP73" s="92">
        <f t="shared" si="27"/>
        <v>3.3323001979007759E-3</v>
      </c>
      <c r="AR73" s="94">
        <f t="shared" si="40"/>
        <v>9.097519058201782E-3</v>
      </c>
      <c r="AS73" s="95">
        <v>508025.22154489503</v>
      </c>
      <c r="AU73" s="141">
        <v>106.28934766332415</v>
      </c>
    </row>
    <row r="74" spans="1:47">
      <c r="A74" s="78">
        <v>2010</v>
      </c>
      <c r="B74" s="78">
        <v>10</v>
      </c>
      <c r="C74" s="317">
        <f t="shared" si="19"/>
        <v>198.89039579254836</v>
      </c>
      <c r="D74" s="318">
        <f t="shared" si="31"/>
        <v>0.10115446643644242</v>
      </c>
      <c r="E74" s="321">
        <f>$D74*'MWh Impact Summary'!B$16</f>
        <v>85890.905802644178</v>
      </c>
      <c r="F74" s="319">
        <f>$D74*'MWh Impact Summary'!N$16</f>
        <v>2756.1606471656819</v>
      </c>
      <c r="G74" s="319">
        <f>$D74*'MWh Impact Summary'!C$16</f>
        <v>70402.671324127761</v>
      </c>
      <c r="H74" s="319">
        <f>$D74*'MWh Impact Summary'!D$16</f>
        <v>71.809333381445654</v>
      </c>
      <c r="I74" s="319">
        <f>$D74*'MWh Impact Summary'!E$16</f>
        <v>31339.902191760975</v>
      </c>
      <c r="J74" s="104">
        <f t="shared" si="41"/>
        <v>190461.44929908006</v>
      </c>
      <c r="K74" s="298">
        <f t="shared" si="20"/>
        <v>12.466666666666667</v>
      </c>
      <c r="L74" s="299">
        <f t="shared" si="32"/>
        <v>8.7762524932535488E-2</v>
      </c>
      <c r="M74" s="297">
        <f t="shared" si="42"/>
        <v>8.3333333333333329E-2</v>
      </c>
      <c r="N74" s="302">
        <f>$L74*'MWh Impact Summary'!F$16</f>
        <v>33843.639539463533</v>
      </c>
      <c r="O74" s="302">
        <f>$L74*'MWh Impact Summary'!G$16</f>
        <v>0</v>
      </c>
      <c r="P74" s="304">
        <f>$M74*'MWh Impact Summary'!H$16</f>
        <v>617.18368191880154</v>
      </c>
      <c r="Q74" s="304">
        <f>$M74*'MWh Impact Summary'!I$16</f>
        <v>569.92539240704309</v>
      </c>
      <c r="R74" s="304">
        <f>$M74*'MWh Impact Summary'!J$16</f>
        <v>5780.7444076603188</v>
      </c>
      <c r="S74" s="304">
        <f>$M74*'MWh Impact Summary'!K$16</f>
        <v>0</v>
      </c>
      <c r="T74" s="304">
        <f>$M74*'MWh Impact Summary'!L$16</f>
        <v>0</v>
      </c>
      <c r="U74" s="304">
        <f>$M74*'MWh Impact Summary'!M$16</f>
        <v>0</v>
      </c>
      <c r="V74" s="302">
        <f>$L74*'MWh Impact Summary'!O$16</f>
        <v>0</v>
      </c>
      <c r="W74" s="302">
        <f>$L74*'MWh Impact Summary'!P$16</f>
        <v>187977.40921120931</v>
      </c>
      <c r="X74" s="302">
        <f>$L74*'MWh Impact Summary'!Q$16</f>
        <v>0</v>
      </c>
      <c r="Y74" s="85">
        <f t="shared" si="33"/>
        <v>228788.90223265899</v>
      </c>
      <c r="Z74" s="81">
        <f t="shared" si="34"/>
        <v>419250.35153173906</v>
      </c>
      <c r="AA74" s="81"/>
      <c r="AB74" s="81">
        <f>+'MWh by mo-WgtbyActulCDH&amp;Days'!AB74</f>
        <v>4524001</v>
      </c>
      <c r="AC74" s="308">
        <f t="shared" si="43"/>
        <v>92.672471012216633</v>
      </c>
      <c r="AD74" s="309">
        <f t="shared" si="35"/>
        <v>42.100222634583872</v>
      </c>
      <c r="AE74" s="107">
        <f t="shared" si="36"/>
        <v>3.3770232059826639E-3</v>
      </c>
      <c r="AF74" s="309">
        <f t="shared" si="44"/>
        <v>50.572248377632761</v>
      </c>
      <c r="AG74" s="107">
        <f t="shared" si="37"/>
        <v>4.0565974634464786E-3</v>
      </c>
      <c r="AH74" s="119">
        <f t="shared" si="45"/>
        <v>7.4336206694291425E-3</v>
      </c>
      <c r="AI74" s="122">
        <f t="shared" si="38"/>
        <v>7.4336206694291416E-3</v>
      </c>
      <c r="AJ74" s="87" t="b">
        <f t="shared" si="46"/>
        <v>1</v>
      </c>
      <c r="AK74" s="88">
        <f t="shared" si="22"/>
        <v>1.2306626913373602E-3</v>
      </c>
      <c r="AM74" s="89">
        <f t="shared" si="39"/>
        <v>187977.40921120931</v>
      </c>
      <c r="AN74" s="93"/>
      <c r="AO74" s="96">
        <f t="shared" si="28"/>
        <v>41.551142276761055</v>
      </c>
      <c r="AP74" s="92">
        <f t="shared" si="27"/>
        <v>3.3329793270129187E-3</v>
      </c>
      <c r="AR74" s="94">
        <f t="shared" si="40"/>
        <v>7.4336206694291416E-3</v>
      </c>
      <c r="AS74" s="95">
        <v>408735.92382140399</v>
      </c>
      <c r="AU74" s="141">
        <v>92.672471012216633</v>
      </c>
    </row>
    <row r="75" spans="1:47">
      <c r="A75" s="78">
        <v>2010</v>
      </c>
      <c r="B75" s="78">
        <v>11</v>
      </c>
      <c r="C75" s="317">
        <f t="shared" si="19"/>
        <v>78.117279066674627</v>
      </c>
      <c r="D75" s="318">
        <f t="shared" si="31"/>
        <v>3.9729981188725644E-2</v>
      </c>
      <c r="E75" s="321">
        <f>$D75*'MWh Impact Summary'!B$16</f>
        <v>33734.981677410884</v>
      </c>
      <c r="F75" s="319">
        <f>$D75*'MWh Impact Summary'!N$16</f>
        <v>1082.5247220675233</v>
      </c>
      <c r="G75" s="319">
        <f>$D75*'MWh Impact Summary'!C$16</f>
        <v>27651.738038686686</v>
      </c>
      <c r="H75" s="319">
        <f>$D75*'MWh Impact Summary'!D$16</f>
        <v>28.204226317701519</v>
      </c>
      <c r="I75" s="319">
        <f>$D75*'MWh Impact Summary'!E$16</f>
        <v>12309.231301393003</v>
      </c>
      <c r="J75" s="104">
        <f t="shared" si="41"/>
        <v>74806.679965875795</v>
      </c>
      <c r="K75" s="298">
        <f t="shared" si="20"/>
        <v>13.15</v>
      </c>
      <c r="L75" s="299">
        <f t="shared" si="32"/>
        <v>9.2573037662794788E-2</v>
      </c>
      <c r="M75" s="297">
        <f t="shared" si="42"/>
        <v>8.3333333333333329E-2</v>
      </c>
      <c r="N75" s="302">
        <f>$L75*'MWh Impact Summary'!F$16</f>
        <v>35698.70534309723</v>
      </c>
      <c r="O75" s="302">
        <f>$L75*'MWh Impact Summary'!G$16</f>
        <v>0</v>
      </c>
      <c r="P75" s="304">
        <f>$M75*'MWh Impact Summary'!H$16</f>
        <v>617.18368191880154</v>
      </c>
      <c r="Q75" s="304">
        <f>$M75*'MWh Impact Summary'!I$16</f>
        <v>569.92539240704309</v>
      </c>
      <c r="R75" s="304">
        <f>$M75*'MWh Impact Summary'!J$16</f>
        <v>5780.7444076603188</v>
      </c>
      <c r="S75" s="304">
        <f>$M75*'MWh Impact Summary'!K$16</f>
        <v>0</v>
      </c>
      <c r="T75" s="304">
        <f>$M75*'MWh Impact Summary'!L$16</f>
        <v>0</v>
      </c>
      <c r="U75" s="304">
        <f>$M75*'MWh Impact Summary'!M$16</f>
        <v>0</v>
      </c>
      <c r="V75" s="302">
        <f>$L75*'MWh Impact Summary'!O$16</f>
        <v>0</v>
      </c>
      <c r="W75" s="302">
        <f>$L75*'MWh Impact Summary'!P$16</f>
        <v>198280.98378027292</v>
      </c>
      <c r="X75" s="302">
        <f>$L75*'MWh Impact Summary'!Q$16</f>
        <v>0</v>
      </c>
      <c r="Y75" s="85">
        <f t="shared" si="33"/>
        <v>240947.54260535631</v>
      </c>
      <c r="Z75" s="81">
        <f t="shared" si="34"/>
        <v>315754.22257123212</v>
      </c>
      <c r="AA75" s="81"/>
      <c r="AB75" s="81">
        <f>+'MWh by mo-WgtbyActulCDH&amp;Days'!AB75</f>
        <v>4525048</v>
      </c>
      <c r="AC75" s="308">
        <f t="shared" si="43"/>
        <v>69.779198490542456</v>
      </c>
      <c r="AD75" s="309">
        <f t="shared" si="35"/>
        <v>16.531687612126056</v>
      </c>
      <c r="AE75" s="107">
        <f t="shared" si="36"/>
        <v>1.2571625560552134E-3</v>
      </c>
      <c r="AF75" s="309">
        <f t="shared" si="44"/>
        <v>53.247510878416385</v>
      </c>
      <c r="AG75" s="107">
        <f t="shared" si="37"/>
        <v>4.0492403709822345E-3</v>
      </c>
      <c r="AH75" s="119">
        <f t="shared" si="45"/>
        <v>5.3064029270374477E-3</v>
      </c>
      <c r="AI75" s="122">
        <f t="shared" si="38"/>
        <v>5.3064029270374485E-3</v>
      </c>
      <c r="AJ75" s="87" t="b">
        <f t="shared" si="46"/>
        <v>1</v>
      </c>
      <c r="AK75" s="88">
        <f t="shared" si="22"/>
        <v>8.6421576900143088E-4</v>
      </c>
      <c r="AM75" s="89">
        <f t="shared" si="39"/>
        <v>198280.98378027292</v>
      </c>
      <c r="AN75" s="93"/>
      <c r="AO75" s="96">
        <f t="shared" si="28"/>
        <v>43.818537124970369</v>
      </c>
      <c r="AP75" s="92">
        <f t="shared" si="27"/>
        <v>3.3322081463855791E-3</v>
      </c>
      <c r="AR75" s="94">
        <f t="shared" si="40"/>
        <v>5.3064029270374485E-3</v>
      </c>
      <c r="AS75" s="95">
        <v>314574.29537016101</v>
      </c>
      <c r="AU75" s="141">
        <v>69.779198490542456</v>
      </c>
    </row>
    <row r="76" spans="1:47">
      <c r="A76" s="78">
        <v>2010</v>
      </c>
      <c r="B76" s="78">
        <v>12</v>
      </c>
      <c r="C76" s="317">
        <f t="shared" si="19"/>
        <v>42.633806123140985</v>
      </c>
      <c r="D76" s="318">
        <f t="shared" si="31"/>
        <v>2.1683298951445065E-2</v>
      </c>
      <c r="E76" s="321">
        <f>$D76*'MWh Impact Summary'!B$16</f>
        <v>18411.428119185694</v>
      </c>
      <c r="F76" s="319">
        <f>$D76*'MWh Impact Summary'!N$16</f>
        <v>590.80589692252465</v>
      </c>
      <c r="G76" s="319">
        <f>$D76*'MWh Impact Summary'!C$16</f>
        <v>15091.396584653667</v>
      </c>
      <c r="H76" s="319">
        <f>$D76*'MWh Impact Summary'!D$16</f>
        <v>15.392926264824963</v>
      </c>
      <c r="I76" s="319">
        <f>$D76*'MWh Impact Summary'!E$16</f>
        <v>6717.9679975869321</v>
      </c>
      <c r="J76" s="104">
        <f t="shared" si="41"/>
        <v>40826.991524613637</v>
      </c>
      <c r="K76" s="298">
        <f t="shared" si="20"/>
        <v>13.483333333333333</v>
      </c>
      <c r="L76" s="299">
        <f t="shared" si="32"/>
        <v>9.491962923853102E-2</v>
      </c>
      <c r="M76" s="297">
        <f t="shared" si="42"/>
        <v>8.3333333333333329E-2</v>
      </c>
      <c r="N76" s="302">
        <f>$L76*'MWh Impact Summary'!F$16</f>
        <v>36603.615491211225</v>
      </c>
      <c r="O76" s="302">
        <f>$L76*'MWh Impact Summary'!G$16</f>
        <v>0</v>
      </c>
      <c r="P76" s="304">
        <f>$M76*'MWh Impact Summary'!H$16</f>
        <v>617.18368191880154</v>
      </c>
      <c r="Q76" s="304">
        <f>$M76*'MWh Impact Summary'!I$16</f>
        <v>569.92539240704309</v>
      </c>
      <c r="R76" s="304">
        <f>$M76*'MWh Impact Summary'!J$16</f>
        <v>5780.7444076603188</v>
      </c>
      <c r="S76" s="304">
        <f>$M76*'MWh Impact Summary'!K$16</f>
        <v>0</v>
      </c>
      <c r="T76" s="304">
        <f>$M76*'MWh Impact Summary'!L$16</f>
        <v>0</v>
      </c>
      <c r="U76" s="304">
        <f>$M76*'MWh Impact Summary'!M$16</f>
        <v>0</v>
      </c>
      <c r="V76" s="302">
        <f>$L76*'MWh Impact Summary'!O$16</f>
        <v>0</v>
      </c>
      <c r="W76" s="302">
        <f>$L76*'MWh Impact Summary'!P$16</f>
        <v>203307.11771640147</v>
      </c>
      <c r="X76" s="302">
        <f>$L76*'MWh Impact Summary'!Q$16</f>
        <v>0</v>
      </c>
      <c r="Y76" s="85">
        <f t="shared" si="33"/>
        <v>246878.58668959886</v>
      </c>
      <c r="Z76" s="81">
        <f t="shared" si="34"/>
        <v>287705.5782142125</v>
      </c>
      <c r="AA76" s="81">
        <f>SUM(Z65:Z76)</f>
        <v>4494005.9847322749</v>
      </c>
      <c r="AB76" s="81">
        <f>+'MWh by mo-WgtbyActulCDH&amp;Days'!AB76</f>
        <v>4527028</v>
      </c>
      <c r="AC76" s="308">
        <f t="shared" si="43"/>
        <v>63.552860334465009</v>
      </c>
      <c r="AD76" s="309">
        <f t="shared" si="35"/>
        <v>9.0184976820584346</v>
      </c>
      <c r="AE76" s="107">
        <f t="shared" si="36"/>
        <v>6.688626216606998E-4</v>
      </c>
      <c r="AF76" s="309">
        <f t="shared" si="44"/>
        <v>54.534362652406578</v>
      </c>
      <c r="AG76" s="107">
        <f t="shared" si="37"/>
        <v>4.0445757220573478E-3</v>
      </c>
      <c r="AH76" s="119">
        <f t="shared" si="45"/>
        <v>4.7134383437180474E-3</v>
      </c>
      <c r="AI76" s="122">
        <f t="shared" si="38"/>
        <v>4.7134383437180474E-3</v>
      </c>
      <c r="AJ76" s="87" t="b">
        <f t="shared" si="46"/>
        <v>1</v>
      </c>
      <c r="AK76" s="88">
        <f t="shared" si="22"/>
        <v>7.5883700138931233E-4</v>
      </c>
      <c r="AM76" s="89">
        <f t="shared" si="39"/>
        <v>203307.11771640147</v>
      </c>
      <c r="AN76" s="90">
        <f>SUM(AM65:AM76)</f>
        <v>2141886.9768811986</v>
      </c>
      <c r="AO76" s="96">
        <f t="shared" si="28"/>
        <v>44.909622320957915</v>
      </c>
      <c r="AP76" s="92">
        <f t="shared" si="27"/>
        <v>3.3307507283775956E-3</v>
      </c>
      <c r="AR76" s="94">
        <f t="shared" si="40"/>
        <v>4.7134383437180474E-3</v>
      </c>
      <c r="AS76" s="95">
        <v>258947.55583039363</v>
      </c>
      <c r="AU76" s="141">
        <v>63.552860334465009</v>
      </c>
    </row>
    <row r="77" spans="1:47">
      <c r="A77" s="78">
        <v>2011</v>
      </c>
      <c r="B77" s="78">
        <v>1</v>
      </c>
      <c r="C77" s="317">
        <f t="shared" si="19"/>
        <v>26.112829868525239</v>
      </c>
      <c r="D77" s="318">
        <f t="shared" ref="D77:D87" si="47">C77/(SUM(C$77:C$88))</f>
        <v>1.3280829182176284E-2</v>
      </c>
      <c r="E77" s="321">
        <f>$D77*'MWh Impact Summary'!B$17</f>
        <v>13432.76634073208</v>
      </c>
      <c r="F77" s="319">
        <f>$D77*'MWh Impact Summary'!N$17</f>
        <v>490.05190395476524</v>
      </c>
      <c r="G77" s="319">
        <f>$D77*'MWh Impact Summary'!C$17</f>
        <v>11201.470711571277</v>
      </c>
      <c r="H77" s="319">
        <f>$D77*'MWh Impact Summary'!D$17</f>
        <v>19.643916772745104</v>
      </c>
      <c r="I77" s="319">
        <f>$D77*'MWh Impact Summary'!E$17</f>
        <v>4811.3671615230787</v>
      </c>
      <c r="J77" s="104">
        <f t="shared" si="41"/>
        <v>29955.300034553944</v>
      </c>
      <c r="K77" s="298">
        <f t="shared" si="20"/>
        <v>13.3</v>
      </c>
      <c r="L77" s="299">
        <f t="shared" ref="L77:L87" si="48">K77/(SUM(K$77:K$88))</f>
        <v>9.3629003871876101E-2</v>
      </c>
      <c r="M77" s="297">
        <f t="shared" si="42"/>
        <v>8.3333333333333329E-2</v>
      </c>
      <c r="N77" s="302">
        <f>$L77*'MWh Impact Summary'!F$17</f>
        <v>45596.123475217915</v>
      </c>
      <c r="O77" s="302">
        <f>$L77*'MWh Impact Summary'!G$17</f>
        <v>0</v>
      </c>
      <c r="P77" s="304">
        <f>$M77*'MWh Impact Summary'!H$17</f>
        <v>1285.6328367875467</v>
      </c>
      <c r="Q77" s="304">
        <f>$M77*'MWh Impact Summary'!I$17</f>
        <v>660.78087273506253</v>
      </c>
      <c r="R77" s="304">
        <f>$M77*'MWh Impact Summary'!J$17</f>
        <v>8912.141439876581</v>
      </c>
      <c r="S77" s="304">
        <f>$M77*'MWh Impact Summary'!K$17</f>
        <v>0</v>
      </c>
      <c r="T77" s="304">
        <f>$M77*'MWh Impact Summary'!L$17</f>
        <v>0</v>
      </c>
      <c r="U77" s="304">
        <f>$M77*'MWh Impact Summary'!M$17</f>
        <v>0</v>
      </c>
      <c r="V77" s="302">
        <f>$L77*'MWh Impact Summary'!O$17</f>
        <v>0</v>
      </c>
      <c r="W77" s="302">
        <f>$L77*'MWh Impact Summary'!P$17</f>
        <v>226413.39706421539</v>
      </c>
      <c r="X77" s="302">
        <f>$L77*'MWh Impact Summary'!Q$17</f>
        <v>0</v>
      </c>
      <c r="Y77" s="85">
        <f t="shared" si="33"/>
        <v>282868.0756888325</v>
      </c>
      <c r="Z77" s="81">
        <f t="shared" si="34"/>
        <v>312823.37572338642</v>
      </c>
      <c r="AA77" s="81"/>
      <c r="AB77" s="81">
        <f>+'MWh by mo-WgtbyActulCDH&amp;Days'!AB77</f>
        <v>4533029</v>
      </c>
      <c r="AC77" s="308">
        <f t="shared" si="43"/>
        <v>69.009789199095437</v>
      </c>
      <c r="AD77" s="309">
        <f t="shared" si="35"/>
        <v>6.6082303983834967</v>
      </c>
      <c r="AE77" s="107">
        <f t="shared" si="36"/>
        <v>4.96859428449887E-4</v>
      </c>
      <c r="AF77" s="309">
        <f t="shared" si="44"/>
        <v>62.40155880071196</v>
      </c>
      <c r="AG77" s="107">
        <f t="shared" si="37"/>
        <v>4.69184652636932E-3</v>
      </c>
      <c r="AH77" s="119">
        <f t="shared" si="45"/>
        <v>5.1887059548192073E-3</v>
      </c>
      <c r="AI77" s="122">
        <f t="shared" si="38"/>
        <v>5.1887059548192055E-3</v>
      </c>
      <c r="AJ77" s="87" t="b">
        <f t="shared" si="46"/>
        <v>1</v>
      </c>
      <c r="AK77" s="88">
        <f t="shared" si="22"/>
        <v>7.0256399315551856E-4</v>
      </c>
      <c r="AM77" s="89">
        <f t="shared" si="39"/>
        <v>226413.39706421539</v>
      </c>
      <c r="AN77" s="93"/>
      <c r="AO77" s="96">
        <f t="shared" si="28"/>
        <v>49.947484797519579</v>
      </c>
      <c r="AP77" s="92">
        <f t="shared" si="27"/>
        <v>3.7554499847759081E-3</v>
      </c>
      <c r="AR77" s="94">
        <f t="shared" si="40"/>
        <v>5.1887059548192055E-3</v>
      </c>
      <c r="AS77" s="95">
        <v>291644.66337637795</v>
      </c>
      <c r="AU77" s="141">
        <v>69.009789199095437</v>
      </c>
    </row>
    <row r="78" spans="1:47">
      <c r="A78" s="78">
        <v>2011</v>
      </c>
      <c r="B78" s="78">
        <v>2</v>
      </c>
      <c r="C78" s="317">
        <f t="shared" si="19"/>
        <v>35.042184420393127</v>
      </c>
      <c r="D78" s="318">
        <f t="shared" si="47"/>
        <v>1.7822245532205266E-2</v>
      </c>
      <c r="E78" s="321">
        <f>$D78*'MWh Impact Summary'!B$17</f>
        <v>18026.138023261556</v>
      </c>
      <c r="F78" s="319">
        <f>$D78*'MWh Impact Summary'!N$17</f>
        <v>657.62651081514161</v>
      </c>
      <c r="G78" s="319">
        <f>$D78*'MWh Impact Summary'!C$17</f>
        <v>15031.84466910791</v>
      </c>
      <c r="H78" s="319">
        <f>$D78*'MWh Impact Summary'!D$17</f>
        <v>26.361208561278932</v>
      </c>
      <c r="I78" s="319">
        <f>$D78*'MWh Impact Summary'!E$17</f>
        <v>6456.6274983293151</v>
      </c>
      <c r="J78" s="104">
        <f t="shared" si="41"/>
        <v>40198.597910075201</v>
      </c>
      <c r="K78" s="298">
        <f t="shared" si="20"/>
        <v>12.733333333333333</v>
      </c>
      <c r="L78" s="299">
        <f t="shared" si="48"/>
        <v>8.9639798193124468E-2</v>
      </c>
      <c r="M78" s="297">
        <f t="shared" si="42"/>
        <v>8.3333333333333329E-2</v>
      </c>
      <c r="N78" s="302">
        <f>$L78*'MWh Impact Summary'!F$17</f>
        <v>43653.431497577047</v>
      </c>
      <c r="O78" s="302">
        <f>$L78*'MWh Impact Summary'!G$17</f>
        <v>0</v>
      </c>
      <c r="P78" s="304">
        <f>$M78*'MWh Impact Summary'!H$17</f>
        <v>1285.6328367875467</v>
      </c>
      <c r="Q78" s="304">
        <f>$M78*'MWh Impact Summary'!I$17</f>
        <v>660.78087273506253</v>
      </c>
      <c r="R78" s="304">
        <f>$M78*'MWh Impact Summary'!J$17</f>
        <v>8912.141439876581</v>
      </c>
      <c r="S78" s="304">
        <f>$M78*'MWh Impact Summary'!K$17</f>
        <v>0</v>
      </c>
      <c r="T78" s="304">
        <f>$M78*'MWh Impact Summary'!L$17</f>
        <v>0</v>
      </c>
      <c r="U78" s="304">
        <f>$M78*'MWh Impact Summary'!M$17</f>
        <v>0</v>
      </c>
      <c r="V78" s="302">
        <f>$L78*'MWh Impact Summary'!O$17</f>
        <v>0</v>
      </c>
      <c r="W78" s="302">
        <f>$L78*'MWh Impact Summary'!P$17</f>
        <v>216766.71097376005</v>
      </c>
      <c r="X78" s="302">
        <f>$L78*'MWh Impact Summary'!Q$17</f>
        <v>0</v>
      </c>
      <c r="Y78" s="85">
        <f t="shared" si="33"/>
        <v>271278.69762073632</v>
      </c>
      <c r="Z78" s="81">
        <f t="shared" si="34"/>
        <v>311477.29553081153</v>
      </c>
      <c r="AA78" s="81"/>
      <c r="AB78" s="81">
        <f>+'MWh by mo-WgtbyActulCDH&amp;Days'!AB78</f>
        <v>4539389</v>
      </c>
      <c r="AC78" s="308">
        <f t="shared" si="43"/>
        <v>68.616568337900006</v>
      </c>
      <c r="AD78" s="309">
        <f t="shared" si="35"/>
        <v>8.8555085078796285</v>
      </c>
      <c r="AE78" s="107">
        <f t="shared" si="36"/>
        <v>6.9545878334133216E-4</v>
      </c>
      <c r="AF78" s="309">
        <f t="shared" si="44"/>
        <v>59.761059830020365</v>
      </c>
      <c r="AG78" s="107">
        <f t="shared" si="37"/>
        <v>4.6932769500015997E-3</v>
      </c>
      <c r="AH78" s="119">
        <f t="shared" si="45"/>
        <v>5.3887357333429319E-3</v>
      </c>
      <c r="AI78" s="122">
        <f t="shared" si="38"/>
        <v>5.3887357333429328E-3</v>
      </c>
      <c r="AJ78" s="87" t="b">
        <f t="shared" si="46"/>
        <v>1</v>
      </c>
      <c r="AK78" s="88">
        <f t="shared" si="22"/>
        <v>7.3847945081672878E-4</v>
      </c>
      <c r="AM78" s="89">
        <f t="shared" si="39"/>
        <v>216766.71097376005</v>
      </c>
      <c r="AN78" s="93"/>
      <c r="AO78" s="96">
        <f t="shared" si="28"/>
        <v>47.752398169392414</v>
      </c>
      <c r="AP78" s="92">
        <f t="shared" si="27"/>
        <v>3.7501883379103991E-3</v>
      </c>
      <c r="AR78" s="94">
        <f t="shared" si="40"/>
        <v>5.3887357333429328E-3</v>
      </c>
      <c r="AS78" s="95">
        <v>271269.7836528655</v>
      </c>
      <c r="AU78" s="141">
        <v>68.616568337900006</v>
      </c>
    </row>
    <row r="79" spans="1:47">
      <c r="A79" s="78">
        <v>2011</v>
      </c>
      <c r="B79" s="78">
        <v>3</v>
      </c>
      <c r="C79" s="317">
        <f t="shared" si="19"/>
        <v>64.582270600115152</v>
      </c>
      <c r="D79" s="318">
        <f t="shared" si="47"/>
        <v>3.2846156787895278E-2</v>
      </c>
      <c r="E79" s="321">
        <f>$D79*'MWh Impact Summary'!B$17</f>
        <v>33221.927883462762</v>
      </c>
      <c r="F79" s="319">
        <f>$D79*'MWh Impact Summary'!N$17</f>
        <v>1211.9967398652416</v>
      </c>
      <c r="G79" s="319">
        <f>$D79*'MWh Impact Summary'!C$17</f>
        <v>27703.485844171999</v>
      </c>
      <c r="H79" s="319">
        <f>$D79*'MWh Impact Summary'!D$17</f>
        <v>48.583349834202174</v>
      </c>
      <c r="I79" s="319">
        <f>$D79*'MWh Impact Summary'!E$17</f>
        <v>11899.476906427695</v>
      </c>
      <c r="J79" s="104">
        <f t="shared" si="41"/>
        <v>74085.4707237619</v>
      </c>
      <c r="K79" s="298">
        <f t="shared" si="20"/>
        <v>12</v>
      </c>
      <c r="L79" s="299">
        <f t="shared" si="48"/>
        <v>8.4477296726504739E-2</v>
      </c>
      <c r="M79" s="297">
        <f t="shared" si="42"/>
        <v>8.3333333333333329E-2</v>
      </c>
      <c r="N79" s="302">
        <f>$L79*'MWh Impact Summary'!F$17</f>
        <v>41139.359526512402</v>
      </c>
      <c r="O79" s="302">
        <f>$L79*'MWh Impact Summary'!G$17</f>
        <v>0</v>
      </c>
      <c r="P79" s="304">
        <f>$M79*'MWh Impact Summary'!H$17</f>
        <v>1285.6328367875467</v>
      </c>
      <c r="Q79" s="304">
        <f>$M79*'MWh Impact Summary'!I$17</f>
        <v>660.78087273506253</v>
      </c>
      <c r="R79" s="304">
        <f>$M79*'MWh Impact Summary'!J$17</f>
        <v>8912.141439876581</v>
      </c>
      <c r="S79" s="304">
        <f>$M79*'MWh Impact Summary'!K$17</f>
        <v>0</v>
      </c>
      <c r="T79" s="304">
        <f>$M79*'MWh Impact Summary'!L$17</f>
        <v>0</v>
      </c>
      <c r="U79" s="304">
        <f>$M79*'MWh Impact Summary'!M$17</f>
        <v>0</v>
      </c>
      <c r="V79" s="302">
        <f>$L79*'MWh Impact Summary'!O$17</f>
        <v>0</v>
      </c>
      <c r="W79" s="302">
        <f>$L79*'MWh Impact Summary'!P$17</f>
        <v>204282.76426846499</v>
      </c>
      <c r="X79" s="302">
        <f>$L79*'MWh Impact Summary'!Q$17</f>
        <v>0</v>
      </c>
      <c r="Y79" s="85">
        <f t="shared" si="33"/>
        <v>256280.67894437659</v>
      </c>
      <c r="Z79" s="81">
        <f t="shared" si="34"/>
        <v>330366.14966813847</v>
      </c>
      <c r="AA79" s="81"/>
      <c r="AB79" s="81">
        <f>+'MWh by mo-WgtbyActulCDH&amp;Days'!AB79</f>
        <v>4546574</v>
      </c>
      <c r="AC79" s="308">
        <f t="shared" si="43"/>
        <v>72.662657567684704</v>
      </c>
      <c r="AD79" s="309">
        <f t="shared" si="35"/>
        <v>16.294790478228641</v>
      </c>
      <c r="AE79" s="107">
        <f t="shared" si="36"/>
        <v>1.3578992065190535E-3</v>
      </c>
      <c r="AF79" s="309">
        <f t="shared" si="44"/>
        <v>56.367867089456055</v>
      </c>
      <c r="AG79" s="107">
        <f t="shared" si="37"/>
        <v>4.6973222574546716E-3</v>
      </c>
      <c r="AH79" s="119">
        <f t="shared" si="45"/>
        <v>6.0552214639737253E-3</v>
      </c>
      <c r="AI79" s="122">
        <f t="shared" si="38"/>
        <v>6.0552214639737253E-3</v>
      </c>
      <c r="AJ79" s="87" t="b">
        <f t="shared" si="46"/>
        <v>1</v>
      </c>
      <c r="AK79" s="88">
        <f t="shared" si="22"/>
        <v>8.4621980275985647E-4</v>
      </c>
      <c r="AM79" s="89">
        <f t="shared" si="39"/>
        <v>204282.76426846499</v>
      </c>
      <c r="AN79" s="93"/>
      <c r="AO79" s="96">
        <f t="shared" si="28"/>
        <v>44.931142497288064</v>
      </c>
      <c r="AP79" s="92">
        <f t="shared" si="27"/>
        <v>3.7442618747740054E-3</v>
      </c>
      <c r="AR79" s="94">
        <f t="shared" si="40"/>
        <v>6.0552214639737253E-3</v>
      </c>
      <c r="AS79" s="95">
        <v>329734.12848243071</v>
      </c>
      <c r="AU79" s="141">
        <v>72.662657567684704</v>
      </c>
    </row>
    <row r="80" spans="1:47">
      <c r="A80" s="78">
        <v>2011</v>
      </c>
      <c r="B80" s="78">
        <v>4</v>
      </c>
      <c r="C80" s="317">
        <f t="shared" si="19"/>
        <v>114.03392869270741</v>
      </c>
      <c r="D80" s="318">
        <f t="shared" si="47"/>
        <v>5.7996974497419709E-2</v>
      </c>
      <c r="E80" s="321">
        <f>$D80*'MWh Impact Summary'!B$17</f>
        <v>58660.479417865266</v>
      </c>
      <c r="F80" s="319">
        <f>$D80*'MWh Impact Summary'!N$17</f>
        <v>2140.0416635295624</v>
      </c>
      <c r="G80" s="319">
        <f>$D80*'MWh Impact Summary'!C$17</f>
        <v>48916.479707793143</v>
      </c>
      <c r="H80" s="319">
        <f>$D80*'MWh Impact Summary'!D$17</f>
        <v>85.784383224153629</v>
      </c>
      <c r="I80" s="319">
        <f>$D80*'MWh Impact Summary'!E$17</f>
        <v>21011.093113001742</v>
      </c>
      <c r="J80" s="104">
        <f t="shared" si="41"/>
        <v>130813.87828541386</v>
      </c>
      <c r="K80" s="298">
        <f t="shared" si="20"/>
        <v>11.2</v>
      </c>
      <c r="L80" s="299">
        <f t="shared" si="48"/>
        <v>7.8845476944737758E-2</v>
      </c>
      <c r="M80" s="297">
        <f t="shared" si="42"/>
        <v>8.3333333333333329E-2</v>
      </c>
      <c r="N80" s="302">
        <f>$L80*'MWh Impact Summary'!F$17</f>
        <v>38396.735558078239</v>
      </c>
      <c r="O80" s="302">
        <f>$L80*'MWh Impact Summary'!G$17</f>
        <v>0</v>
      </c>
      <c r="P80" s="304">
        <f>$M80*'MWh Impact Summary'!H$17</f>
        <v>1285.6328367875467</v>
      </c>
      <c r="Q80" s="304">
        <f>$M80*'MWh Impact Summary'!I$17</f>
        <v>660.78087273506253</v>
      </c>
      <c r="R80" s="304">
        <f>$M80*'MWh Impact Summary'!J$17</f>
        <v>8912.141439876581</v>
      </c>
      <c r="S80" s="304">
        <f>$M80*'MWh Impact Summary'!K$17</f>
        <v>0</v>
      </c>
      <c r="T80" s="304">
        <f>$M80*'MWh Impact Summary'!L$17</f>
        <v>0</v>
      </c>
      <c r="U80" s="304">
        <f>$M80*'MWh Impact Summary'!M$17</f>
        <v>0</v>
      </c>
      <c r="V80" s="302">
        <f>$L80*'MWh Impact Summary'!O$17</f>
        <v>0</v>
      </c>
      <c r="W80" s="302">
        <f>$L80*'MWh Impact Summary'!P$17</f>
        <v>190663.91331723399</v>
      </c>
      <c r="X80" s="302">
        <f>$L80*'MWh Impact Summary'!Q$17</f>
        <v>0</v>
      </c>
      <c r="Y80" s="85">
        <f t="shared" si="33"/>
        <v>239919.20402471142</v>
      </c>
      <c r="Z80" s="81">
        <f t="shared" si="34"/>
        <v>370733.08231012529</v>
      </c>
      <c r="AA80" s="81"/>
      <c r="AB80" s="81">
        <f>+'MWh by mo-WgtbyActulCDH&amp;Days'!AB80</f>
        <v>4550254</v>
      </c>
      <c r="AC80" s="308">
        <f t="shared" si="43"/>
        <v>81.475250021235141</v>
      </c>
      <c r="AD80" s="309">
        <f t="shared" si="35"/>
        <v>28.74869804749666</v>
      </c>
      <c r="AE80" s="107">
        <f t="shared" si="36"/>
        <v>2.5668480399550593E-3</v>
      </c>
      <c r="AF80" s="309">
        <f t="shared" si="44"/>
        <v>52.726551973738481</v>
      </c>
      <c r="AG80" s="107">
        <f t="shared" si="37"/>
        <v>4.7077278547980788E-3</v>
      </c>
      <c r="AH80" s="119">
        <f t="shared" si="45"/>
        <v>7.274575894753138E-3</v>
      </c>
      <c r="AI80" s="122">
        <f t="shared" si="38"/>
        <v>7.274575894753138E-3</v>
      </c>
      <c r="AJ80" s="87" t="b">
        <f t="shared" si="46"/>
        <v>1</v>
      </c>
      <c r="AK80" s="88">
        <f t="shared" si="22"/>
        <v>1.0436154675033142E-3</v>
      </c>
      <c r="AM80" s="89">
        <f t="shared" si="39"/>
        <v>190663.91331723399</v>
      </c>
      <c r="AN80" s="93"/>
      <c r="AO80" s="96">
        <f t="shared" si="28"/>
        <v>41.901817638583246</v>
      </c>
      <c r="AP80" s="92">
        <f t="shared" si="27"/>
        <v>3.7412337177306471E-3</v>
      </c>
      <c r="AR80" s="94">
        <f t="shared" si="40"/>
        <v>7.274575894753138E-3</v>
      </c>
      <c r="AS80" s="95">
        <v>389711.18757361744</v>
      </c>
      <c r="AU80" s="141">
        <v>81.475250021235141</v>
      </c>
    </row>
    <row r="81" spans="1:47">
      <c r="A81" s="78">
        <v>2011</v>
      </c>
      <c r="B81" s="78">
        <v>5</v>
      </c>
      <c r="C81" s="317">
        <f t="shared" si="19"/>
        <v>208.47875842628665</v>
      </c>
      <c r="D81" s="318">
        <f t="shared" si="47"/>
        <v>0.10603105035770212</v>
      </c>
      <c r="E81" s="321">
        <f>$D81*'MWh Impact Summary'!B$17</f>
        <v>107244.08128288385</v>
      </c>
      <c r="F81" s="319">
        <f>$D81*'MWh Impact Summary'!N$17</f>
        <v>3912.4603888325059</v>
      </c>
      <c r="G81" s="319">
        <f>$D81*'MWh Impact Summary'!C$17</f>
        <v>89429.936098637074</v>
      </c>
      <c r="H81" s="319">
        <f>$D81*'MWh Impact Summary'!D$17</f>
        <v>156.8324612855335</v>
      </c>
      <c r="I81" s="319">
        <f>$D81*'MWh Impact Summary'!E$17</f>
        <v>38412.836035682725</v>
      </c>
      <c r="J81" s="104">
        <f t="shared" si="41"/>
        <v>239156.14626732169</v>
      </c>
      <c r="K81" s="298">
        <f t="shared" si="20"/>
        <v>10.533333333333333</v>
      </c>
      <c r="L81" s="299">
        <f t="shared" si="48"/>
        <v>7.4152293793265281E-2</v>
      </c>
      <c r="M81" s="297">
        <f t="shared" si="42"/>
        <v>8.3333333333333329E-2</v>
      </c>
      <c r="N81" s="302">
        <f>$L81*'MWh Impact Summary'!F$17</f>
        <v>36111.215584383113</v>
      </c>
      <c r="O81" s="302">
        <f>$L81*'MWh Impact Summary'!G$17</f>
        <v>0</v>
      </c>
      <c r="P81" s="304">
        <f>$M81*'MWh Impact Summary'!H$17</f>
        <v>1285.6328367875467</v>
      </c>
      <c r="Q81" s="304">
        <f>$M81*'MWh Impact Summary'!I$17</f>
        <v>660.78087273506253</v>
      </c>
      <c r="R81" s="304">
        <f>$M81*'MWh Impact Summary'!J$17</f>
        <v>8912.141439876581</v>
      </c>
      <c r="S81" s="304">
        <f>$M81*'MWh Impact Summary'!K$17</f>
        <v>0</v>
      </c>
      <c r="T81" s="304">
        <f>$M81*'MWh Impact Summary'!L$17</f>
        <v>0</v>
      </c>
      <c r="U81" s="304">
        <f>$M81*'MWh Impact Summary'!M$17</f>
        <v>0</v>
      </c>
      <c r="V81" s="302">
        <f>$L81*'MWh Impact Summary'!O$17</f>
        <v>0</v>
      </c>
      <c r="W81" s="302">
        <f>$L81*'MWh Impact Summary'!P$17</f>
        <v>179314.87085787483</v>
      </c>
      <c r="X81" s="302">
        <f>$L81*'MWh Impact Summary'!Q$17</f>
        <v>0</v>
      </c>
      <c r="Y81" s="85">
        <f t="shared" si="33"/>
        <v>226284.64159165713</v>
      </c>
      <c r="Z81" s="81">
        <f t="shared" si="34"/>
        <v>465440.78785897885</v>
      </c>
      <c r="AA81" s="81"/>
      <c r="AB81" s="81">
        <f>+'MWh by mo-WgtbyActulCDH&amp;Days'!AB81</f>
        <v>4549811</v>
      </c>
      <c r="AC81" s="308">
        <f t="shared" si="43"/>
        <v>102.29892799041077</v>
      </c>
      <c r="AD81" s="309">
        <f t="shared" si="35"/>
        <v>52.563973815026969</v>
      </c>
      <c r="AE81" s="107">
        <f t="shared" si="36"/>
        <v>4.9902506786418006E-3</v>
      </c>
      <c r="AF81" s="309">
        <f t="shared" si="44"/>
        <v>49.734954175383798</v>
      </c>
      <c r="AG81" s="107">
        <f t="shared" si="37"/>
        <v>4.7216728647516268E-3</v>
      </c>
      <c r="AH81" s="119">
        <f t="shared" si="45"/>
        <v>9.7119235433934283E-3</v>
      </c>
      <c r="AI81" s="122">
        <f t="shared" si="38"/>
        <v>9.7119235433934283E-3</v>
      </c>
      <c r="AJ81" s="87" t="b">
        <f t="shared" si="46"/>
        <v>1</v>
      </c>
      <c r="AK81" s="88">
        <f t="shared" si="22"/>
        <v>1.438951302370664E-3</v>
      </c>
      <c r="AM81" s="89">
        <f t="shared" si="39"/>
        <v>179314.87085787483</v>
      </c>
      <c r="AN81" s="93"/>
      <c r="AO81" s="96">
        <f t="shared" si="28"/>
        <v>39.411498820033366</v>
      </c>
      <c r="AP81" s="92">
        <f t="shared" si="27"/>
        <v>3.7415979892436741E-3</v>
      </c>
      <c r="AR81" s="94">
        <f t="shared" si="40"/>
        <v>9.7119235433934283E-3</v>
      </c>
      <c r="AS81" s="95">
        <v>471746.54588684964</v>
      </c>
      <c r="AU81" s="141">
        <v>102.29892799041077</v>
      </c>
    </row>
    <row r="82" spans="1:47">
      <c r="A82" s="78">
        <v>2011</v>
      </c>
      <c r="B82" s="78">
        <v>6</v>
      </c>
      <c r="C82" s="317">
        <f t="shared" ref="C82:C145" si="49">+C70</f>
        <v>271.66325293295364</v>
      </c>
      <c r="D82" s="318">
        <f t="shared" si="47"/>
        <v>0.13816630657965029</v>
      </c>
      <c r="E82" s="321">
        <f>$D82*'MWh Impact Summary'!B$17</f>
        <v>139746.97565850828</v>
      </c>
      <c r="F82" s="319">
        <f>$D82*'MWh Impact Summary'!N$17</f>
        <v>5098.2254701856082</v>
      </c>
      <c r="G82" s="319">
        <f>$D82*'MWh Impact Summary'!C$17</f>
        <v>116533.82595681574</v>
      </c>
      <c r="H82" s="319">
        <f>$D82*'MWh Impact Summary'!D$17</f>
        <v>204.3643051211566</v>
      </c>
      <c r="I82" s="319">
        <f>$D82*'MWh Impact Summary'!E$17</f>
        <v>50054.768507859546</v>
      </c>
      <c r="J82" s="104">
        <f t="shared" si="41"/>
        <v>311638.1598984903</v>
      </c>
      <c r="K82" s="298">
        <f t="shared" ref="K82:K145" si="50">+K70</f>
        <v>10.199999999999999</v>
      </c>
      <c r="L82" s="299">
        <f t="shared" si="48"/>
        <v>7.1805702217529022E-2</v>
      </c>
      <c r="M82" s="297">
        <f t="shared" si="42"/>
        <v>8.3333333333333329E-2</v>
      </c>
      <c r="N82" s="302">
        <f>$L82*'MWh Impact Summary'!F$17</f>
        <v>34968.45559753554</v>
      </c>
      <c r="O82" s="302">
        <f>$L82*'MWh Impact Summary'!G$17</f>
        <v>0</v>
      </c>
      <c r="P82" s="304">
        <f>$M82*'MWh Impact Summary'!H$17</f>
        <v>1285.6328367875467</v>
      </c>
      <c r="Q82" s="304">
        <f>$M82*'MWh Impact Summary'!I$17</f>
        <v>660.78087273506253</v>
      </c>
      <c r="R82" s="304">
        <f>$M82*'MWh Impact Summary'!J$17</f>
        <v>8912.141439876581</v>
      </c>
      <c r="S82" s="304">
        <f>$M82*'MWh Impact Summary'!K$17</f>
        <v>0</v>
      </c>
      <c r="T82" s="304">
        <f>$M82*'MWh Impact Summary'!L$17</f>
        <v>0</v>
      </c>
      <c r="U82" s="304">
        <f>$M82*'MWh Impact Summary'!M$17</f>
        <v>0</v>
      </c>
      <c r="V82" s="302">
        <f>$L82*'MWh Impact Summary'!O$17</f>
        <v>0</v>
      </c>
      <c r="W82" s="302">
        <f>$L82*'MWh Impact Summary'!P$17</f>
        <v>173640.34962819522</v>
      </c>
      <c r="X82" s="302">
        <f>$L82*'MWh Impact Summary'!Q$17</f>
        <v>0</v>
      </c>
      <c r="Y82" s="85">
        <f t="shared" si="33"/>
        <v>219467.36037512997</v>
      </c>
      <c r="Z82" s="81">
        <f t="shared" si="34"/>
        <v>531105.52027362026</v>
      </c>
      <c r="AA82" s="81"/>
      <c r="AB82" s="81">
        <f>+'MWh by mo-WgtbyActulCDH&amp;Days'!AB82</f>
        <v>4549338</v>
      </c>
      <c r="AC82" s="308">
        <f t="shared" si="43"/>
        <v>116.74347350617172</v>
      </c>
      <c r="AD82" s="309">
        <f t="shared" si="35"/>
        <v>68.501869920082953</v>
      </c>
      <c r="AE82" s="107">
        <f t="shared" si="36"/>
        <v>6.7158696000081336E-3</v>
      </c>
      <c r="AF82" s="309">
        <f t="shared" si="44"/>
        <v>48.241603586088779</v>
      </c>
      <c r="AG82" s="107">
        <f t="shared" si="37"/>
        <v>4.7295689790283124E-3</v>
      </c>
      <c r="AH82" s="119">
        <f t="shared" si="45"/>
        <v>1.1445438579036446E-2</v>
      </c>
      <c r="AI82" s="122">
        <f t="shared" si="38"/>
        <v>1.1445438579036444E-2</v>
      </c>
      <c r="AJ82" s="87" t="b">
        <f t="shared" si="46"/>
        <v>1</v>
      </c>
      <c r="AK82" s="88">
        <f t="shared" si="22"/>
        <v>1.7192168689161586E-3</v>
      </c>
      <c r="AM82" s="89">
        <f t="shared" si="39"/>
        <v>173640.34962819522</v>
      </c>
      <c r="AN82" s="93"/>
      <c r="AO82" s="96">
        <f t="shared" si="28"/>
        <v>38.168267477201127</v>
      </c>
      <c r="AP82" s="92">
        <f t="shared" si="27"/>
        <v>3.7419870075687382E-3</v>
      </c>
      <c r="AR82" s="94">
        <f t="shared" si="40"/>
        <v>1.1445438579036444E-2</v>
      </c>
      <c r="AS82" s="95">
        <v>578320.56171354384</v>
      </c>
      <c r="AU82" s="141">
        <v>116.74347350617172</v>
      </c>
    </row>
    <row r="83" spans="1:47">
      <c r="A83" s="78">
        <v>2011</v>
      </c>
      <c r="B83" s="78">
        <v>7</v>
      </c>
      <c r="C83" s="317">
        <f t="shared" si="49"/>
        <v>322.31916585708109</v>
      </c>
      <c r="D83" s="318">
        <f t="shared" si="47"/>
        <v>0.16392960109808263</v>
      </c>
      <c r="E83" s="321">
        <f>$D83*'MWh Impact Summary'!B$17</f>
        <v>165805.01094278228</v>
      </c>
      <c r="F83" s="319">
        <f>$D83*'MWh Impact Summary'!N$17</f>
        <v>6048.8702949717872</v>
      </c>
      <c r="G83" s="319">
        <f>$D83*'MWh Impact Summary'!C$17</f>
        <v>138263.40210173797</v>
      </c>
      <c r="H83" s="319">
        <f>$D83*'MWh Impact Summary'!D$17</f>
        <v>242.4712641347559</v>
      </c>
      <c r="I83" s="319">
        <f>$D83*'MWh Impact Summary'!E$17</f>
        <v>59388.272276207885</v>
      </c>
      <c r="J83" s="104">
        <f t="shared" si="41"/>
        <v>369748.02687983465</v>
      </c>
      <c r="K83" s="298">
        <f t="shared" si="50"/>
        <v>10.366666666666667</v>
      </c>
      <c r="L83" s="299">
        <f t="shared" si="48"/>
        <v>7.2978998005397158E-2</v>
      </c>
      <c r="M83" s="297">
        <f t="shared" si="42"/>
        <v>8.3333333333333329E-2</v>
      </c>
      <c r="N83" s="302">
        <f>$L83*'MWh Impact Summary'!F$17</f>
        <v>35539.83559095933</v>
      </c>
      <c r="O83" s="302">
        <f>$L83*'MWh Impact Summary'!G$17</f>
        <v>0</v>
      </c>
      <c r="P83" s="304">
        <f>$M83*'MWh Impact Summary'!H$17</f>
        <v>1285.6328367875467</v>
      </c>
      <c r="Q83" s="304">
        <f>$M83*'MWh Impact Summary'!I$17</f>
        <v>660.78087273506253</v>
      </c>
      <c r="R83" s="304">
        <f>$M83*'MWh Impact Summary'!J$17</f>
        <v>8912.141439876581</v>
      </c>
      <c r="S83" s="304">
        <f>$M83*'MWh Impact Summary'!K$17</f>
        <v>0</v>
      </c>
      <c r="T83" s="304">
        <f>$M83*'MWh Impact Summary'!L$17</f>
        <v>0</v>
      </c>
      <c r="U83" s="304">
        <f>$M83*'MWh Impact Summary'!M$17</f>
        <v>0</v>
      </c>
      <c r="V83" s="302">
        <f>$L83*'MWh Impact Summary'!O$17</f>
        <v>0</v>
      </c>
      <c r="W83" s="302">
        <f>$L83*'MWh Impact Summary'!P$17</f>
        <v>176477.61024303504</v>
      </c>
      <c r="X83" s="302">
        <f>$L83*'MWh Impact Summary'!Q$17</f>
        <v>0</v>
      </c>
      <c r="Y83" s="85">
        <f t="shared" si="33"/>
        <v>222876.00098339358</v>
      </c>
      <c r="Z83" s="81">
        <f t="shared" si="34"/>
        <v>592624.02786322823</v>
      </c>
      <c r="AA83" s="81"/>
      <c r="AB83" s="81">
        <f>+'MWh by mo-WgtbyActulCDH&amp;Days'!AB83</f>
        <v>4549687</v>
      </c>
      <c r="AC83" s="308">
        <f t="shared" si="43"/>
        <v>130.25599955848131</v>
      </c>
      <c r="AD83" s="309">
        <f t="shared" si="35"/>
        <v>81.268893196352778</v>
      </c>
      <c r="AE83" s="107">
        <f t="shared" si="36"/>
        <v>7.8394430736031615E-3</v>
      </c>
      <c r="AF83" s="309">
        <f t="shared" si="44"/>
        <v>48.987106362128557</v>
      </c>
      <c r="AG83" s="107">
        <f t="shared" si="37"/>
        <v>4.7254443436136875E-3</v>
      </c>
      <c r="AH83" s="119">
        <f t="shared" si="45"/>
        <v>1.2564887417216848E-2</v>
      </c>
      <c r="AI83" s="122">
        <f t="shared" si="38"/>
        <v>1.2564887417216846E-2</v>
      </c>
      <c r="AJ83" s="87" t="b">
        <f t="shared" si="46"/>
        <v>1</v>
      </c>
      <c r="AK83" s="88">
        <f t="shared" si="22"/>
        <v>1.8990187944509396E-3</v>
      </c>
      <c r="AM83" s="89">
        <f t="shared" si="39"/>
        <v>176477.61024303504</v>
      </c>
      <c r="AN83" s="93"/>
      <c r="AO83" s="96">
        <f t="shared" si="28"/>
        <v>38.78895630469416</v>
      </c>
      <c r="AP83" s="92">
        <f t="shared" si="27"/>
        <v>3.7416999650830376E-3</v>
      </c>
      <c r="AR83" s="94">
        <f t="shared" si="40"/>
        <v>1.2564887417216846E-2</v>
      </c>
      <c r="AS83" s="95">
        <v>609448.78170354979</v>
      </c>
      <c r="AU83" s="141">
        <v>130.25599955848131</v>
      </c>
    </row>
    <row r="84" spans="1:47">
      <c r="A84" s="78">
        <v>2011</v>
      </c>
      <c r="B84" s="78">
        <v>8</v>
      </c>
      <c r="C84" s="317">
        <f t="shared" si="49"/>
        <v>326.45437890907908</v>
      </c>
      <c r="D84" s="318">
        <f t="shared" si="47"/>
        <v>0.16603274573816959</v>
      </c>
      <c r="E84" s="321">
        <f>$D84*'MWh Impact Summary'!B$17</f>
        <v>167932.21626584794</v>
      </c>
      <c r="F84" s="319">
        <f>$D84*'MWh Impact Summary'!N$17</f>
        <v>6126.4746388745061</v>
      </c>
      <c r="G84" s="319">
        <f>$D84*'MWh Impact Summary'!C$17</f>
        <v>140037.26070386116</v>
      </c>
      <c r="H84" s="319">
        <f>$D84*'MWh Impact Summary'!D$17</f>
        <v>245.58206374705412</v>
      </c>
      <c r="I84" s="319">
        <f>$D84*'MWh Impact Summary'!E$17</f>
        <v>60150.19767397055</v>
      </c>
      <c r="J84" s="104">
        <f t="shared" si="41"/>
        <v>374491.73134630115</v>
      </c>
      <c r="K84" s="298">
        <f t="shared" si="50"/>
        <v>10.933333333333334</v>
      </c>
      <c r="L84" s="299">
        <f t="shared" si="48"/>
        <v>7.6968203684148764E-2</v>
      </c>
      <c r="M84" s="297">
        <f t="shared" si="42"/>
        <v>8.3333333333333329E-2</v>
      </c>
      <c r="N84" s="302">
        <f>$L84*'MWh Impact Summary'!F$17</f>
        <v>37482.527568600191</v>
      </c>
      <c r="O84" s="302">
        <f>$L84*'MWh Impact Summary'!G$17</f>
        <v>0</v>
      </c>
      <c r="P84" s="304">
        <f>$M84*'MWh Impact Summary'!H$17</f>
        <v>1285.6328367875467</v>
      </c>
      <c r="Q84" s="304">
        <f>$M84*'MWh Impact Summary'!I$17</f>
        <v>660.78087273506253</v>
      </c>
      <c r="R84" s="304">
        <f>$M84*'MWh Impact Summary'!J$17</f>
        <v>8912.141439876581</v>
      </c>
      <c r="S84" s="304">
        <f>$M84*'MWh Impact Summary'!K$17</f>
        <v>0</v>
      </c>
      <c r="T84" s="304">
        <f>$M84*'MWh Impact Summary'!L$17</f>
        <v>0</v>
      </c>
      <c r="U84" s="304">
        <f>$M84*'MWh Impact Summary'!M$17</f>
        <v>0</v>
      </c>
      <c r="V84" s="302">
        <f>$L84*'MWh Impact Summary'!O$17</f>
        <v>0</v>
      </c>
      <c r="W84" s="302">
        <f>$L84*'MWh Impact Summary'!P$17</f>
        <v>186124.29633349032</v>
      </c>
      <c r="X84" s="302">
        <f>$L84*'MWh Impact Summary'!Q$17</f>
        <v>0</v>
      </c>
      <c r="Y84" s="85">
        <f t="shared" si="33"/>
        <v>234465.3790514897</v>
      </c>
      <c r="Z84" s="81">
        <f t="shared" si="34"/>
        <v>608957.11039779079</v>
      </c>
      <c r="AA84" s="81"/>
      <c r="AB84" s="81">
        <f>+'MWh by mo-WgtbyActulCDH&amp;Days'!AB84</f>
        <v>4550328</v>
      </c>
      <c r="AC84" s="308">
        <f t="shared" si="43"/>
        <v>133.82708024515833</v>
      </c>
      <c r="AD84" s="309">
        <f t="shared" si="35"/>
        <v>82.299942190167641</v>
      </c>
      <c r="AE84" s="107">
        <f t="shared" si="36"/>
        <v>7.5274337369055765E-3</v>
      </c>
      <c r="AF84" s="309">
        <f t="shared" si="44"/>
        <v>51.527138054990701</v>
      </c>
      <c r="AG84" s="107">
        <f t="shared" si="37"/>
        <v>4.7128479928345152E-3</v>
      </c>
      <c r="AH84" s="119">
        <f t="shared" si="45"/>
        <v>1.2240281729740092E-2</v>
      </c>
      <c r="AI84" s="122">
        <f t="shared" si="38"/>
        <v>1.224028172974009E-2</v>
      </c>
      <c r="AJ84" s="87" t="b">
        <f t="shared" si="46"/>
        <v>1</v>
      </c>
      <c r="AK84" s="88">
        <f t="shared" si="22"/>
        <v>1.8523660335435441E-3</v>
      </c>
      <c r="AM84" s="89">
        <f t="shared" si="39"/>
        <v>186124.29633349032</v>
      </c>
      <c r="AN84" s="93"/>
      <c r="AO84" s="96">
        <f t="shared" si="28"/>
        <v>40.903490107414306</v>
      </c>
      <c r="AP84" s="92">
        <f t="shared" si="27"/>
        <v>3.7411728756781377E-3</v>
      </c>
      <c r="AR84" s="94">
        <f t="shared" si="40"/>
        <v>1.224028172974009E-2</v>
      </c>
      <c r="AS84" s="95">
        <v>633695.24727322243</v>
      </c>
      <c r="AU84" s="141">
        <v>133.82708024515833</v>
      </c>
    </row>
    <row r="85" spans="1:47">
      <c r="A85" s="78">
        <v>2011</v>
      </c>
      <c r="B85" s="78">
        <v>9</v>
      </c>
      <c r="C85" s="317">
        <f t="shared" si="49"/>
        <v>277.87653293728147</v>
      </c>
      <c r="D85" s="318">
        <f t="shared" si="47"/>
        <v>0.14132634365008559</v>
      </c>
      <c r="E85" s="321">
        <f>$D85*'MWh Impact Summary'!B$17</f>
        <v>142943.16461726525</v>
      </c>
      <c r="F85" s="319">
        <f>$D85*'MWh Impact Summary'!N$17</f>
        <v>5214.8282938265265</v>
      </c>
      <c r="G85" s="319">
        <f>$D85*'MWh Impact Summary'!C$17</f>
        <v>119199.10100902902</v>
      </c>
      <c r="H85" s="319">
        <f>$D85*'MWh Impact Summary'!D$17</f>
        <v>209.03837361182957</v>
      </c>
      <c r="I85" s="319">
        <f>$D85*'MWh Impact Summary'!E$17</f>
        <v>51199.583969404135</v>
      </c>
      <c r="J85" s="104">
        <f t="shared" si="41"/>
        <v>318765.71626313671</v>
      </c>
      <c r="K85" s="298">
        <f t="shared" si="50"/>
        <v>11.683333333333334</v>
      </c>
      <c r="L85" s="299">
        <f t="shared" si="48"/>
        <v>8.2248034729555317E-2</v>
      </c>
      <c r="M85" s="297">
        <f t="shared" si="42"/>
        <v>8.3333333333333329E-2</v>
      </c>
      <c r="N85" s="302">
        <f>$L85*'MWh Impact Summary'!F$17</f>
        <v>40053.737539007219</v>
      </c>
      <c r="O85" s="302">
        <f>$L85*'MWh Impact Summary'!G$17</f>
        <v>0</v>
      </c>
      <c r="P85" s="304">
        <f>$M85*'MWh Impact Summary'!H$17</f>
        <v>1285.6328367875467</v>
      </c>
      <c r="Q85" s="304">
        <f>$M85*'MWh Impact Summary'!I$17</f>
        <v>660.78087273506253</v>
      </c>
      <c r="R85" s="304">
        <f>$M85*'MWh Impact Summary'!J$17</f>
        <v>8912.141439876581</v>
      </c>
      <c r="S85" s="304">
        <f>$M85*'MWh Impact Summary'!K$17</f>
        <v>0</v>
      </c>
      <c r="T85" s="304">
        <f>$M85*'MWh Impact Summary'!L$17</f>
        <v>0</v>
      </c>
      <c r="U85" s="304">
        <f>$M85*'MWh Impact Summary'!M$17</f>
        <v>0</v>
      </c>
      <c r="V85" s="302">
        <f>$L85*'MWh Impact Summary'!O$17</f>
        <v>0</v>
      </c>
      <c r="W85" s="302">
        <f>$L85*'MWh Impact Summary'!P$17</f>
        <v>198891.9691002694</v>
      </c>
      <c r="X85" s="302">
        <f>$L85*'MWh Impact Summary'!Q$17</f>
        <v>0</v>
      </c>
      <c r="Y85" s="85">
        <f t="shared" si="33"/>
        <v>249804.26178867579</v>
      </c>
      <c r="Z85" s="81">
        <f t="shared" si="34"/>
        <v>568569.9780518125</v>
      </c>
      <c r="AA85" s="81"/>
      <c r="AB85" s="81">
        <f>+'MWh by mo-WgtbyActulCDH&amp;Days'!AB85</f>
        <v>4545995</v>
      </c>
      <c r="AC85" s="308">
        <f t="shared" si="43"/>
        <v>125.07052428606114</v>
      </c>
      <c r="AD85" s="309">
        <f t="shared" si="35"/>
        <v>70.120120295586929</v>
      </c>
      <c r="AE85" s="107">
        <f t="shared" si="36"/>
        <v>6.0017221365694946E-3</v>
      </c>
      <c r="AF85" s="309">
        <f t="shared" si="44"/>
        <v>54.950403990474207</v>
      </c>
      <c r="AG85" s="107">
        <f t="shared" si="37"/>
        <v>4.7033156054614158E-3</v>
      </c>
      <c r="AH85" s="119">
        <f t="shared" si="45"/>
        <v>1.070503774203091E-2</v>
      </c>
      <c r="AI85" s="122">
        <f t="shared" si="38"/>
        <v>1.0705037742030911E-2</v>
      </c>
      <c r="AJ85" s="87" t="b">
        <f t="shared" si="46"/>
        <v>1</v>
      </c>
      <c r="AK85" s="88">
        <f t="shared" si="22"/>
        <v>1.6075186838291292E-3</v>
      </c>
      <c r="AM85" s="89">
        <f t="shared" si="39"/>
        <v>198891.9691002694</v>
      </c>
      <c r="AN85" s="93"/>
      <c r="AO85" s="96">
        <f t="shared" si="28"/>
        <v>43.751031204449063</v>
      </c>
      <c r="AP85" s="92">
        <f t="shared" si="27"/>
        <v>3.7447387621497058E-3</v>
      </c>
      <c r="AR85" s="94">
        <f t="shared" si="40"/>
        <v>1.0705037742030911E-2</v>
      </c>
      <c r="AS85" s="95">
        <v>597815.27720793081</v>
      </c>
      <c r="AU85" s="141">
        <v>125.07052428606114</v>
      </c>
    </row>
    <row r="86" spans="1:47">
      <c r="A86" s="78">
        <v>2011</v>
      </c>
      <c r="B86" s="78">
        <v>10</v>
      </c>
      <c r="C86" s="317">
        <f t="shared" si="49"/>
        <v>198.89039579254836</v>
      </c>
      <c r="D86" s="318">
        <f t="shared" si="47"/>
        <v>0.10115446643644242</v>
      </c>
      <c r="E86" s="321">
        <f>$D86*'MWh Impact Summary'!B$17</f>
        <v>102311.70759923119</v>
      </c>
      <c r="F86" s="319">
        <f>$D86*'MWh Impact Summary'!N$17</f>
        <v>3732.5183684490389</v>
      </c>
      <c r="G86" s="319">
        <f>$D86*'MWh Impact Summary'!C$17</f>
        <v>85316.871227671028</v>
      </c>
      <c r="H86" s="319">
        <f>$D86*'MWh Impact Summary'!D$17</f>
        <v>149.6194170267386</v>
      </c>
      <c r="I86" s="319">
        <f>$D86*'MWh Impact Summary'!E$17</f>
        <v>36646.151484792688</v>
      </c>
      <c r="J86" s="104">
        <f t="shared" si="41"/>
        <v>228156.86809717066</v>
      </c>
      <c r="K86" s="298">
        <f t="shared" si="50"/>
        <v>12.466666666666667</v>
      </c>
      <c r="L86" s="299">
        <f t="shared" si="48"/>
        <v>8.7762524932535488E-2</v>
      </c>
      <c r="M86" s="297">
        <f t="shared" si="42"/>
        <v>8.3333333333333329E-2</v>
      </c>
      <c r="N86" s="302">
        <f>$L86*'MWh Impact Summary'!F$17</f>
        <v>42739.223508098999</v>
      </c>
      <c r="O86" s="302">
        <f>$L86*'MWh Impact Summary'!G$17</f>
        <v>0</v>
      </c>
      <c r="P86" s="304">
        <f>$M86*'MWh Impact Summary'!H$17</f>
        <v>1285.6328367875467</v>
      </c>
      <c r="Q86" s="304">
        <f>$M86*'MWh Impact Summary'!I$17</f>
        <v>660.78087273506253</v>
      </c>
      <c r="R86" s="304">
        <f>$M86*'MWh Impact Summary'!J$17</f>
        <v>8912.141439876581</v>
      </c>
      <c r="S86" s="304">
        <f>$M86*'MWh Impact Summary'!K$17</f>
        <v>0</v>
      </c>
      <c r="T86" s="304">
        <f>$M86*'MWh Impact Summary'!L$17</f>
        <v>0</v>
      </c>
      <c r="U86" s="304">
        <f>$M86*'MWh Impact Summary'!M$17</f>
        <v>0</v>
      </c>
      <c r="V86" s="302">
        <f>$L86*'MWh Impact Summary'!O$17</f>
        <v>0</v>
      </c>
      <c r="W86" s="302">
        <f>$L86*'MWh Impact Summary'!P$17</f>
        <v>212227.09399001644</v>
      </c>
      <c r="X86" s="302">
        <f>$L86*'MWh Impact Summary'!Q$17</f>
        <v>0</v>
      </c>
      <c r="Y86" s="85">
        <f t="shared" si="33"/>
        <v>265824.87264751462</v>
      </c>
      <c r="Z86" s="81">
        <f t="shared" si="34"/>
        <v>493981.74074468529</v>
      </c>
      <c r="AA86" s="81"/>
      <c r="AB86" s="81">
        <f>+'MWh by mo-WgtbyActulCDH&amp;Days'!AB86</f>
        <v>4546841</v>
      </c>
      <c r="AC86" s="308">
        <f t="shared" si="43"/>
        <v>108.64284472333325</v>
      </c>
      <c r="AD86" s="309">
        <f t="shared" si="35"/>
        <v>50.179205320170787</v>
      </c>
      <c r="AE86" s="107">
        <f t="shared" si="36"/>
        <v>4.0250699454682454E-3</v>
      </c>
      <c r="AF86" s="309">
        <f t="shared" si="44"/>
        <v>58.46363940316246</v>
      </c>
      <c r="AG86" s="107">
        <f t="shared" si="37"/>
        <v>4.6895967435691809E-3</v>
      </c>
      <c r="AH86" s="119">
        <f t="shared" si="45"/>
        <v>8.7146666890374272E-3</v>
      </c>
      <c r="AI86" s="122">
        <f t="shared" si="38"/>
        <v>8.7146666890374272E-3</v>
      </c>
      <c r="AJ86" s="87" t="b">
        <f t="shared" si="46"/>
        <v>1</v>
      </c>
      <c r="AK86" s="88">
        <f t="shared" ref="AK86:AK149" si="51">AI86-AI74</f>
        <v>1.2810460196082856E-3</v>
      </c>
      <c r="AM86" s="89">
        <f t="shared" si="39"/>
        <v>212227.09399001644</v>
      </c>
      <c r="AN86" s="93"/>
      <c r="AO86" s="96">
        <f t="shared" si="28"/>
        <v>46.675723648576323</v>
      </c>
      <c r="AP86" s="92">
        <f t="shared" si="27"/>
        <v>3.7440420038964963E-3</v>
      </c>
      <c r="AR86" s="94">
        <f t="shared" si="40"/>
        <v>8.7146666890374272E-3</v>
      </c>
      <c r="AS86" s="95">
        <v>479246.04779028392</v>
      </c>
      <c r="AU86" s="141">
        <v>108.64284472333325</v>
      </c>
    </row>
    <row r="87" spans="1:47">
      <c r="A87" s="78">
        <v>2011</v>
      </c>
      <c r="B87" s="78">
        <v>11</v>
      </c>
      <c r="C87" s="317">
        <f t="shared" si="49"/>
        <v>78.117279066674627</v>
      </c>
      <c r="D87" s="318">
        <f t="shared" si="47"/>
        <v>3.9729981188725644E-2</v>
      </c>
      <c r="E87" s="321">
        <f>$D87*'MWh Impact Summary'!B$17</f>
        <v>40184.505553769923</v>
      </c>
      <c r="F87" s="319">
        <f>$D87*'MWh Impact Summary'!N$17</f>
        <v>1466.0043178442243</v>
      </c>
      <c r="G87" s="319">
        <f>$D87*'MWh Impact Summary'!C$17</f>
        <v>33509.520719839711</v>
      </c>
      <c r="H87" s="319">
        <f>$D87*'MWh Impact Summary'!D$17</f>
        <v>58.765340111555076</v>
      </c>
      <c r="I87" s="319">
        <f>$D87*'MWh Impact Summary'!E$17</f>
        <v>14393.342779824852</v>
      </c>
      <c r="J87" s="104">
        <f t="shared" si="41"/>
        <v>89612.13871139026</v>
      </c>
      <c r="K87" s="298">
        <f t="shared" si="50"/>
        <v>13.15</v>
      </c>
      <c r="L87" s="299">
        <f t="shared" si="48"/>
        <v>9.2573037662794788E-2</v>
      </c>
      <c r="M87" s="297">
        <f t="shared" si="42"/>
        <v>8.3333333333333329E-2</v>
      </c>
      <c r="N87" s="302">
        <f>$L87*'MWh Impact Summary'!F$17</f>
        <v>45081.881481136508</v>
      </c>
      <c r="O87" s="302">
        <f>$L87*'MWh Impact Summary'!G$17</f>
        <v>0</v>
      </c>
      <c r="P87" s="304">
        <f>$M87*'MWh Impact Summary'!H$17</f>
        <v>1285.6328367875467</v>
      </c>
      <c r="Q87" s="304">
        <f>$M87*'MWh Impact Summary'!I$17</f>
        <v>660.78087273506253</v>
      </c>
      <c r="R87" s="304">
        <f>$M87*'MWh Impact Summary'!J$17</f>
        <v>8912.141439876581</v>
      </c>
      <c r="S87" s="304">
        <f>$M87*'MWh Impact Summary'!K$17</f>
        <v>0</v>
      </c>
      <c r="T87" s="304">
        <f>$M87*'MWh Impact Summary'!L$17</f>
        <v>0</v>
      </c>
      <c r="U87" s="304">
        <f>$M87*'MWh Impact Summary'!M$17</f>
        <v>0</v>
      </c>
      <c r="V87" s="302">
        <f>$L87*'MWh Impact Summary'!O$17</f>
        <v>0</v>
      </c>
      <c r="W87" s="302">
        <f>$L87*'MWh Impact Summary'!P$17</f>
        <v>223859.86251085959</v>
      </c>
      <c r="X87" s="302">
        <f>$L87*'MWh Impact Summary'!Q$17</f>
        <v>0</v>
      </c>
      <c r="Y87" s="85">
        <f t="shared" si="33"/>
        <v>279800.29914139525</v>
      </c>
      <c r="Z87" s="81">
        <f t="shared" si="34"/>
        <v>369412.43785278552</v>
      </c>
      <c r="AA87" s="81"/>
      <c r="AB87" s="81">
        <f>+'MWh by mo-WgtbyActulCDH&amp;Days'!AB87</f>
        <v>4549257</v>
      </c>
      <c r="AC87" s="308">
        <f t="shared" si="43"/>
        <v>81.202806931502337</v>
      </c>
      <c r="AD87" s="309">
        <f t="shared" si="35"/>
        <v>19.698192190810556</v>
      </c>
      <c r="AE87" s="107">
        <f t="shared" si="36"/>
        <v>1.4979613833316012E-3</v>
      </c>
      <c r="AF87" s="309">
        <f t="shared" si="44"/>
        <v>61.504614740691778</v>
      </c>
      <c r="AG87" s="107">
        <f t="shared" si="37"/>
        <v>4.6771570145012755E-3</v>
      </c>
      <c r="AH87" s="119">
        <f t="shared" si="45"/>
        <v>6.1751183978328763E-3</v>
      </c>
      <c r="AI87" s="122">
        <f t="shared" si="38"/>
        <v>6.1751183978328772E-3</v>
      </c>
      <c r="AJ87" s="87" t="b">
        <f t="shared" si="46"/>
        <v>1</v>
      </c>
      <c r="AK87" s="88">
        <f t="shared" si="51"/>
        <v>8.6871547079542862E-4</v>
      </c>
      <c r="AM87" s="89">
        <f t="shared" si="39"/>
        <v>223859.86251085959</v>
      </c>
      <c r="AN87" s="93"/>
      <c r="AO87" s="96">
        <f t="shared" si="28"/>
        <v>49.208005287645783</v>
      </c>
      <c r="AP87" s="92">
        <f t="shared" si="27"/>
        <v>3.7420536340415046E-3</v>
      </c>
      <c r="AR87" s="94">
        <f t="shared" si="40"/>
        <v>6.1751183978328772E-3</v>
      </c>
      <c r="AS87" s="95">
        <v>366133.39797441743</v>
      </c>
      <c r="AU87" s="141">
        <v>81.202806931502337</v>
      </c>
    </row>
    <row r="88" spans="1:47">
      <c r="A88" s="78">
        <v>2011</v>
      </c>
      <c r="B88" s="78">
        <v>12</v>
      </c>
      <c r="C88" s="317">
        <f t="shared" si="49"/>
        <v>42.633806123140985</v>
      </c>
      <c r="D88" s="318">
        <f>C88/(SUM(C$77:C$88))</f>
        <v>2.1683298951445065E-2</v>
      </c>
      <c r="E88" s="321">
        <f>$D88*'MWh Impact Summary'!B$17</f>
        <v>21931.363193941299</v>
      </c>
      <c r="F88" s="319">
        <f>$D88*'MWh Impact Summary'!N$17</f>
        <v>800.09627331377078</v>
      </c>
      <c r="G88" s="319">
        <f>$D88*'MWh Impact Summary'!C$17</f>
        <v>18288.37904645464</v>
      </c>
      <c r="H88" s="319">
        <f>$D88*'MWh Impact Summary'!D$17</f>
        <v>32.072163124602433</v>
      </c>
      <c r="I88" s="319">
        <f>$D88*'MWh Impact Summary'!E$17</f>
        <v>7855.406548597367</v>
      </c>
      <c r="J88" s="104">
        <f t="shared" si="41"/>
        <v>48907.317225431681</v>
      </c>
      <c r="K88" s="298">
        <f t="shared" si="50"/>
        <v>13.483333333333333</v>
      </c>
      <c r="L88" s="299">
        <f>K88/(SUM(K$77:K$88))</f>
        <v>9.491962923853102E-2</v>
      </c>
      <c r="M88" s="297">
        <f t="shared" si="42"/>
        <v>8.3333333333333329E-2</v>
      </c>
      <c r="N88" s="302">
        <f>$L88*'MWh Impact Summary'!F$17</f>
        <v>46224.641467984075</v>
      </c>
      <c r="O88" s="302">
        <f>$L88*'MWh Impact Summary'!G$17</f>
        <v>0</v>
      </c>
      <c r="P88" s="304">
        <f>$M88*'MWh Impact Summary'!H$17</f>
        <v>1285.6328367875467</v>
      </c>
      <c r="Q88" s="304">
        <f>$M88*'MWh Impact Summary'!I$17</f>
        <v>660.78087273506253</v>
      </c>
      <c r="R88" s="304">
        <f>$M88*'MWh Impact Summary'!J$17</f>
        <v>8912.141439876581</v>
      </c>
      <c r="S88" s="304">
        <f>$M88*'MWh Impact Summary'!K$17</f>
        <v>0</v>
      </c>
      <c r="T88" s="304">
        <f>$M88*'MWh Impact Summary'!L$17</f>
        <v>0</v>
      </c>
      <c r="U88" s="304">
        <f>$M88*'MWh Impact Summary'!M$17</f>
        <v>0</v>
      </c>
      <c r="V88" s="302">
        <f>$L88*'MWh Impact Summary'!O$17</f>
        <v>0</v>
      </c>
      <c r="W88" s="302">
        <f>$L88*'MWh Impact Summary'!P$17</f>
        <v>229534.38374053914</v>
      </c>
      <c r="X88" s="302">
        <f>$L88*'MWh Impact Summary'!Q$17</f>
        <v>0</v>
      </c>
      <c r="Y88" s="85">
        <f t="shared" si="33"/>
        <v>286617.58035792242</v>
      </c>
      <c r="Z88" s="81">
        <f t="shared" si="34"/>
        <v>335524.89758335409</v>
      </c>
      <c r="AA88" s="81">
        <f>SUM(Z77:Z88)</f>
        <v>5291016.4038587185</v>
      </c>
      <c r="AB88" s="81">
        <f>+'MWh by mo-WgtbyActulCDH&amp;Days'!AB88</f>
        <v>4554107</v>
      </c>
      <c r="AC88" s="308">
        <f t="shared" si="43"/>
        <v>73.675233713954043</v>
      </c>
      <c r="AD88" s="309">
        <f t="shared" si="35"/>
        <v>10.739167354968094</v>
      </c>
      <c r="AE88" s="107">
        <f t="shared" si="36"/>
        <v>7.9647718331036556E-4</v>
      </c>
      <c r="AF88" s="309">
        <f t="shared" si="44"/>
        <v>62.936066358985954</v>
      </c>
      <c r="AG88" s="107">
        <f t="shared" si="37"/>
        <v>4.6676934258827654E-3</v>
      </c>
      <c r="AH88" s="119">
        <f t="shared" si="45"/>
        <v>5.4641706091931308E-3</v>
      </c>
      <c r="AI88" s="122">
        <f t="shared" si="38"/>
        <v>5.4641706091931308E-3</v>
      </c>
      <c r="AJ88" s="87" t="b">
        <f t="shared" si="46"/>
        <v>1</v>
      </c>
      <c r="AK88" s="88">
        <f t="shared" si="51"/>
        <v>7.5073226547508337E-4</v>
      </c>
      <c r="AM88" s="89">
        <f t="shared" si="39"/>
        <v>229534.38374053914</v>
      </c>
      <c r="AN88" s="90">
        <f>SUM(AM77:AM88)</f>
        <v>2418197.2220279546</v>
      </c>
      <c r="AO88" s="96">
        <f t="shared" si="28"/>
        <v>50.401622917629986</v>
      </c>
      <c r="AP88" s="92">
        <f t="shared" si="27"/>
        <v>3.7380684487735467E-3</v>
      </c>
      <c r="AR88" s="94">
        <f t="shared" si="40"/>
        <v>5.4641706091931308E-3</v>
      </c>
      <c r="AS88" s="95">
        <v>299855.58805098716</v>
      </c>
      <c r="AU88" s="141">
        <v>73.675233713954043</v>
      </c>
    </row>
    <row r="89" spans="1:47">
      <c r="A89" s="78">
        <v>2012</v>
      </c>
      <c r="B89" s="78">
        <v>1</v>
      </c>
      <c r="C89" s="317">
        <f t="shared" si="49"/>
        <v>26.112829868525239</v>
      </c>
      <c r="D89" s="318">
        <f>C89/(SUM(C$89:C$100))</f>
        <v>1.3280829182176284E-2</v>
      </c>
      <c r="E89" s="321">
        <f>$D89*'MWh Impact Summary'!B$18</f>
        <v>15612.152080849906</v>
      </c>
      <c r="F89" s="319">
        <f>$D89*'MWh Impact Summary'!N$18</f>
        <v>690.08278611282378</v>
      </c>
      <c r="G89" s="319">
        <f>$D89*'MWh Impact Summary'!C$18</f>
        <v>13142.502555575051</v>
      </c>
      <c r="H89" s="319">
        <f>$D89*'MWh Impact Summary'!D$18</f>
        <v>29.773721152255632</v>
      </c>
      <c r="I89" s="319">
        <f>$D89*'MWh Impact Summary'!E$18</f>
        <v>5501.957264687122</v>
      </c>
      <c r="J89" s="104">
        <f t="shared" si="41"/>
        <v>34976.468408377157</v>
      </c>
      <c r="K89" s="298">
        <f t="shared" si="50"/>
        <v>13.3</v>
      </c>
      <c r="L89" s="299">
        <f>K89/(SUM(K$89:K$100))</f>
        <v>9.3629003871876101E-2</v>
      </c>
      <c r="M89" s="297">
        <f t="shared" si="42"/>
        <v>8.3333333333333329E-2</v>
      </c>
      <c r="N89" s="302">
        <f>$L89*'MWh Impact Summary'!F$18</f>
        <v>54958.118679263804</v>
      </c>
      <c r="O89" s="302">
        <f>$L89*'MWh Impact Summary'!G$18</f>
        <v>0</v>
      </c>
      <c r="P89" s="304">
        <f>$M89*'MWh Impact Summary'!H$18</f>
        <v>1950.1977874917511</v>
      </c>
      <c r="Q89" s="304">
        <f>$M89*'MWh Impact Summary'!I$18</f>
        <v>751.63635306308174</v>
      </c>
      <c r="R89" s="304">
        <f>$M89*'MWh Impact Summary'!J$18</f>
        <v>12021.983587269287</v>
      </c>
      <c r="S89" s="304">
        <f>$M89*'MWh Impact Summary'!K$18</f>
        <v>0</v>
      </c>
      <c r="T89" s="304">
        <f>$M89*'MWh Impact Summary'!L$18</f>
        <v>0</v>
      </c>
      <c r="U89" s="304">
        <f>$M89*'MWh Impact Summary'!M$18</f>
        <v>0</v>
      </c>
      <c r="V89" s="302">
        <f>$L89*'MWh Impact Summary'!O$18</f>
        <v>177.73723076586654</v>
      </c>
      <c r="W89" s="302">
        <f>$L89*'MWh Impact Summary'!P$18</f>
        <v>249892.55858968894</v>
      </c>
      <c r="X89" s="302">
        <f>$L89*'MWh Impact Summary'!Q$18</f>
        <v>0</v>
      </c>
      <c r="Y89" s="85">
        <f t="shared" si="33"/>
        <v>319752.23222754273</v>
      </c>
      <c r="Z89" s="81">
        <f t="shared" si="34"/>
        <v>354728.70063591987</v>
      </c>
      <c r="AA89" s="81"/>
      <c r="AB89" s="81">
        <f>+'MWh by mo-WgtbyActulCDH&amp;Days'!AB89</f>
        <v>4560015</v>
      </c>
      <c r="AC89" s="308">
        <f t="shared" si="43"/>
        <v>77.791125826542213</v>
      </c>
      <c r="AD89" s="309">
        <f t="shared" si="35"/>
        <v>7.6702529286366721</v>
      </c>
      <c r="AE89" s="107">
        <f t="shared" si="36"/>
        <v>5.767107465140354E-4</v>
      </c>
      <c r="AF89" s="309">
        <f t="shared" si="44"/>
        <v>70.120872897905542</v>
      </c>
      <c r="AG89" s="107">
        <f t="shared" si="37"/>
        <v>5.2722460825492881E-3</v>
      </c>
      <c r="AH89" s="119">
        <f t="shared" si="45"/>
        <v>5.8489568290633238E-3</v>
      </c>
      <c r="AI89" s="122">
        <f t="shared" si="38"/>
        <v>5.8489568290633238E-3</v>
      </c>
      <c r="AJ89" s="87" t="b">
        <f t="shared" si="46"/>
        <v>1</v>
      </c>
      <c r="AK89" s="88">
        <f t="shared" si="51"/>
        <v>6.6025087424411832E-4</v>
      </c>
      <c r="AM89" s="89">
        <f t="shared" si="39"/>
        <v>249892.55858968894</v>
      </c>
      <c r="AN89" s="93"/>
      <c r="AO89" s="96">
        <f t="shared" si="28"/>
        <v>54.800819424867882</v>
      </c>
      <c r="AP89" s="92">
        <f t="shared" si="27"/>
        <v>4.1203623627720214E-3</v>
      </c>
      <c r="AR89" s="94">
        <f t="shared" si="40"/>
        <v>5.8489568290633238E-3</v>
      </c>
      <c r="AS89" s="95">
        <v>329688.54211650172</v>
      </c>
      <c r="AU89" s="141">
        <v>77.791125826542213</v>
      </c>
    </row>
    <row r="90" spans="1:47">
      <c r="A90" s="78">
        <v>2012</v>
      </c>
      <c r="B90" s="78">
        <v>2</v>
      </c>
      <c r="C90" s="317">
        <f t="shared" si="49"/>
        <v>35.042184420393127</v>
      </c>
      <c r="D90" s="318">
        <f t="shared" ref="D90:D100" si="52">C90/(SUM(C$89:C$100))</f>
        <v>1.7822245532205266E-2</v>
      </c>
      <c r="E90" s="321">
        <f>$D90*'MWh Impact Summary'!B$18</f>
        <v>20950.770757932569</v>
      </c>
      <c r="F90" s="319">
        <f>$D90*'MWh Impact Summary'!N$18</f>
        <v>926.05850756343148</v>
      </c>
      <c r="G90" s="319">
        <f>$D90*'MWh Impact Summary'!C$18</f>
        <v>17636.617732230439</v>
      </c>
      <c r="H90" s="319">
        <f>$D90*'MWh Impact Summary'!D$18</f>
        <v>39.954927625683091</v>
      </c>
      <c r="I90" s="319">
        <f>$D90*'MWh Impact Summary'!E$18</f>
        <v>7383.3668014157884</v>
      </c>
      <c r="J90" s="104">
        <f t="shared" si="41"/>
        <v>46936.768726767907</v>
      </c>
      <c r="K90" s="298">
        <f t="shared" si="50"/>
        <v>12.733333333333333</v>
      </c>
      <c r="L90" s="299">
        <f>K90/(SUM(K$89:K$100))</f>
        <v>8.9639798193124468E-2</v>
      </c>
      <c r="M90" s="297">
        <f t="shared" si="42"/>
        <v>8.3333333333333329E-2</v>
      </c>
      <c r="N90" s="302">
        <f>$L90*'MWh Impact Summary'!F$18</f>
        <v>52616.544700448045</v>
      </c>
      <c r="O90" s="302">
        <f>$L90*'MWh Impact Summary'!G$18</f>
        <v>0</v>
      </c>
      <c r="P90" s="304">
        <f>$M90*'MWh Impact Summary'!H$18</f>
        <v>1950.1977874917511</v>
      </c>
      <c r="Q90" s="304">
        <f>$M90*'MWh Impact Summary'!I$18</f>
        <v>751.63635306308174</v>
      </c>
      <c r="R90" s="304">
        <f>$M90*'MWh Impact Summary'!J$18</f>
        <v>12021.983587269287</v>
      </c>
      <c r="S90" s="304">
        <f>$M90*'MWh Impact Summary'!K$18</f>
        <v>0</v>
      </c>
      <c r="T90" s="304">
        <f>$M90*'MWh Impact Summary'!L$18</f>
        <v>0</v>
      </c>
      <c r="U90" s="304">
        <f>$M90*'MWh Impact Summary'!M$18</f>
        <v>0</v>
      </c>
      <c r="V90" s="302">
        <f>$L90*'MWh Impact Summary'!O$18</f>
        <v>170.16446654777192</v>
      </c>
      <c r="W90" s="302">
        <f>$L90*'MWh Impact Summary'!P$18</f>
        <v>239245.50722120589</v>
      </c>
      <c r="X90" s="302">
        <f>$L90*'MWh Impact Summary'!Q$18</f>
        <v>0</v>
      </c>
      <c r="Y90" s="85">
        <f t="shared" si="33"/>
        <v>306756.03411602584</v>
      </c>
      <c r="Z90" s="81">
        <f t="shared" si="34"/>
        <v>353692.80284279375</v>
      </c>
      <c r="AA90" s="81"/>
      <c r="AB90" s="81">
        <f>+'MWh by mo-WgtbyActulCDH&amp;Days'!AB90</f>
        <v>4565707</v>
      </c>
      <c r="AC90" s="308">
        <f t="shared" si="43"/>
        <v>77.467258158001329</v>
      </c>
      <c r="AD90" s="309">
        <f t="shared" si="35"/>
        <v>10.280284899308674</v>
      </c>
      <c r="AE90" s="107">
        <f t="shared" si="36"/>
        <v>8.073522172231943E-4</v>
      </c>
      <c r="AF90" s="309">
        <f t="shared" si="44"/>
        <v>67.18697325869266</v>
      </c>
      <c r="AG90" s="107">
        <f t="shared" si="37"/>
        <v>5.2764638684837176E-3</v>
      </c>
      <c r="AH90" s="119">
        <f t="shared" si="45"/>
        <v>6.0838160857069118E-3</v>
      </c>
      <c r="AI90" s="122">
        <f t="shared" si="38"/>
        <v>6.0838160857069118E-3</v>
      </c>
      <c r="AJ90" s="87" t="b">
        <f t="shared" si="46"/>
        <v>1</v>
      </c>
      <c r="AK90" s="88">
        <f t="shared" si="51"/>
        <v>6.9508035236397897E-4</v>
      </c>
      <c r="AM90" s="89">
        <f t="shared" si="39"/>
        <v>239245.50722120589</v>
      </c>
      <c r="AN90" s="93"/>
      <c r="AO90" s="96">
        <f t="shared" si="28"/>
        <v>52.400538891612165</v>
      </c>
      <c r="AP90" s="92">
        <f t="shared" si="27"/>
        <v>4.1152255674040969E-3</v>
      </c>
      <c r="AR90" s="94">
        <f t="shared" si="40"/>
        <v>6.0838160857069118E-3</v>
      </c>
      <c r="AS90" s="95">
        <v>316523.47080675134</v>
      </c>
      <c r="AU90" s="141">
        <v>77.467258158001329</v>
      </c>
    </row>
    <row r="91" spans="1:47">
      <c r="A91" s="78">
        <v>2012</v>
      </c>
      <c r="B91" s="78">
        <v>3</v>
      </c>
      <c r="C91" s="317">
        <f t="shared" si="49"/>
        <v>64.582270600115152</v>
      </c>
      <c r="D91" s="318">
        <f t="shared" si="52"/>
        <v>3.2846156787895278E-2</v>
      </c>
      <c r="E91" s="321">
        <f>$D91*'MWh Impact Summary'!B$18</f>
        <v>38611.986345872938</v>
      </c>
      <c r="F91" s="319">
        <f>$D91*'MWh Impact Summary'!N$18</f>
        <v>1706.7132690562264</v>
      </c>
      <c r="G91" s="319">
        <f>$D91*'MWh Impact Summary'!C$18</f>
        <v>32504.047270261963</v>
      </c>
      <c r="H91" s="319">
        <f>$D91*'MWh Impact Summary'!D$18</f>
        <v>73.636389694593518</v>
      </c>
      <c r="I91" s="319">
        <f>$D91*'MWh Impact Summary'!E$18</f>
        <v>13607.444872399074</v>
      </c>
      <c r="J91" s="104">
        <f t="shared" si="41"/>
        <v>86503.828147284803</v>
      </c>
      <c r="K91" s="298">
        <f t="shared" si="50"/>
        <v>12</v>
      </c>
      <c r="L91" s="299">
        <f t="shared" ref="L91:L98" si="53">K91/(SUM(K$89:K$100))</f>
        <v>8.4477296726504739E-2</v>
      </c>
      <c r="M91" s="297">
        <f t="shared" si="42"/>
        <v>8.3333333333333329E-2</v>
      </c>
      <c r="N91" s="302">
        <f>$L91*'MWh Impact Summary'!F$18</f>
        <v>49586.272492568838</v>
      </c>
      <c r="O91" s="302">
        <f>$L91*'MWh Impact Summary'!G$18</f>
        <v>0</v>
      </c>
      <c r="P91" s="304">
        <f>$M91*'MWh Impact Summary'!H$18</f>
        <v>1950.1977874917511</v>
      </c>
      <c r="Q91" s="304">
        <f>$M91*'MWh Impact Summary'!I$18</f>
        <v>751.63635306308174</v>
      </c>
      <c r="R91" s="304">
        <f>$M91*'MWh Impact Summary'!J$18</f>
        <v>12021.983587269287</v>
      </c>
      <c r="S91" s="304">
        <f>$M91*'MWh Impact Summary'!K$18</f>
        <v>0</v>
      </c>
      <c r="T91" s="304">
        <f>$M91*'MWh Impact Summary'!L$18</f>
        <v>0</v>
      </c>
      <c r="U91" s="304">
        <f>$M91*'MWh Impact Summary'!M$18</f>
        <v>0</v>
      </c>
      <c r="V91" s="302">
        <f>$L91*'MWh Impact Summary'!O$18</f>
        <v>160.36441873612014</v>
      </c>
      <c r="W91" s="302">
        <f>$L91*'MWh Impact Summary'!P$18</f>
        <v>225466.97015611027</v>
      </c>
      <c r="X91" s="302">
        <f>$L91*'MWh Impact Summary'!Q$18</f>
        <v>0</v>
      </c>
      <c r="Y91" s="85">
        <f t="shared" si="33"/>
        <v>289937.42479523935</v>
      </c>
      <c r="Z91" s="81">
        <f t="shared" si="34"/>
        <v>376441.25294252415</v>
      </c>
      <c r="AA91" s="81"/>
      <c r="AB91" s="81">
        <f>+'MWh by mo-WgtbyActulCDH&amp;Days'!AB91</f>
        <v>4573930</v>
      </c>
      <c r="AC91" s="308">
        <f t="shared" si="43"/>
        <v>82.30148973476291</v>
      </c>
      <c r="AD91" s="309">
        <f t="shared" si="35"/>
        <v>18.91236379815275</v>
      </c>
      <c r="AE91" s="107">
        <f t="shared" si="36"/>
        <v>1.5760303165127292E-3</v>
      </c>
      <c r="AF91" s="309">
        <f t="shared" si="44"/>
        <v>63.389125936610164</v>
      </c>
      <c r="AG91" s="107">
        <f t="shared" si="37"/>
        <v>5.2824271613841796E-3</v>
      </c>
      <c r="AH91" s="119">
        <f t="shared" si="45"/>
        <v>6.8584574778969088E-3</v>
      </c>
      <c r="AI91" s="122">
        <f t="shared" si="38"/>
        <v>6.8584574778969088E-3</v>
      </c>
      <c r="AJ91" s="87" t="b">
        <f t="shared" si="46"/>
        <v>1</v>
      </c>
      <c r="AK91" s="88">
        <f t="shared" si="51"/>
        <v>8.0323601392318349E-4</v>
      </c>
      <c r="AM91" s="89">
        <f t="shared" si="39"/>
        <v>225466.97015611027</v>
      </c>
      <c r="AN91" s="93"/>
      <c r="AO91" s="96">
        <f t="shared" si="28"/>
        <v>49.293926701132342</v>
      </c>
      <c r="AP91" s="92">
        <f t="shared" si="27"/>
        <v>4.1078272250943621E-3</v>
      </c>
      <c r="AR91" s="94">
        <f t="shared" si="40"/>
        <v>6.8584574778969088E-3</v>
      </c>
      <c r="AS91" s="95">
        <v>374414.91472963028</v>
      </c>
      <c r="AU91" s="141">
        <v>82.30148973476291</v>
      </c>
    </row>
    <row r="92" spans="1:47">
      <c r="A92" s="78">
        <v>2012</v>
      </c>
      <c r="B92" s="78">
        <v>4</v>
      </c>
      <c r="C92" s="317">
        <f t="shared" si="49"/>
        <v>114.03392869270741</v>
      </c>
      <c r="D92" s="318">
        <f t="shared" si="52"/>
        <v>5.7996974497419709E-2</v>
      </c>
      <c r="E92" s="321">
        <f>$D92*'MWh Impact Summary'!B$18</f>
        <v>68177.790231506908</v>
      </c>
      <c r="F92" s="319">
        <f>$D92*'MWh Impact Summary'!N$18</f>
        <v>3013.5704027431366</v>
      </c>
      <c r="G92" s="319">
        <f>$D92*'MWh Impact Summary'!C$18</f>
        <v>57392.90635338601</v>
      </c>
      <c r="H92" s="319">
        <f>$D92*'MWh Impact Summary'!D$18</f>
        <v>130.02092886475128</v>
      </c>
      <c r="I92" s="319">
        <f>$D92*'MWh Impact Summary'!E$18</f>
        <v>24026.878953778007</v>
      </c>
      <c r="J92" s="104">
        <f t="shared" si="41"/>
        <v>152741.1668702788</v>
      </c>
      <c r="K92" s="298">
        <f t="shared" si="50"/>
        <v>11.2</v>
      </c>
      <c r="L92" s="299">
        <f t="shared" si="53"/>
        <v>7.8845476944737758E-2</v>
      </c>
      <c r="M92" s="297">
        <f t="shared" si="42"/>
        <v>8.3333333333333329E-2</v>
      </c>
      <c r="N92" s="302">
        <f>$L92*'MWh Impact Summary'!F$18</f>
        <v>46280.520993064252</v>
      </c>
      <c r="O92" s="302">
        <f>$L92*'MWh Impact Summary'!G$18</f>
        <v>0</v>
      </c>
      <c r="P92" s="304">
        <f>$M92*'MWh Impact Summary'!H$18</f>
        <v>1950.1977874917511</v>
      </c>
      <c r="Q92" s="304">
        <f>$M92*'MWh Impact Summary'!I$18</f>
        <v>751.63635306308174</v>
      </c>
      <c r="R92" s="304">
        <f>$M92*'MWh Impact Summary'!J$18</f>
        <v>12021.983587269287</v>
      </c>
      <c r="S92" s="304">
        <f>$M92*'MWh Impact Summary'!K$18</f>
        <v>0</v>
      </c>
      <c r="T92" s="304">
        <f>$M92*'MWh Impact Summary'!L$18</f>
        <v>0</v>
      </c>
      <c r="U92" s="304">
        <f>$M92*'MWh Impact Summary'!M$18</f>
        <v>0</v>
      </c>
      <c r="V92" s="302">
        <f>$L92*'MWh Impact Summary'!O$18</f>
        <v>149.67345748704548</v>
      </c>
      <c r="W92" s="302">
        <f>$L92*'MWh Impact Summary'!P$18</f>
        <v>210435.83881236959</v>
      </c>
      <c r="X92" s="302">
        <f>$L92*'MWh Impact Summary'!Q$18</f>
        <v>0</v>
      </c>
      <c r="Y92" s="85">
        <f t="shared" si="33"/>
        <v>271589.85099074501</v>
      </c>
      <c r="Z92" s="81">
        <f t="shared" si="34"/>
        <v>424331.01786102378</v>
      </c>
      <c r="AA92" s="81"/>
      <c r="AB92" s="81">
        <f>+'MWh by mo-WgtbyActulCDH&amp;Days'!AB92</f>
        <v>4577038</v>
      </c>
      <c r="AC92" s="308">
        <f t="shared" si="43"/>
        <v>92.708650848217516</v>
      </c>
      <c r="AD92" s="309">
        <f t="shared" si="35"/>
        <v>33.371181727195363</v>
      </c>
      <c r="AE92" s="107">
        <f t="shared" si="36"/>
        <v>2.9795697970710147E-3</v>
      </c>
      <c r="AF92" s="309">
        <f t="shared" si="44"/>
        <v>59.337469121022153</v>
      </c>
      <c r="AG92" s="107">
        <f t="shared" si="37"/>
        <v>5.2979883143769776E-3</v>
      </c>
      <c r="AH92" s="119">
        <f t="shared" si="45"/>
        <v>8.2775581114479923E-3</v>
      </c>
      <c r="AI92" s="122">
        <f t="shared" si="38"/>
        <v>8.2775581114479923E-3</v>
      </c>
      <c r="AJ92" s="87" t="b">
        <f t="shared" si="46"/>
        <v>1</v>
      </c>
      <c r="AK92" s="88">
        <f t="shared" si="51"/>
        <v>1.0029822166948543E-3</v>
      </c>
      <c r="AM92" s="89">
        <f t="shared" si="39"/>
        <v>210435.83881236959</v>
      </c>
      <c r="AN92" s="93"/>
      <c r="AO92" s="96">
        <f t="shared" si="28"/>
        <v>45.976423794683285</v>
      </c>
      <c r="AP92" s="92">
        <f t="shared" si="27"/>
        <v>4.1050378388110074E-3</v>
      </c>
      <c r="AR92" s="94">
        <f t="shared" si="40"/>
        <v>8.2775581114479923E-3</v>
      </c>
      <c r="AS92" s="95">
        <v>444842.69011799514</v>
      </c>
      <c r="AU92" s="141">
        <v>92.708650848217516</v>
      </c>
    </row>
    <row r="93" spans="1:47">
      <c r="A93" s="78">
        <v>2012</v>
      </c>
      <c r="B93" s="78">
        <v>5</v>
      </c>
      <c r="C93" s="317">
        <f t="shared" si="49"/>
        <v>208.47875842628665</v>
      </c>
      <c r="D93" s="318">
        <f t="shared" si="52"/>
        <v>0.10603105035770212</v>
      </c>
      <c r="E93" s="321">
        <f>$D93*'MWh Impact Summary'!B$18</f>
        <v>124643.78999003435</v>
      </c>
      <c r="F93" s="319">
        <f>$D93*'MWh Impact Summary'!N$18</f>
        <v>5509.4604140764995</v>
      </c>
      <c r="G93" s="319">
        <f>$D93*'MWh Impact Summary'!C$18</f>
        <v>104926.68275310629</v>
      </c>
      <c r="H93" s="319">
        <f>$D93*'MWh Impact Summary'!D$18</f>
        <v>237.7064627160336</v>
      </c>
      <c r="I93" s="319">
        <f>$D93*'MWh Impact Summary'!E$18</f>
        <v>43926.346751067023</v>
      </c>
      <c r="J93" s="104">
        <f t="shared" si="41"/>
        <v>279243.98637100018</v>
      </c>
      <c r="K93" s="298">
        <f t="shared" si="50"/>
        <v>10.533333333333333</v>
      </c>
      <c r="L93" s="299">
        <f t="shared" si="53"/>
        <v>7.4152293793265281E-2</v>
      </c>
      <c r="M93" s="297">
        <f t="shared" si="42"/>
        <v>8.3333333333333329E-2</v>
      </c>
      <c r="N93" s="302">
        <f>$L93*'MWh Impact Summary'!F$18</f>
        <v>43525.728076810432</v>
      </c>
      <c r="O93" s="302">
        <f>$L93*'MWh Impact Summary'!G$18</f>
        <v>0</v>
      </c>
      <c r="P93" s="304">
        <f>$M93*'MWh Impact Summary'!H$18</f>
        <v>1950.1977874917511</v>
      </c>
      <c r="Q93" s="304">
        <f>$M93*'MWh Impact Summary'!I$18</f>
        <v>751.63635306308174</v>
      </c>
      <c r="R93" s="304">
        <f>$M93*'MWh Impact Summary'!J$18</f>
        <v>12021.983587269287</v>
      </c>
      <c r="S93" s="304">
        <f>$M93*'MWh Impact Summary'!K$18</f>
        <v>0</v>
      </c>
      <c r="T93" s="304">
        <f>$M93*'MWh Impact Summary'!L$18</f>
        <v>0</v>
      </c>
      <c r="U93" s="304">
        <f>$M93*'MWh Impact Summary'!M$18</f>
        <v>0</v>
      </c>
      <c r="V93" s="302">
        <f>$L93*'MWh Impact Summary'!O$18</f>
        <v>140.76432311281661</v>
      </c>
      <c r="W93" s="302">
        <f>$L93*'MWh Impact Summary'!P$18</f>
        <v>197909.89602591906</v>
      </c>
      <c r="X93" s="302">
        <f>$L93*'MWh Impact Summary'!Q$18</f>
        <v>0</v>
      </c>
      <c r="Y93" s="85">
        <f t="shared" si="33"/>
        <v>256300.20615366643</v>
      </c>
      <c r="Z93" s="81">
        <f t="shared" si="34"/>
        <v>535544.19252466667</v>
      </c>
      <c r="AA93" s="81"/>
      <c r="AB93" s="81">
        <f>+'MWh by mo-WgtbyActulCDH&amp;Days'!AB93</f>
        <v>4576751</v>
      </c>
      <c r="AC93" s="308">
        <f t="shared" si="43"/>
        <v>117.01405484472865</v>
      </c>
      <c r="AD93" s="309">
        <f t="shared" si="35"/>
        <v>61.013585045592421</v>
      </c>
      <c r="AE93" s="107">
        <f t="shared" si="36"/>
        <v>5.7924289600245968E-3</v>
      </c>
      <c r="AF93" s="309">
        <f t="shared" si="44"/>
        <v>56.000469799136205</v>
      </c>
      <c r="AG93" s="107">
        <f t="shared" si="37"/>
        <v>5.3165002973863491E-3</v>
      </c>
      <c r="AH93" s="119">
        <f t="shared" si="45"/>
        <v>1.1108929257410947E-2</v>
      </c>
      <c r="AI93" s="122">
        <f t="shared" si="38"/>
        <v>1.1108929257410947E-2</v>
      </c>
      <c r="AJ93" s="87" t="b">
        <f t="shared" si="46"/>
        <v>1</v>
      </c>
      <c r="AK93" s="88">
        <f t="shared" si="51"/>
        <v>1.3970057140175185E-3</v>
      </c>
      <c r="AM93" s="89">
        <f t="shared" si="39"/>
        <v>197909.89602591906</v>
      </c>
      <c r="AN93" s="93"/>
      <c r="AO93" s="96">
        <f t="shared" si="28"/>
        <v>43.242443389627063</v>
      </c>
      <c r="AP93" s="92">
        <f t="shared" si="27"/>
        <v>4.1052952585088984E-3</v>
      </c>
      <c r="AR93" s="94">
        <f t="shared" si="40"/>
        <v>1.1108929257410947E-2</v>
      </c>
      <c r="AS93" s="95">
        <v>541584.37654085748</v>
      </c>
      <c r="AU93" s="141">
        <v>117.01405484472865</v>
      </c>
    </row>
    <row r="94" spans="1:47">
      <c r="A94" s="78">
        <v>2012</v>
      </c>
      <c r="B94" s="78">
        <v>6</v>
      </c>
      <c r="C94" s="317">
        <f t="shared" si="49"/>
        <v>271.66325293295364</v>
      </c>
      <c r="D94" s="318">
        <f t="shared" si="52"/>
        <v>0.13816630657965029</v>
      </c>
      <c r="E94" s="321">
        <f>$D94*'MWh Impact Summary'!B$18</f>
        <v>162420.08395573395</v>
      </c>
      <c r="F94" s="319">
        <f>$D94*'MWh Impact Summary'!N$18</f>
        <v>7179.2347061706278</v>
      </c>
      <c r="G94" s="319">
        <f>$D94*'MWh Impact Summary'!C$18</f>
        <v>136727.23385030864</v>
      </c>
      <c r="H94" s="319">
        <f>$D94*'MWh Impact Summary'!D$18</f>
        <v>309.74911493180338</v>
      </c>
      <c r="I94" s="319">
        <f>$D94*'MWh Impact Summary'!E$18</f>
        <v>57239.281056420165</v>
      </c>
      <c r="J94" s="104">
        <f t="shared" si="41"/>
        <v>363875.58268356521</v>
      </c>
      <c r="K94" s="298">
        <f t="shared" si="50"/>
        <v>10.199999999999999</v>
      </c>
      <c r="L94" s="299">
        <f t="shared" si="53"/>
        <v>7.1805702217529022E-2</v>
      </c>
      <c r="M94" s="297">
        <f t="shared" si="42"/>
        <v>8.3333333333333329E-2</v>
      </c>
      <c r="N94" s="302">
        <f>$L94*'MWh Impact Summary'!F$18</f>
        <v>42148.331618683507</v>
      </c>
      <c r="O94" s="302">
        <f>$L94*'MWh Impact Summary'!G$18</f>
        <v>0</v>
      </c>
      <c r="P94" s="304">
        <f>$M94*'MWh Impact Summary'!H$18</f>
        <v>1950.1977874917511</v>
      </c>
      <c r="Q94" s="304">
        <f>$M94*'MWh Impact Summary'!I$18</f>
        <v>751.63635306308174</v>
      </c>
      <c r="R94" s="304">
        <f>$M94*'MWh Impact Summary'!J$18</f>
        <v>12021.983587269287</v>
      </c>
      <c r="S94" s="304">
        <f>$M94*'MWh Impact Summary'!K$18</f>
        <v>0</v>
      </c>
      <c r="T94" s="304">
        <f>$M94*'MWh Impact Summary'!L$18</f>
        <v>0</v>
      </c>
      <c r="U94" s="304">
        <f>$M94*'MWh Impact Summary'!M$18</f>
        <v>0</v>
      </c>
      <c r="V94" s="302">
        <f>$L94*'MWh Impact Summary'!O$18</f>
        <v>136.30975592570212</v>
      </c>
      <c r="W94" s="302">
        <f>$L94*'MWh Impact Summary'!P$18</f>
        <v>191646.92463269373</v>
      </c>
      <c r="X94" s="302">
        <f>$L94*'MWh Impact Summary'!Q$18</f>
        <v>0</v>
      </c>
      <c r="Y94" s="85">
        <f t="shared" si="33"/>
        <v>248655.38373512705</v>
      </c>
      <c r="Z94" s="81">
        <f t="shared" si="34"/>
        <v>612530.96641869226</v>
      </c>
      <c r="AA94" s="81"/>
      <c r="AB94" s="81">
        <f>+'MWh by mo-WgtbyActulCDH&amp;Days'!AB94</f>
        <v>4575347</v>
      </c>
      <c r="AC94" s="308">
        <f t="shared" si="43"/>
        <v>133.87639591460325</v>
      </c>
      <c r="AD94" s="309">
        <f t="shared" si="35"/>
        <v>79.529614405981704</v>
      </c>
      <c r="AE94" s="107">
        <f t="shared" si="36"/>
        <v>7.7970210201942849E-3</v>
      </c>
      <c r="AF94" s="309">
        <f t="shared" si="44"/>
        <v>54.346781508621547</v>
      </c>
      <c r="AG94" s="107">
        <f t="shared" si="37"/>
        <v>5.3281158341785834E-3</v>
      </c>
      <c r="AH94" s="119">
        <f t="shared" si="45"/>
        <v>1.3125136854372868E-2</v>
      </c>
      <c r="AI94" s="122">
        <f t="shared" si="38"/>
        <v>1.3125136854372868E-2</v>
      </c>
      <c r="AJ94" s="87" t="b">
        <f t="shared" si="46"/>
        <v>1</v>
      </c>
      <c r="AK94" s="88">
        <f t="shared" si="51"/>
        <v>1.6796982753364241E-3</v>
      </c>
      <c r="AM94" s="89">
        <f t="shared" si="39"/>
        <v>191646.92463269373</v>
      </c>
      <c r="AN94" s="93"/>
      <c r="AO94" s="96">
        <f t="shared" si="28"/>
        <v>41.88686117854968</v>
      </c>
      <c r="AP94" s="92">
        <f t="shared" si="27"/>
        <v>4.1065550175048704E-3</v>
      </c>
      <c r="AR94" s="94">
        <f t="shared" si="40"/>
        <v>1.3125136854372868E-2</v>
      </c>
      <c r="AS94" s="95">
        <v>666316.34753543139</v>
      </c>
      <c r="AU94" s="141">
        <v>133.87639591460325</v>
      </c>
    </row>
    <row r="95" spans="1:47">
      <c r="A95" s="78">
        <v>2012</v>
      </c>
      <c r="B95" s="78">
        <v>7</v>
      </c>
      <c r="C95" s="317">
        <f t="shared" si="49"/>
        <v>322.31916585708109</v>
      </c>
      <c r="D95" s="318">
        <f t="shared" si="52"/>
        <v>0.16392960109808263</v>
      </c>
      <c r="E95" s="321">
        <f>$D95*'MWh Impact Summary'!B$18</f>
        <v>192705.87911265818</v>
      </c>
      <c r="F95" s="319">
        <f>$D95*'MWh Impact Summary'!N$18</f>
        <v>8517.9166376109715</v>
      </c>
      <c r="G95" s="319">
        <f>$D95*'MWh Impact Summary'!C$18</f>
        <v>162222.19048320808</v>
      </c>
      <c r="H95" s="319">
        <f>$D95*'MWh Impact Summary'!D$18</f>
        <v>367.5067395825817</v>
      </c>
      <c r="I95" s="319">
        <f>$D95*'MWh Impact Summary'!E$18</f>
        <v>67912.450893450994</v>
      </c>
      <c r="J95" s="104">
        <f t="shared" si="41"/>
        <v>431725.94386651082</v>
      </c>
      <c r="K95" s="298">
        <f t="shared" si="50"/>
        <v>10.366666666666667</v>
      </c>
      <c r="L95" s="299">
        <f t="shared" si="53"/>
        <v>7.2978998005397158E-2</v>
      </c>
      <c r="M95" s="297">
        <f t="shared" si="42"/>
        <v>8.3333333333333329E-2</v>
      </c>
      <c r="N95" s="302">
        <f>$L95*'MWh Impact Summary'!F$18</f>
        <v>42837.029847746977</v>
      </c>
      <c r="O95" s="302">
        <f>$L95*'MWh Impact Summary'!G$18</f>
        <v>0</v>
      </c>
      <c r="P95" s="304">
        <f>$M95*'MWh Impact Summary'!H$18</f>
        <v>1950.1977874917511</v>
      </c>
      <c r="Q95" s="304">
        <f>$M95*'MWh Impact Summary'!I$18</f>
        <v>751.63635306308174</v>
      </c>
      <c r="R95" s="304">
        <f>$M95*'MWh Impact Summary'!J$18</f>
        <v>12021.983587269287</v>
      </c>
      <c r="S95" s="304">
        <f>$M95*'MWh Impact Summary'!K$18</f>
        <v>0</v>
      </c>
      <c r="T95" s="304">
        <f>$M95*'MWh Impact Summary'!L$18</f>
        <v>0</v>
      </c>
      <c r="U95" s="304">
        <f>$M95*'MWh Impact Summary'!M$18</f>
        <v>0</v>
      </c>
      <c r="V95" s="302">
        <f>$L95*'MWh Impact Summary'!O$18</f>
        <v>138.53703951925937</v>
      </c>
      <c r="W95" s="302">
        <f>$L95*'MWh Impact Summary'!P$18</f>
        <v>194778.41032930641</v>
      </c>
      <c r="X95" s="302">
        <f>$L95*'MWh Impact Summary'!Q$18</f>
        <v>0</v>
      </c>
      <c r="Y95" s="85">
        <f t="shared" si="33"/>
        <v>252477.79494439677</v>
      </c>
      <c r="Z95" s="81">
        <f t="shared" si="34"/>
        <v>684203.73881090758</v>
      </c>
      <c r="AA95" s="81"/>
      <c r="AB95" s="81">
        <f>+'MWh by mo-WgtbyActulCDH&amp;Days'!AB95</f>
        <v>4577123</v>
      </c>
      <c r="AC95" s="308">
        <f t="shared" si="43"/>
        <v>149.48336297951957</v>
      </c>
      <c r="AD95" s="309">
        <f t="shared" si="35"/>
        <v>94.322556738481964</v>
      </c>
      <c r="AE95" s="107">
        <f t="shared" si="36"/>
        <v>9.0986389136799312E-3</v>
      </c>
      <c r="AF95" s="309">
        <f t="shared" si="44"/>
        <v>55.160806241037605</v>
      </c>
      <c r="AG95" s="107">
        <f t="shared" si="37"/>
        <v>5.3209780939907653E-3</v>
      </c>
      <c r="AH95" s="119">
        <f t="shared" si="45"/>
        <v>1.4419617007670697E-2</v>
      </c>
      <c r="AI95" s="122">
        <f t="shared" si="38"/>
        <v>1.4419617007670697E-2</v>
      </c>
      <c r="AJ95" s="87" t="b">
        <f t="shared" si="46"/>
        <v>1</v>
      </c>
      <c r="AK95" s="88">
        <f t="shared" si="51"/>
        <v>1.8547295904538501E-3</v>
      </c>
      <c r="AM95" s="89">
        <f t="shared" si="39"/>
        <v>194778.41032930641</v>
      </c>
      <c r="AN95" s="93"/>
      <c r="AO95" s="96">
        <f t="shared" si="28"/>
        <v>42.554768646004582</v>
      </c>
      <c r="AP95" s="92">
        <f t="shared" si="27"/>
        <v>4.1049616057239145E-3</v>
      </c>
      <c r="AR95" s="94">
        <f t="shared" si="40"/>
        <v>1.4419617007670697E-2</v>
      </c>
      <c r="AS95" s="95">
        <v>703280.56974415644</v>
      </c>
      <c r="AU95" s="141">
        <v>149.48336297951957</v>
      </c>
    </row>
    <row r="96" spans="1:47">
      <c r="A96" s="78">
        <v>2012</v>
      </c>
      <c r="B96" s="78">
        <v>8</v>
      </c>
      <c r="C96" s="317">
        <f t="shared" si="49"/>
        <v>326.45437890907908</v>
      </c>
      <c r="D96" s="318">
        <f t="shared" si="52"/>
        <v>0.16603274573816959</v>
      </c>
      <c r="E96" s="321">
        <f>$D96*'MWh Impact Summary'!B$18</f>
        <v>195178.21073583182</v>
      </c>
      <c r="F96" s="319">
        <f>$D96*'MWh Impact Summary'!N$18</f>
        <v>8627.1977595139069</v>
      </c>
      <c r="G96" s="319">
        <f>$D96*'MWh Impact Summary'!C$18</f>
        <v>164303.42979650202</v>
      </c>
      <c r="H96" s="319">
        <f>$D96*'MWh Impact Summary'!D$18</f>
        <v>372.22168931936829</v>
      </c>
      <c r="I96" s="319">
        <f>$D96*'MWh Impact Summary'!E$18</f>
        <v>68783.737751559514</v>
      </c>
      <c r="J96" s="104">
        <f t="shared" si="41"/>
        <v>437264.79773272661</v>
      </c>
      <c r="K96" s="298">
        <f t="shared" si="50"/>
        <v>10.933333333333334</v>
      </c>
      <c r="L96" s="299">
        <f t="shared" si="53"/>
        <v>7.6968203684148764E-2</v>
      </c>
      <c r="M96" s="297">
        <f t="shared" si="42"/>
        <v>8.3333333333333329E-2</v>
      </c>
      <c r="N96" s="302">
        <f>$L96*'MWh Impact Summary'!F$18</f>
        <v>45178.603826562721</v>
      </c>
      <c r="O96" s="302">
        <f>$L96*'MWh Impact Summary'!G$18</f>
        <v>0</v>
      </c>
      <c r="P96" s="304">
        <f>$M96*'MWh Impact Summary'!H$18</f>
        <v>1950.1977874917511</v>
      </c>
      <c r="Q96" s="304">
        <f>$M96*'MWh Impact Summary'!I$18</f>
        <v>751.63635306308174</v>
      </c>
      <c r="R96" s="304">
        <f>$M96*'MWh Impact Summary'!J$18</f>
        <v>12021.983587269287</v>
      </c>
      <c r="S96" s="304">
        <f>$M96*'MWh Impact Summary'!K$18</f>
        <v>0</v>
      </c>
      <c r="T96" s="304">
        <f>$M96*'MWh Impact Summary'!L$18</f>
        <v>0</v>
      </c>
      <c r="U96" s="304">
        <f>$M96*'MWh Impact Summary'!M$18</f>
        <v>0</v>
      </c>
      <c r="V96" s="302">
        <f>$L96*'MWh Impact Summary'!O$18</f>
        <v>146.10980373735393</v>
      </c>
      <c r="W96" s="302">
        <f>$L96*'MWh Impact Summary'!P$18</f>
        <v>205425.46169778937</v>
      </c>
      <c r="X96" s="302">
        <f>$L96*'MWh Impact Summary'!Q$18</f>
        <v>0</v>
      </c>
      <c r="Y96" s="85">
        <f t="shared" si="33"/>
        <v>265473.9930559136</v>
      </c>
      <c r="Z96" s="81">
        <f t="shared" si="34"/>
        <v>702738.79078864027</v>
      </c>
      <c r="AA96" s="81"/>
      <c r="AB96" s="81">
        <f>+'MWh by mo-WgtbyActulCDH&amp;Days'!AB96</f>
        <v>4579585</v>
      </c>
      <c r="AC96" s="308">
        <f t="shared" si="43"/>
        <v>153.45032154412252</v>
      </c>
      <c r="AD96" s="309">
        <f t="shared" si="35"/>
        <v>95.481314951622608</v>
      </c>
      <c r="AE96" s="107">
        <f t="shared" si="36"/>
        <v>8.7330470992337747E-3</v>
      </c>
      <c r="AF96" s="309">
        <f t="shared" si="44"/>
        <v>57.969006592499888</v>
      </c>
      <c r="AG96" s="107">
        <f t="shared" si="37"/>
        <v>5.3020432858993799E-3</v>
      </c>
      <c r="AH96" s="119">
        <f t="shared" si="45"/>
        <v>1.4035090385133155E-2</v>
      </c>
      <c r="AI96" s="122">
        <f t="shared" si="38"/>
        <v>1.4035090385133156E-2</v>
      </c>
      <c r="AJ96" s="87" t="b">
        <f t="shared" si="46"/>
        <v>1</v>
      </c>
      <c r="AK96" s="88">
        <f t="shared" si="51"/>
        <v>1.7948086553930664E-3</v>
      </c>
      <c r="AM96" s="89">
        <f t="shared" si="39"/>
        <v>205425.46169778937</v>
      </c>
      <c r="AN96" s="93"/>
      <c r="AO96" s="96">
        <f t="shared" si="28"/>
        <v>44.856785428764695</v>
      </c>
      <c r="AP96" s="92">
        <f t="shared" si="27"/>
        <v>4.1027547648260386E-3</v>
      </c>
      <c r="AR96" s="94">
        <f t="shared" si="40"/>
        <v>1.4035090385133156E-2</v>
      </c>
      <c r="AS96" s="95">
        <v>731339.80776993698</v>
      </c>
      <c r="AU96" s="141">
        <v>153.45032154412252</v>
      </c>
    </row>
    <row r="97" spans="1:47">
      <c r="A97" s="78">
        <v>2012</v>
      </c>
      <c r="B97" s="78">
        <v>9</v>
      </c>
      <c r="C97" s="317">
        <f t="shared" si="49"/>
        <v>277.87653293728147</v>
      </c>
      <c r="D97" s="318">
        <f t="shared" si="52"/>
        <v>0.14132634365008559</v>
      </c>
      <c r="E97" s="321">
        <f>$D97*'MWh Impact Summary'!B$18</f>
        <v>166134.8353954234</v>
      </c>
      <c r="F97" s="319">
        <f>$D97*'MWh Impact Summary'!N$18</f>
        <v>7343.4328263235793</v>
      </c>
      <c r="G97" s="319">
        <f>$D97*'MWh Impact Summary'!C$18</f>
        <v>139854.35751888534</v>
      </c>
      <c r="H97" s="319">
        <f>$D97*'MWh Impact Summary'!D$18</f>
        <v>316.83346646402555</v>
      </c>
      <c r="I97" s="319">
        <f>$D97*'MWh Impact Summary'!E$18</f>
        <v>58548.415349006034</v>
      </c>
      <c r="J97" s="104">
        <f t="shared" si="41"/>
        <v>372197.87455610232</v>
      </c>
      <c r="K97" s="298">
        <f t="shared" si="50"/>
        <v>11.683333333333334</v>
      </c>
      <c r="L97" s="299">
        <f t="shared" si="53"/>
        <v>8.2248034729555317E-2</v>
      </c>
      <c r="M97" s="297">
        <f t="shared" si="42"/>
        <v>8.3333333333333329E-2</v>
      </c>
      <c r="N97" s="302">
        <f>$L97*'MWh Impact Summary'!F$18</f>
        <v>48277.74585734828</v>
      </c>
      <c r="O97" s="302">
        <f>$L97*'MWh Impact Summary'!G$18</f>
        <v>0</v>
      </c>
      <c r="P97" s="304">
        <f>$M97*'MWh Impact Summary'!H$18</f>
        <v>1950.1977874917511</v>
      </c>
      <c r="Q97" s="304">
        <f>$M97*'MWh Impact Summary'!I$18</f>
        <v>751.63635306308174</v>
      </c>
      <c r="R97" s="304">
        <f>$M97*'MWh Impact Summary'!J$18</f>
        <v>12021.983587269287</v>
      </c>
      <c r="S97" s="304">
        <f>$M97*'MWh Impact Summary'!K$18</f>
        <v>0</v>
      </c>
      <c r="T97" s="304">
        <f>$M97*'MWh Impact Summary'!L$18</f>
        <v>0</v>
      </c>
      <c r="U97" s="304">
        <f>$M97*'MWh Impact Summary'!M$18</f>
        <v>0</v>
      </c>
      <c r="V97" s="302">
        <f>$L97*'MWh Impact Summary'!O$18</f>
        <v>156.13257990836144</v>
      </c>
      <c r="W97" s="302">
        <f>$L97*'MWh Impact Summary'!P$18</f>
        <v>219517.14733254627</v>
      </c>
      <c r="X97" s="302">
        <f>$L97*'MWh Impact Summary'!Q$18</f>
        <v>0</v>
      </c>
      <c r="Y97" s="85">
        <f t="shared" si="33"/>
        <v>282674.84349762707</v>
      </c>
      <c r="Z97" s="81">
        <f t="shared" si="34"/>
        <v>654872.71805372939</v>
      </c>
      <c r="AA97" s="81"/>
      <c r="AB97" s="81">
        <f>+'MWh by mo-WgtbyActulCDH&amp;Days'!AB97</f>
        <v>4578976</v>
      </c>
      <c r="AC97" s="308">
        <f t="shared" si="43"/>
        <v>143.01728553583365</v>
      </c>
      <c r="AD97" s="309">
        <f t="shared" si="35"/>
        <v>81.284085034755009</v>
      </c>
      <c r="AE97" s="107">
        <f t="shared" si="36"/>
        <v>6.9572683339305282E-3</v>
      </c>
      <c r="AF97" s="309">
        <f t="shared" si="44"/>
        <v>61.733200501078642</v>
      </c>
      <c r="AG97" s="107">
        <f t="shared" si="37"/>
        <v>5.2838688018041636E-3</v>
      </c>
      <c r="AH97" s="119">
        <f t="shared" si="45"/>
        <v>1.2241137135734692E-2</v>
      </c>
      <c r="AI97" s="122">
        <f t="shared" si="38"/>
        <v>1.2241137135734692E-2</v>
      </c>
      <c r="AJ97" s="87" t="b">
        <f t="shared" si="46"/>
        <v>1</v>
      </c>
      <c r="AK97" s="88">
        <f t="shared" si="51"/>
        <v>1.5360993937037805E-3</v>
      </c>
      <c r="AM97" s="89">
        <f t="shared" si="39"/>
        <v>219517.14733254627</v>
      </c>
      <c r="AN97" s="93"/>
      <c r="AO97" s="96">
        <f t="shared" si="28"/>
        <v>47.940226664770961</v>
      </c>
      <c r="AP97" s="92">
        <f t="shared" si="27"/>
        <v>4.1033004277977996E-3</v>
      </c>
      <c r="AR97" s="94">
        <f t="shared" si="40"/>
        <v>1.2241137135734692E-2</v>
      </c>
      <c r="AS97" s="95">
        <v>689207.92416327714</v>
      </c>
      <c r="AU97" s="141">
        <v>143.01728553583365</v>
      </c>
    </row>
    <row r="98" spans="1:47">
      <c r="A98" s="78">
        <v>2012</v>
      </c>
      <c r="B98" s="78">
        <v>10</v>
      </c>
      <c r="C98" s="317">
        <f t="shared" si="49"/>
        <v>198.89039579254836</v>
      </c>
      <c r="D98" s="318">
        <f t="shared" si="52"/>
        <v>0.10115446643644242</v>
      </c>
      <c r="E98" s="321">
        <f>$D98*'MWh Impact Summary'!B$18</f>
        <v>118911.16827121047</v>
      </c>
      <c r="F98" s="319">
        <f>$D98*'MWh Impact Summary'!N$18</f>
        <v>5256.0691104964289</v>
      </c>
      <c r="G98" s="319">
        <f>$D98*'MWh Impact Summary'!C$18</f>
        <v>100100.8909468503</v>
      </c>
      <c r="H98" s="319">
        <f>$D98*'MWh Impact Summary'!D$18</f>
        <v>226.7738584444555</v>
      </c>
      <c r="I98" s="319">
        <f>$D98*'MWh Impact Summary'!E$18</f>
        <v>41906.084614991982</v>
      </c>
      <c r="J98" s="104">
        <f t="shared" si="41"/>
        <v>266400.98680199363</v>
      </c>
      <c r="K98" s="298">
        <f t="shared" si="50"/>
        <v>12.466666666666667</v>
      </c>
      <c r="L98" s="299">
        <f t="shared" si="53"/>
        <v>8.7762524932535488E-2</v>
      </c>
      <c r="M98" s="297">
        <f t="shared" si="42"/>
        <v>8.3333333333333329E-2</v>
      </c>
      <c r="N98" s="302">
        <f>$L98*'MWh Impact Summary'!F$18</f>
        <v>51514.627533946521</v>
      </c>
      <c r="O98" s="302">
        <f>$L98*'MWh Impact Summary'!G$18</f>
        <v>0</v>
      </c>
      <c r="P98" s="304">
        <f>$M98*'MWh Impact Summary'!H$18</f>
        <v>1950.1977874917511</v>
      </c>
      <c r="Q98" s="304">
        <f>$M98*'MWh Impact Summary'!I$18</f>
        <v>751.63635306308174</v>
      </c>
      <c r="R98" s="304">
        <f>$M98*'MWh Impact Summary'!J$18</f>
        <v>12021.983587269287</v>
      </c>
      <c r="S98" s="304">
        <f>$M98*'MWh Impact Summary'!K$18</f>
        <v>0</v>
      </c>
      <c r="T98" s="304">
        <f>$M98*'MWh Impact Summary'!L$18</f>
        <v>0</v>
      </c>
      <c r="U98" s="304">
        <f>$M98*'MWh Impact Summary'!M$18</f>
        <v>0</v>
      </c>
      <c r="V98" s="302">
        <f>$L98*'MWh Impact Summary'!O$18</f>
        <v>166.6008127980804</v>
      </c>
      <c r="W98" s="302">
        <f>$L98*'MWh Impact Summary'!P$18</f>
        <v>234235.1301066257</v>
      </c>
      <c r="X98" s="302">
        <f>$L98*'MWh Impact Summary'!Q$18</f>
        <v>0</v>
      </c>
      <c r="Y98" s="85">
        <f t="shared" si="33"/>
        <v>300640.17618119443</v>
      </c>
      <c r="Z98" s="81">
        <f t="shared" si="34"/>
        <v>567041.16298318806</v>
      </c>
      <c r="AA98" s="81"/>
      <c r="AB98" s="81">
        <f>+'MWh by mo-WgtbyActulCDH&amp;Days'!AB98</f>
        <v>4580752</v>
      </c>
      <c r="AC98" s="308">
        <f t="shared" si="43"/>
        <v>123.78778920648575</v>
      </c>
      <c r="AD98" s="309">
        <f t="shared" si="35"/>
        <v>58.156605466088024</v>
      </c>
      <c r="AE98" s="107">
        <f t="shared" si="36"/>
        <v>4.6649683528947614E-3</v>
      </c>
      <c r="AF98" s="309">
        <f t="shared" si="44"/>
        <v>65.631183740397745</v>
      </c>
      <c r="AG98" s="107">
        <f t="shared" si="37"/>
        <v>5.2645334551121191E-3</v>
      </c>
      <c r="AH98" s="119">
        <f t="shared" si="45"/>
        <v>9.9295018080068805E-3</v>
      </c>
      <c r="AI98" s="122">
        <f t="shared" si="38"/>
        <v>9.9295018080068787E-3</v>
      </c>
      <c r="AJ98" s="87" t="b">
        <f t="shared" si="46"/>
        <v>1</v>
      </c>
      <c r="AK98" s="88">
        <f t="shared" si="51"/>
        <v>1.2148351189694515E-3</v>
      </c>
      <c r="AM98" s="89">
        <f t="shared" si="39"/>
        <v>234235.1301066257</v>
      </c>
      <c r="AN98" s="93"/>
      <c r="AO98" s="96">
        <f t="shared" si="28"/>
        <v>51.134645601120887</v>
      </c>
      <c r="AP98" s="92">
        <f t="shared" si="27"/>
        <v>4.1017095401968632E-3</v>
      </c>
      <c r="AR98" s="94">
        <f t="shared" si="40"/>
        <v>9.9295018080068787E-3</v>
      </c>
      <c r="AS98" s="95">
        <v>550390.63085847348</v>
      </c>
      <c r="AU98" s="141">
        <v>123.78778920648575</v>
      </c>
    </row>
    <row r="99" spans="1:47">
      <c r="A99" s="78">
        <v>2012</v>
      </c>
      <c r="B99" s="78">
        <v>11</v>
      </c>
      <c r="C99" s="317">
        <f t="shared" si="49"/>
        <v>78.117279066674627</v>
      </c>
      <c r="D99" s="318">
        <f t="shared" si="52"/>
        <v>3.9729981188725644E-2</v>
      </c>
      <c r="E99" s="321">
        <f>$D99*'MWh Impact Summary'!B$18</f>
        <v>46704.200466649556</v>
      </c>
      <c r="F99" s="319">
        <f>$D99*'MWh Impact Summary'!N$18</f>
        <v>2064.4024356341542</v>
      </c>
      <c r="G99" s="319">
        <f>$D99*'MWh Impact Summary'!C$18</f>
        <v>39316.173120164494</v>
      </c>
      <c r="H99" s="319">
        <f>$D99*'MWh Impact Summary'!D$18</f>
        <v>89.068940280100776</v>
      </c>
      <c r="I99" s="319">
        <f>$D99*'MWh Impact Summary'!E$18</f>
        <v>16459.262868959795</v>
      </c>
      <c r="J99" s="104">
        <f t="shared" si="41"/>
        <v>104633.1078316881</v>
      </c>
      <c r="K99" s="298">
        <f t="shared" si="50"/>
        <v>13.15</v>
      </c>
      <c r="L99" s="299">
        <f>K99/(SUM(K$89:K$100))</f>
        <v>9.2573037662794788E-2</v>
      </c>
      <c r="M99" s="297">
        <f t="shared" si="42"/>
        <v>8.3333333333333329E-2</v>
      </c>
      <c r="N99" s="302">
        <f>$L99*'MWh Impact Summary'!F$18</f>
        <v>54338.290273106693</v>
      </c>
      <c r="O99" s="302">
        <f>$L99*'MWh Impact Summary'!G$18</f>
        <v>0</v>
      </c>
      <c r="P99" s="304">
        <f>$M99*'MWh Impact Summary'!H$18</f>
        <v>1950.1977874917511</v>
      </c>
      <c r="Q99" s="304">
        <f>$M99*'MWh Impact Summary'!I$18</f>
        <v>751.63635306308174</v>
      </c>
      <c r="R99" s="304">
        <f>$M99*'MWh Impact Summary'!J$18</f>
        <v>12021.983587269287</v>
      </c>
      <c r="S99" s="304">
        <f>$M99*'MWh Impact Summary'!K$18</f>
        <v>0</v>
      </c>
      <c r="T99" s="304">
        <f>$M99*'MWh Impact Summary'!L$18</f>
        <v>0</v>
      </c>
      <c r="U99" s="304">
        <f>$M99*'MWh Impact Summary'!M$18</f>
        <v>0</v>
      </c>
      <c r="V99" s="302">
        <f>$L99*'MWh Impact Summary'!O$18</f>
        <v>175.73267553166502</v>
      </c>
      <c r="W99" s="302">
        <f>$L99*'MWh Impact Summary'!P$18</f>
        <v>247074.22146273757</v>
      </c>
      <c r="X99" s="302">
        <f>$L99*'MWh Impact Summary'!Q$18</f>
        <v>0</v>
      </c>
      <c r="Y99" s="85">
        <f t="shared" si="33"/>
        <v>316312.06213920005</v>
      </c>
      <c r="Z99" s="81">
        <f t="shared" si="34"/>
        <v>420945.16997088818</v>
      </c>
      <c r="AA99" s="81"/>
      <c r="AB99" s="81">
        <f>+'MWh by mo-WgtbyActulCDH&amp;Days'!AB99</f>
        <v>4584041</v>
      </c>
      <c r="AC99" s="308">
        <f t="shared" si="43"/>
        <v>91.828404233489223</v>
      </c>
      <c r="AD99" s="309">
        <f t="shared" si="35"/>
        <v>22.82551744883785</v>
      </c>
      <c r="AE99" s="107">
        <f t="shared" si="36"/>
        <v>1.7357807945884297E-3</v>
      </c>
      <c r="AF99" s="309">
        <f t="shared" si="44"/>
        <v>69.002886784651366</v>
      </c>
      <c r="AG99" s="107">
        <f t="shared" si="37"/>
        <v>5.2473678163232973E-3</v>
      </c>
      <c r="AH99" s="119">
        <f t="shared" si="45"/>
        <v>6.9831486109117272E-3</v>
      </c>
      <c r="AI99" s="122">
        <f t="shared" si="38"/>
        <v>6.9831486109117281E-3</v>
      </c>
      <c r="AJ99" s="87" t="b">
        <f t="shared" si="46"/>
        <v>1</v>
      </c>
      <c r="AK99" s="88">
        <f t="shared" si="51"/>
        <v>8.0803021307885095E-4</v>
      </c>
      <c r="AM99" s="89">
        <f t="shared" si="39"/>
        <v>247074.22146273757</v>
      </c>
      <c r="AN99" s="93"/>
      <c r="AO99" s="96">
        <f t="shared" si="28"/>
        <v>53.898780892827432</v>
      </c>
      <c r="AP99" s="92">
        <f t="shared" si="27"/>
        <v>4.0987666078195761E-3</v>
      </c>
      <c r="AR99" s="94">
        <f t="shared" si="40"/>
        <v>6.9831486109117281E-3</v>
      </c>
      <c r="AS99" s="95">
        <v>417156.58320965245</v>
      </c>
      <c r="AU99" s="141">
        <v>91.828404233489223</v>
      </c>
    </row>
    <row r="100" spans="1:47">
      <c r="A100" s="78">
        <v>2012</v>
      </c>
      <c r="B100" s="78">
        <v>12</v>
      </c>
      <c r="C100" s="317">
        <f t="shared" si="49"/>
        <v>42.633806123140985</v>
      </c>
      <c r="D100" s="318">
        <f t="shared" si="52"/>
        <v>2.1683298951445065E-2</v>
      </c>
      <c r="E100" s="321">
        <f>$D100*'MWh Impact Summary'!B$18</f>
        <v>25489.595280602884</v>
      </c>
      <c r="F100" s="319">
        <f>$D100*'MWh Impact Summary'!N$18</f>
        <v>1126.682012642113</v>
      </c>
      <c r="G100" s="319">
        <f>$D100*'MWh Impact Summary'!C$18</f>
        <v>21457.45630589965</v>
      </c>
      <c r="H100" s="319">
        <f>$D100*'MWh Impact Summary'!D$18</f>
        <v>48.610857634382377</v>
      </c>
      <c r="I100" s="319">
        <f>$D100*'MWh Impact Summary'!E$18</f>
        <v>8982.9168459146204</v>
      </c>
      <c r="J100" s="104">
        <f t="shared" si="41"/>
        <v>57105.261302693645</v>
      </c>
      <c r="K100" s="298">
        <f t="shared" si="50"/>
        <v>13.483333333333333</v>
      </c>
      <c r="L100" s="299">
        <f>K100/(SUM(K$89:K$100))</f>
        <v>9.491962923853102E-2</v>
      </c>
      <c r="M100" s="297">
        <f t="shared" si="42"/>
        <v>8.3333333333333329E-2</v>
      </c>
      <c r="N100" s="302">
        <f>$L100*'MWh Impact Summary'!F$18</f>
        <v>55715.686731233596</v>
      </c>
      <c r="O100" s="302">
        <f>$L100*'MWh Impact Summary'!G$18</f>
        <v>0</v>
      </c>
      <c r="P100" s="304">
        <f>$M100*'MWh Impact Summary'!H$18</f>
        <v>1950.1977874917511</v>
      </c>
      <c r="Q100" s="304">
        <f>$M100*'MWh Impact Summary'!I$18</f>
        <v>751.63635306308174</v>
      </c>
      <c r="R100" s="304">
        <f>$M100*'MWh Impact Summary'!J$18</f>
        <v>12021.983587269287</v>
      </c>
      <c r="S100" s="304">
        <f>$M100*'MWh Impact Summary'!K$18</f>
        <v>0</v>
      </c>
      <c r="T100" s="304">
        <f>$M100*'MWh Impact Summary'!L$18</f>
        <v>0</v>
      </c>
      <c r="U100" s="304">
        <f>$M100*'MWh Impact Summary'!M$18</f>
        <v>0</v>
      </c>
      <c r="V100" s="302">
        <f>$L100*'MWh Impact Summary'!O$18</f>
        <v>180.18724271877946</v>
      </c>
      <c r="W100" s="302">
        <f>$L100*'MWh Impact Summary'!P$18</f>
        <v>253337.19285596281</v>
      </c>
      <c r="X100" s="302">
        <f>$L100*'MWh Impact Summary'!Q$18</f>
        <v>0</v>
      </c>
      <c r="Y100" s="85">
        <f t="shared" si="33"/>
        <v>323956.88455773931</v>
      </c>
      <c r="Z100" s="81">
        <f t="shared" si="34"/>
        <v>381062.14586043294</v>
      </c>
      <c r="AA100" s="81">
        <f>SUM(Z89:Z100)</f>
        <v>6068132.6596934078</v>
      </c>
      <c r="AB100" s="81">
        <f>+'MWh by mo-WgtbyActulCDH&amp;Days'!AB100</f>
        <v>4588119</v>
      </c>
      <c r="AC100" s="308">
        <f t="shared" si="43"/>
        <v>83.054111251350051</v>
      </c>
      <c r="AD100" s="309">
        <f t="shared" si="35"/>
        <v>12.446333955743878</v>
      </c>
      <c r="AE100" s="107">
        <f t="shared" si="36"/>
        <v>9.2309028101932359E-4</v>
      </c>
      <c r="AF100" s="309">
        <f t="shared" si="44"/>
        <v>70.607777295606184</v>
      </c>
      <c r="AG100" s="107">
        <f t="shared" si="37"/>
        <v>5.236670751219248E-3</v>
      </c>
      <c r="AH100" s="119">
        <f t="shared" si="45"/>
        <v>6.1597610322385718E-3</v>
      </c>
      <c r="AI100" s="122">
        <f t="shared" si="38"/>
        <v>6.1597610322385709E-3</v>
      </c>
      <c r="AJ100" s="87" t="b">
        <f t="shared" si="46"/>
        <v>1</v>
      </c>
      <c r="AK100" s="88">
        <f t="shared" si="51"/>
        <v>6.955904230454401E-4</v>
      </c>
      <c r="AM100" s="89">
        <f t="shared" si="39"/>
        <v>253337.19285596281</v>
      </c>
      <c r="AN100" s="90">
        <f>SUM(AM89:AM100)</f>
        <v>2668965.2592229559</v>
      </c>
      <c r="AO100" s="96">
        <f t="shared" si="28"/>
        <v>55.215915902783429</v>
      </c>
      <c r="AP100" s="92">
        <f t="shared" si="27"/>
        <v>4.0951235527404281E-3</v>
      </c>
      <c r="AR100" s="94">
        <f t="shared" si="40"/>
        <v>6.1597610322385709E-3</v>
      </c>
      <c r="AS100" s="95">
        <v>339742.23967733263</v>
      </c>
      <c r="AU100" s="141">
        <v>83.054111251350051</v>
      </c>
    </row>
    <row r="101" spans="1:47">
      <c r="A101" s="78">
        <v>2013</v>
      </c>
      <c r="B101" s="78">
        <f t="shared" ref="B101:B112" si="54">B89</f>
        <v>1</v>
      </c>
      <c r="C101" s="317">
        <f t="shared" si="49"/>
        <v>26.112829868525239</v>
      </c>
      <c r="D101" s="318">
        <f>C101/(SUM(C$101:C$112))</f>
        <v>1.3280829182176284E-2</v>
      </c>
      <c r="E101" s="321">
        <f>$D101*'MWh Impact Summary'!B$19</f>
        <v>17943.620548028997</v>
      </c>
      <c r="F101" s="319">
        <f>$D101*'MWh Impact Summary'!N$19</f>
        <v>964.33080365274407</v>
      </c>
      <c r="G101" s="319">
        <f>$D101*'MWh Impact Summary'!C$19</f>
        <v>15161.811690311601</v>
      </c>
      <c r="H101" s="319">
        <f>$D101*'MWh Impact Summary'!D$19</f>
        <v>40.297152655991063</v>
      </c>
      <c r="I101" s="319">
        <f>$D101*'MWh Impact Summary'!E$19</f>
        <v>6220.3972573053707</v>
      </c>
      <c r="J101" s="104">
        <f t="shared" si="41"/>
        <v>40330.457451954702</v>
      </c>
      <c r="K101" s="298">
        <f t="shared" si="50"/>
        <v>13.3</v>
      </c>
      <c r="L101" s="299">
        <f>K101/(SUM(K$101:K$112))</f>
        <v>9.3629003871876101E-2</v>
      </c>
      <c r="M101" s="297">
        <f t="shared" si="42"/>
        <v>8.3333333333333329E-2</v>
      </c>
      <c r="N101" s="302">
        <f>$L101*'MWh Impact Summary'!F$19</f>
        <v>64907.31120058844</v>
      </c>
      <c r="O101" s="302">
        <f>$L101*'MWh Impact Summary'!G$19</f>
        <v>85.54181185596579</v>
      </c>
      <c r="P101" s="304">
        <f>$M101*'MWh Impact Summary'!H$19</f>
        <v>2632.5517910673461</v>
      </c>
      <c r="Q101" s="304">
        <f>$M101*'MWh Impact Summary'!I$19</f>
        <v>842.49183339110118</v>
      </c>
      <c r="R101" s="304">
        <f>$M101*'MWh Impact Summary'!J$19</f>
        <v>15230.543765311228</v>
      </c>
      <c r="S101" s="304">
        <f>$M101*'MWh Impact Summary'!K$19</f>
        <v>0</v>
      </c>
      <c r="T101" s="304">
        <f>$M101*'MWh Impact Summary'!L$19</f>
        <v>0</v>
      </c>
      <c r="U101" s="304">
        <f>$M101*'MWh Impact Summary'!M$19</f>
        <v>0</v>
      </c>
      <c r="V101" s="302">
        <f>$L101*'MWh Impact Summary'!O$19</f>
        <v>818.25185587178794</v>
      </c>
      <c r="W101" s="302">
        <f>$L101*'MWh Impact Summary'!P$19</f>
        <v>272470.75549357547</v>
      </c>
      <c r="X101" s="302">
        <f>$L101*'MWh Impact Summary'!Q$19</f>
        <v>29799.717397762524</v>
      </c>
      <c r="Y101" s="85">
        <f t="shared" si="33"/>
        <v>386787.16514942388</v>
      </c>
      <c r="Z101" s="81">
        <f t="shared" si="34"/>
        <v>427117.62260137859</v>
      </c>
      <c r="AA101" s="81"/>
      <c r="AB101" s="81">
        <f>+'MWh by mo-WgtbyActulCDH&amp;Days'!AB101</f>
        <v>4594969</v>
      </c>
      <c r="AC101" s="308">
        <f t="shared" si="43"/>
        <v>92.953319728898848</v>
      </c>
      <c r="AD101" s="309">
        <f t="shared" si="35"/>
        <v>8.7770902158327289</v>
      </c>
      <c r="AE101" s="107">
        <f t="shared" si="36"/>
        <v>6.5993159517539312E-4</v>
      </c>
      <c r="AF101" s="309">
        <f t="shared" si="44"/>
        <v>84.176229513066119</v>
      </c>
      <c r="AG101" s="107">
        <f t="shared" si="37"/>
        <v>6.3290398130124905E-3</v>
      </c>
      <c r="AH101" s="119">
        <f t="shared" si="45"/>
        <v>6.9889714081878837E-3</v>
      </c>
      <c r="AI101" s="122">
        <f t="shared" si="38"/>
        <v>6.9889714081878829E-3</v>
      </c>
      <c r="AJ101" s="87" t="b">
        <f t="shared" si="46"/>
        <v>1</v>
      </c>
      <c r="AK101" s="88">
        <f t="shared" si="51"/>
        <v>1.140014579124559E-3</v>
      </c>
      <c r="AM101" s="89">
        <f t="shared" si="39"/>
        <v>272470.75549357547</v>
      </c>
      <c r="AN101" s="93"/>
      <c r="AO101" s="96">
        <f t="shared" si="28"/>
        <v>59.297626489661944</v>
      </c>
      <c r="AP101" s="92">
        <f t="shared" si="27"/>
        <v>4.458468157117439E-3</v>
      </c>
      <c r="AR101" s="94">
        <f t="shared" si="40"/>
        <v>6.9889714081878829E-3</v>
      </c>
      <c r="AS101" s="95">
        <v>396478.06216397288</v>
      </c>
      <c r="AU101" s="141">
        <v>92.953319728898848</v>
      </c>
    </row>
    <row r="102" spans="1:47">
      <c r="A102" s="78">
        <f t="shared" ref="A102:A112" si="55">A101</f>
        <v>2013</v>
      </c>
      <c r="B102" s="78">
        <f t="shared" si="54"/>
        <v>2</v>
      </c>
      <c r="C102" s="317">
        <f t="shared" si="49"/>
        <v>35.042184420393127</v>
      </c>
      <c r="D102" s="318">
        <f>C102/(SUM(C$101:C$112))</f>
        <v>1.7822245532205266E-2</v>
      </c>
      <c r="E102" s="321">
        <f>$D102*'MWh Impact Summary'!B$19</f>
        <v>24079.491329719265</v>
      </c>
      <c r="F102" s="319">
        <f>$D102*'MWh Impact Summary'!N$19</f>
        <v>1294.0863948490098</v>
      </c>
      <c r="G102" s="319">
        <f>$D102*'MWh Impact Summary'!C$19</f>
        <v>20346.435222617169</v>
      </c>
      <c r="H102" s="319">
        <f>$D102*'MWh Impact Summary'!D$19</f>
        <v>54.076875700478183</v>
      </c>
      <c r="I102" s="319">
        <f>$D102*'MWh Impact Summary'!E$19</f>
        <v>8347.4793408483602</v>
      </c>
      <c r="J102" s="104">
        <f t="shared" si="41"/>
        <v>54121.569163734282</v>
      </c>
      <c r="K102" s="298">
        <f t="shared" si="50"/>
        <v>12.733333333333333</v>
      </c>
      <c r="L102" s="299">
        <f>K102/(SUM(K$101:K$112))</f>
        <v>8.9639798193124468E-2</v>
      </c>
      <c r="M102" s="297">
        <f t="shared" si="42"/>
        <v>8.3333333333333329E-2</v>
      </c>
      <c r="N102" s="302">
        <f>$L102*'MWh Impact Summary'!F$19</f>
        <v>62141.836788533277</v>
      </c>
      <c r="O102" s="302">
        <f>$L102*'MWh Impact Summary'!G$19</f>
        <v>81.897173255586267</v>
      </c>
      <c r="P102" s="304">
        <f>$M102*'MWh Impact Summary'!H$19</f>
        <v>2632.5517910673461</v>
      </c>
      <c r="Q102" s="304">
        <f>$M102*'MWh Impact Summary'!I$19</f>
        <v>842.49183339110118</v>
      </c>
      <c r="R102" s="304">
        <f>$M102*'MWh Impact Summary'!J$19</f>
        <v>15230.543765311228</v>
      </c>
      <c r="S102" s="304">
        <f>$M102*'MWh Impact Summary'!K$19</f>
        <v>0</v>
      </c>
      <c r="T102" s="304">
        <f>$M102*'MWh Impact Summary'!L$19</f>
        <v>0</v>
      </c>
      <c r="U102" s="304">
        <f>$M102*'MWh Impact Summary'!M$19</f>
        <v>0</v>
      </c>
      <c r="V102" s="302">
        <f>$L102*'MWh Impact Summary'!O$19</f>
        <v>783.3889948446689</v>
      </c>
      <c r="W102" s="302">
        <f>$L102*'MWh Impact Summary'!P$19</f>
        <v>260861.72581089174</v>
      </c>
      <c r="X102" s="302">
        <f>$L102*'MWh Impact Summary'!Q$19</f>
        <v>28530.055252995695</v>
      </c>
      <c r="Y102" s="85">
        <f t="shared" si="33"/>
        <v>371104.49141029065</v>
      </c>
      <c r="Z102" s="81">
        <f t="shared" si="34"/>
        <v>425226.06057402492</v>
      </c>
      <c r="AA102" s="81"/>
      <c r="AB102" s="81">
        <f>+'MWh by mo-WgtbyActulCDH&amp;Days'!AB102</f>
        <v>4599265</v>
      </c>
      <c r="AC102" s="308">
        <f t="shared" si="43"/>
        <v>92.455220687223914</v>
      </c>
      <c r="AD102" s="309">
        <f t="shared" si="35"/>
        <v>11.767438745915767</v>
      </c>
      <c r="AE102" s="107">
        <f t="shared" si="36"/>
        <v>9.2414440412951046E-4</v>
      </c>
      <c r="AF102" s="309">
        <f t="shared" si="44"/>
        <v>80.68778194130816</v>
      </c>
      <c r="AG102" s="107">
        <f t="shared" si="37"/>
        <v>6.336736801673416E-3</v>
      </c>
      <c r="AH102" s="119">
        <f t="shared" si="45"/>
        <v>7.2608812058029262E-3</v>
      </c>
      <c r="AI102" s="122">
        <f t="shared" si="38"/>
        <v>7.2608812058029253E-3</v>
      </c>
      <c r="AJ102" s="87" t="b">
        <f t="shared" si="46"/>
        <v>1</v>
      </c>
      <c r="AK102" s="88">
        <f t="shared" si="51"/>
        <v>1.1770651200960136E-3</v>
      </c>
      <c r="AM102" s="89">
        <f t="shared" si="39"/>
        <v>260861.72581089174</v>
      </c>
      <c r="AN102" s="90"/>
      <c r="AO102" s="96">
        <f t="shared" si="28"/>
        <v>56.718133399769691</v>
      </c>
      <c r="AP102" s="92">
        <f t="shared" si="27"/>
        <v>4.4543036701389814E-3</v>
      </c>
      <c r="AR102" s="94">
        <f t="shared" si="40"/>
        <v>7.2608812058029253E-3</v>
      </c>
      <c r="AS102" s="95">
        <v>368846.96305153822</v>
      </c>
      <c r="AU102" s="141">
        <v>92.455220687223914</v>
      </c>
    </row>
    <row r="103" spans="1:47">
      <c r="A103" s="78">
        <f t="shared" si="55"/>
        <v>2013</v>
      </c>
      <c r="B103" s="78">
        <f t="shared" si="54"/>
        <v>3</v>
      </c>
      <c r="C103" s="317">
        <f t="shared" si="49"/>
        <v>64.582270600115152</v>
      </c>
      <c r="D103" s="318">
        <f t="shared" ref="D103:D111" si="56">C103/(SUM(C$101:C$112))</f>
        <v>3.2846156787895278E-2</v>
      </c>
      <c r="E103" s="321">
        <f>$D103*'MWh Impact Summary'!B$19</f>
        <v>44378.175923988536</v>
      </c>
      <c r="F103" s="319">
        <f>$D103*'MWh Impact Summary'!N$19</f>
        <v>2384.983673661307</v>
      </c>
      <c r="G103" s="319">
        <f>$D103*'MWh Impact Summary'!C$19</f>
        <v>37498.204151053738</v>
      </c>
      <c r="H103" s="319">
        <f>$D103*'MWh Impact Summary'!D$19</f>
        <v>99.662948456621749</v>
      </c>
      <c r="I103" s="319">
        <f>$D103*'MWh Impact Summary'!E$19</f>
        <v>15384.291206052949</v>
      </c>
      <c r="J103" s="104">
        <f t="shared" si="41"/>
        <v>99745.317903213159</v>
      </c>
      <c r="K103" s="298">
        <f t="shared" si="50"/>
        <v>12</v>
      </c>
      <c r="L103" s="299">
        <f t="shared" ref="L103:L111" si="57">K103/(SUM(K$101:K$112))</f>
        <v>8.4477296726504739E-2</v>
      </c>
      <c r="M103" s="297">
        <f t="shared" si="42"/>
        <v>8.3333333333333329E-2</v>
      </c>
      <c r="N103" s="302">
        <f>$L103*'MWh Impact Summary'!F$19</f>
        <v>58562.987549403093</v>
      </c>
      <c r="O103" s="302">
        <f>$L103*'MWh Impact Summary'!G$19</f>
        <v>77.180582125683401</v>
      </c>
      <c r="P103" s="304">
        <f>$M103*'MWh Impact Summary'!H$19</f>
        <v>2632.5517910673461</v>
      </c>
      <c r="Q103" s="304">
        <f>$M103*'MWh Impact Summary'!I$19</f>
        <v>842.49183339110118</v>
      </c>
      <c r="R103" s="304">
        <f>$M103*'MWh Impact Summary'!J$19</f>
        <v>15230.543765311228</v>
      </c>
      <c r="S103" s="304">
        <f>$M103*'MWh Impact Summary'!K$19</f>
        <v>0</v>
      </c>
      <c r="T103" s="304">
        <f>$M103*'MWh Impact Summary'!L$19</f>
        <v>0</v>
      </c>
      <c r="U103" s="304">
        <f>$M103*'MWh Impact Summary'!M$19</f>
        <v>0</v>
      </c>
      <c r="V103" s="302">
        <f>$L103*'MWh Impact Summary'!O$19</f>
        <v>738.27235116251529</v>
      </c>
      <c r="W103" s="302">
        <f>$L103*'MWh Impact Summary'!P$19</f>
        <v>245838.27563330115</v>
      </c>
      <c r="X103" s="302">
        <f>$L103*'MWh Impact Summary'!Q$19</f>
        <v>26886.963065650394</v>
      </c>
      <c r="Y103" s="85">
        <f t="shared" si="33"/>
        <v>350809.2665714125</v>
      </c>
      <c r="Z103" s="81">
        <f t="shared" si="34"/>
        <v>450554.58447462565</v>
      </c>
      <c r="AA103" s="80"/>
      <c r="AB103" s="81">
        <f>+'MWh by mo-WgtbyActulCDH&amp;Days'!AB103</f>
        <v>4605771</v>
      </c>
      <c r="AC103" s="308">
        <f t="shared" si="43"/>
        <v>97.823922308474664</v>
      </c>
      <c r="AD103" s="309">
        <f t="shared" si="35"/>
        <v>21.656595150565053</v>
      </c>
      <c r="AE103" s="107">
        <f t="shared" si="36"/>
        <v>1.8047162625470878E-3</v>
      </c>
      <c r="AF103" s="309">
        <f t="shared" si="44"/>
        <v>76.167327157909611</v>
      </c>
      <c r="AG103" s="107">
        <f t="shared" si="37"/>
        <v>6.3472772631591344E-3</v>
      </c>
      <c r="AH103" s="119">
        <f t="shared" si="45"/>
        <v>8.1519935257062213E-3</v>
      </c>
      <c r="AI103" s="122">
        <f t="shared" si="38"/>
        <v>8.1519935257062231E-3</v>
      </c>
      <c r="AJ103" s="87" t="b">
        <f t="shared" si="46"/>
        <v>1</v>
      </c>
      <c r="AK103" s="88">
        <f t="shared" si="51"/>
        <v>1.2935360478093143E-3</v>
      </c>
      <c r="AM103" s="89">
        <f t="shared" si="39"/>
        <v>245838.27563330115</v>
      </c>
      <c r="AN103" s="99"/>
      <c r="AO103" s="96">
        <f t="shared" si="28"/>
        <v>53.376139550425137</v>
      </c>
      <c r="AP103" s="92">
        <f t="shared" si="27"/>
        <v>4.4480116292020949E-3</v>
      </c>
      <c r="AR103" s="94">
        <f t="shared" si="40"/>
        <v>8.1519935257062231E-3</v>
      </c>
      <c r="AS103" s="95">
        <v>448587.31752894237</v>
      </c>
      <c r="AU103" s="141">
        <v>97.823922308474664</v>
      </c>
    </row>
    <row r="104" spans="1:47">
      <c r="A104" s="78">
        <f t="shared" si="55"/>
        <v>2013</v>
      </c>
      <c r="B104" s="78">
        <f t="shared" si="54"/>
        <v>4</v>
      </c>
      <c r="C104" s="317">
        <f t="shared" si="49"/>
        <v>114.03392869270741</v>
      </c>
      <c r="D104" s="318">
        <f t="shared" si="56"/>
        <v>5.7996974497419709E-2</v>
      </c>
      <c r="E104" s="321">
        <f>$D104*'MWh Impact Summary'!B$19</f>
        <v>78359.241658801475</v>
      </c>
      <c r="F104" s="319">
        <f>$D104*'MWh Impact Summary'!N$19</f>
        <v>4211.2031002991698</v>
      </c>
      <c r="G104" s="319">
        <f>$D104*'MWh Impact Summary'!C$19</f>
        <v>66211.167531452855</v>
      </c>
      <c r="H104" s="319">
        <f>$D104*'MWh Impact Summary'!D$19</f>
        <v>175.97643210746935</v>
      </c>
      <c r="I104" s="319">
        <f>$D104*'MWh Impact Summary'!E$19</f>
        <v>27164.284409284293</v>
      </c>
      <c r="J104" s="104">
        <f t="shared" si="41"/>
        <v>176121.87313194529</v>
      </c>
      <c r="K104" s="298">
        <f t="shared" si="50"/>
        <v>11.2</v>
      </c>
      <c r="L104" s="299">
        <f t="shared" si="57"/>
        <v>7.8845476944737758E-2</v>
      </c>
      <c r="M104" s="297">
        <f t="shared" si="42"/>
        <v>8.3333333333333329E-2</v>
      </c>
      <c r="N104" s="302">
        <f>$L104*'MWh Impact Summary'!F$19</f>
        <v>54658.788379442885</v>
      </c>
      <c r="O104" s="302">
        <f>$L104*'MWh Impact Summary'!G$19</f>
        <v>72.035209983971171</v>
      </c>
      <c r="P104" s="304">
        <f>$M104*'MWh Impact Summary'!H$19</f>
        <v>2632.5517910673461</v>
      </c>
      <c r="Q104" s="304">
        <f>$M104*'MWh Impact Summary'!I$19</f>
        <v>842.49183339110118</v>
      </c>
      <c r="R104" s="304">
        <f>$M104*'MWh Impact Summary'!J$19</f>
        <v>15230.543765311228</v>
      </c>
      <c r="S104" s="304">
        <f>$M104*'MWh Impact Summary'!K$19</f>
        <v>0</v>
      </c>
      <c r="T104" s="304">
        <f>$M104*'MWh Impact Summary'!L$19</f>
        <v>0</v>
      </c>
      <c r="U104" s="304">
        <f>$M104*'MWh Impact Summary'!M$19</f>
        <v>0</v>
      </c>
      <c r="V104" s="302">
        <f>$L104*'MWh Impact Summary'!O$19</f>
        <v>689.05419441834761</v>
      </c>
      <c r="W104" s="302">
        <f>$L104*'MWh Impact Summary'!P$19</f>
        <v>229449.05725774774</v>
      </c>
      <c r="X104" s="302">
        <f>$L104*'MWh Impact Summary'!Q$19</f>
        <v>25094.498861273703</v>
      </c>
      <c r="Y104" s="85">
        <f t="shared" si="33"/>
        <v>328669.02129263635</v>
      </c>
      <c r="Z104" s="81">
        <f t="shared" si="34"/>
        <v>504790.89442458167</v>
      </c>
      <c r="AA104" s="80"/>
      <c r="AB104" s="81">
        <f>+'MWh by mo-WgtbyActulCDH&amp;Days'!AB104</f>
        <v>4609509</v>
      </c>
      <c r="AC104" s="308">
        <f t="shared" si="43"/>
        <v>109.51077314841595</v>
      </c>
      <c r="AD104" s="309">
        <f t="shared" si="35"/>
        <v>38.208380357201882</v>
      </c>
      <c r="AE104" s="107">
        <f t="shared" si="36"/>
        <v>3.4114625318930254E-3</v>
      </c>
      <c r="AF104" s="309">
        <f t="shared" si="44"/>
        <v>71.302392791214061</v>
      </c>
      <c r="AG104" s="107">
        <f t="shared" si="37"/>
        <v>6.3662850706441131E-3</v>
      </c>
      <c r="AH104" s="119">
        <f t="shared" si="45"/>
        <v>9.7777476025371381E-3</v>
      </c>
      <c r="AI104" s="122">
        <f t="shared" si="38"/>
        <v>9.7777476025371381E-3</v>
      </c>
      <c r="AJ104" s="87" t="b">
        <f t="shared" si="46"/>
        <v>1</v>
      </c>
      <c r="AK104" s="88">
        <f t="shared" si="51"/>
        <v>1.5001894910891458E-3</v>
      </c>
      <c r="AM104" s="89">
        <f t="shared" si="39"/>
        <v>229449.05725774774</v>
      </c>
      <c r="AN104" s="93"/>
      <c r="AO104" s="96">
        <f t="shared" si="28"/>
        <v>49.777331437632022</v>
      </c>
      <c r="AP104" s="92">
        <f t="shared" si="27"/>
        <v>4.4444045926457162E-3</v>
      </c>
      <c r="AR104" s="94">
        <f t="shared" si="40"/>
        <v>9.7777476025371381E-3</v>
      </c>
      <c r="AS104" s="95">
        <v>530640.44900559995</v>
      </c>
      <c r="AU104" s="141">
        <v>109.51077314841595</v>
      </c>
    </row>
    <row r="105" spans="1:47">
      <c r="A105" s="78">
        <f t="shared" si="55"/>
        <v>2013</v>
      </c>
      <c r="B105" s="78">
        <f t="shared" si="54"/>
        <v>5</v>
      </c>
      <c r="C105" s="317">
        <f t="shared" si="49"/>
        <v>208.47875842628665</v>
      </c>
      <c r="D105" s="318">
        <f t="shared" si="56"/>
        <v>0.10603105035770212</v>
      </c>
      <c r="E105" s="321">
        <f>$D105*'MWh Impact Summary'!B$19</f>
        <v>143257.69180744721</v>
      </c>
      <c r="F105" s="319">
        <f>$D105*'MWh Impact Summary'!N$19</f>
        <v>7698.9927813251388</v>
      </c>
      <c r="G105" s="319">
        <f>$D105*'MWh Impact Summary'!C$19</f>
        <v>121048.37708529207</v>
      </c>
      <c r="H105" s="319">
        <f>$D105*'MWh Impact Summary'!D$19</f>
        <v>321.7230915275756</v>
      </c>
      <c r="I105" s="319">
        <f>$D105*'MWh Impact Summary'!E$19</f>
        <v>49662.204504476496</v>
      </c>
      <c r="J105" s="104">
        <f t="shared" si="41"/>
        <v>321988.98927006847</v>
      </c>
      <c r="K105" s="298">
        <f t="shared" si="50"/>
        <v>10.533333333333333</v>
      </c>
      <c r="L105" s="299">
        <f t="shared" si="57"/>
        <v>7.4152293793265281E-2</v>
      </c>
      <c r="M105" s="297">
        <f t="shared" si="42"/>
        <v>8.3333333333333329E-2</v>
      </c>
      <c r="N105" s="302">
        <f>$L105*'MWh Impact Summary'!F$19</f>
        <v>51405.289071142717</v>
      </c>
      <c r="O105" s="302">
        <f>$L105*'MWh Impact Summary'!G$19</f>
        <v>67.747399865877668</v>
      </c>
      <c r="P105" s="304">
        <f>$M105*'MWh Impact Summary'!H$19</f>
        <v>2632.5517910673461</v>
      </c>
      <c r="Q105" s="304">
        <f>$M105*'MWh Impact Summary'!I$19</f>
        <v>842.49183339110118</v>
      </c>
      <c r="R105" s="304">
        <f>$M105*'MWh Impact Summary'!J$19</f>
        <v>15230.543765311228</v>
      </c>
      <c r="S105" s="304">
        <f>$M105*'MWh Impact Summary'!K$19</f>
        <v>0</v>
      </c>
      <c r="T105" s="304">
        <f>$M105*'MWh Impact Summary'!L$19</f>
        <v>0</v>
      </c>
      <c r="U105" s="304">
        <f>$M105*'MWh Impact Summary'!M$19</f>
        <v>0</v>
      </c>
      <c r="V105" s="302">
        <f>$L105*'MWh Impact Summary'!O$19</f>
        <v>648.03906379820796</v>
      </c>
      <c r="W105" s="302">
        <f>$L105*'MWh Impact Summary'!P$19</f>
        <v>215791.37527811993</v>
      </c>
      <c r="X105" s="302">
        <f>$L105*'MWh Impact Summary'!Q$19</f>
        <v>23600.778690959793</v>
      </c>
      <c r="Y105" s="85">
        <f t="shared" si="33"/>
        <v>310218.81689365621</v>
      </c>
      <c r="Z105" s="81">
        <f t="shared" si="34"/>
        <v>632207.80616372474</v>
      </c>
      <c r="AA105" s="80"/>
      <c r="AB105" s="81">
        <f>+'MWh by mo-WgtbyActulCDH&amp;Days'!AB105</f>
        <v>4611553</v>
      </c>
      <c r="AC105" s="308">
        <f t="shared" si="43"/>
        <v>137.09216963650309</v>
      </c>
      <c r="AD105" s="309">
        <f t="shared" si="35"/>
        <v>69.822246273667133</v>
      </c>
      <c r="AE105" s="107">
        <f t="shared" si="36"/>
        <v>6.6286942664873861E-3</v>
      </c>
      <c r="AF105" s="309">
        <f t="shared" si="44"/>
        <v>67.269923362835939</v>
      </c>
      <c r="AG105" s="107">
        <f t="shared" si="37"/>
        <v>6.3863851293831592E-3</v>
      </c>
      <c r="AH105" s="119">
        <f t="shared" si="45"/>
        <v>1.3015079395870545E-2</v>
      </c>
      <c r="AI105" s="122">
        <f t="shared" si="38"/>
        <v>1.3015079395870547E-2</v>
      </c>
      <c r="AJ105" s="87" t="b">
        <f t="shared" si="46"/>
        <v>1</v>
      </c>
      <c r="AK105" s="88">
        <f t="shared" si="51"/>
        <v>1.9061501384596002E-3</v>
      </c>
      <c r="AM105" s="89">
        <f t="shared" si="39"/>
        <v>215791.37527811993</v>
      </c>
      <c r="AN105" s="93"/>
      <c r="AO105" s="96">
        <f t="shared" si="28"/>
        <v>46.793645281344467</v>
      </c>
      <c r="AP105" s="92">
        <f t="shared" ref="AP105:AP168" si="58">+AO105/K105/1000</f>
        <v>4.4424346786086522E-3</v>
      </c>
      <c r="AR105" s="94">
        <f t="shared" si="40"/>
        <v>1.3015079395870547E-2</v>
      </c>
      <c r="AS105" s="95">
        <v>642952.08421521494</v>
      </c>
      <c r="AU105" s="141">
        <v>137.09216963650309</v>
      </c>
    </row>
    <row r="106" spans="1:47">
      <c r="A106" s="78">
        <f t="shared" si="55"/>
        <v>2013</v>
      </c>
      <c r="B106" s="78">
        <f t="shared" si="54"/>
        <v>6</v>
      </c>
      <c r="C106" s="317">
        <f t="shared" si="49"/>
        <v>271.66325293295364</v>
      </c>
      <c r="D106" s="318">
        <f t="shared" si="56"/>
        <v>0.13816630657965029</v>
      </c>
      <c r="E106" s="321">
        <f>$D106*'MWh Impact Summary'!B$19</f>
        <v>186675.37574499761</v>
      </c>
      <c r="F106" s="319">
        <f>$D106*'MWh Impact Summary'!N$19</f>
        <v>10032.357440490197</v>
      </c>
      <c r="G106" s="319">
        <f>$D106*'MWh Impact Summary'!C$19</f>
        <v>157734.99482381283</v>
      </c>
      <c r="H106" s="319">
        <f>$D106*'MWh Impact Summary'!D$19</f>
        <v>419.22900082374741</v>
      </c>
      <c r="I106" s="319">
        <f>$D106*'MWh Impact Summary'!E$19</f>
        <v>64713.528252701668</v>
      </c>
      <c r="J106" s="104">
        <f t="shared" si="41"/>
        <v>419575.48526282609</v>
      </c>
      <c r="K106" s="298">
        <f t="shared" si="50"/>
        <v>10.199999999999999</v>
      </c>
      <c r="L106" s="299">
        <f t="shared" si="57"/>
        <v>7.1805702217529022E-2</v>
      </c>
      <c r="M106" s="297">
        <f t="shared" si="42"/>
        <v>8.3333333333333329E-2</v>
      </c>
      <c r="N106" s="302">
        <f>$L106*'MWh Impact Summary'!F$19</f>
        <v>49778.539416992622</v>
      </c>
      <c r="O106" s="302">
        <f>$L106*'MWh Impact Summary'!G$19</f>
        <v>65.603494806830881</v>
      </c>
      <c r="P106" s="304">
        <f>$M106*'MWh Impact Summary'!H$19</f>
        <v>2632.5517910673461</v>
      </c>
      <c r="Q106" s="304">
        <f>$M106*'MWh Impact Summary'!I$19</f>
        <v>842.49183339110118</v>
      </c>
      <c r="R106" s="304">
        <f>$M106*'MWh Impact Summary'!J$19</f>
        <v>15230.543765311228</v>
      </c>
      <c r="S106" s="304">
        <f>$M106*'MWh Impact Summary'!K$19</f>
        <v>0</v>
      </c>
      <c r="T106" s="304">
        <f>$M106*'MWh Impact Summary'!L$19</f>
        <v>0</v>
      </c>
      <c r="U106" s="304">
        <f>$M106*'MWh Impact Summary'!M$19</f>
        <v>0</v>
      </c>
      <c r="V106" s="302">
        <f>$L106*'MWh Impact Summary'!O$19</f>
        <v>627.53149848813791</v>
      </c>
      <c r="W106" s="302">
        <f>$L106*'MWh Impact Summary'!P$19</f>
        <v>208962.53428830596</v>
      </c>
      <c r="X106" s="302">
        <f>$L106*'MWh Impact Summary'!Q$19</f>
        <v>22853.918605802832</v>
      </c>
      <c r="Y106" s="85">
        <f t="shared" si="33"/>
        <v>300993.71469416603</v>
      </c>
      <c r="Z106" s="81">
        <f t="shared" si="34"/>
        <v>720569.19995699218</v>
      </c>
      <c r="AA106" s="80"/>
      <c r="AB106" s="81">
        <f>+'MWh by mo-WgtbyActulCDH&amp;Days'!AB106</f>
        <v>4613739</v>
      </c>
      <c r="AC106" s="308">
        <f t="shared" si="43"/>
        <v>156.17901228417821</v>
      </c>
      <c r="AD106" s="309">
        <f t="shared" si="35"/>
        <v>90.940446623189146</v>
      </c>
      <c r="AE106" s="107">
        <f t="shared" si="36"/>
        <v>8.9157300610969766E-3</v>
      </c>
      <c r="AF106" s="309">
        <f t="shared" si="44"/>
        <v>65.238565660989053</v>
      </c>
      <c r="AG106" s="107">
        <f t="shared" si="37"/>
        <v>6.3959378099008877E-3</v>
      </c>
      <c r="AH106" s="119">
        <f t="shared" si="45"/>
        <v>1.5311667870997865E-2</v>
      </c>
      <c r="AI106" s="122">
        <f t="shared" si="38"/>
        <v>1.5311667870997865E-2</v>
      </c>
      <c r="AJ106" s="87" t="b">
        <f t="shared" si="46"/>
        <v>1</v>
      </c>
      <c r="AK106" s="88">
        <f t="shared" si="51"/>
        <v>2.1865310166249968E-3</v>
      </c>
      <c r="AM106" s="89">
        <f t="shared" si="39"/>
        <v>208962.53428830596</v>
      </c>
      <c r="AN106" s="93"/>
      <c r="AO106" s="96">
        <f t="shared" si="28"/>
        <v>45.29136439844256</v>
      </c>
      <c r="AP106" s="92">
        <f t="shared" si="58"/>
        <v>4.4403298429845648E-3</v>
      </c>
      <c r="AR106" s="94">
        <f t="shared" si="40"/>
        <v>1.5311667870997865E-2</v>
      </c>
      <c r="AS106" s="95">
        <v>788672.26998075715</v>
      </c>
      <c r="AU106" s="141">
        <v>156.17901228417821</v>
      </c>
    </row>
    <row r="107" spans="1:47">
      <c r="A107" s="78">
        <f t="shared" si="55"/>
        <v>2013</v>
      </c>
      <c r="B107" s="78">
        <f t="shared" si="54"/>
        <v>7</v>
      </c>
      <c r="C107" s="317">
        <f t="shared" si="49"/>
        <v>322.31916585708109</v>
      </c>
      <c r="D107" s="318">
        <f t="shared" si="56"/>
        <v>0.16392960109808263</v>
      </c>
      <c r="E107" s="321">
        <f>$D107*'MWh Impact Summary'!B$19</f>
        <v>221483.95392671865</v>
      </c>
      <c r="F107" s="319">
        <f>$D107*'MWh Impact Summary'!N$19</f>
        <v>11903.049260022435</v>
      </c>
      <c r="G107" s="319">
        <f>$D107*'MWh Impact Summary'!C$19</f>
        <v>187147.18096462567</v>
      </c>
      <c r="H107" s="319">
        <f>$D107*'MWh Impact Summary'!D$19</f>
        <v>497.40088285682401</v>
      </c>
      <c r="I107" s="319">
        <f>$D107*'MWh Impact Summary'!E$19</f>
        <v>76780.389768900015</v>
      </c>
      <c r="J107" s="104">
        <f t="shared" si="41"/>
        <v>497811.97480312356</v>
      </c>
      <c r="K107" s="298">
        <f t="shared" si="50"/>
        <v>10.366666666666667</v>
      </c>
      <c r="L107" s="299">
        <f t="shared" si="57"/>
        <v>7.2978998005397158E-2</v>
      </c>
      <c r="M107" s="297">
        <f t="shared" si="42"/>
        <v>8.3333333333333329E-2</v>
      </c>
      <c r="N107" s="302">
        <f>$L107*'MWh Impact Summary'!F$19</f>
        <v>50591.914244067673</v>
      </c>
      <c r="O107" s="302">
        <f>$L107*'MWh Impact Summary'!G$19</f>
        <v>66.675447336354281</v>
      </c>
      <c r="P107" s="304">
        <f>$M107*'MWh Impact Summary'!H$19</f>
        <v>2632.5517910673461</v>
      </c>
      <c r="Q107" s="304">
        <f>$M107*'MWh Impact Summary'!I$19</f>
        <v>842.49183339110118</v>
      </c>
      <c r="R107" s="304">
        <f>$M107*'MWh Impact Summary'!J$19</f>
        <v>15230.543765311228</v>
      </c>
      <c r="S107" s="304">
        <f>$M107*'MWh Impact Summary'!K$19</f>
        <v>0</v>
      </c>
      <c r="T107" s="304">
        <f>$M107*'MWh Impact Summary'!L$19</f>
        <v>0</v>
      </c>
      <c r="U107" s="304">
        <f>$M107*'MWh Impact Summary'!M$19</f>
        <v>0</v>
      </c>
      <c r="V107" s="302">
        <f>$L107*'MWh Impact Summary'!O$19</f>
        <v>637.78528114317294</v>
      </c>
      <c r="W107" s="302">
        <f>$L107*'MWh Impact Summary'!P$19</f>
        <v>212376.95478321295</v>
      </c>
      <c r="X107" s="302">
        <f>$L107*'MWh Impact Summary'!Q$19</f>
        <v>23227.348648381318</v>
      </c>
      <c r="Y107" s="85">
        <f t="shared" si="33"/>
        <v>305606.26579391112</v>
      </c>
      <c r="Z107" s="81">
        <f t="shared" si="34"/>
        <v>803418.24059703469</v>
      </c>
      <c r="AA107" s="81"/>
      <c r="AB107" s="81">
        <f>+'MWh by mo-WgtbyActulCDH&amp;Days'!AB107</f>
        <v>4620943</v>
      </c>
      <c r="AC107" s="308">
        <f t="shared" si="43"/>
        <v>173.86456413702456</v>
      </c>
      <c r="AD107" s="309">
        <f t="shared" si="35"/>
        <v>107.7295207500122</v>
      </c>
      <c r="AE107" s="107">
        <f t="shared" si="36"/>
        <v>1.0391915184888637E-2</v>
      </c>
      <c r="AF107" s="309">
        <f t="shared" si="44"/>
        <v>66.135043387012374</v>
      </c>
      <c r="AG107" s="107">
        <f t="shared" si="37"/>
        <v>6.3795861788114826E-3</v>
      </c>
      <c r="AH107" s="119">
        <f t="shared" si="45"/>
        <v>1.677150136370012E-2</v>
      </c>
      <c r="AI107" s="122">
        <f t="shared" si="38"/>
        <v>1.6771501363700116E-2</v>
      </c>
      <c r="AJ107" s="87" t="b">
        <f t="shared" si="46"/>
        <v>1</v>
      </c>
      <c r="AK107" s="88">
        <f t="shared" si="51"/>
        <v>2.3518843560294198E-3</v>
      </c>
      <c r="AM107" s="89">
        <f t="shared" si="39"/>
        <v>212376.95478321295</v>
      </c>
      <c r="AN107" s="93"/>
      <c r="AO107" s="96">
        <f t="shared" ref="AO107:AO170" si="59">+AM107*1000/AB107</f>
        <v>45.959656888910544</v>
      </c>
      <c r="AP107" s="92">
        <f t="shared" si="58"/>
        <v>4.4334074169367086E-3</v>
      </c>
      <c r="AR107" s="94">
        <f t="shared" si="40"/>
        <v>1.6771501363700116E-2</v>
      </c>
      <c r="AS107" s="95">
        <v>831339.10804242548</v>
      </c>
      <c r="AU107" s="141">
        <v>173.86456413702456</v>
      </c>
    </row>
    <row r="108" spans="1:47">
      <c r="A108" s="78">
        <f t="shared" si="55"/>
        <v>2013</v>
      </c>
      <c r="B108" s="78">
        <f t="shared" si="54"/>
        <v>8</v>
      </c>
      <c r="C108" s="317">
        <f t="shared" si="49"/>
        <v>326.45437890907908</v>
      </c>
      <c r="D108" s="318">
        <f t="shared" si="56"/>
        <v>0.16603274573816959</v>
      </c>
      <c r="E108" s="321">
        <f>$D108*'MWh Impact Summary'!B$19</f>
        <v>224325.49558512567</v>
      </c>
      <c r="F108" s="319">
        <f>$D108*'MWh Impact Summary'!N$19</f>
        <v>12055.760143744583</v>
      </c>
      <c r="G108" s="319">
        <f>$D108*'MWh Impact Summary'!C$19</f>
        <v>189548.1969368273</v>
      </c>
      <c r="H108" s="319">
        <f>$D108*'MWh Impact Summary'!D$19</f>
        <v>503.78231728811346</v>
      </c>
      <c r="I108" s="319">
        <f>$D108*'MWh Impact Summary'!E$19</f>
        <v>77765.448380185437</v>
      </c>
      <c r="J108" s="104">
        <f t="shared" si="41"/>
        <v>504198.68336317106</v>
      </c>
      <c r="K108" s="298">
        <f t="shared" si="50"/>
        <v>10.933333333333334</v>
      </c>
      <c r="L108" s="299">
        <f t="shared" si="57"/>
        <v>7.6968203684148764E-2</v>
      </c>
      <c r="M108" s="297">
        <f t="shared" si="42"/>
        <v>8.3333333333333329E-2</v>
      </c>
      <c r="N108" s="302">
        <f>$L108*'MWh Impact Summary'!F$19</f>
        <v>53357.388656122821</v>
      </c>
      <c r="O108" s="302">
        <f>$L108*'MWh Impact Summary'!G$19</f>
        <v>70.320085936733761</v>
      </c>
      <c r="P108" s="304">
        <f>$M108*'MWh Impact Summary'!H$19</f>
        <v>2632.5517910673461</v>
      </c>
      <c r="Q108" s="304">
        <f>$M108*'MWh Impact Summary'!I$19</f>
        <v>842.49183339110118</v>
      </c>
      <c r="R108" s="304">
        <f>$M108*'MWh Impact Summary'!J$19</f>
        <v>15230.543765311228</v>
      </c>
      <c r="S108" s="304">
        <f>$M108*'MWh Impact Summary'!K$19</f>
        <v>0</v>
      </c>
      <c r="T108" s="304">
        <f>$M108*'MWh Impact Summary'!L$19</f>
        <v>0</v>
      </c>
      <c r="U108" s="304">
        <f>$M108*'MWh Impact Summary'!M$19</f>
        <v>0</v>
      </c>
      <c r="V108" s="302">
        <f>$L108*'MWh Impact Summary'!O$19</f>
        <v>672.64814217029175</v>
      </c>
      <c r="W108" s="302">
        <f>$L108*'MWh Impact Summary'!P$19</f>
        <v>223985.98446589662</v>
      </c>
      <c r="X108" s="302">
        <f>$L108*'MWh Impact Summary'!Q$19</f>
        <v>24497.01079314814</v>
      </c>
      <c r="Y108" s="85">
        <f t="shared" si="33"/>
        <v>321288.93953304429</v>
      </c>
      <c r="Z108" s="81">
        <f t="shared" si="34"/>
        <v>825487.62289621541</v>
      </c>
      <c r="AA108" s="81"/>
      <c r="AB108" s="81">
        <f>+'MWh by mo-WgtbyActulCDH&amp;Days'!AB108</f>
        <v>4630751</v>
      </c>
      <c r="AC108" s="308">
        <f t="shared" si="43"/>
        <v>178.26214860099699</v>
      </c>
      <c r="AD108" s="309">
        <f t="shared" si="35"/>
        <v>108.88054299684242</v>
      </c>
      <c r="AE108" s="107">
        <f t="shared" si="36"/>
        <v>9.9585862497111963E-3</v>
      </c>
      <c r="AF108" s="309">
        <f t="shared" si="44"/>
        <v>69.381605604154544</v>
      </c>
      <c r="AG108" s="107">
        <f t="shared" si="37"/>
        <v>6.3458785613555984E-3</v>
      </c>
      <c r="AH108" s="119">
        <f t="shared" si="45"/>
        <v>1.6304464811066795E-2</v>
      </c>
      <c r="AI108" s="122">
        <f t="shared" si="38"/>
        <v>1.6304464811066798E-2</v>
      </c>
      <c r="AJ108" s="87" t="b">
        <f t="shared" si="46"/>
        <v>1</v>
      </c>
      <c r="AK108" s="88">
        <f t="shared" si="51"/>
        <v>2.2693744259336419E-3</v>
      </c>
      <c r="AM108" s="89">
        <f t="shared" si="39"/>
        <v>223985.98446589662</v>
      </c>
      <c r="AN108" s="93"/>
      <c r="AO108" s="96">
        <f t="shared" si="59"/>
        <v>48.369256836719707</v>
      </c>
      <c r="AP108" s="92">
        <f t="shared" si="58"/>
        <v>4.4240173936024117E-3</v>
      </c>
      <c r="AR108" s="94">
        <f t="shared" si="40"/>
        <v>1.6304464811066798E-2</v>
      </c>
      <c r="AS108" s="95">
        <v>864429.00803286582</v>
      </c>
      <c r="AU108" s="141">
        <v>178.26214860099699</v>
      </c>
    </row>
    <row r="109" spans="1:47">
      <c r="A109" s="78">
        <f t="shared" si="55"/>
        <v>2013</v>
      </c>
      <c r="B109" s="78">
        <f t="shared" si="54"/>
        <v>9</v>
      </c>
      <c r="C109" s="317">
        <f t="shared" si="49"/>
        <v>277.87653293728147</v>
      </c>
      <c r="D109" s="318">
        <f t="shared" si="56"/>
        <v>0.14132634365008559</v>
      </c>
      <c r="E109" s="321">
        <f>$D109*'MWh Impact Summary'!B$19</f>
        <v>190944.87619047391</v>
      </c>
      <c r="F109" s="319">
        <f>$D109*'MWh Impact Summary'!N$19</f>
        <v>10261.810063207085</v>
      </c>
      <c r="G109" s="319">
        <f>$D109*'MWh Impact Summary'!C$19</f>
        <v>161342.59238712196</v>
      </c>
      <c r="H109" s="319">
        <f>$D109*'MWh Impact Summary'!D$19</f>
        <v>428.81729493393902</v>
      </c>
      <c r="I109" s="319">
        <f>$D109*'MWh Impact Summary'!E$19</f>
        <v>66193.607971842968</v>
      </c>
      <c r="J109" s="104">
        <f t="shared" si="41"/>
        <v>429171.70390757988</v>
      </c>
      <c r="K109" s="298">
        <f t="shared" si="50"/>
        <v>11.683333333333334</v>
      </c>
      <c r="L109" s="299">
        <f t="shared" si="57"/>
        <v>8.2248034729555317E-2</v>
      </c>
      <c r="M109" s="297">
        <f t="shared" si="42"/>
        <v>8.3333333333333329E-2</v>
      </c>
      <c r="N109" s="302">
        <f>$L109*'MWh Impact Summary'!F$19</f>
        <v>57017.575377960515</v>
      </c>
      <c r="O109" s="302">
        <f>$L109*'MWh Impact Summary'!G$19</f>
        <v>75.143872319588979</v>
      </c>
      <c r="P109" s="304">
        <f>$M109*'MWh Impact Summary'!H$19</f>
        <v>2632.5517910673461</v>
      </c>
      <c r="Q109" s="304">
        <f>$M109*'MWh Impact Summary'!I$19</f>
        <v>842.49183339110118</v>
      </c>
      <c r="R109" s="304">
        <f>$M109*'MWh Impact Summary'!J$19</f>
        <v>15230.543765311228</v>
      </c>
      <c r="S109" s="304">
        <f>$M109*'MWh Impact Summary'!K$19</f>
        <v>0</v>
      </c>
      <c r="T109" s="304">
        <f>$M109*'MWh Impact Summary'!L$19</f>
        <v>0</v>
      </c>
      <c r="U109" s="304">
        <f>$M109*'MWh Impact Summary'!M$19</f>
        <v>0</v>
      </c>
      <c r="V109" s="302">
        <f>$L109*'MWh Impact Summary'!O$19</f>
        <v>718.79016411794896</v>
      </c>
      <c r="W109" s="302">
        <f>$L109*'MWh Impact Summary'!P$19</f>
        <v>239350.87669297794</v>
      </c>
      <c r="X109" s="302">
        <f>$L109*'MWh Impact Summary'!Q$19</f>
        <v>26177.445984751288</v>
      </c>
      <c r="Y109" s="85">
        <f t="shared" si="33"/>
        <v>342045.41948189697</v>
      </c>
      <c r="Z109" s="81">
        <f t="shared" si="34"/>
        <v>771217.12338947691</v>
      </c>
      <c r="AA109" s="81"/>
      <c r="AB109" s="81">
        <f>+'MWh by mo-WgtbyActulCDH&amp;Days'!AB109</f>
        <v>4644296</v>
      </c>
      <c r="AC109" s="308">
        <f t="shared" si="43"/>
        <v>166.05684120682164</v>
      </c>
      <c r="AD109" s="309">
        <f t="shared" si="35"/>
        <v>92.40834432335491</v>
      </c>
      <c r="AE109" s="107">
        <f t="shared" si="36"/>
        <v>7.9094160619134022E-3</v>
      </c>
      <c r="AF109" s="309">
        <f t="shared" si="44"/>
        <v>73.648496883466734</v>
      </c>
      <c r="AG109" s="107">
        <f t="shared" si="37"/>
        <v>6.3037229857460823E-3</v>
      </c>
      <c r="AH109" s="119">
        <f t="shared" si="45"/>
        <v>1.4213139047659484E-2</v>
      </c>
      <c r="AI109" s="122">
        <f t="shared" si="38"/>
        <v>1.4213139047659484E-2</v>
      </c>
      <c r="AJ109" s="87" t="b">
        <f t="shared" si="46"/>
        <v>1</v>
      </c>
      <c r="AK109" s="88">
        <f t="shared" si="51"/>
        <v>1.9720019119247919E-3</v>
      </c>
      <c r="AM109" s="89">
        <f t="shared" si="39"/>
        <v>239350.87669297794</v>
      </c>
      <c r="AN109" s="93"/>
      <c r="AO109" s="96">
        <f t="shared" si="59"/>
        <v>51.53652495296982</v>
      </c>
      <c r="AP109" s="92">
        <f t="shared" si="58"/>
        <v>4.4111148319232376E-3</v>
      </c>
      <c r="AR109" s="94">
        <f t="shared" si="40"/>
        <v>1.4213139047659484E-2</v>
      </c>
      <c r="AS109" s="95">
        <v>815342.50819848932</v>
      </c>
      <c r="AU109" s="141">
        <v>166.05684120682164</v>
      </c>
    </row>
    <row r="110" spans="1:47">
      <c r="A110" s="78">
        <f t="shared" si="55"/>
        <v>2013</v>
      </c>
      <c r="B110" s="78">
        <f t="shared" si="54"/>
        <v>10</v>
      </c>
      <c r="C110" s="317">
        <f t="shared" si="49"/>
        <v>198.89039579254836</v>
      </c>
      <c r="D110" s="318">
        <f t="shared" si="56"/>
        <v>0.10115446643644242</v>
      </c>
      <c r="E110" s="321">
        <f>$D110*'MWh Impact Summary'!B$19</f>
        <v>136668.97883980069</v>
      </c>
      <c r="F110" s="319">
        <f>$D110*'MWh Impact Summary'!N$19</f>
        <v>7344.9004255421387</v>
      </c>
      <c r="G110" s="319">
        <f>$D110*'MWh Impact Summary'!C$19</f>
        <v>115481.11572744176</v>
      </c>
      <c r="H110" s="319">
        <f>$D110*'MWh Impact Summary'!D$19</f>
        <v>306.9263914105012</v>
      </c>
      <c r="I110" s="319">
        <f>$D110*'MWh Impact Summary'!E$19</f>
        <v>47378.13859016342</v>
      </c>
      <c r="J110" s="104">
        <f t="shared" si="41"/>
        <v>307180.05997435853</v>
      </c>
      <c r="K110" s="298">
        <f t="shared" si="50"/>
        <v>12.466666666666667</v>
      </c>
      <c r="L110" s="299">
        <f t="shared" si="57"/>
        <v>8.7762524932535488E-2</v>
      </c>
      <c r="M110" s="297">
        <f t="shared" si="42"/>
        <v>8.3333333333333329E-2</v>
      </c>
      <c r="N110" s="302">
        <f>$L110*'MWh Impact Summary'!F$19</f>
        <v>60840.43706521322</v>
      </c>
      <c r="O110" s="302">
        <f>$L110*'MWh Impact Summary'!G$19</f>
        <v>80.182049208348872</v>
      </c>
      <c r="P110" s="304">
        <f>$M110*'MWh Impact Summary'!H$19</f>
        <v>2632.5517910673461</v>
      </c>
      <c r="Q110" s="304">
        <f>$M110*'MWh Impact Summary'!I$19</f>
        <v>842.49183339110118</v>
      </c>
      <c r="R110" s="304">
        <f>$M110*'MWh Impact Summary'!J$19</f>
        <v>15230.543765311228</v>
      </c>
      <c r="S110" s="304">
        <f>$M110*'MWh Impact Summary'!K$19</f>
        <v>0</v>
      </c>
      <c r="T110" s="304">
        <f>$M110*'MWh Impact Summary'!L$19</f>
        <v>0</v>
      </c>
      <c r="U110" s="304">
        <f>$M110*'MWh Impact Summary'!M$19</f>
        <v>0</v>
      </c>
      <c r="V110" s="302">
        <f>$L110*'MWh Impact Summary'!O$19</f>
        <v>766.98294259661316</v>
      </c>
      <c r="W110" s="302">
        <f>$L110*'MWh Impact Summary'!P$19</f>
        <v>255398.65301904065</v>
      </c>
      <c r="X110" s="302">
        <f>$L110*'MWh Impact Summary'!Q$19</f>
        <v>27932.567184870135</v>
      </c>
      <c r="Y110" s="85">
        <f t="shared" si="33"/>
        <v>363724.40965069865</v>
      </c>
      <c r="Z110" s="81">
        <f t="shared" si="34"/>
        <v>670904.46962505719</v>
      </c>
      <c r="AA110" s="81"/>
      <c r="AB110" s="81">
        <f>+'MWh by mo-WgtbyActulCDH&amp;Days'!AB110</f>
        <v>4655414</v>
      </c>
      <c r="AC110" s="308">
        <f t="shared" si="43"/>
        <v>144.11274048345803</v>
      </c>
      <c r="AD110" s="309">
        <f t="shared" si="35"/>
        <v>65.98340340394185</v>
      </c>
      <c r="AE110" s="107">
        <f t="shared" si="36"/>
        <v>5.2927863693001485E-3</v>
      </c>
      <c r="AF110" s="309">
        <f t="shared" si="44"/>
        <v>78.129337079516162</v>
      </c>
      <c r="AG110" s="107">
        <f t="shared" si="37"/>
        <v>6.2670591240253605E-3</v>
      </c>
      <c r="AH110" s="119">
        <f t="shared" si="45"/>
        <v>1.1559845493325508E-2</v>
      </c>
      <c r="AI110" s="122">
        <f t="shared" si="38"/>
        <v>1.155984549332551E-2</v>
      </c>
      <c r="AJ110" s="87" t="b">
        <f t="shared" si="46"/>
        <v>1</v>
      </c>
      <c r="AK110" s="88">
        <f t="shared" si="51"/>
        <v>1.6303436853186311E-3</v>
      </c>
      <c r="AM110" s="89">
        <f t="shared" si="39"/>
        <v>255398.65301904065</v>
      </c>
      <c r="AN110" s="93"/>
      <c r="AO110" s="96">
        <f t="shared" si="59"/>
        <v>54.860567291983195</v>
      </c>
      <c r="AP110" s="92">
        <f t="shared" si="58"/>
        <v>4.4005802640628231E-3</v>
      </c>
      <c r="AR110" s="94">
        <f t="shared" si="40"/>
        <v>1.155984549332551E-2</v>
      </c>
      <c r="AS110" s="95">
        <v>653211.96732746228</v>
      </c>
      <c r="AU110" s="141">
        <v>144.11274048345803</v>
      </c>
    </row>
    <row r="111" spans="1:47">
      <c r="A111" s="78">
        <f t="shared" si="55"/>
        <v>2013</v>
      </c>
      <c r="B111" s="78">
        <f t="shared" si="54"/>
        <v>11</v>
      </c>
      <c r="C111" s="317">
        <f t="shared" si="49"/>
        <v>78.117279066674627</v>
      </c>
      <c r="D111" s="318">
        <f t="shared" si="56"/>
        <v>3.9729981188725644E-2</v>
      </c>
      <c r="E111" s="321">
        <f>$D111*'MWh Impact Summary'!B$19</f>
        <v>53678.855216930264</v>
      </c>
      <c r="F111" s="319">
        <f>$D111*'MWh Impact Summary'!N$19</f>
        <v>2884.8232413267142</v>
      </c>
      <c r="G111" s="319">
        <f>$D111*'MWh Impact Summary'!C$19</f>
        <v>45356.994279507082</v>
      </c>
      <c r="H111" s="319">
        <f>$D111*'MWh Impact Summary'!D$19</f>
        <v>120.55008727394679</v>
      </c>
      <c r="I111" s="319">
        <f>$D111*'MWh Impact Summary'!E$19</f>
        <v>18608.496700704167</v>
      </c>
      <c r="J111" s="104">
        <f t="shared" si="41"/>
        <v>120649.71952574218</v>
      </c>
      <c r="K111" s="298">
        <f t="shared" si="50"/>
        <v>13.15</v>
      </c>
      <c r="L111" s="299">
        <f t="shared" si="57"/>
        <v>9.2573037662794788E-2</v>
      </c>
      <c r="M111" s="297">
        <f t="shared" si="42"/>
        <v>8.3333333333333329E-2</v>
      </c>
      <c r="N111" s="302">
        <f>$L111*'MWh Impact Summary'!F$19</f>
        <v>64175.273856220898</v>
      </c>
      <c r="O111" s="302">
        <f>$L111*'MWh Impact Summary'!G$19</f>
        <v>84.577054579394741</v>
      </c>
      <c r="P111" s="304">
        <f>$M111*'MWh Impact Summary'!H$19</f>
        <v>2632.5517910673461</v>
      </c>
      <c r="Q111" s="304">
        <f>$M111*'MWh Impact Summary'!I$19</f>
        <v>842.49183339110118</v>
      </c>
      <c r="R111" s="304">
        <f>$M111*'MWh Impact Summary'!J$19</f>
        <v>15230.543765311228</v>
      </c>
      <c r="S111" s="304">
        <f>$M111*'MWh Impact Summary'!K$19</f>
        <v>0</v>
      </c>
      <c r="T111" s="304">
        <f>$M111*'MWh Impact Summary'!L$19</f>
        <v>0</v>
      </c>
      <c r="U111" s="304">
        <f>$M111*'MWh Impact Summary'!M$19</f>
        <v>0</v>
      </c>
      <c r="V111" s="302">
        <f>$L111*'MWh Impact Summary'!O$19</f>
        <v>809.02345148225641</v>
      </c>
      <c r="W111" s="302">
        <f>$L111*'MWh Impact Summary'!P$19</f>
        <v>269397.77704815922</v>
      </c>
      <c r="X111" s="302">
        <f>$L111*'MWh Impact Summary'!Q$19</f>
        <v>29463.630359441893</v>
      </c>
      <c r="Y111" s="85">
        <f t="shared" si="33"/>
        <v>382635.86915965338</v>
      </c>
      <c r="Z111" s="81">
        <f t="shared" si="34"/>
        <v>503285.58868539555</v>
      </c>
      <c r="AA111" s="81"/>
      <c r="AB111" s="81">
        <f>+'MWh by mo-WgtbyActulCDH&amp;Days'!AB111</f>
        <v>4665143</v>
      </c>
      <c r="AC111" s="308">
        <f t="shared" si="43"/>
        <v>107.88213537835722</v>
      </c>
      <c r="AD111" s="309">
        <f t="shared" si="35"/>
        <v>25.861955255335623</v>
      </c>
      <c r="AE111" s="107">
        <f t="shared" si="36"/>
        <v>1.9666886125730512E-3</v>
      </c>
      <c r="AF111" s="309">
        <f t="shared" si="44"/>
        <v>82.020180123021603</v>
      </c>
      <c r="AG111" s="107">
        <f t="shared" si="37"/>
        <v>6.2372760549826312E-3</v>
      </c>
      <c r="AH111" s="119">
        <f t="shared" si="45"/>
        <v>8.203964667555682E-3</v>
      </c>
      <c r="AI111" s="122">
        <f t="shared" si="38"/>
        <v>8.2039646675556802E-3</v>
      </c>
      <c r="AJ111" s="87" t="b">
        <f t="shared" si="46"/>
        <v>1</v>
      </c>
      <c r="AK111" s="88">
        <f t="shared" si="51"/>
        <v>1.2208160566439521E-3</v>
      </c>
      <c r="AM111" s="89">
        <f t="shared" si="39"/>
        <v>269397.77704815922</v>
      </c>
      <c r="AN111" s="93"/>
      <c r="AO111" s="96">
        <f t="shared" si="59"/>
        <v>57.746949460747345</v>
      </c>
      <c r="AP111" s="92">
        <f t="shared" si="58"/>
        <v>4.3914030008172893E-3</v>
      </c>
      <c r="AR111" s="94">
        <f t="shared" si="40"/>
        <v>8.2039646675556802E-3</v>
      </c>
      <c r="AS111" s="95">
        <v>498384.25806814851</v>
      </c>
      <c r="AU111" s="141">
        <v>107.88213537835722</v>
      </c>
    </row>
    <row r="112" spans="1:47">
      <c r="A112" s="78">
        <f t="shared" si="55"/>
        <v>2013</v>
      </c>
      <c r="B112" s="78">
        <f t="shared" si="54"/>
        <v>12</v>
      </c>
      <c r="C112" s="317">
        <f t="shared" si="49"/>
        <v>42.633806123140985</v>
      </c>
      <c r="D112" s="318">
        <f>C112/(SUM(C$101:C$112))</f>
        <v>2.1683298951445065E-2</v>
      </c>
      <c r="E112" s="321">
        <f>$D112*'MWh Impact Summary'!B$19</f>
        <v>29296.129276052372</v>
      </c>
      <c r="F112" s="319">
        <f>$D112*'MWh Impact Summary'!N$19</f>
        <v>1574.440331764232</v>
      </c>
      <c r="G112" s="319">
        <f>$D112*'MWh Impact Summary'!C$19</f>
        <v>24754.335065746895</v>
      </c>
      <c r="H112" s="319">
        <f>$D112*'MWh Impact Summary'!D$19</f>
        <v>65.792217936552831</v>
      </c>
      <c r="I112" s="319">
        <f>$D112*'MWh Impact Summary'!E$19</f>
        <v>10155.89700588252</v>
      </c>
      <c r="J112" s="104">
        <f t="shared" si="41"/>
        <v>65846.593897382569</v>
      </c>
      <c r="K112" s="298">
        <f t="shared" si="50"/>
        <v>13.483333333333333</v>
      </c>
      <c r="L112" s="299">
        <f>K112/(SUM(K$101:K$112))</f>
        <v>9.491962923853102E-2</v>
      </c>
      <c r="M112" s="297">
        <f t="shared" si="42"/>
        <v>8.3333333333333329E-2</v>
      </c>
      <c r="N112" s="302">
        <f>$L112*'MWh Impact Summary'!F$19</f>
        <v>65802.023510370971</v>
      </c>
      <c r="O112" s="302">
        <f>$L112*'MWh Impact Summary'!G$19</f>
        <v>86.720959638441485</v>
      </c>
      <c r="P112" s="304">
        <f>$M112*'MWh Impact Summary'!H$19</f>
        <v>2632.5517910673461</v>
      </c>
      <c r="Q112" s="304">
        <f>$M112*'MWh Impact Summary'!I$19</f>
        <v>842.49183339110118</v>
      </c>
      <c r="R112" s="304">
        <f>$M112*'MWh Impact Summary'!J$19</f>
        <v>15230.543765311228</v>
      </c>
      <c r="S112" s="304">
        <f>$M112*'MWh Impact Summary'!K$19</f>
        <v>0</v>
      </c>
      <c r="T112" s="304">
        <f>$M112*'MWh Impact Summary'!L$19</f>
        <v>0</v>
      </c>
      <c r="U112" s="304">
        <f>$M112*'MWh Impact Summary'!M$19</f>
        <v>0</v>
      </c>
      <c r="V112" s="302">
        <f>$L112*'MWh Impact Summary'!O$19</f>
        <v>829.53101679232623</v>
      </c>
      <c r="W112" s="302">
        <f>$L112*'MWh Impact Summary'!P$19</f>
        <v>276226.61803797306</v>
      </c>
      <c r="X112" s="302">
        <f>$L112*'MWh Impact Summary'!Q$19</f>
        <v>30210.490444598847</v>
      </c>
      <c r="Y112" s="85">
        <f t="shared" si="33"/>
        <v>391860.97135914332</v>
      </c>
      <c r="Z112" s="81">
        <f t="shared" si="34"/>
        <v>457707.56525652588</v>
      </c>
      <c r="AA112" s="81">
        <f>SUM(Z101:Z112)</f>
        <v>7192486.7786450339</v>
      </c>
      <c r="AB112" s="81">
        <f>+'MWh by mo-WgtbyActulCDH&amp;Days'!AB112</f>
        <v>4671859</v>
      </c>
      <c r="AC112" s="308">
        <f t="shared" si="43"/>
        <v>97.971185615089382</v>
      </c>
      <c r="AD112" s="309">
        <f t="shared" si="35"/>
        <v>14.094302481599417</v>
      </c>
      <c r="AE112" s="107">
        <f t="shared" si="36"/>
        <v>1.045312915817015E-3</v>
      </c>
      <c r="AF112" s="309">
        <f t="shared" si="44"/>
        <v>83.876883133489969</v>
      </c>
      <c r="AG112" s="107">
        <f t="shared" si="37"/>
        <v>6.2207824326444977E-3</v>
      </c>
      <c r="AH112" s="119">
        <f t="shared" si="45"/>
        <v>7.2660953484615124E-3</v>
      </c>
      <c r="AI112" s="122">
        <f t="shared" si="38"/>
        <v>7.2660953484615124E-3</v>
      </c>
      <c r="AJ112" s="87" t="b">
        <f t="shared" si="46"/>
        <v>1</v>
      </c>
      <c r="AK112" s="88">
        <f t="shared" si="51"/>
        <v>1.1063343162229415E-3</v>
      </c>
      <c r="AM112" s="89">
        <f t="shared" si="39"/>
        <v>276226.61803797306</v>
      </c>
      <c r="AN112" s="90">
        <f>SUM(AM101:AM112)</f>
        <v>2910110.5878092027</v>
      </c>
      <c r="AO112" s="96">
        <f t="shared" si="59"/>
        <v>59.125632438387598</v>
      </c>
      <c r="AP112" s="92">
        <f t="shared" si="58"/>
        <v>4.3850901684836293E-3</v>
      </c>
      <c r="AR112" s="94">
        <f t="shared" si="40"/>
        <v>7.2660953484615124E-3</v>
      </c>
      <c r="AS112" s="95">
        <v>407792.31518567307</v>
      </c>
      <c r="AU112" s="141">
        <v>97.971185615089382</v>
      </c>
    </row>
    <row r="113" spans="1:47">
      <c r="A113" s="78">
        <v>2014</v>
      </c>
      <c r="B113" s="78">
        <v>1</v>
      </c>
      <c r="C113" s="317">
        <f t="shared" si="49"/>
        <v>26.112829868525239</v>
      </c>
      <c r="D113" s="318">
        <f>C113/(SUM(C$113:C$124))</f>
        <v>1.3280829182176284E-2</v>
      </c>
      <c r="E113" s="321">
        <f>$D113*'MWh Impact Summary'!B$20</f>
        <v>20400.565814281548</v>
      </c>
      <c r="F113" s="319">
        <f>$D113*'MWh Impact Summary'!N$20</f>
        <v>1260.5815503360332</v>
      </c>
      <c r="G113" s="319">
        <f>$D113*'MWh Impact Summary'!C$20</f>
        <v>17406.56424943019</v>
      </c>
      <c r="H113" s="319">
        <f>$D113*'MWh Impact Summary'!D$20</f>
        <v>51.954027734078224</v>
      </c>
      <c r="I113" s="319">
        <f>$D113*'MWh Impact Summary'!E$20</f>
        <v>7019.0466489515638</v>
      </c>
      <c r="J113" s="104">
        <f t="shared" si="41"/>
        <v>46138.712290733412</v>
      </c>
      <c r="K113" s="298">
        <f t="shared" si="50"/>
        <v>13.3</v>
      </c>
      <c r="L113" s="300">
        <f>L101</f>
        <v>9.3629003871876101E-2</v>
      </c>
      <c r="M113" s="297">
        <f t="shared" si="42"/>
        <v>8.3333333333333329E-2</v>
      </c>
      <c r="N113" s="302">
        <f>$L113*'MWh Impact Summary'!F$20</f>
        <v>76547.668205967231</v>
      </c>
      <c r="O113" s="302">
        <f>$L113*'MWh Impact Summary'!G$20</f>
        <v>335.74735033453743</v>
      </c>
      <c r="P113" s="304">
        <f>$M113*'MWh Impact Summary'!H$20</f>
        <v>3366.1393638977643</v>
      </c>
      <c r="Q113" s="304">
        <f>$M113*'MWh Impact Summary'!I$20</f>
        <v>933.34731371912062</v>
      </c>
      <c r="R113" s="304">
        <f>$M113*'MWh Impact Summary'!J$20</f>
        <v>18723.41795919952</v>
      </c>
      <c r="S113" s="304">
        <f>$M113*'MWh Impact Summary'!K$20</f>
        <v>0</v>
      </c>
      <c r="T113" s="304">
        <f>$M113*'MWh Impact Summary'!L$20</f>
        <v>0</v>
      </c>
      <c r="U113" s="304">
        <f>$M113*'MWh Impact Summary'!M$20</f>
        <v>0</v>
      </c>
      <c r="V113" s="302">
        <f>$L113*'MWh Impact Summary'!O$20</f>
        <v>2610.5570562753419</v>
      </c>
      <c r="W113" s="302">
        <f>$L113*'MWh Impact Summary'!P$20</f>
        <v>294842.65238202445</v>
      </c>
      <c r="X113" s="302">
        <f>$L113*'MWh Impact Summary'!Q$20</f>
        <v>59595.408574436697</v>
      </c>
      <c r="Y113" s="85">
        <f t="shared" si="33"/>
        <v>456954.93820585462</v>
      </c>
      <c r="Z113" s="81">
        <f t="shared" si="34"/>
        <v>503093.65049658803</v>
      </c>
      <c r="AA113" s="81"/>
      <c r="AB113" s="81">
        <f>+'MWh by mo-WgtbyActulCDH&amp;Days'!AB113</f>
        <v>4679556</v>
      </c>
      <c r="AC113" s="308">
        <f t="shared" si="43"/>
        <v>107.50884282538516</v>
      </c>
      <c r="AD113" s="309">
        <f t="shared" si="35"/>
        <v>9.8596346086537725</v>
      </c>
      <c r="AE113" s="107">
        <f t="shared" si="36"/>
        <v>7.413259104250957E-4</v>
      </c>
      <c r="AF113" s="309">
        <f t="shared" si="44"/>
        <v>97.649208216731367</v>
      </c>
      <c r="AG113" s="107">
        <f t="shared" si="37"/>
        <v>7.3420457305813057E-3</v>
      </c>
      <c r="AH113" s="119">
        <f t="shared" si="45"/>
        <v>8.0833716410064014E-3</v>
      </c>
      <c r="AI113" s="122">
        <f t="shared" si="38"/>
        <v>8.0833716410064031E-3</v>
      </c>
      <c r="AJ113" s="87" t="b">
        <f t="shared" si="46"/>
        <v>1</v>
      </c>
      <c r="AK113" s="88">
        <f t="shared" si="51"/>
        <v>1.0944002328185203E-3</v>
      </c>
      <c r="AM113" s="89">
        <f t="shared" si="39"/>
        <v>294842.65238202445</v>
      </c>
      <c r="AN113" s="93"/>
      <c r="AO113" s="96">
        <f t="shared" si="59"/>
        <v>63.0065442922415</v>
      </c>
      <c r="AP113" s="92">
        <f t="shared" si="58"/>
        <v>4.7373341573113915E-3</v>
      </c>
      <c r="AR113" s="94">
        <f t="shared" si="40"/>
        <v>8.0833716410064031E-3</v>
      </c>
      <c r="AS113" s="95">
        <v>462445.94354477955</v>
      </c>
      <c r="AU113" s="141">
        <v>107.50884282538516</v>
      </c>
    </row>
    <row r="114" spans="1:47">
      <c r="A114" s="78">
        <v>2014</v>
      </c>
      <c r="B114" s="78">
        <v>2</v>
      </c>
      <c r="C114" s="317">
        <f t="shared" si="49"/>
        <v>35.042184420393127</v>
      </c>
      <c r="D114" s="318">
        <f t="shared" ref="D114:D124" si="60">C114/(SUM(C$113:C$124))</f>
        <v>1.7822245532205266E-2</v>
      </c>
      <c r="E114" s="321">
        <f>$D114*'MWh Impact Summary'!B$20</f>
        <v>27376.595839813337</v>
      </c>
      <c r="F114" s="319">
        <f>$D114*'MWh Impact Summary'!N$20</f>
        <v>1691.6409054946723</v>
      </c>
      <c r="G114" s="319">
        <f>$D114*'MWh Impact Summary'!C$20</f>
        <v>23358.787141226956</v>
      </c>
      <c r="H114" s="319">
        <f>$D114*'MWh Impact Summary'!D$20</f>
        <v>69.719851521500715</v>
      </c>
      <c r="I114" s="319">
        <f>$D114*'MWh Impact Summary'!E$20</f>
        <v>9419.229105627157</v>
      </c>
      <c r="J114" s="104">
        <f t="shared" si="41"/>
        <v>61915.972843683623</v>
      </c>
      <c r="K114" s="298">
        <f t="shared" si="50"/>
        <v>12.733333333333333</v>
      </c>
      <c r="L114" s="300">
        <f t="shared" ref="L114:L177" si="61">L102</f>
        <v>8.9639798193124468E-2</v>
      </c>
      <c r="M114" s="297">
        <f t="shared" si="42"/>
        <v>8.3333333333333329E-2</v>
      </c>
      <c r="N114" s="302">
        <f>$L114*'MWh Impact Summary'!F$20</f>
        <v>73286.238733532518</v>
      </c>
      <c r="O114" s="302">
        <f>$L114*'MWh Impact Summary'!G$20</f>
        <v>321.44232538294051</v>
      </c>
      <c r="P114" s="304">
        <f>$M114*'MWh Impact Summary'!H$20</f>
        <v>3366.1393638977643</v>
      </c>
      <c r="Q114" s="304">
        <f>$M114*'MWh Impact Summary'!I$20</f>
        <v>933.34731371912062</v>
      </c>
      <c r="R114" s="304">
        <f>$M114*'MWh Impact Summary'!J$20</f>
        <v>18723.41795919952</v>
      </c>
      <c r="S114" s="304">
        <f>$M114*'MWh Impact Summary'!K$20</f>
        <v>0</v>
      </c>
      <c r="T114" s="304">
        <f>$M114*'MWh Impact Summary'!L$20</f>
        <v>0</v>
      </c>
      <c r="U114" s="304">
        <f>$M114*'MWh Impact Summary'!M$20</f>
        <v>0</v>
      </c>
      <c r="V114" s="302">
        <f>$L114*'MWh Impact Summary'!O$20</f>
        <v>2499.3303145292739</v>
      </c>
      <c r="W114" s="302">
        <f>$L114*'MWh Impact Summary'!P$20</f>
        <v>282280.43411010859</v>
      </c>
      <c r="X114" s="302">
        <f>$L114*'MWh Impact Summary'!Q$20</f>
        <v>57056.255828157424</v>
      </c>
      <c r="Y114" s="85">
        <f t="shared" si="33"/>
        <v>438466.60594852711</v>
      </c>
      <c r="Z114" s="81">
        <f t="shared" si="34"/>
        <v>500382.57879221073</v>
      </c>
      <c r="AA114" s="81"/>
      <c r="AB114" s="81">
        <f>+'MWh by mo-WgtbyActulCDH&amp;Days'!AB114</f>
        <v>4687089</v>
      </c>
      <c r="AC114" s="308">
        <f t="shared" si="43"/>
        <v>106.75764398589629</v>
      </c>
      <c r="AD114" s="309">
        <f t="shared" si="35"/>
        <v>13.209899117273775</v>
      </c>
      <c r="AE114" s="107">
        <f t="shared" si="36"/>
        <v>1.0374266322466317E-3</v>
      </c>
      <c r="AF114" s="309">
        <f t="shared" si="44"/>
        <v>93.54774486862253</v>
      </c>
      <c r="AG114" s="107">
        <f t="shared" si="37"/>
        <v>7.3466815341850155E-3</v>
      </c>
      <c r="AH114" s="119">
        <f t="shared" si="45"/>
        <v>8.3841081664316475E-3</v>
      </c>
      <c r="AI114" s="122">
        <f t="shared" si="38"/>
        <v>8.3841081664316457E-3</v>
      </c>
      <c r="AJ114" s="87" t="b">
        <f t="shared" si="46"/>
        <v>1</v>
      </c>
      <c r="AK114" s="88">
        <f t="shared" si="51"/>
        <v>1.1232269606287204E-3</v>
      </c>
      <c r="AM114" s="89">
        <f t="shared" si="39"/>
        <v>282280.43411010859</v>
      </c>
      <c r="AN114" s="93"/>
      <c r="AO114" s="96">
        <f t="shared" si="59"/>
        <v>60.225106480826078</v>
      </c>
      <c r="AP114" s="92">
        <f t="shared" si="58"/>
        <v>4.7297204042533571E-3</v>
      </c>
      <c r="AR114" s="94">
        <f t="shared" si="40"/>
        <v>8.3841081664316457E-3</v>
      </c>
      <c r="AS114" s="95">
        <v>429989.36628902756</v>
      </c>
      <c r="AU114" s="141">
        <v>106.75764398589629</v>
      </c>
    </row>
    <row r="115" spans="1:47">
      <c r="A115" s="78">
        <v>2014</v>
      </c>
      <c r="B115" s="78">
        <v>3</v>
      </c>
      <c r="C115" s="317">
        <f t="shared" si="49"/>
        <v>64.582270600115152</v>
      </c>
      <c r="D115" s="318">
        <f t="shared" si="60"/>
        <v>3.2846156787895278E-2</v>
      </c>
      <c r="E115" s="321">
        <f>$D115*'MWh Impact Summary'!B$20</f>
        <v>50454.694816567506</v>
      </c>
      <c r="F115" s="319">
        <f>$D115*'MWh Impact Summary'!N$20</f>
        <v>3117.6712446414067</v>
      </c>
      <c r="G115" s="319">
        <f>$D115*'MWh Impact Summary'!C$20</f>
        <v>43049.927879703959</v>
      </c>
      <c r="H115" s="319">
        <f>$D115*'MWh Impact Summary'!D$20</f>
        <v>128.4927407248345</v>
      </c>
      <c r="I115" s="319">
        <f>$D115*'MWh Impact Summary'!E$20</f>
        <v>17359.511486106985</v>
      </c>
      <c r="J115" s="104">
        <f t="shared" si="41"/>
        <v>114110.2981677447</v>
      </c>
      <c r="K115" s="298">
        <f t="shared" si="50"/>
        <v>12</v>
      </c>
      <c r="L115" s="300">
        <f t="shared" si="61"/>
        <v>8.4477296726504739E-2</v>
      </c>
      <c r="M115" s="297">
        <f t="shared" si="42"/>
        <v>8.3333333333333329E-2</v>
      </c>
      <c r="N115" s="302">
        <f>$L115*'MWh Impact Summary'!F$20</f>
        <v>69065.565298617032</v>
      </c>
      <c r="O115" s="302">
        <f>$L115*'MWh Impact Summary'!G$20</f>
        <v>302.92994015146229</v>
      </c>
      <c r="P115" s="304">
        <f>$M115*'MWh Impact Summary'!H$20</f>
        <v>3366.1393638977643</v>
      </c>
      <c r="Q115" s="304">
        <f>$M115*'MWh Impact Summary'!I$20</f>
        <v>933.34731371912062</v>
      </c>
      <c r="R115" s="304">
        <f>$M115*'MWh Impact Summary'!J$20</f>
        <v>18723.41795919952</v>
      </c>
      <c r="S115" s="304">
        <f>$M115*'MWh Impact Summary'!K$20</f>
        <v>0</v>
      </c>
      <c r="T115" s="304">
        <f>$M115*'MWh Impact Summary'!L$20</f>
        <v>0</v>
      </c>
      <c r="U115" s="304">
        <f>$M115*'MWh Impact Summary'!M$20</f>
        <v>0</v>
      </c>
      <c r="V115" s="302">
        <f>$L115*'MWh Impact Summary'!O$20</f>
        <v>2355.3898252108343</v>
      </c>
      <c r="W115" s="302">
        <f>$L115*'MWh Impact Summary'!P$20</f>
        <v>266023.44575821754</v>
      </c>
      <c r="X115" s="302">
        <f>$L115*'MWh Impact Summary'!Q$20</f>
        <v>53770.293450619567</v>
      </c>
      <c r="Y115" s="85">
        <f t="shared" si="33"/>
        <v>414540.52890963282</v>
      </c>
      <c r="Z115" s="81">
        <f t="shared" si="34"/>
        <v>528650.82707737747</v>
      </c>
      <c r="AA115" s="85"/>
      <c r="AB115" s="81">
        <f>+'MWh by mo-WgtbyActulCDH&amp;Days'!AB115</f>
        <v>4694845</v>
      </c>
      <c r="AC115" s="308">
        <f t="shared" si="43"/>
        <v>112.60240265171214</v>
      </c>
      <c r="AD115" s="309">
        <f t="shared" si="35"/>
        <v>24.305445263420772</v>
      </c>
      <c r="AE115" s="107">
        <f t="shared" si="36"/>
        <v>2.0254537719517312E-3</v>
      </c>
      <c r="AF115" s="309">
        <f t="shared" si="44"/>
        <v>88.296957388291375</v>
      </c>
      <c r="AG115" s="107">
        <f t="shared" si="37"/>
        <v>7.3580797823576145E-3</v>
      </c>
      <c r="AH115" s="119">
        <f t="shared" si="45"/>
        <v>9.3835335543093461E-3</v>
      </c>
      <c r="AI115" s="122">
        <f t="shared" si="38"/>
        <v>9.3835335543093444E-3</v>
      </c>
      <c r="AJ115" s="87" t="b">
        <f t="shared" si="46"/>
        <v>0</v>
      </c>
      <c r="AK115" s="88">
        <f t="shared" si="51"/>
        <v>1.2315400286031213E-3</v>
      </c>
      <c r="AM115" s="89">
        <f t="shared" si="39"/>
        <v>266023.44575821754</v>
      </c>
      <c r="AN115" s="89"/>
      <c r="AO115" s="96">
        <f t="shared" si="59"/>
        <v>56.662881470680617</v>
      </c>
      <c r="AP115" s="92">
        <f t="shared" si="58"/>
        <v>4.7219067892233851E-3</v>
      </c>
      <c r="AR115" s="94">
        <f t="shared" si="40"/>
        <v>9.3835335543093444E-3</v>
      </c>
      <c r="AS115" s="95">
        <v>522118.50113084482</v>
      </c>
      <c r="AU115" s="141">
        <v>112.60240265171214</v>
      </c>
    </row>
    <row r="116" spans="1:47">
      <c r="A116" s="78">
        <v>2014</v>
      </c>
      <c r="B116" s="78">
        <v>4</v>
      </c>
      <c r="C116" s="317">
        <f t="shared" si="49"/>
        <v>114.03392869270741</v>
      </c>
      <c r="D116" s="318">
        <f t="shared" si="60"/>
        <v>5.7996974497419709E-2</v>
      </c>
      <c r="E116" s="321">
        <f>$D116*'MWh Impact Summary'!B$20</f>
        <v>89088.646426663632</v>
      </c>
      <c r="F116" s="319">
        <f>$D116*'MWh Impact Summary'!N$20</f>
        <v>5504.9210424959665</v>
      </c>
      <c r="G116" s="319">
        <f>$D116*'MWh Impact Summary'!C$20</f>
        <v>76013.933242718849</v>
      </c>
      <c r="H116" s="319">
        <f>$D116*'MWh Impact Summary'!D$20</f>
        <v>226.88164874339662</v>
      </c>
      <c r="I116" s="319">
        <f>$D116*'MWh Impact Summary'!E$20</f>
        <v>30651.961855045542</v>
      </c>
      <c r="J116" s="104">
        <f t="shared" si="41"/>
        <v>201486.3442156674</v>
      </c>
      <c r="K116" s="298">
        <f t="shared" si="50"/>
        <v>11.2</v>
      </c>
      <c r="L116" s="300">
        <f t="shared" si="61"/>
        <v>7.8845476944737758E-2</v>
      </c>
      <c r="M116" s="297">
        <f t="shared" si="42"/>
        <v>8.3333333333333329E-2</v>
      </c>
      <c r="N116" s="302">
        <f>$L116*'MWh Impact Summary'!F$20</f>
        <v>64461.194278709234</v>
      </c>
      <c r="O116" s="302">
        <f>$L116*'MWh Impact Summary'!G$20</f>
        <v>282.73461080803145</v>
      </c>
      <c r="P116" s="304">
        <f>$M116*'MWh Impact Summary'!H$20</f>
        <v>3366.1393638977643</v>
      </c>
      <c r="Q116" s="304">
        <f>$M116*'MWh Impact Summary'!I$20</f>
        <v>933.34731371912062</v>
      </c>
      <c r="R116" s="304">
        <f>$M116*'MWh Impact Summary'!J$20</f>
        <v>18723.41795919952</v>
      </c>
      <c r="S116" s="304">
        <f>$M116*'MWh Impact Summary'!K$20</f>
        <v>0</v>
      </c>
      <c r="T116" s="304">
        <f>$M116*'MWh Impact Summary'!L$20</f>
        <v>0</v>
      </c>
      <c r="U116" s="304">
        <f>$M116*'MWh Impact Summary'!M$20</f>
        <v>0</v>
      </c>
      <c r="V116" s="302">
        <f>$L116*'MWh Impact Summary'!O$20</f>
        <v>2198.3638368634452</v>
      </c>
      <c r="W116" s="302">
        <f>$L116*'MWh Impact Summary'!P$20</f>
        <v>248288.54937433635</v>
      </c>
      <c r="X116" s="302">
        <f>$L116*'MWh Impact Summary'!Q$20</f>
        <v>50185.607220578262</v>
      </c>
      <c r="Y116" s="85">
        <f t="shared" si="33"/>
        <v>388439.35395811172</v>
      </c>
      <c r="Z116" s="81">
        <f t="shared" si="34"/>
        <v>589925.69817377906</v>
      </c>
      <c r="AA116" s="81"/>
      <c r="AB116" s="81">
        <f>+'MWh by mo-WgtbyActulCDH&amp;Days'!AB116</f>
        <v>4699582</v>
      </c>
      <c r="AC116" s="308">
        <f t="shared" si="43"/>
        <v>125.52726990906405</v>
      </c>
      <c r="AD116" s="309">
        <f t="shared" si="35"/>
        <v>42.873247921978468</v>
      </c>
      <c r="AE116" s="107">
        <f t="shared" si="36"/>
        <v>3.8279685644623633E-3</v>
      </c>
      <c r="AF116" s="309">
        <f t="shared" si="44"/>
        <v>82.654021987085599</v>
      </c>
      <c r="AG116" s="107">
        <f t="shared" si="37"/>
        <v>7.3798233917040717E-3</v>
      </c>
      <c r="AH116" s="119">
        <f t="shared" si="45"/>
        <v>1.1207791956166436E-2</v>
      </c>
      <c r="AI116" s="122">
        <f t="shared" si="38"/>
        <v>1.1207791956166434E-2</v>
      </c>
      <c r="AJ116" s="87" t="b">
        <f t="shared" si="46"/>
        <v>1</v>
      </c>
      <c r="AK116" s="88">
        <f t="shared" si="51"/>
        <v>1.4300443536292961E-3</v>
      </c>
      <c r="AM116" s="89">
        <f t="shared" si="39"/>
        <v>248288.54937433635</v>
      </c>
      <c r="AN116" s="93"/>
      <c r="AO116" s="96">
        <f t="shared" si="59"/>
        <v>52.832049610866747</v>
      </c>
      <c r="AP116" s="92">
        <f t="shared" si="58"/>
        <v>4.7171472866845308E-3</v>
      </c>
      <c r="AR116" s="94">
        <f t="shared" si="40"/>
        <v>1.1207791956166434E-2</v>
      </c>
      <c r="AS116" s="95">
        <v>616081.08376351488</v>
      </c>
      <c r="AU116" s="141">
        <v>125.52726990906405</v>
      </c>
    </row>
    <row r="117" spans="1:47">
      <c r="A117" s="78">
        <v>2014</v>
      </c>
      <c r="B117" s="78">
        <v>5</v>
      </c>
      <c r="C117" s="317">
        <f t="shared" si="49"/>
        <v>208.47875842628665</v>
      </c>
      <c r="D117" s="318">
        <f t="shared" si="60"/>
        <v>0.10603105035770212</v>
      </c>
      <c r="E117" s="321">
        <f>$D117*'MWh Impact Summary'!B$20</f>
        <v>162873.37119603285</v>
      </c>
      <c r="F117" s="319">
        <f>$D117*'MWh Impact Summary'!N$20</f>
        <v>10064.189819040172</v>
      </c>
      <c r="G117" s="319">
        <f>$D117*'MWh Impact Summary'!C$20</f>
        <v>138969.95926751854</v>
      </c>
      <c r="H117" s="319">
        <f>$D117*'MWh Impact Summary'!D$20</f>
        <v>414.78887013700773</v>
      </c>
      <c r="I117" s="319">
        <f>$D117*'MWh Impact Summary'!E$20</f>
        <v>56038.4354387192</v>
      </c>
      <c r="J117" s="104">
        <f t="shared" si="41"/>
        <v>368360.74459144776</v>
      </c>
      <c r="K117" s="298">
        <f t="shared" si="50"/>
        <v>10.533333333333333</v>
      </c>
      <c r="L117" s="300">
        <f t="shared" si="61"/>
        <v>7.4152293793265281E-2</v>
      </c>
      <c r="M117" s="297">
        <f t="shared" si="42"/>
        <v>8.3333333333333329E-2</v>
      </c>
      <c r="N117" s="302">
        <f>$L117*'MWh Impact Summary'!F$20</f>
        <v>60624.218428786073</v>
      </c>
      <c r="O117" s="302">
        <f>$L117*'MWh Impact Summary'!G$20</f>
        <v>265.90516968850585</v>
      </c>
      <c r="P117" s="304">
        <f>$M117*'MWh Impact Summary'!H$20</f>
        <v>3366.1393638977643</v>
      </c>
      <c r="Q117" s="304">
        <f>$M117*'MWh Impact Summary'!I$20</f>
        <v>933.34731371912062</v>
      </c>
      <c r="R117" s="304">
        <f>$M117*'MWh Impact Summary'!J$20</f>
        <v>18723.41795919952</v>
      </c>
      <c r="S117" s="304">
        <f>$M117*'MWh Impact Summary'!K$20</f>
        <v>0</v>
      </c>
      <c r="T117" s="304">
        <f>$M117*'MWh Impact Summary'!L$20</f>
        <v>0</v>
      </c>
      <c r="U117" s="304">
        <f>$M117*'MWh Impact Summary'!M$20</f>
        <v>0</v>
      </c>
      <c r="V117" s="302">
        <f>$L117*'MWh Impact Summary'!O$20</f>
        <v>2067.508846573955</v>
      </c>
      <c r="W117" s="302">
        <f>$L117*'MWh Impact Summary'!P$20</f>
        <v>233509.46905443541</v>
      </c>
      <c r="X117" s="302">
        <f>$L117*'MWh Impact Summary'!Q$20</f>
        <v>47198.368695543846</v>
      </c>
      <c r="Y117" s="85">
        <f t="shared" si="33"/>
        <v>366688.37483184418</v>
      </c>
      <c r="Z117" s="81">
        <f t="shared" si="34"/>
        <v>735049.11942329188</v>
      </c>
      <c r="AA117" s="81"/>
      <c r="AB117" s="81">
        <f>+'MWh by mo-WgtbyActulCDH&amp;Days'!AB117</f>
        <v>4702414</v>
      </c>
      <c r="AC117" s="308">
        <f t="shared" si="43"/>
        <v>156.31314457282832</v>
      </c>
      <c r="AD117" s="309">
        <f t="shared" si="35"/>
        <v>78.334392631411816</v>
      </c>
      <c r="AE117" s="107">
        <f t="shared" si="36"/>
        <v>7.4368094270327676E-3</v>
      </c>
      <c r="AF117" s="309">
        <f t="shared" si="44"/>
        <v>77.978751941416505</v>
      </c>
      <c r="AG117" s="107">
        <f t="shared" si="37"/>
        <v>7.4030460703876427E-3</v>
      </c>
      <c r="AH117" s="119">
        <f t="shared" si="45"/>
        <v>1.4839855497420409E-2</v>
      </c>
      <c r="AI117" s="122">
        <f t="shared" si="38"/>
        <v>1.4839855497420411E-2</v>
      </c>
      <c r="AJ117" s="87" t="b">
        <f t="shared" si="46"/>
        <v>1</v>
      </c>
      <c r="AK117" s="88">
        <f t="shared" si="51"/>
        <v>1.8247761015498642E-3</v>
      </c>
      <c r="AM117" s="89">
        <f t="shared" si="39"/>
        <v>233509.46905443541</v>
      </c>
      <c r="AN117" s="93"/>
      <c r="AO117" s="96">
        <f t="shared" si="59"/>
        <v>49.657360890477825</v>
      </c>
      <c r="AP117" s="92">
        <f t="shared" si="58"/>
        <v>4.7143064136529579E-3</v>
      </c>
      <c r="AR117" s="94">
        <f t="shared" si="40"/>
        <v>1.4839855497420411E-2</v>
      </c>
      <c r="AS117" s="95">
        <v>744422.3141190504</v>
      </c>
      <c r="AU117" s="141">
        <v>156.31314457282832</v>
      </c>
    </row>
    <row r="118" spans="1:47">
      <c r="A118" s="78">
        <v>2014</v>
      </c>
      <c r="B118" s="78">
        <v>6</v>
      </c>
      <c r="C118" s="317">
        <f t="shared" si="49"/>
        <v>271.66325293295364</v>
      </c>
      <c r="D118" s="318">
        <f t="shared" si="60"/>
        <v>0.13816630657965029</v>
      </c>
      <c r="E118" s="321">
        <f>$D118*'MWh Impact Summary'!B$20</f>
        <v>212236.05785677844</v>
      </c>
      <c r="F118" s="319">
        <f>$D118*'MWh Impact Summary'!N$20</f>
        <v>13114.384242372931</v>
      </c>
      <c r="G118" s="319">
        <f>$D118*'MWh Impact Summary'!C$20</f>
        <v>181088.14288589868</v>
      </c>
      <c r="H118" s="319">
        <f>$D118*'MWh Impact Summary'!D$20</f>
        <v>540.50059868159701</v>
      </c>
      <c r="I118" s="319">
        <f>$D118*'MWh Impact Summary'!E$20</f>
        <v>73022.229101285047</v>
      </c>
      <c r="J118" s="104">
        <f t="shared" si="41"/>
        <v>480001.3146850167</v>
      </c>
      <c r="K118" s="298">
        <f t="shared" si="50"/>
        <v>10.199999999999999</v>
      </c>
      <c r="L118" s="300">
        <f t="shared" si="61"/>
        <v>7.1805702217529022E-2</v>
      </c>
      <c r="M118" s="297">
        <f t="shared" si="42"/>
        <v>8.3333333333333329E-2</v>
      </c>
      <c r="N118" s="302">
        <f>$L118*'MWh Impact Summary'!F$20</f>
        <v>58705.730503824474</v>
      </c>
      <c r="O118" s="302">
        <f>$L118*'MWh Impact Summary'!G$20</f>
        <v>257.49044912874291</v>
      </c>
      <c r="P118" s="304">
        <f>$M118*'MWh Impact Summary'!H$20</f>
        <v>3366.1393638977643</v>
      </c>
      <c r="Q118" s="304">
        <f>$M118*'MWh Impact Summary'!I$20</f>
        <v>933.34731371912062</v>
      </c>
      <c r="R118" s="304">
        <f>$M118*'MWh Impact Summary'!J$20</f>
        <v>18723.41795919952</v>
      </c>
      <c r="S118" s="304">
        <f>$M118*'MWh Impact Summary'!K$20</f>
        <v>0</v>
      </c>
      <c r="T118" s="304">
        <f>$M118*'MWh Impact Summary'!L$20</f>
        <v>0</v>
      </c>
      <c r="U118" s="304">
        <f>$M118*'MWh Impact Summary'!M$20</f>
        <v>0</v>
      </c>
      <c r="V118" s="302">
        <f>$L118*'MWh Impact Summary'!O$20</f>
        <v>2002.081351429209</v>
      </c>
      <c r="W118" s="302">
        <f>$L118*'MWh Impact Summary'!P$20</f>
        <v>226119.92889448485</v>
      </c>
      <c r="X118" s="302">
        <f>$L118*'MWh Impact Summary'!Q$20</f>
        <v>45704.749433026627</v>
      </c>
      <c r="Y118" s="85">
        <f t="shared" si="33"/>
        <v>355812.88526871032</v>
      </c>
      <c r="Z118" s="81">
        <f t="shared" si="34"/>
        <v>835814.19995372696</v>
      </c>
      <c r="AA118" s="81"/>
      <c r="AB118" s="81">
        <f>+'MWh by mo-WgtbyActulCDH&amp;Days'!AB118</f>
        <v>4705494</v>
      </c>
      <c r="AC118" s="308">
        <f t="shared" si="43"/>
        <v>177.62517600781703</v>
      </c>
      <c r="AD118" s="309">
        <f t="shared" si="35"/>
        <v>102.00869763833865</v>
      </c>
      <c r="AE118" s="107">
        <f t="shared" si="36"/>
        <v>1.0000852709641045E-2</v>
      </c>
      <c r="AF118" s="309">
        <f t="shared" si="44"/>
        <v>75.616478369478386</v>
      </c>
      <c r="AG118" s="107">
        <f t="shared" si="37"/>
        <v>7.4133802323018026E-3</v>
      </c>
      <c r="AH118" s="119">
        <f t="shared" si="45"/>
        <v>1.7414232941942848E-2</v>
      </c>
      <c r="AI118" s="122">
        <f t="shared" si="38"/>
        <v>1.7414232941942848E-2</v>
      </c>
      <c r="AJ118" s="87" t="b">
        <f t="shared" si="46"/>
        <v>1</v>
      </c>
      <c r="AK118" s="88">
        <f t="shared" si="51"/>
        <v>2.1025650709449832E-3</v>
      </c>
      <c r="AM118" s="89">
        <f t="shared" si="39"/>
        <v>226119.92889448485</v>
      </c>
      <c r="AN118" s="93"/>
      <c r="AO118" s="96">
        <f t="shared" si="59"/>
        <v>48.054450583612443</v>
      </c>
      <c r="AP118" s="92">
        <f t="shared" si="58"/>
        <v>4.7112206454522007E-3</v>
      </c>
      <c r="AR118" s="94">
        <f t="shared" si="40"/>
        <v>1.7414232941942848E-2</v>
      </c>
      <c r="AS118" s="95">
        <v>911564.45976524334</v>
      </c>
      <c r="AU118" s="141">
        <v>177.62517600781703</v>
      </c>
    </row>
    <row r="119" spans="1:47">
      <c r="A119" s="78">
        <v>2014</v>
      </c>
      <c r="B119" s="78">
        <v>7</v>
      </c>
      <c r="C119" s="317">
        <f t="shared" si="49"/>
        <v>322.31916585708109</v>
      </c>
      <c r="D119" s="318">
        <f t="shared" si="60"/>
        <v>0.16392960109808263</v>
      </c>
      <c r="E119" s="321">
        <f>$D119*'MWh Impact Summary'!B$20</f>
        <v>251810.82974838352</v>
      </c>
      <c r="F119" s="319">
        <f>$D119*'MWh Impact Summary'!N$20</f>
        <v>15559.768736090771</v>
      </c>
      <c r="G119" s="319">
        <f>$D119*'MWh Impact Summary'!C$20</f>
        <v>214854.89307600987</v>
      </c>
      <c r="H119" s="319">
        <f>$D119*'MWh Impact Summary'!D$20</f>
        <v>641.28548941177985</v>
      </c>
      <c r="I119" s="319">
        <f>$D119*'MWh Impact Summary'!E$20</f>
        <v>86638.379386407702</v>
      </c>
      <c r="J119" s="104">
        <f t="shared" si="41"/>
        <v>569505.15643630363</v>
      </c>
      <c r="K119" s="298">
        <f t="shared" si="50"/>
        <v>10.366666666666667</v>
      </c>
      <c r="L119" s="300">
        <f t="shared" si="61"/>
        <v>7.2978998005397158E-2</v>
      </c>
      <c r="M119" s="297">
        <f t="shared" si="42"/>
        <v>8.3333333333333329E-2</v>
      </c>
      <c r="N119" s="302">
        <f>$L119*'MWh Impact Summary'!F$20</f>
        <v>59664.974466305277</v>
      </c>
      <c r="O119" s="302">
        <f>$L119*'MWh Impact Summary'!G$20</f>
        <v>261.69780940862438</v>
      </c>
      <c r="P119" s="304">
        <f>$M119*'MWh Impact Summary'!H$20</f>
        <v>3366.1393638977643</v>
      </c>
      <c r="Q119" s="304">
        <f>$M119*'MWh Impact Summary'!I$20</f>
        <v>933.34731371912062</v>
      </c>
      <c r="R119" s="304">
        <f>$M119*'MWh Impact Summary'!J$20</f>
        <v>18723.41795919952</v>
      </c>
      <c r="S119" s="304">
        <f>$M119*'MWh Impact Summary'!K$20</f>
        <v>0</v>
      </c>
      <c r="T119" s="304">
        <f>$M119*'MWh Impact Summary'!L$20</f>
        <v>0</v>
      </c>
      <c r="U119" s="304">
        <f>$M119*'MWh Impact Summary'!M$20</f>
        <v>0</v>
      </c>
      <c r="V119" s="302">
        <f>$L119*'MWh Impact Summary'!O$20</f>
        <v>2034.795099001582</v>
      </c>
      <c r="W119" s="302">
        <f>$L119*'MWh Impact Summary'!P$20</f>
        <v>229814.69897446016</v>
      </c>
      <c r="X119" s="302">
        <f>$L119*'MWh Impact Summary'!Q$20</f>
        <v>46451.55906428524</v>
      </c>
      <c r="Y119" s="85">
        <f t="shared" si="33"/>
        <v>361250.63005027728</v>
      </c>
      <c r="Z119" s="81">
        <f t="shared" si="34"/>
        <v>930755.78648658097</v>
      </c>
      <c r="AA119" s="81"/>
      <c r="AB119" s="81">
        <f>+'MWh by mo-WgtbyActulCDH&amp;Days'!AB119</f>
        <v>4709239</v>
      </c>
      <c r="AC119" s="308">
        <f t="shared" si="43"/>
        <v>197.64462718638424</v>
      </c>
      <c r="AD119" s="309">
        <f t="shared" si="35"/>
        <v>120.93358532796989</v>
      </c>
      <c r="AE119" s="107">
        <f t="shared" si="36"/>
        <v>1.1665619163469764E-2</v>
      </c>
      <c r="AF119" s="309">
        <f t="shared" si="44"/>
        <v>76.711041858414347</v>
      </c>
      <c r="AG119" s="107">
        <f t="shared" si="37"/>
        <v>7.399778957403313E-3</v>
      </c>
      <c r="AH119" s="119">
        <f t="shared" si="45"/>
        <v>1.9065398120873076E-2</v>
      </c>
      <c r="AI119" s="122">
        <f t="shared" si="38"/>
        <v>1.9065398120873076E-2</v>
      </c>
      <c r="AJ119" s="87" t="b">
        <f t="shared" si="46"/>
        <v>1</v>
      </c>
      <c r="AK119" s="88">
        <f t="shared" si="51"/>
        <v>2.2938967571729599E-3</v>
      </c>
      <c r="AM119" s="89">
        <f t="shared" si="39"/>
        <v>229814.69897446016</v>
      </c>
      <c r="AN119" s="93"/>
      <c r="AO119" s="96">
        <f t="shared" si="59"/>
        <v>48.800814521085073</v>
      </c>
      <c r="AP119" s="92">
        <f t="shared" si="58"/>
        <v>4.7074740695580448E-3</v>
      </c>
      <c r="AR119" s="94">
        <f t="shared" si="40"/>
        <v>1.9065398120873076E-2</v>
      </c>
      <c r="AS119" s="95">
        <v>960152.42672691226</v>
      </c>
      <c r="AU119" s="141">
        <v>197.64462718638424</v>
      </c>
    </row>
    <row r="120" spans="1:47">
      <c r="A120" s="78">
        <v>2014</v>
      </c>
      <c r="B120" s="78">
        <v>8</v>
      </c>
      <c r="C120" s="317">
        <f t="shared" si="49"/>
        <v>326.45437890907908</v>
      </c>
      <c r="D120" s="318">
        <f t="shared" si="60"/>
        <v>0.16603274573816959</v>
      </c>
      <c r="E120" s="321">
        <f>$D120*'MWh Impact Summary'!B$20</f>
        <v>255041.45187735639</v>
      </c>
      <c r="F120" s="319">
        <f>$D120*'MWh Impact Summary'!N$20</f>
        <v>15759.393721444832</v>
      </c>
      <c r="G120" s="319">
        <f>$D120*'MWh Impact Summary'!C$20</f>
        <v>217611.38680101384</v>
      </c>
      <c r="H120" s="319">
        <f>$D120*'MWh Impact Summary'!D$20</f>
        <v>649.51290002455232</v>
      </c>
      <c r="I120" s="319">
        <f>$D120*'MWh Impact Summary'!E$20</f>
        <v>87749.911666189932</v>
      </c>
      <c r="J120" s="104">
        <f t="shared" si="41"/>
        <v>576811.65696602955</v>
      </c>
      <c r="K120" s="298">
        <f t="shared" si="50"/>
        <v>10.933333333333334</v>
      </c>
      <c r="L120" s="300">
        <f t="shared" si="61"/>
        <v>7.6968203684148764E-2</v>
      </c>
      <c r="M120" s="297">
        <f t="shared" si="42"/>
        <v>8.3333333333333329E-2</v>
      </c>
      <c r="N120" s="302">
        <f>$L120*'MWh Impact Summary'!F$20</f>
        <v>62926.403938739968</v>
      </c>
      <c r="O120" s="302">
        <f>$L120*'MWh Impact Summary'!G$20</f>
        <v>276.00283436022119</v>
      </c>
      <c r="P120" s="304">
        <f>$M120*'MWh Impact Summary'!H$20</f>
        <v>3366.1393638977643</v>
      </c>
      <c r="Q120" s="304">
        <f>$M120*'MWh Impact Summary'!I$20</f>
        <v>933.34731371912062</v>
      </c>
      <c r="R120" s="304">
        <f>$M120*'MWh Impact Summary'!J$20</f>
        <v>18723.41795919952</v>
      </c>
      <c r="S120" s="304">
        <f>$M120*'MWh Impact Summary'!K$20</f>
        <v>0</v>
      </c>
      <c r="T120" s="304">
        <f>$M120*'MWh Impact Summary'!L$20</f>
        <v>0</v>
      </c>
      <c r="U120" s="304">
        <f>$M120*'MWh Impact Summary'!M$20</f>
        <v>0</v>
      </c>
      <c r="V120" s="302">
        <f>$L120*'MWh Impact Summary'!O$20</f>
        <v>2146.0218407476491</v>
      </c>
      <c r="W120" s="302">
        <f>$L120*'MWh Impact Summary'!P$20</f>
        <v>242376.91724637596</v>
      </c>
      <c r="X120" s="302">
        <f>$L120*'MWh Impact Summary'!Q$20</f>
        <v>48990.711810564499</v>
      </c>
      <c r="Y120" s="85">
        <f t="shared" si="33"/>
        <v>379738.96230760473</v>
      </c>
      <c r="Z120" s="81">
        <f t="shared" si="34"/>
        <v>956550.61927363428</v>
      </c>
      <c r="AA120" s="81"/>
      <c r="AB120" s="81">
        <f>+'MWh by mo-WgtbyActulCDH&amp;Days'!AB120</f>
        <v>4712926</v>
      </c>
      <c r="AC120" s="308">
        <f t="shared" si="43"/>
        <v>202.96321632752864</v>
      </c>
      <c r="AD120" s="309">
        <f t="shared" si="35"/>
        <v>122.38928787891631</v>
      </c>
      <c r="AE120" s="107">
        <f t="shared" si="36"/>
        <v>1.1194142184047223E-2</v>
      </c>
      <c r="AF120" s="309">
        <f t="shared" si="44"/>
        <v>80.573928448612335</v>
      </c>
      <c r="AG120" s="107">
        <f t="shared" si="37"/>
        <v>7.3695666263974696E-3</v>
      </c>
      <c r="AH120" s="119">
        <f t="shared" si="45"/>
        <v>1.8563708810444692E-2</v>
      </c>
      <c r="AI120" s="122">
        <f t="shared" si="38"/>
        <v>1.8563708810444692E-2</v>
      </c>
      <c r="AJ120" s="87" t="b">
        <f t="shared" si="46"/>
        <v>1</v>
      </c>
      <c r="AK120" s="88">
        <f t="shared" si="51"/>
        <v>2.259243999377894E-3</v>
      </c>
      <c r="AM120" s="89">
        <f t="shared" si="39"/>
        <v>242376.91724637596</v>
      </c>
      <c r="AN120" s="93"/>
      <c r="AO120" s="96">
        <f t="shared" si="59"/>
        <v>51.428118592648374</v>
      </c>
      <c r="AP120" s="92">
        <f t="shared" si="58"/>
        <v>4.7037913346934489E-3</v>
      </c>
      <c r="AR120" s="94">
        <f t="shared" si="40"/>
        <v>1.8563708810444692E-2</v>
      </c>
      <c r="AS120" s="95">
        <v>998316.77050706814</v>
      </c>
      <c r="AU120" s="141">
        <v>202.96321632752864</v>
      </c>
    </row>
    <row r="121" spans="1:47">
      <c r="A121" s="78">
        <v>2014</v>
      </c>
      <c r="B121" s="78">
        <v>9</v>
      </c>
      <c r="C121" s="317">
        <f t="shared" si="49"/>
        <v>277.87653293728147</v>
      </c>
      <c r="D121" s="318">
        <f t="shared" si="60"/>
        <v>0.14132634365008559</v>
      </c>
      <c r="E121" s="321">
        <f>$D121*'MWh Impact Summary'!B$20</f>
        <v>217090.16322525221</v>
      </c>
      <c r="F121" s="319">
        <f>$D121*'MWh Impact Summary'!N$20</f>
        <v>13414.326691351551</v>
      </c>
      <c r="G121" s="319">
        <f>$D121*'MWh Impact Summary'!C$20</f>
        <v>185229.85629419505</v>
      </c>
      <c r="H121" s="319">
        <f>$D121*'MWh Impact Summary'!D$20</f>
        <v>552.86252664152039</v>
      </c>
      <c r="I121" s="319">
        <f>$D121*'MWh Impact Summary'!E$20</f>
        <v>74692.339250700214</v>
      </c>
      <c r="J121" s="104">
        <f t="shared" si="41"/>
        <v>490979.54798814055</v>
      </c>
      <c r="K121" s="298">
        <f t="shared" si="50"/>
        <v>11.683333333333334</v>
      </c>
      <c r="L121" s="300">
        <f t="shared" si="61"/>
        <v>8.2248034729555317E-2</v>
      </c>
      <c r="M121" s="297">
        <f t="shared" si="42"/>
        <v>8.3333333333333329E-2</v>
      </c>
      <c r="N121" s="302">
        <f>$L121*'MWh Impact Summary'!F$20</f>
        <v>67243.001769903538</v>
      </c>
      <c r="O121" s="302">
        <f>$L121*'MWh Impact Summary'!G$20</f>
        <v>294.9359556196876</v>
      </c>
      <c r="P121" s="304">
        <f>$M121*'MWh Impact Summary'!H$20</f>
        <v>3366.1393638977643</v>
      </c>
      <c r="Q121" s="304">
        <f>$M121*'MWh Impact Summary'!I$20</f>
        <v>933.34731371912062</v>
      </c>
      <c r="R121" s="304">
        <f>$M121*'MWh Impact Summary'!J$20</f>
        <v>18723.41795919952</v>
      </c>
      <c r="S121" s="304">
        <f>$M121*'MWh Impact Summary'!K$20</f>
        <v>0</v>
      </c>
      <c r="T121" s="304">
        <f>$M121*'MWh Impact Summary'!L$20</f>
        <v>0</v>
      </c>
      <c r="U121" s="304">
        <f>$M121*'MWh Impact Summary'!M$20</f>
        <v>0</v>
      </c>
      <c r="V121" s="302">
        <f>$L121*'MWh Impact Summary'!O$20</f>
        <v>2293.2337048233262</v>
      </c>
      <c r="W121" s="302">
        <f>$L121*'MWh Impact Summary'!P$20</f>
        <v>259003.38260626458</v>
      </c>
      <c r="X121" s="302">
        <f>$L121*'MWh Impact Summary'!Q$20</f>
        <v>52351.355151228221</v>
      </c>
      <c r="Y121" s="85">
        <f t="shared" si="33"/>
        <v>404208.81382465572</v>
      </c>
      <c r="Z121" s="81">
        <f t="shared" si="34"/>
        <v>895188.36181279621</v>
      </c>
      <c r="AA121" s="81"/>
      <c r="AB121" s="81">
        <f>+'MWh by mo-WgtbyActulCDH&amp;Days'!AB121</f>
        <v>4718734</v>
      </c>
      <c r="AC121" s="308">
        <f t="shared" si="43"/>
        <v>189.70943516053165</v>
      </c>
      <c r="AD121" s="309">
        <f t="shared" si="35"/>
        <v>104.04899873316455</v>
      </c>
      <c r="AE121" s="107">
        <f t="shared" si="36"/>
        <v>8.9057630870040989E-3</v>
      </c>
      <c r="AF121" s="309">
        <f t="shared" si="44"/>
        <v>85.660436427367117</v>
      </c>
      <c r="AG121" s="107">
        <f t="shared" si="37"/>
        <v>7.3318490522710804E-3</v>
      </c>
      <c r="AH121" s="119">
        <f t="shared" si="45"/>
        <v>1.623761213927518E-2</v>
      </c>
      <c r="AI121" s="122">
        <f t="shared" si="38"/>
        <v>1.623761213927518E-2</v>
      </c>
      <c r="AJ121" s="87" t="b">
        <f t="shared" si="46"/>
        <v>1</v>
      </c>
      <c r="AK121" s="88">
        <f t="shared" si="51"/>
        <v>2.0244730916156965E-3</v>
      </c>
      <c r="AM121" s="89">
        <f t="shared" si="39"/>
        <v>259003.38260626458</v>
      </c>
      <c r="AN121" s="93"/>
      <c r="AO121" s="96">
        <f t="shared" si="59"/>
        <v>54.888320173645006</v>
      </c>
      <c r="AP121" s="92">
        <f t="shared" si="58"/>
        <v>4.6980017267028527E-3</v>
      </c>
      <c r="AR121" s="94">
        <f t="shared" si="40"/>
        <v>1.623761213927518E-2</v>
      </c>
      <c r="AS121" s="95">
        <v>942105.70075468137</v>
      </c>
      <c r="AU121" s="141">
        <v>189.70943516053165</v>
      </c>
    </row>
    <row r="122" spans="1:47">
      <c r="A122" s="78">
        <v>2014</v>
      </c>
      <c r="B122" s="78">
        <v>10</v>
      </c>
      <c r="C122" s="317">
        <f t="shared" si="49"/>
        <v>198.89039579254836</v>
      </c>
      <c r="D122" s="318">
        <f t="shared" si="60"/>
        <v>0.10115446643644242</v>
      </c>
      <c r="E122" s="321">
        <f>$D122*'MWh Impact Summary'!B$20</f>
        <v>155382.49318910533</v>
      </c>
      <c r="F122" s="319">
        <f>$D122*'MWh Impact Summary'!N$20</f>
        <v>9601.3172351464309</v>
      </c>
      <c r="G122" s="319">
        <f>$D122*'MWh Impact Summary'!C$20</f>
        <v>132578.44785066624</v>
      </c>
      <c r="H122" s="319">
        <f>$D122*'MWh Impact Summary'!D$20</f>
        <v>395.71188534808289</v>
      </c>
      <c r="I122" s="319">
        <f>$D122*'MWh Impact Summary'!E$20</f>
        <v>53461.113679563801</v>
      </c>
      <c r="J122" s="104">
        <f t="shared" si="41"/>
        <v>351419.08383982989</v>
      </c>
      <c r="K122" s="298">
        <f t="shared" si="50"/>
        <v>12.466666666666667</v>
      </c>
      <c r="L122" s="300">
        <f t="shared" si="61"/>
        <v>8.7762524932535488E-2</v>
      </c>
      <c r="M122" s="297">
        <f t="shared" si="42"/>
        <v>8.3333333333333329E-2</v>
      </c>
      <c r="N122" s="302">
        <f>$L122*'MWh Impact Summary'!F$20</f>
        <v>71751.44839356326</v>
      </c>
      <c r="O122" s="302">
        <f>$L122*'MWh Impact Summary'!G$20</f>
        <v>314.7105489351303</v>
      </c>
      <c r="P122" s="304">
        <f>$M122*'MWh Impact Summary'!H$20</f>
        <v>3366.1393638977643</v>
      </c>
      <c r="Q122" s="304">
        <f>$M122*'MWh Impact Summary'!I$20</f>
        <v>933.34731371912062</v>
      </c>
      <c r="R122" s="304">
        <f>$M122*'MWh Impact Summary'!J$20</f>
        <v>18723.41795919952</v>
      </c>
      <c r="S122" s="304">
        <f>$M122*'MWh Impact Summary'!K$20</f>
        <v>0</v>
      </c>
      <c r="T122" s="304">
        <f>$M122*'MWh Impact Summary'!L$20</f>
        <v>0</v>
      </c>
      <c r="U122" s="304">
        <f>$M122*'MWh Impact Summary'!M$20</f>
        <v>0</v>
      </c>
      <c r="V122" s="302">
        <f>$L122*'MWh Impact Summary'!O$20</f>
        <v>2446.9883184134778</v>
      </c>
      <c r="W122" s="302">
        <f>$L122*'MWh Impact Summary'!P$20</f>
        <v>276368.8019821482</v>
      </c>
      <c r="X122" s="302">
        <f>$L122*'MWh Impact Summary'!Q$20</f>
        <v>55861.360418143668</v>
      </c>
      <c r="Y122" s="85">
        <f t="shared" si="33"/>
        <v>429766.21429802012</v>
      </c>
      <c r="Z122" s="81">
        <f t="shared" si="34"/>
        <v>781185.29813785001</v>
      </c>
      <c r="AA122" s="81"/>
      <c r="AB122" s="81">
        <f>+'MWh by mo-WgtbyActulCDH&amp;Days'!AB122</f>
        <v>4724910</v>
      </c>
      <c r="AC122" s="308">
        <f t="shared" si="43"/>
        <v>165.33337103518375</v>
      </c>
      <c r="AD122" s="309">
        <f t="shared" si="35"/>
        <v>74.375825960670127</v>
      </c>
      <c r="AE122" s="107">
        <f t="shared" si="36"/>
        <v>5.9659753444387797E-3</v>
      </c>
      <c r="AF122" s="309">
        <f t="shared" si="44"/>
        <v>90.957545074513618</v>
      </c>
      <c r="AG122" s="107">
        <f t="shared" si="37"/>
        <v>7.2960597653353165E-3</v>
      </c>
      <c r="AH122" s="119">
        <f t="shared" si="45"/>
        <v>1.3262035109774096E-2</v>
      </c>
      <c r="AI122" s="122">
        <f t="shared" si="38"/>
        <v>1.3262035109774096E-2</v>
      </c>
      <c r="AJ122" s="87" t="b">
        <f t="shared" si="46"/>
        <v>1</v>
      </c>
      <c r="AK122" s="88">
        <f t="shared" si="51"/>
        <v>1.7021896164485864E-3</v>
      </c>
      <c r="AM122" s="89">
        <f t="shared" si="39"/>
        <v>276368.8019821482</v>
      </c>
      <c r="AN122" s="93"/>
      <c r="AO122" s="96">
        <f t="shared" si="59"/>
        <v>58.491865873032125</v>
      </c>
      <c r="AP122" s="92">
        <f t="shared" si="58"/>
        <v>4.69186089890632E-3</v>
      </c>
      <c r="AR122" s="94">
        <f t="shared" si="40"/>
        <v>1.3262035109774096E-2</v>
      </c>
      <c r="AS122" s="95">
        <v>756171.3491331538</v>
      </c>
      <c r="AU122" s="141">
        <v>165.33337103518375</v>
      </c>
    </row>
    <row r="123" spans="1:47">
      <c r="A123" s="78">
        <v>2014</v>
      </c>
      <c r="B123" s="78">
        <v>11</v>
      </c>
      <c r="C123" s="317">
        <f t="shared" si="49"/>
        <v>78.117279066674627</v>
      </c>
      <c r="D123" s="318">
        <f t="shared" si="60"/>
        <v>3.9729981188725644E-2</v>
      </c>
      <c r="E123" s="321">
        <f>$D123*'MWh Impact Summary'!B$20</f>
        <v>61028.87740838703</v>
      </c>
      <c r="F123" s="319">
        <f>$D123*'MWh Impact Summary'!N$20</f>
        <v>3771.0658419520687</v>
      </c>
      <c r="G123" s="319">
        <f>$D123*'MWh Impact Summary'!C$20</f>
        <v>52072.235905144124</v>
      </c>
      <c r="H123" s="319">
        <f>$D123*'MWh Impact Summary'!D$20</f>
        <v>155.421963210223</v>
      </c>
      <c r="I123" s="319">
        <f>$D123*'MWh Impact Summary'!E$20</f>
        <v>20997.679248814529</v>
      </c>
      <c r="J123" s="104">
        <f t="shared" si="41"/>
        <v>138025.28036750798</v>
      </c>
      <c r="K123" s="298">
        <f t="shared" si="50"/>
        <v>13.15</v>
      </c>
      <c r="L123" s="300">
        <f>L111</f>
        <v>9.2573037662794788E-2</v>
      </c>
      <c r="M123" s="297">
        <f t="shared" si="42"/>
        <v>8.3333333333333329E-2</v>
      </c>
      <c r="N123" s="302">
        <f>$L123*'MWh Impact Summary'!F$20</f>
        <v>75684.348639734511</v>
      </c>
      <c r="O123" s="302">
        <f>$L123*'MWh Impact Summary'!G$20</f>
        <v>331.96072608264416</v>
      </c>
      <c r="P123" s="304">
        <f>$M123*'MWh Impact Summary'!H$20</f>
        <v>3366.1393638977643</v>
      </c>
      <c r="Q123" s="304">
        <f>$M123*'MWh Impact Summary'!I$20</f>
        <v>933.34731371912062</v>
      </c>
      <c r="R123" s="304">
        <f>$M123*'MWh Impact Summary'!J$20</f>
        <v>18723.41795919952</v>
      </c>
      <c r="S123" s="304">
        <f>$M123*'MWh Impact Summary'!K$20</f>
        <v>0</v>
      </c>
      <c r="T123" s="304">
        <f>$M123*'MWh Impact Summary'!L$20</f>
        <v>0</v>
      </c>
      <c r="U123" s="304">
        <f>$M123*'MWh Impact Summary'!M$20</f>
        <v>0</v>
      </c>
      <c r="V123" s="302">
        <f>$L123*'MWh Impact Summary'!O$20</f>
        <v>2581.1146834602064</v>
      </c>
      <c r="W123" s="302">
        <f>$L123*'MWh Impact Summary'!P$20</f>
        <v>291517.35931004671</v>
      </c>
      <c r="X123" s="302">
        <f>$L123*'MWh Impact Summary'!Q$20</f>
        <v>58923.279906303949</v>
      </c>
      <c r="Y123" s="85">
        <f t="shared" si="33"/>
        <v>452060.96790244442</v>
      </c>
      <c r="Z123" s="81">
        <f t="shared" si="34"/>
        <v>590086.24826995237</v>
      </c>
      <c r="AA123" s="81"/>
      <c r="AB123" s="81">
        <f>+'MWh by mo-WgtbyActulCDH&amp;Days'!AB123</f>
        <v>4731887</v>
      </c>
      <c r="AC123" s="308">
        <f t="shared" si="43"/>
        <v>124.70421383054</v>
      </c>
      <c r="AD123" s="309">
        <f t="shared" si="35"/>
        <v>29.169183534498597</v>
      </c>
      <c r="AE123" s="107">
        <f t="shared" si="36"/>
        <v>2.2181888619390564E-3</v>
      </c>
      <c r="AF123" s="309">
        <f t="shared" si="44"/>
        <v>95.535030296041398</v>
      </c>
      <c r="AG123" s="107">
        <f t="shared" si="37"/>
        <v>7.2650213152883189E-3</v>
      </c>
      <c r="AH123" s="119">
        <f t="shared" si="45"/>
        <v>9.4832101772273757E-3</v>
      </c>
      <c r="AI123" s="122">
        <f t="shared" si="38"/>
        <v>9.4832101772273757E-3</v>
      </c>
      <c r="AJ123" s="87" t="b">
        <f t="shared" si="46"/>
        <v>1</v>
      </c>
      <c r="AK123" s="88">
        <f t="shared" si="51"/>
        <v>1.2792455096716955E-3</v>
      </c>
      <c r="AM123" s="89">
        <f t="shared" si="39"/>
        <v>291517.35931004671</v>
      </c>
      <c r="AN123" s="93"/>
      <c r="AO123" s="96">
        <f t="shared" si="59"/>
        <v>61.606999345091445</v>
      </c>
      <c r="AP123" s="92">
        <f t="shared" si="58"/>
        <v>4.684942915976536E-3</v>
      </c>
      <c r="AR123" s="94">
        <f t="shared" si="40"/>
        <v>9.4832101772273757E-3</v>
      </c>
      <c r="AS123" s="95">
        <v>579143.12720011803</v>
      </c>
      <c r="AU123" s="141">
        <v>124.70421383054</v>
      </c>
    </row>
    <row r="124" spans="1:47">
      <c r="A124" s="78">
        <v>2014</v>
      </c>
      <c r="B124" s="78">
        <v>12</v>
      </c>
      <c r="C124" s="317">
        <f t="shared" si="49"/>
        <v>42.633806123140985</v>
      </c>
      <c r="D124" s="318">
        <f t="shared" si="60"/>
        <v>2.1683298951445065E-2</v>
      </c>
      <c r="E124" s="321">
        <f>$D124*'MWh Impact Summary'!B$20</f>
        <v>33307.526304408842</v>
      </c>
      <c r="F124" s="319">
        <f>$D124*'MWh Impact Summary'!N$20</f>
        <v>2058.1219917575395</v>
      </c>
      <c r="G124" s="319">
        <f>$D124*'MWh Impact Summary'!C$20</f>
        <v>28419.290027799481</v>
      </c>
      <c r="H124" s="319">
        <f>$D124*'MWh Impact Summary'!D$20</f>
        <v>84.824125032913415</v>
      </c>
      <c r="I124" s="319">
        <f>$D124*'MWh Impact Summary'!E$20</f>
        <v>11459.833174242784</v>
      </c>
      <c r="J124" s="104">
        <f t="shared" si="41"/>
        <v>75329.595623241563</v>
      </c>
      <c r="K124" s="298">
        <f t="shared" si="50"/>
        <v>13.483333333333333</v>
      </c>
      <c r="L124" s="300">
        <f t="shared" si="61"/>
        <v>9.491962923853102E-2</v>
      </c>
      <c r="M124" s="297">
        <f t="shared" si="42"/>
        <v>8.3333333333333329E-2</v>
      </c>
      <c r="N124" s="302">
        <f>$L124*'MWh Impact Summary'!F$20</f>
        <v>77602.836564696088</v>
      </c>
      <c r="O124" s="302">
        <f>$L124*'MWh Impact Summary'!G$20</f>
        <v>340.37544664240693</v>
      </c>
      <c r="P124" s="304">
        <f>$M124*'MWh Impact Summary'!H$20</f>
        <v>3366.1393638977643</v>
      </c>
      <c r="Q124" s="304">
        <f>$M124*'MWh Impact Summary'!I$20</f>
        <v>933.34731371912062</v>
      </c>
      <c r="R124" s="304">
        <f>$M124*'MWh Impact Summary'!J$20</f>
        <v>18723.41795919952</v>
      </c>
      <c r="S124" s="304">
        <f>$M124*'MWh Impact Summary'!K$20</f>
        <v>0</v>
      </c>
      <c r="T124" s="304">
        <f>$M124*'MWh Impact Summary'!L$20</f>
        <v>0</v>
      </c>
      <c r="U124" s="304">
        <f>$M124*'MWh Impact Summary'!M$20</f>
        <v>0</v>
      </c>
      <c r="V124" s="302">
        <f>$L124*'MWh Impact Summary'!O$20</f>
        <v>2646.5421786049515</v>
      </c>
      <c r="W124" s="302">
        <f>$L124*'MWh Impact Summary'!P$20</f>
        <v>298906.89946999715</v>
      </c>
      <c r="X124" s="302">
        <f>$L124*'MWh Impact Summary'!Q$20</f>
        <v>60416.899168821154</v>
      </c>
      <c r="Y124" s="85">
        <f t="shared" si="33"/>
        <v>462936.45746557816</v>
      </c>
      <c r="Z124" s="81">
        <f t="shared" si="34"/>
        <v>538266.05308881972</v>
      </c>
      <c r="AA124" s="81">
        <f>SUM(Z113:Z124)</f>
        <v>8384948.4409866072</v>
      </c>
      <c r="AB124" s="81">
        <f>+'MWh by mo-WgtbyActulCDH&amp;Days'!AB124</f>
        <v>4739276</v>
      </c>
      <c r="AC124" s="308">
        <f t="shared" si="43"/>
        <v>113.57558688053192</v>
      </c>
      <c r="AD124" s="309">
        <f t="shared" si="35"/>
        <v>15.894747557061788</v>
      </c>
      <c r="AE124" s="107">
        <f t="shared" si="36"/>
        <v>1.1788440709810967E-3</v>
      </c>
      <c r="AF124" s="309">
        <f t="shared" si="44"/>
        <v>97.68083932347011</v>
      </c>
      <c r="AG124" s="107">
        <f t="shared" si="37"/>
        <v>7.2445616309124933E-3</v>
      </c>
      <c r="AH124" s="119">
        <f t="shared" si="45"/>
        <v>8.4234057018935903E-3</v>
      </c>
      <c r="AI124" s="122">
        <f t="shared" si="38"/>
        <v>8.4234057018935903E-3</v>
      </c>
      <c r="AJ124" s="87" t="b">
        <f t="shared" si="46"/>
        <v>1</v>
      </c>
      <c r="AK124" s="88">
        <f t="shared" si="51"/>
        <v>1.1573103534320778E-3</v>
      </c>
      <c r="AM124" s="89">
        <f t="shared" si="39"/>
        <v>298906.89946999715</v>
      </c>
      <c r="AN124" s="90">
        <f>SUM(AM113:AM124)</f>
        <v>3149052.5391628998</v>
      </c>
      <c r="AO124" s="96">
        <f t="shared" si="59"/>
        <v>63.070160815702053</v>
      </c>
      <c r="AP124" s="92">
        <f t="shared" si="58"/>
        <v>4.6776386266280884E-3</v>
      </c>
      <c r="AR124" s="94">
        <f t="shared" si="40"/>
        <v>8.4234057018935903E-3</v>
      </c>
      <c r="AS124" s="95">
        <v>475130.71205991617</v>
      </c>
      <c r="AU124" s="141">
        <v>113.57558688053192</v>
      </c>
    </row>
    <row r="125" spans="1:47">
      <c r="A125" s="78">
        <v>2015</v>
      </c>
      <c r="B125" s="78">
        <v>1</v>
      </c>
      <c r="C125" s="317">
        <f t="shared" si="49"/>
        <v>26.112829868525239</v>
      </c>
      <c r="D125" s="318">
        <f>C125/(SUM(C$125:C$136))</f>
        <v>1.3280829182176284E-2</v>
      </c>
      <c r="E125" s="321">
        <f>$D125*'MWh Impact Summary'!B$21</f>
        <v>23985.466685329604</v>
      </c>
      <c r="F125" s="319">
        <f>$D125*'MWh Impact Summary'!N$21</f>
        <v>1826.9167860960506</v>
      </c>
      <c r="G125" s="319">
        <f>$D125*'MWh Impact Summary'!C$21</f>
        <v>19878.765482832459</v>
      </c>
      <c r="H125" s="319">
        <f>$D125*'MWh Impact Summary'!D$21</f>
        <v>64.754740061430709</v>
      </c>
      <c r="I125" s="319">
        <f>$D125*'MWh Impact Summary'!E$21</f>
        <v>7898.618877553411</v>
      </c>
      <c r="J125" s="104">
        <f t="shared" si="41"/>
        <v>53654.522571872949</v>
      </c>
      <c r="K125" s="298">
        <f t="shared" si="50"/>
        <v>13.3</v>
      </c>
      <c r="L125" s="300">
        <f t="shared" si="61"/>
        <v>9.3629003871876101E-2</v>
      </c>
      <c r="M125" s="297">
        <f t="shared" si="42"/>
        <v>8.3333333333333329E-2</v>
      </c>
      <c r="N125" s="302">
        <f>$L125*'MWh Impact Summary'!F$21</f>
        <v>89894.23208319438</v>
      </c>
      <c r="O125" s="302">
        <f>$L125*'MWh Impact Summary'!G$21</f>
        <v>794.75515570656842</v>
      </c>
      <c r="P125" s="304">
        <f>$M125*'MWh Impact Summary'!H$21</f>
        <v>4151.4162128193802</v>
      </c>
      <c r="Q125" s="304">
        <f>$M125*'MWh Impact Summary'!I$21</f>
        <v>1024.2027940471401</v>
      </c>
      <c r="R125" s="304">
        <f>$M125*'MWh Impact Summary'!J$21</f>
        <v>22503.135054635139</v>
      </c>
      <c r="S125" s="304">
        <f>$M125*'MWh Impact Summary'!K$21</f>
        <v>3325.2826530173561</v>
      </c>
      <c r="T125" s="304">
        <f>$M125*'MWh Impact Summary'!L$21</f>
        <v>1250.0859202622053</v>
      </c>
      <c r="U125" s="304">
        <f>$M125*'MWh Impact Summary'!M$21</f>
        <v>3666.1636129681938</v>
      </c>
      <c r="V125" s="302">
        <f>$L125*'MWh Impact Summary'!O$21</f>
        <v>6041.8974418931912</v>
      </c>
      <c r="W125" s="302">
        <f>$L125*'MWh Impact Summary'!P$21</f>
        <v>316993.74812108156</v>
      </c>
      <c r="X125" s="302">
        <f>$L125*'MWh Impact Summary'!Q$21</f>
        <v>88992.382173214894</v>
      </c>
      <c r="Y125" s="85">
        <f t="shared" si="33"/>
        <v>538637.30122284009</v>
      </c>
      <c r="Z125" s="81">
        <f t="shared" si="34"/>
        <v>592291.82379471301</v>
      </c>
      <c r="AA125" s="81"/>
      <c r="AB125" s="81">
        <f>+'MWh by mo-WgtbyActulCDH&amp;Days'!AB125</f>
        <v>4746212</v>
      </c>
      <c r="AC125" s="308">
        <f t="shared" si="43"/>
        <v>124.79253429781751</v>
      </c>
      <c r="AD125" s="309">
        <f t="shared" si="35"/>
        <v>11.304704166580201</v>
      </c>
      <c r="AE125" s="107">
        <f t="shared" si="36"/>
        <v>8.4997775688572935E-4</v>
      </c>
      <c r="AF125" s="309">
        <f t="shared" si="44"/>
        <v>113.4878301312373</v>
      </c>
      <c r="AG125" s="107">
        <f t="shared" si="37"/>
        <v>8.5329195587396465E-3</v>
      </c>
      <c r="AH125" s="119">
        <f t="shared" si="45"/>
        <v>9.3828973156253759E-3</v>
      </c>
      <c r="AI125" s="122">
        <f t="shared" si="38"/>
        <v>9.3828973156253759E-3</v>
      </c>
      <c r="AJ125" s="87" t="b">
        <f t="shared" si="46"/>
        <v>1</v>
      </c>
      <c r="AK125" s="88">
        <f t="shared" si="51"/>
        <v>1.2995256746189728E-3</v>
      </c>
      <c r="AM125" s="89">
        <f t="shared" si="39"/>
        <v>316993.74812108156</v>
      </c>
      <c r="AN125" s="93"/>
      <c r="AO125" s="96">
        <f t="shared" si="59"/>
        <v>66.788788221234441</v>
      </c>
      <c r="AP125" s="92">
        <f t="shared" si="58"/>
        <v>5.0217134000928153E-3</v>
      </c>
      <c r="AR125" s="94">
        <f t="shared" si="40"/>
        <v>9.3828973156253759E-3</v>
      </c>
      <c r="AS125" s="95">
        <v>536870.30337730492</v>
      </c>
      <c r="AU125" s="141">
        <v>124.79253429781751</v>
      </c>
    </row>
    <row r="126" spans="1:47">
      <c r="A126" s="78">
        <v>2015</v>
      </c>
      <c r="B126" s="78">
        <v>2</v>
      </c>
      <c r="C126" s="317">
        <f t="shared" si="49"/>
        <v>35.042184420393127</v>
      </c>
      <c r="D126" s="318">
        <f t="shared" ref="D126:D130" si="62">C126/(SUM(C$125:C$136))</f>
        <v>1.7822245532205266E-2</v>
      </c>
      <c r="E126" s="321">
        <f>$D126*'MWh Impact Summary'!B$21</f>
        <v>32187.363500177551</v>
      </c>
      <c r="F126" s="319">
        <f>$D126*'MWh Impact Summary'!N$21</f>
        <v>2451.6360448644582</v>
      </c>
      <c r="G126" s="319">
        <f>$D126*'MWh Impact Summary'!C$21</f>
        <v>26676.364438723373</v>
      </c>
      <c r="H126" s="319">
        <f>$D126*'MWh Impact Summary'!D$21</f>
        <v>86.897802909609638</v>
      </c>
      <c r="I126" s="319">
        <f>$D126*'MWh Impact Summary'!E$21</f>
        <v>10599.573495756744</v>
      </c>
      <c r="J126" s="104">
        <f t="shared" si="41"/>
        <v>72001.835282431741</v>
      </c>
      <c r="K126" s="298">
        <f t="shared" si="50"/>
        <v>12.733333333333333</v>
      </c>
      <c r="L126" s="300">
        <f t="shared" si="61"/>
        <v>8.9639798193124468E-2</v>
      </c>
      <c r="M126" s="297">
        <f t="shared" si="42"/>
        <v>8.3333333333333329E-2</v>
      </c>
      <c r="N126" s="302">
        <f>$L126*'MWh Impact Summary'!F$21</f>
        <v>86064.15201949935</v>
      </c>
      <c r="O126" s="302">
        <f>$L126*'MWh Impact Summary'!G$21</f>
        <v>760.89340721781718</v>
      </c>
      <c r="P126" s="304">
        <f>$M126*'MWh Impact Summary'!H$21</f>
        <v>4151.4162128193802</v>
      </c>
      <c r="Q126" s="304">
        <f>$M126*'MWh Impact Summary'!I$21</f>
        <v>1024.2027940471401</v>
      </c>
      <c r="R126" s="304">
        <f>$M126*'MWh Impact Summary'!J$21</f>
        <v>22503.135054635139</v>
      </c>
      <c r="S126" s="304">
        <f>$M126*'MWh Impact Summary'!K$21</f>
        <v>3325.2826530173561</v>
      </c>
      <c r="T126" s="304">
        <f>$M126*'MWh Impact Summary'!L$21</f>
        <v>1250.0859202622053</v>
      </c>
      <c r="U126" s="304">
        <f>$M126*'MWh Impact Summary'!M$21</f>
        <v>3666.1636129681938</v>
      </c>
      <c r="V126" s="302">
        <f>$L126*'MWh Impact Summary'!O$21</f>
        <v>5784.4732401082674</v>
      </c>
      <c r="W126" s="302">
        <f>$L126*'MWh Impact Summary'!P$21</f>
        <v>303487.74882770207</v>
      </c>
      <c r="X126" s="302">
        <f>$L126*'MWh Impact Summary'!Q$21</f>
        <v>85200.726792401198</v>
      </c>
      <c r="Y126" s="85">
        <f t="shared" si="33"/>
        <v>517218.28053467814</v>
      </c>
      <c r="Z126" s="81">
        <f t="shared" si="34"/>
        <v>589220.11581710982</v>
      </c>
      <c r="AA126" s="81"/>
      <c r="AB126" s="81">
        <f>+'MWh by mo-WgtbyActulCDH&amp;Days'!AB126</f>
        <v>4753351</v>
      </c>
      <c r="AC126" s="308">
        <f t="shared" si="43"/>
        <v>123.95889043689596</v>
      </c>
      <c r="AD126" s="309">
        <f t="shared" si="35"/>
        <v>15.14759488252219</v>
      </c>
      <c r="AE126" s="107">
        <f t="shared" si="36"/>
        <v>1.1896016923446746E-3</v>
      </c>
      <c r="AF126" s="309">
        <f t="shared" si="44"/>
        <v>108.81129555437379</v>
      </c>
      <c r="AG126" s="107">
        <f t="shared" si="37"/>
        <v>8.5453897032230722E-3</v>
      </c>
      <c r="AH126" s="119">
        <f t="shared" si="45"/>
        <v>9.7349913955677471E-3</v>
      </c>
      <c r="AI126" s="122">
        <f t="shared" si="38"/>
        <v>9.7349913955677471E-3</v>
      </c>
      <c r="AJ126" s="87" t="b">
        <f t="shared" si="46"/>
        <v>1</v>
      </c>
      <c r="AK126" s="88">
        <f t="shared" si="51"/>
        <v>1.3508832291361014E-3</v>
      </c>
      <c r="AM126" s="89">
        <f t="shared" si="39"/>
        <v>303487.74882770207</v>
      </c>
      <c r="AN126" s="93"/>
      <c r="AO126" s="96">
        <f t="shared" si="59"/>
        <v>63.847115188359126</v>
      </c>
      <c r="AP126" s="92">
        <f t="shared" si="58"/>
        <v>5.014171349871136E-3</v>
      </c>
      <c r="AR126" s="94">
        <f t="shared" si="40"/>
        <v>9.7349913955677471E-3</v>
      </c>
      <c r="AS126" s="95">
        <v>498744.60648130899</v>
      </c>
      <c r="AU126" s="141">
        <v>123.95889043689596</v>
      </c>
    </row>
    <row r="127" spans="1:47">
      <c r="A127" s="78">
        <v>2015</v>
      </c>
      <c r="B127" s="78">
        <v>3</v>
      </c>
      <c r="C127" s="317">
        <f t="shared" si="49"/>
        <v>64.582270600115152</v>
      </c>
      <c r="D127" s="318">
        <f t="shared" si="62"/>
        <v>3.2846156787895278E-2</v>
      </c>
      <c r="E127" s="321">
        <f>$D127*'MWh Impact Summary'!B$21</f>
        <v>59320.874364869735</v>
      </c>
      <c r="F127" s="319">
        <f>$D127*'MWh Impact Summary'!N$21</f>
        <v>4518.3319784793321</v>
      </c>
      <c r="G127" s="319">
        <f>$D127*'MWh Impact Summary'!C$21</f>
        <v>49164.177841787474</v>
      </c>
      <c r="H127" s="319">
        <f>$D127*'MWh Impact Summary'!D$21</f>
        <v>160.15147214389677</v>
      </c>
      <c r="I127" s="319">
        <f>$D127*'MWh Impact Summary'!E$21</f>
        <v>19534.870187784112</v>
      </c>
      <c r="J127" s="104">
        <f t="shared" si="41"/>
        <v>132698.40584506455</v>
      </c>
      <c r="K127" s="298">
        <f t="shared" si="50"/>
        <v>12</v>
      </c>
      <c r="L127" s="300">
        <f t="shared" si="61"/>
        <v>8.4477296726504739E-2</v>
      </c>
      <c r="M127" s="297">
        <f t="shared" si="42"/>
        <v>8.3333333333333329E-2</v>
      </c>
      <c r="N127" s="302">
        <f>$L127*'MWh Impact Summary'!F$21</f>
        <v>81107.577819423488</v>
      </c>
      <c r="O127" s="302">
        <f>$L127*'MWh Impact Summary'!G$21</f>
        <v>717.07232093825712</v>
      </c>
      <c r="P127" s="304">
        <f>$M127*'MWh Impact Summary'!H$21</f>
        <v>4151.4162128193802</v>
      </c>
      <c r="Q127" s="304">
        <f>$M127*'MWh Impact Summary'!I$21</f>
        <v>1024.2027940471401</v>
      </c>
      <c r="R127" s="304">
        <f>$M127*'MWh Impact Summary'!J$21</f>
        <v>22503.135054635139</v>
      </c>
      <c r="S127" s="304">
        <f>$M127*'MWh Impact Summary'!K$21</f>
        <v>3325.2826530173561</v>
      </c>
      <c r="T127" s="304">
        <f>$M127*'MWh Impact Summary'!L$21</f>
        <v>1250.0859202622053</v>
      </c>
      <c r="U127" s="304">
        <f>$M127*'MWh Impact Summary'!M$21</f>
        <v>3666.1636129681938</v>
      </c>
      <c r="V127" s="302">
        <f>$L127*'MWh Impact Summary'!O$21</f>
        <v>5451.3360377983672</v>
      </c>
      <c r="W127" s="302">
        <f>$L127*'MWh Impact Summary'!P$21</f>
        <v>286009.39680097578</v>
      </c>
      <c r="X127" s="302">
        <f>$L127*'MWh Impact Summary'!Q$21</f>
        <v>80293.878652524698</v>
      </c>
      <c r="Y127" s="85">
        <f t="shared" si="33"/>
        <v>489499.54787940998</v>
      </c>
      <c r="Z127" s="81">
        <f t="shared" si="34"/>
        <v>622197.95372447453</v>
      </c>
      <c r="AA127" s="81"/>
      <c r="AB127" s="81">
        <f>+'MWh by mo-WgtbyActulCDH&amp;Days'!AB127</f>
        <v>4761186</v>
      </c>
      <c r="AC127" s="308">
        <f t="shared" si="43"/>
        <v>130.68129531685477</v>
      </c>
      <c r="AD127" s="309">
        <f t="shared" si="35"/>
        <v>27.870872056891823</v>
      </c>
      <c r="AE127" s="107">
        <f t="shared" si="36"/>
        <v>2.3225726714076519E-3</v>
      </c>
      <c r="AF127" s="309">
        <f t="shared" si="44"/>
        <v>102.81042325996295</v>
      </c>
      <c r="AG127" s="107">
        <f t="shared" si="37"/>
        <v>8.5675352716635782E-3</v>
      </c>
      <c r="AH127" s="119">
        <f t="shared" si="45"/>
        <v>1.089010794307123E-2</v>
      </c>
      <c r="AI127" s="122">
        <f t="shared" si="38"/>
        <v>1.089010794307123E-2</v>
      </c>
      <c r="AJ127" s="87" t="b">
        <f t="shared" si="46"/>
        <v>1</v>
      </c>
      <c r="AK127" s="88">
        <f t="shared" si="51"/>
        <v>1.5065743887618856E-3</v>
      </c>
      <c r="AM127" s="89">
        <f t="shared" si="39"/>
        <v>286009.39680097578</v>
      </c>
      <c r="AN127" s="93"/>
      <c r="AO127" s="96">
        <f t="shared" si="59"/>
        <v>60.0710404510506</v>
      </c>
      <c r="AP127" s="92">
        <f t="shared" si="58"/>
        <v>5.0059200375875499E-3</v>
      </c>
      <c r="AR127" s="94">
        <f t="shared" si="40"/>
        <v>1.089010794307123E-2</v>
      </c>
      <c r="AS127" s="95">
        <v>603983.5175966213</v>
      </c>
      <c r="AU127" s="141">
        <v>130.68129531685477</v>
      </c>
    </row>
    <row r="128" spans="1:47">
      <c r="A128" s="78">
        <v>2015</v>
      </c>
      <c r="B128" s="78">
        <v>4</v>
      </c>
      <c r="C128" s="317">
        <f t="shared" si="49"/>
        <v>114.03392869270741</v>
      </c>
      <c r="D128" s="318">
        <f t="shared" si="62"/>
        <v>5.7996974497419709E-2</v>
      </c>
      <c r="E128" s="321">
        <f>$D128*'MWh Impact Summary'!B$21</f>
        <v>104743.79879267589</v>
      </c>
      <c r="F128" s="319">
        <f>$D128*'MWh Impact Summary'!N$21</f>
        <v>7978.0896809003334</v>
      </c>
      <c r="G128" s="319">
        <f>$D128*'MWh Impact Summary'!C$21</f>
        <v>86809.960352121489</v>
      </c>
      <c r="H128" s="319">
        <f>$D128*'MWh Impact Summary'!D$21</f>
        <v>282.78196763271865</v>
      </c>
      <c r="I128" s="319">
        <f>$D128*'MWh Impact Summary'!E$21</f>
        <v>34493.026852652918</v>
      </c>
      <c r="J128" s="104">
        <f t="shared" si="41"/>
        <v>234307.65764598336</v>
      </c>
      <c r="K128" s="298">
        <f t="shared" si="50"/>
        <v>11.2</v>
      </c>
      <c r="L128" s="300">
        <f t="shared" si="61"/>
        <v>7.8845476944737758E-2</v>
      </c>
      <c r="M128" s="297">
        <f t="shared" si="42"/>
        <v>8.3333333333333329E-2</v>
      </c>
      <c r="N128" s="302">
        <f>$L128*'MWh Impact Summary'!F$21</f>
        <v>75700.405964795253</v>
      </c>
      <c r="O128" s="302">
        <f>$L128*'MWh Impact Summary'!G$21</f>
        <v>669.26749954237334</v>
      </c>
      <c r="P128" s="304">
        <f>$M128*'MWh Impact Summary'!H$21</f>
        <v>4151.4162128193802</v>
      </c>
      <c r="Q128" s="304">
        <f>$M128*'MWh Impact Summary'!I$21</f>
        <v>1024.2027940471401</v>
      </c>
      <c r="R128" s="304">
        <f>$M128*'MWh Impact Summary'!J$21</f>
        <v>22503.135054635139</v>
      </c>
      <c r="S128" s="304">
        <f>$M128*'MWh Impact Summary'!K$21</f>
        <v>3325.2826530173561</v>
      </c>
      <c r="T128" s="304">
        <f>$M128*'MWh Impact Summary'!L$21</f>
        <v>1250.0859202622053</v>
      </c>
      <c r="U128" s="304">
        <f>$M128*'MWh Impact Summary'!M$21</f>
        <v>3666.1636129681938</v>
      </c>
      <c r="V128" s="302">
        <f>$L128*'MWh Impact Summary'!O$21</f>
        <v>5087.9136352784762</v>
      </c>
      <c r="W128" s="302">
        <f>$L128*'MWh Impact Summary'!P$21</f>
        <v>266942.10368091072</v>
      </c>
      <c r="X128" s="302">
        <f>$L128*'MWh Impact Summary'!Q$21</f>
        <v>74940.953409023059</v>
      </c>
      <c r="Y128" s="85">
        <f t="shared" si="33"/>
        <v>459260.93043729931</v>
      </c>
      <c r="Z128" s="81">
        <f t="shared" si="34"/>
        <v>693568.5880832827</v>
      </c>
      <c r="AA128" s="81"/>
      <c r="AB128" s="81">
        <f>+'MWh by mo-WgtbyActulCDH&amp;Days'!AB128</f>
        <v>4765589</v>
      </c>
      <c r="AC128" s="308">
        <f t="shared" si="43"/>
        <v>145.53680312827706</v>
      </c>
      <c r="AD128" s="309">
        <f t="shared" si="35"/>
        <v>49.166568423333061</v>
      </c>
      <c r="AE128" s="107">
        <f t="shared" si="36"/>
        <v>4.3898721806547381E-3</v>
      </c>
      <c r="AF128" s="309">
        <f t="shared" si="44"/>
        <v>96.370234704943982</v>
      </c>
      <c r="AG128" s="107">
        <f t="shared" si="37"/>
        <v>8.6044852415128568E-3</v>
      </c>
      <c r="AH128" s="119">
        <f t="shared" si="45"/>
        <v>1.2994357422167594E-2</v>
      </c>
      <c r="AI128" s="122">
        <f t="shared" si="38"/>
        <v>1.2994357422167596E-2</v>
      </c>
      <c r="AJ128" s="87" t="b">
        <f t="shared" si="46"/>
        <v>1</v>
      </c>
      <c r="AK128" s="88">
        <f t="shared" si="51"/>
        <v>1.7865654660011616E-3</v>
      </c>
      <c r="AM128" s="89">
        <f t="shared" si="39"/>
        <v>266942.10368091072</v>
      </c>
      <c r="AN128" s="93"/>
      <c r="AO128" s="96">
        <f t="shared" si="59"/>
        <v>56.01450391145999</v>
      </c>
      <c r="AP128" s="92">
        <f t="shared" si="58"/>
        <v>5.0012949920946424E-3</v>
      </c>
      <c r="AR128" s="94">
        <f t="shared" si="40"/>
        <v>1.2994357422167596E-2</v>
      </c>
      <c r="AS128" s="95">
        <v>709662.42917555431</v>
      </c>
      <c r="AU128" s="141">
        <v>145.53680312827706</v>
      </c>
    </row>
    <row r="129" spans="1:47">
      <c r="A129" s="78">
        <v>2015</v>
      </c>
      <c r="B129" s="78">
        <v>5</v>
      </c>
      <c r="C129" s="317">
        <f t="shared" si="49"/>
        <v>208.47875842628665</v>
      </c>
      <c r="D129" s="318">
        <f t="shared" si="62"/>
        <v>0.10603105035770212</v>
      </c>
      <c r="E129" s="321">
        <f>$D129*'MWh Impact Summary'!B$21</f>
        <v>191494.3857103675</v>
      </c>
      <c r="F129" s="319">
        <f>$D129*'MWh Impact Summary'!N$21</f>
        <v>14585.678581413626</v>
      </c>
      <c r="G129" s="319">
        <f>$D129*'MWh Impact Summary'!C$21</f>
        <v>158707.43874847179</v>
      </c>
      <c r="H129" s="319">
        <f>$D129*'MWh Impact Summary'!D$21</f>
        <v>516.98677922671391</v>
      </c>
      <c r="I129" s="319">
        <f>$D129*'MWh Impact Summary'!E$21</f>
        <v>63060.735476226058</v>
      </c>
      <c r="J129" s="104">
        <f t="shared" si="41"/>
        <v>428365.22529570572</v>
      </c>
      <c r="K129" s="298">
        <f t="shared" si="50"/>
        <v>10.533333333333333</v>
      </c>
      <c r="L129" s="300">
        <f t="shared" si="61"/>
        <v>7.4152293793265281E-2</v>
      </c>
      <c r="M129" s="297">
        <f t="shared" si="42"/>
        <v>8.3333333333333329E-2</v>
      </c>
      <c r="N129" s="302">
        <f>$L129*'MWh Impact Summary'!F$21</f>
        <v>71194.429419271735</v>
      </c>
      <c r="O129" s="302">
        <f>$L129*'MWh Impact Summary'!G$21</f>
        <v>629.43014837913688</v>
      </c>
      <c r="P129" s="304">
        <f>$M129*'MWh Impact Summary'!H$21</f>
        <v>4151.4162128193802</v>
      </c>
      <c r="Q129" s="304">
        <f>$M129*'MWh Impact Summary'!I$21</f>
        <v>1024.2027940471401</v>
      </c>
      <c r="R129" s="304">
        <f>$M129*'MWh Impact Summary'!J$21</f>
        <v>22503.135054635139</v>
      </c>
      <c r="S129" s="304">
        <f>$M129*'MWh Impact Summary'!K$21</f>
        <v>3325.2826530173561</v>
      </c>
      <c r="T129" s="304">
        <f>$M129*'MWh Impact Summary'!L$21</f>
        <v>1250.0859202622053</v>
      </c>
      <c r="U129" s="304">
        <f>$M129*'MWh Impact Summary'!M$21</f>
        <v>3666.1636129681938</v>
      </c>
      <c r="V129" s="302">
        <f>$L129*'MWh Impact Summary'!O$21</f>
        <v>4785.0616331785677</v>
      </c>
      <c r="W129" s="302">
        <f>$L129*'MWh Impact Summary'!P$21</f>
        <v>251052.69274752322</v>
      </c>
      <c r="X129" s="302">
        <f>$L129*'MWh Impact Summary'!Q$21</f>
        <v>70480.182372771684</v>
      </c>
      <c r="Y129" s="85">
        <f t="shared" si="33"/>
        <v>434062.08256887377</v>
      </c>
      <c r="Z129" s="81">
        <f t="shared" si="34"/>
        <v>862427.30786457949</v>
      </c>
      <c r="AA129" s="81"/>
      <c r="AB129" s="81">
        <f>+'MWh by mo-WgtbyActulCDH&amp;Days'!AB129</f>
        <v>4767866</v>
      </c>
      <c r="AC129" s="308">
        <f t="shared" si="43"/>
        <v>180.8832940910209</v>
      </c>
      <c r="AD129" s="309">
        <f t="shared" si="35"/>
        <v>89.844224920688987</v>
      </c>
      <c r="AE129" s="107">
        <f t="shared" si="36"/>
        <v>8.5295150241160422E-3</v>
      </c>
      <c r="AF129" s="309">
        <f t="shared" si="44"/>
        <v>91.039069170331913</v>
      </c>
      <c r="AG129" s="107">
        <f t="shared" si="37"/>
        <v>8.6429496047783459E-3</v>
      </c>
      <c r="AH129" s="119">
        <f t="shared" si="45"/>
        <v>1.7172464628894386E-2</v>
      </c>
      <c r="AI129" s="122">
        <f t="shared" si="38"/>
        <v>1.717246462889439E-2</v>
      </c>
      <c r="AJ129" s="87" t="b">
        <f t="shared" si="46"/>
        <v>1</v>
      </c>
      <c r="AK129" s="88">
        <f t="shared" si="51"/>
        <v>2.3326091314739787E-3</v>
      </c>
      <c r="AM129" s="89">
        <f t="shared" si="39"/>
        <v>251052.69274752322</v>
      </c>
      <c r="AN129" s="93"/>
      <c r="AO129" s="96">
        <f t="shared" si="59"/>
        <v>52.655148602650165</v>
      </c>
      <c r="AP129" s="92">
        <f t="shared" si="58"/>
        <v>4.9989065129098257E-3</v>
      </c>
      <c r="AR129" s="94">
        <f t="shared" si="40"/>
        <v>1.717246462889439E-2</v>
      </c>
      <c r="AS129" s="95">
        <v>853466.02375972236</v>
      </c>
      <c r="AU129" s="141">
        <v>180.8832940910209</v>
      </c>
    </row>
    <row r="130" spans="1:47">
      <c r="A130" s="78">
        <v>2015</v>
      </c>
      <c r="B130" s="78">
        <v>6</v>
      </c>
      <c r="C130" s="317">
        <f t="shared" si="49"/>
        <v>271.66325293295364</v>
      </c>
      <c r="D130" s="318">
        <f t="shared" si="62"/>
        <v>0.13816630657965029</v>
      </c>
      <c r="E130" s="321">
        <f>$D130*'MWh Impact Summary'!B$21</f>
        <v>249531.35817369103</v>
      </c>
      <c r="F130" s="319">
        <f>$D130*'MWh Impact Summary'!N$21</f>
        <v>19006.218760950389</v>
      </c>
      <c r="G130" s="319">
        <f>$D130*'MWh Impact Summary'!C$21</f>
        <v>206807.53953315492</v>
      </c>
      <c r="H130" s="319">
        <f>$D130*'MWh Impact Summary'!D$21</f>
        <v>673.6720384763729</v>
      </c>
      <c r="I130" s="319">
        <f>$D130*'MWh Impact Summary'!E$21</f>
        <v>82172.805810685575</v>
      </c>
      <c r="J130" s="104">
        <f t="shared" si="41"/>
        <v>558191.59431695833</v>
      </c>
      <c r="K130" s="298">
        <f t="shared" si="50"/>
        <v>10.199999999999999</v>
      </c>
      <c r="L130" s="300">
        <f t="shared" si="61"/>
        <v>7.1805702217529022E-2</v>
      </c>
      <c r="M130" s="297">
        <f t="shared" si="42"/>
        <v>8.3333333333333329E-2</v>
      </c>
      <c r="N130" s="302">
        <f>$L130*'MWh Impact Summary'!F$21</f>
        <v>68941.441146509955</v>
      </c>
      <c r="O130" s="302">
        <f>$L130*'MWh Impact Summary'!G$21</f>
        <v>609.51147279751854</v>
      </c>
      <c r="P130" s="304">
        <f>$M130*'MWh Impact Summary'!H$21</f>
        <v>4151.4162128193802</v>
      </c>
      <c r="Q130" s="304">
        <f>$M130*'MWh Impact Summary'!I$21</f>
        <v>1024.2027940471401</v>
      </c>
      <c r="R130" s="304">
        <f>$M130*'MWh Impact Summary'!J$21</f>
        <v>22503.135054635139</v>
      </c>
      <c r="S130" s="304">
        <f>$M130*'MWh Impact Summary'!K$21</f>
        <v>3325.2826530173561</v>
      </c>
      <c r="T130" s="304">
        <f>$M130*'MWh Impact Summary'!L$21</f>
        <v>1250.0859202622053</v>
      </c>
      <c r="U130" s="304">
        <f>$M130*'MWh Impact Summary'!M$21</f>
        <v>3666.1636129681938</v>
      </c>
      <c r="V130" s="302">
        <f>$L130*'MWh Impact Summary'!O$21</f>
        <v>4633.6356321286121</v>
      </c>
      <c r="W130" s="302">
        <f>$L130*'MWh Impact Summary'!P$21</f>
        <v>243107.9872808294</v>
      </c>
      <c r="X130" s="302">
        <f>$L130*'MWh Impact Summary'!Q$21</f>
        <v>68249.796854645989</v>
      </c>
      <c r="Y130" s="85">
        <f t="shared" si="33"/>
        <v>421462.65863466094</v>
      </c>
      <c r="Z130" s="81">
        <f t="shared" si="34"/>
        <v>979654.25295161922</v>
      </c>
      <c r="AA130" s="81"/>
      <c r="AB130" s="81">
        <f>+'MWh by mo-WgtbyActulCDH&amp;Days'!AB130</f>
        <v>4772498</v>
      </c>
      <c r="AC130" s="308">
        <f t="shared" si="43"/>
        <v>205.27075191055485</v>
      </c>
      <c r="AD130" s="309">
        <f t="shared" si="35"/>
        <v>116.96004782337432</v>
      </c>
      <c r="AE130" s="107">
        <f t="shared" si="36"/>
        <v>1.1466671355232778E-2</v>
      </c>
      <c r="AF130" s="309">
        <f t="shared" si="44"/>
        <v>88.31070408718054</v>
      </c>
      <c r="AG130" s="107">
        <f t="shared" si="37"/>
        <v>8.6579121654098579E-3</v>
      </c>
      <c r="AH130" s="119">
        <f t="shared" si="45"/>
        <v>2.0124583520642635E-2</v>
      </c>
      <c r="AI130" s="122">
        <f t="shared" si="38"/>
        <v>2.0124583520642635E-2</v>
      </c>
      <c r="AJ130" s="87">
        <f>AH130-AI130</f>
        <v>0</v>
      </c>
      <c r="AK130" s="88">
        <f t="shared" si="51"/>
        <v>2.7103505786997863E-3</v>
      </c>
      <c r="AM130" s="89">
        <f t="shared" si="39"/>
        <v>243107.9872808294</v>
      </c>
      <c r="AN130" s="93"/>
      <c r="AO130" s="96">
        <f t="shared" si="59"/>
        <v>50.93935865050743</v>
      </c>
      <c r="AP130" s="92">
        <f t="shared" si="58"/>
        <v>4.9940547696575915E-3</v>
      </c>
      <c r="AR130" s="94">
        <f t="shared" si="40"/>
        <v>2.0124583520642635E-2</v>
      </c>
      <c r="AS130" s="95">
        <v>1041990.050347965</v>
      </c>
      <c r="AU130" s="141">
        <v>205.27075191055485</v>
      </c>
    </row>
    <row r="131" spans="1:47">
      <c r="A131" s="78">
        <v>2015</v>
      </c>
      <c r="B131" s="78">
        <v>7</v>
      </c>
      <c r="C131" s="317">
        <f t="shared" si="49"/>
        <v>322.31916585708109</v>
      </c>
      <c r="D131" s="318">
        <f t="shared" ref="D131:D136" si="63">C131/(SUM(C$125:C$136))</f>
        <v>0.16392960109808263</v>
      </c>
      <c r="E131" s="321">
        <f>$D131*'MWh Impact Summary'!B$21</f>
        <v>296060.42905471061</v>
      </c>
      <c r="F131" s="319">
        <f>$D131*'MWh Impact Summary'!N$21</f>
        <v>22550.229046394605</v>
      </c>
      <c r="G131" s="319">
        <f>$D131*'MWh Impact Summary'!C$21</f>
        <v>245370.0782701479</v>
      </c>
      <c r="H131" s="319">
        <f>$D131*'MWh Impact Summary'!D$21</f>
        <v>799.28885176286008</v>
      </c>
      <c r="I131" s="319">
        <f>$D131*'MWh Impact Summary'!E$21</f>
        <v>97495.225942732781</v>
      </c>
      <c r="J131" s="104">
        <f t="shared" si="41"/>
        <v>662275.25116574881</v>
      </c>
      <c r="K131" s="298">
        <f t="shared" si="50"/>
        <v>10.366666666666667</v>
      </c>
      <c r="L131" s="300">
        <f t="shared" si="61"/>
        <v>7.2978998005397158E-2</v>
      </c>
      <c r="M131" s="297">
        <f t="shared" si="42"/>
        <v>8.3333333333333329E-2</v>
      </c>
      <c r="N131" s="302">
        <f>$L131*'MWh Impact Summary'!F$21</f>
        <v>70067.935282890845</v>
      </c>
      <c r="O131" s="302">
        <f>$L131*'MWh Impact Summary'!G$21</f>
        <v>619.47081058832771</v>
      </c>
      <c r="P131" s="304">
        <f>$M131*'MWh Impact Summary'!H$21</f>
        <v>4151.4162128193802</v>
      </c>
      <c r="Q131" s="304">
        <f>$M131*'MWh Impact Summary'!I$21</f>
        <v>1024.2027940471401</v>
      </c>
      <c r="R131" s="304">
        <f>$M131*'MWh Impact Summary'!J$21</f>
        <v>22503.135054635139</v>
      </c>
      <c r="S131" s="304">
        <f>$M131*'MWh Impact Summary'!K$21</f>
        <v>3325.2826530173561</v>
      </c>
      <c r="T131" s="304">
        <f>$M131*'MWh Impact Summary'!L$21</f>
        <v>1250.0859202622053</v>
      </c>
      <c r="U131" s="304">
        <f>$M131*'MWh Impact Summary'!M$21</f>
        <v>3666.1636129681938</v>
      </c>
      <c r="V131" s="302">
        <f>$L131*'MWh Impact Summary'!O$21</f>
        <v>4709.3486326535904</v>
      </c>
      <c r="W131" s="302">
        <f>$L131*'MWh Impact Summary'!P$21</f>
        <v>247080.34001417633</v>
      </c>
      <c r="X131" s="302">
        <f>$L131*'MWh Impact Summary'!Q$21</f>
        <v>69364.989613708851</v>
      </c>
      <c r="Y131" s="85">
        <f t="shared" si="33"/>
        <v>427762.37060176738</v>
      </c>
      <c r="Z131" s="81">
        <f t="shared" si="34"/>
        <v>1090037.6217675162</v>
      </c>
      <c r="AA131" s="81"/>
      <c r="AB131" s="262">
        <f>+'MWh by mo-WgtbyActulCDH&amp;Days'!AB131</f>
        <v>4784923.7420767779</v>
      </c>
      <c r="AC131" s="308">
        <f t="shared" si="43"/>
        <v>227.80668627634435</v>
      </c>
      <c r="AD131" s="309">
        <f t="shared" si="35"/>
        <v>138.40873687117627</v>
      </c>
      <c r="AE131" s="107">
        <f t="shared" si="36"/>
        <v>1.3351325100113467E-2</v>
      </c>
      <c r="AF131" s="309">
        <f t="shared" si="44"/>
        <v>89.397949405168092</v>
      </c>
      <c r="AG131" s="107">
        <f t="shared" si="37"/>
        <v>8.6235964056432229E-3</v>
      </c>
      <c r="AH131" s="119">
        <f t="shared" si="45"/>
        <v>2.1974921505756688E-2</v>
      </c>
      <c r="AI131" s="122">
        <f t="shared" si="38"/>
        <v>2.1974921505756691E-2</v>
      </c>
      <c r="AJ131" s="87" t="b">
        <f t="shared" si="46"/>
        <v>1</v>
      </c>
      <c r="AK131" s="88">
        <f t="shared" si="51"/>
        <v>2.9095233848836152E-3</v>
      </c>
      <c r="AM131" s="89">
        <f t="shared" si="39"/>
        <v>247080.34001417633</v>
      </c>
      <c r="AN131" s="93"/>
      <c r="AO131" s="96">
        <f t="shared" si="59"/>
        <v>51.637257630972655</v>
      </c>
      <c r="AP131" s="92">
        <f t="shared" si="58"/>
        <v>4.9810859451099023E-3</v>
      </c>
      <c r="AR131" s="94">
        <f t="shared" si="40"/>
        <v>2.1974921505756691E-2</v>
      </c>
      <c r="AS131" s="95">
        <v>1096095.832950097</v>
      </c>
      <c r="AU131" s="141">
        <v>227.80668627634435</v>
      </c>
    </row>
    <row r="132" spans="1:47">
      <c r="A132" s="78">
        <v>2015</v>
      </c>
      <c r="B132" s="78">
        <v>8</v>
      </c>
      <c r="C132" s="317">
        <f t="shared" si="49"/>
        <v>326.45437890907908</v>
      </c>
      <c r="D132" s="318">
        <f t="shared" si="63"/>
        <v>0.16603274573816959</v>
      </c>
      <c r="E132" s="321">
        <f>$D132*'MWh Impact Summary'!B$21</f>
        <v>299858.75406945712</v>
      </c>
      <c r="F132" s="319">
        <f>$D132*'MWh Impact Summary'!N$21</f>
        <v>22839.538561173951</v>
      </c>
      <c r="G132" s="319">
        <f>$D132*'MWh Impact Summary'!C$21</f>
        <v>248518.06839209551</v>
      </c>
      <c r="H132" s="319">
        <f>$D132*'MWh Impact Summary'!D$21</f>
        <v>809.54337598060965</v>
      </c>
      <c r="I132" s="319">
        <f>$D132*'MWh Impact Summary'!E$21</f>
        <v>98746.046785960731</v>
      </c>
      <c r="J132" s="104">
        <f t="shared" si="41"/>
        <v>670771.95118466788</v>
      </c>
      <c r="K132" s="298">
        <f t="shared" si="50"/>
        <v>10.933333333333334</v>
      </c>
      <c r="L132" s="300">
        <f t="shared" si="61"/>
        <v>7.6968203684148764E-2</v>
      </c>
      <c r="M132" s="297">
        <f t="shared" si="42"/>
        <v>8.3333333333333329E-2</v>
      </c>
      <c r="N132" s="302">
        <f>$L132*'MWh Impact Summary'!F$21</f>
        <v>73898.015346585846</v>
      </c>
      <c r="O132" s="302">
        <f>$L132*'MWh Impact Summary'!G$21</f>
        <v>653.33255907707871</v>
      </c>
      <c r="P132" s="304">
        <f>$M132*'MWh Impact Summary'!H$21</f>
        <v>4151.4162128193802</v>
      </c>
      <c r="Q132" s="304">
        <f>$M132*'MWh Impact Summary'!I$21</f>
        <v>1024.2027940471401</v>
      </c>
      <c r="R132" s="304">
        <f>$M132*'MWh Impact Summary'!J$21</f>
        <v>22503.135054635139</v>
      </c>
      <c r="S132" s="304">
        <f>$M132*'MWh Impact Summary'!K$21</f>
        <v>3325.2826530173561</v>
      </c>
      <c r="T132" s="304">
        <f>$M132*'MWh Impact Summary'!L$21</f>
        <v>1250.0859202622053</v>
      </c>
      <c r="U132" s="304">
        <f>$M132*'MWh Impact Summary'!M$21</f>
        <v>3666.1636129681938</v>
      </c>
      <c r="V132" s="302">
        <f>$L132*'MWh Impact Summary'!O$21</f>
        <v>4966.7728344385123</v>
      </c>
      <c r="W132" s="302">
        <f>$L132*'MWh Impact Summary'!P$21</f>
        <v>260586.33930755573</v>
      </c>
      <c r="X132" s="302">
        <f>$L132*'MWh Impact Summary'!Q$21</f>
        <v>73156.644994522503</v>
      </c>
      <c r="Y132" s="85">
        <f t="shared" si="33"/>
        <v>449181.3912899291</v>
      </c>
      <c r="Z132" s="81">
        <f t="shared" si="34"/>
        <v>1119953.342474597</v>
      </c>
      <c r="AA132" s="81"/>
      <c r="AB132" s="262">
        <f>+'MWh by mo-WgtbyActulCDH&amp;Days'!AB132</f>
        <v>4793100.8139620237</v>
      </c>
      <c r="AC132" s="308">
        <f t="shared" si="43"/>
        <v>233.65945886475788</v>
      </c>
      <c r="AD132" s="309">
        <f t="shared" si="35"/>
        <v>139.94530414022341</v>
      </c>
      <c r="AE132" s="107">
        <f t="shared" si="36"/>
        <v>1.2799875378678971E-2</v>
      </c>
      <c r="AF132" s="309">
        <f t="shared" si="44"/>
        <v>93.714154724534453</v>
      </c>
      <c r="AG132" s="107">
        <f t="shared" si="37"/>
        <v>8.5714165906586402E-3</v>
      </c>
      <c r="AH132" s="119">
        <f t="shared" si="45"/>
        <v>2.1371291969337611E-2</v>
      </c>
      <c r="AI132" s="122">
        <f t="shared" si="38"/>
        <v>2.1371291969337611E-2</v>
      </c>
      <c r="AJ132" s="87" t="b">
        <f t="shared" si="46"/>
        <v>1</v>
      </c>
      <c r="AK132" s="88">
        <f t="shared" si="51"/>
        <v>2.8075831588929186E-3</v>
      </c>
      <c r="AM132" s="89">
        <f t="shared" si="39"/>
        <v>260586.33930755573</v>
      </c>
      <c r="AN132" s="93"/>
      <c r="AO132" s="96">
        <f t="shared" si="59"/>
        <v>54.366963980495235</v>
      </c>
      <c r="AP132" s="92">
        <f t="shared" si="58"/>
        <v>4.9725881689477352E-3</v>
      </c>
      <c r="AR132" s="94">
        <f t="shared" si="40"/>
        <v>2.1371291969337611E-2</v>
      </c>
      <c r="AS132" s="95">
        <v>1139559.6309116844</v>
      </c>
      <c r="AU132" s="141">
        <v>233.65945886475788</v>
      </c>
    </row>
    <row r="133" spans="1:47">
      <c r="A133" s="78">
        <v>2015</v>
      </c>
      <c r="B133" s="78">
        <v>9</v>
      </c>
      <c r="C133" s="317">
        <f t="shared" si="49"/>
        <v>277.87653293728147</v>
      </c>
      <c r="D133" s="318">
        <f t="shared" si="63"/>
        <v>0.14132634365008559</v>
      </c>
      <c r="E133" s="321">
        <f>$D133*'MWh Impact Summary'!B$21</f>
        <v>255238.45393086364</v>
      </c>
      <c r="F133" s="319">
        <f>$D133*'MWh Impact Summary'!N$21</f>
        <v>19440.914869865934</v>
      </c>
      <c r="G133" s="319">
        <f>$D133*'MWh Impact Summary'!C$21</f>
        <v>211537.48786533778</v>
      </c>
      <c r="H133" s="319">
        <f>$D133*'MWh Impact Summary'!D$21</f>
        <v>689.07976462611862</v>
      </c>
      <c r="I133" s="319">
        <f>$D133*'MWh Impact Summary'!E$21</f>
        <v>84052.201149329543</v>
      </c>
      <c r="J133" s="104">
        <f t="shared" si="41"/>
        <v>570958.13758002303</v>
      </c>
      <c r="K133" s="298">
        <f t="shared" si="50"/>
        <v>11.683333333333334</v>
      </c>
      <c r="L133" s="300">
        <f>L121</f>
        <v>8.2248034729555317E-2</v>
      </c>
      <c r="M133" s="297">
        <f t="shared" si="42"/>
        <v>8.3333333333333329E-2</v>
      </c>
      <c r="N133" s="302">
        <f>$L133*'MWh Impact Summary'!F$21</f>
        <v>78967.238960299816</v>
      </c>
      <c r="O133" s="302">
        <f>$L133*'MWh Impact Summary'!G$21</f>
        <v>698.14957913571982</v>
      </c>
      <c r="P133" s="304">
        <f>$M133*'MWh Impact Summary'!H$21</f>
        <v>4151.4162128193802</v>
      </c>
      <c r="Q133" s="304">
        <f>$M133*'MWh Impact Summary'!I$21</f>
        <v>1024.2027940471401</v>
      </c>
      <c r="R133" s="304">
        <f>$M133*'MWh Impact Summary'!J$21</f>
        <v>22503.135054635139</v>
      </c>
      <c r="S133" s="304">
        <f>$M133*'MWh Impact Summary'!K$21</f>
        <v>3325.2826530173561</v>
      </c>
      <c r="T133" s="304">
        <f>$M133*'MWh Impact Summary'!L$21</f>
        <v>1250.0859202622053</v>
      </c>
      <c r="U133" s="304">
        <f>$M133*'MWh Impact Summary'!M$21</f>
        <v>3666.1636129681938</v>
      </c>
      <c r="V133" s="302">
        <f>$L133*'MWh Impact Summary'!O$21</f>
        <v>5307.4813368009109</v>
      </c>
      <c r="W133" s="302">
        <f>$L133*'MWh Impact Summary'!P$21</f>
        <v>278461.92660761671</v>
      </c>
      <c r="X133" s="302">
        <f>$L133*'MWh Impact Summary'!Q$21</f>
        <v>78175.012410305309</v>
      </c>
      <c r="Y133" s="85">
        <f t="shared" ref="Y133:Y196" si="64">SUM(N133:X133)</f>
        <v>477530.09514190792</v>
      </c>
      <c r="Z133" s="81">
        <f t="shared" ref="Z133:Z196" si="65">Y133+J133</f>
        <v>1048488.232721931</v>
      </c>
      <c r="AA133" s="81"/>
      <c r="AB133" s="262">
        <f>+'MWh by mo-WgtbyActulCDH&amp;Days'!AB133</f>
        <v>4797009.9970391067</v>
      </c>
      <c r="AC133" s="308">
        <f t="shared" si="43"/>
        <v>218.57120026205845</v>
      </c>
      <c r="AD133" s="309">
        <f t="shared" ref="AD133:AD196" si="66">+J133*1000/AB133</f>
        <v>119.02375394932254</v>
      </c>
      <c r="AE133" s="107">
        <f t="shared" ref="AE133:AE196" si="67">+AD133/K133/1000</f>
        <v>1.0187482506361416E-2</v>
      </c>
      <c r="AF133" s="309">
        <f t="shared" si="44"/>
        <v>99.547446312735914</v>
      </c>
      <c r="AG133" s="107">
        <f t="shared" ref="AG133:AG196" si="68">+AF133/K133/1000</f>
        <v>8.5204661608618473E-3</v>
      </c>
      <c r="AH133" s="119">
        <f t="shared" si="45"/>
        <v>1.8707948667223265E-2</v>
      </c>
      <c r="AI133" s="122">
        <f t="shared" ref="AI133:AI196" si="69">+AC133/K133/1000</f>
        <v>1.8707948667223265E-2</v>
      </c>
      <c r="AJ133" s="87" t="b">
        <f t="shared" si="46"/>
        <v>1</v>
      </c>
      <c r="AK133" s="88">
        <f t="shared" si="51"/>
        <v>2.4703365279480846E-3</v>
      </c>
      <c r="AM133" s="89">
        <f t="shared" ref="AM133:AM196" si="70">+W133</f>
        <v>278461.92660761671</v>
      </c>
      <c r="AN133" s="93"/>
      <c r="AO133" s="96">
        <f t="shared" si="59"/>
        <v>58.049061140063039</v>
      </c>
      <c r="AP133" s="92">
        <f t="shared" si="58"/>
        <v>4.9685359035717292E-3</v>
      </c>
      <c r="AR133" s="94">
        <f t="shared" ref="AR133:AR196" si="71">AI133</f>
        <v>1.8707948667223265E-2</v>
      </c>
      <c r="AS133" s="95">
        <v>1076339.5223995293</v>
      </c>
      <c r="AU133" s="141">
        <v>218.57120026205845</v>
      </c>
    </row>
    <row r="134" spans="1:47">
      <c r="A134" s="78">
        <v>2015</v>
      </c>
      <c r="B134" s="78">
        <v>10</v>
      </c>
      <c r="C134" s="317">
        <f t="shared" si="49"/>
        <v>198.89039579254836</v>
      </c>
      <c r="D134" s="318">
        <f t="shared" si="63"/>
        <v>0.10115446643644242</v>
      </c>
      <c r="E134" s="321">
        <f>$D134*'MWh Impact Summary'!B$21</f>
        <v>182687.16896379826</v>
      </c>
      <c r="F134" s="319">
        <f>$D134*'MWh Impact Summary'!N$21</f>
        <v>13914.853522048203</v>
      </c>
      <c r="G134" s="319">
        <f>$D134*'MWh Impact Summary'!C$21</f>
        <v>151408.16045806403</v>
      </c>
      <c r="H134" s="319">
        <f>$D134*'MWh Impact Summary'!D$21</f>
        <v>493.20950448902482</v>
      </c>
      <c r="I134" s="319">
        <f>$D134*'MWh Impact Summary'!E$21</f>
        <v>60160.443838552623</v>
      </c>
      <c r="J134" s="104">
        <f t="shared" ref="J134:J197" si="72">SUM(E134:I134)</f>
        <v>408663.83628695214</v>
      </c>
      <c r="K134" s="298">
        <f t="shared" si="50"/>
        <v>12.466666666666667</v>
      </c>
      <c r="L134" s="300">
        <f t="shared" si="61"/>
        <v>8.7762524932535488E-2</v>
      </c>
      <c r="M134" s="297">
        <f t="shared" ref="M134:M197" si="73">1/12</f>
        <v>8.3333333333333329E-2</v>
      </c>
      <c r="N134" s="302">
        <f>$L134*'MWh Impact Summary'!F$21</f>
        <v>84261.761401289958</v>
      </c>
      <c r="O134" s="302">
        <f>$L134*'MWh Impact Summary'!G$21</f>
        <v>744.95846675252278</v>
      </c>
      <c r="P134" s="304">
        <f>$M134*'MWh Impact Summary'!H$21</f>
        <v>4151.4162128193802</v>
      </c>
      <c r="Q134" s="304">
        <f>$M134*'MWh Impact Summary'!I$21</f>
        <v>1024.2027940471401</v>
      </c>
      <c r="R134" s="304">
        <f>$M134*'MWh Impact Summary'!J$21</f>
        <v>22503.135054635139</v>
      </c>
      <c r="S134" s="304">
        <f>$M134*'MWh Impact Summary'!K$21</f>
        <v>3325.2826530173561</v>
      </c>
      <c r="T134" s="304">
        <f>$M134*'MWh Impact Summary'!L$21</f>
        <v>1250.0859202622053</v>
      </c>
      <c r="U134" s="304">
        <f>$M134*'MWh Impact Summary'!M$21</f>
        <v>3666.1636129681938</v>
      </c>
      <c r="V134" s="302">
        <f>$L134*'MWh Impact Summary'!O$21</f>
        <v>5663.3324392683044</v>
      </c>
      <c r="W134" s="302">
        <f>$L134*'MWh Impact Summary'!P$21</f>
        <v>297131.98445434711</v>
      </c>
      <c r="X134" s="302">
        <f>$L134*'MWh Impact Summary'!Q$21</f>
        <v>83416.418377900671</v>
      </c>
      <c r="Y134" s="85">
        <f t="shared" si="64"/>
        <v>507138.74138730799</v>
      </c>
      <c r="Z134" s="81">
        <f t="shared" si="65"/>
        <v>915802.57767426013</v>
      </c>
      <c r="AA134" s="81"/>
      <c r="AB134" s="262">
        <f>+'MWh by mo-WgtbyActulCDH&amp;Days'!AB134</f>
        <v>4802322.38639032</v>
      </c>
      <c r="AC134" s="308">
        <f t="shared" ref="AC134:AC137" si="74">+Z134*1000/AB134</f>
        <v>190.69993723653897</v>
      </c>
      <c r="AD134" s="309">
        <f t="shared" si="66"/>
        <v>85.097126641288554</v>
      </c>
      <c r="AE134" s="107">
        <f t="shared" si="67"/>
        <v>6.8259727252370497E-3</v>
      </c>
      <c r="AF134" s="309">
        <f t="shared" ref="AF134:AF197" si="75">+Y134*1000/AB134</f>
        <v>105.60281059525043</v>
      </c>
      <c r="AG134" s="107">
        <f t="shared" si="68"/>
        <v>8.4708136841109977E-3</v>
      </c>
      <c r="AH134" s="119">
        <f t="shared" ref="AH134:AH197" si="76">AE134+AG134</f>
        <v>1.5296786409348048E-2</v>
      </c>
      <c r="AI134" s="122">
        <f t="shared" si="69"/>
        <v>1.5296786409348046E-2</v>
      </c>
      <c r="AJ134" s="87" t="b">
        <f t="shared" ref="AJ134:AJ197" si="77">AH134=AI134</f>
        <v>1</v>
      </c>
      <c r="AK134" s="88">
        <f t="shared" si="51"/>
        <v>2.0347512995739503E-3</v>
      </c>
      <c r="AM134" s="89">
        <f t="shared" si="70"/>
        <v>297131.98445434711</v>
      </c>
      <c r="AN134" s="93"/>
      <c r="AO134" s="96">
        <f t="shared" si="59"/>
        <v>61.872560929356368</v>
      </c>
      <c r="AP134" s="92">
        <f t="shared" si="58"/>
        <v>4.963039646739816E-3</v>
      </c>
      <c r="AR134" s="94">
        <f t="shared" si="71"/>
        <v>1.5296786409348046E-2</v>
      </c>
      <c r="AS134" s="95">
        <v>866680.06276977342</v>
      </c>
      <c r="AU134" s="141">
        <v>190.69993723653897</v>
      </c>
    </row>
    <row r="135" spans="1:47">
      <c r="A135" s="78">
        <v>2015</v>
      </c>
      <c r="B135" s="78">
        <v>11</v>
      </c>
      <c r="C135" s="317">
        <f t="shared" si="49"/>
        <v>78.117279066674627</v>
      </c>
      <c r="D135" s="318">
        <f t="shared" si="63"/>
        <v>3.9729981188725644E-2</v>
      </c>
      <c r="E135" s="321">
        <f>$D135*'MWh Impact Summary'!B$21</f>
        <v>71753.211124035821</v>
      </c>
      <c r="F135" s="319">
        <f>$D135*'MWh Impact Summary'!N$21</f>
        <v>5465.2739335262813</v>
      </c>
      <c r="G135" s="319">
        <f>$D135*'MWh Impact Summary'!C$21</f>
        <v>59467.896759636147</v>
      </c>
      <c r="H135" s="319">
        <f>$D135*'MWh Impact Summary'!D$21</f>
        <v>193.71566106536434</v>
      </c>
      <c r="I135" s="319">
        <f>$D135*'MWh Impact Summary'!E$21</f>
        <v>23628.944783302075</v>
      </c>
      <c r="J135" s="104">
        <f t="shared" si="72"/>
        <v>160509.04226156569</v>
      </c>
      <c r="K135" s="298">
        <f t="shared" si="50"/>
        <v>13.15</v>
      </c>
      <c r="L135" s="300">
        <f t="shared" si="61"/>
        <v>9.2573037662794788E-2</v>
      </c>
      <c r="M135" s="297">
        <f t="shared" si="73"/>
        <v>8.3333333333333329E-2</v>
      </c>
      <c r="N135" s="302">
        <f>$L135*'MWh Impact Summary'!F$21</f>
        <v>88880.387360451583</v>
      </c>
      <c r="O135" s="302">
        <f>$L135*'MWh Impact Summary'!G$21</f>
        <v>785.79175169484017</v>
      </c>
      <c r="P135" s="304">
        <f>$M135*'MWh Impact Summary'!H$21</f>
        <v>4151.4162128193802</v>
      </c>
      <c r="Q135" s="304">
        <f>$M135*'MWh Impact Summary'!I$21</f>
        <v>1024.2027940471401</v>
      </c>
      <c r="R135" s="304">
        <f>$M135*'MWh Impact Summary'!J$21</f>
        <v>22503.135054635139</v>
      </c>
      <c r="S135" s="304">
        <f>$M135*'MWh Impact Summary'!K$21</f>
        <v>3325.2826530173561</v>
      </c>
      <c r="T135" s="304">
        <f>$M135*'MWh Impact Summary'!L$21</f>
        <v>1250.0859202622053</v>
      </c>
      <c r="U135" s="304">
        <f>$M135*'MWh Impact Summary'!M$21</f>
        <v>3666.1636129681938</v>
      </c>
      <c r="V135" s="302">
        <f>$L135*'MWh Impact Summary'!O$21</f>
        <v>5973.7557414207113</v>
      </c>
      <c r="W135" s="302">
        <f>$L135*'MWh Impact Summary'!P$21</f>
        <v>313418.63066106936</v>
      </c>
      <c r="X135" s="302">
        <f>$L135*'MWh Impact Summary'!Q$21</f>
        <v>87988.708690058324</v>
      </c>
      <c r="Y135" s="85">
        <f t="shared" si="64"/>
        <v>532967.56045244425</v>
      </c>
      <c r="Z135" s="81">
        <f t="shared" si="65"/>
        <v>693476.60271400993</v>
      </c>
      <c r="AA135" s="81"/>
      <c r="AB135" s="262">
        <f>+'MWh by mo-WgtbyActulCDH&amp;Days'!AB135</f>
        <v>4807951.5017482825</v>
      </c>
      <c r="AC135" s="308">
        <f t="shared" si="74"/>
        <v>144.23535729548141</v>
      </c>
      <c r="AD135" s="309">
        <f t="shared" si="66"/>
        <v>33.384080975692221</v>
      </c>
      <c r="AE135" s="107">
        <f t="shared" si="67"/>
        <v>2.5387133821819182E-3</v>
      </c>
      <c r="AF135" s="309">
        <f t="shared" si="75"/>
        <v>110.85127631978919</v>
      </c>
      <c r="AG135" s="107">
        <f t="shared" si="68"/>
        <v>8.429754853215907E-3</v>
      </c>
      <c r="AH135" s="119">
        <f t="shared" si="76"/>
        <v>1.0968468235397825E-2</v>
      </c>
      <c r="AI135" s="122">
        <f t="shared" si="69"/>
        <v>1.0968468235397825E-2</v>
      </c>
      <c r="AJ135" s="87" t="b">
        <f t="shared" si="77"/>
        <v>1</v>
      </c>
      <c r="AK135" s="88">
        <f t="shared" si="51"/>
        <v>1.4852580581704491E-3</v>
      </c>
      <c r="AM135" s="89">
        <f t="shared" si="70"/>
        <v>313418.63066106936</v>
      </c>
      <c r="AN135" s="93"/>
      <c r="AO135" s="96">
        <f t="shared" si="59"/>
        <v>65.187560762021633</v>
      </c>
      <c r="AP135" s="92">
        <f t="shared" si="58"/>
        <v>4.957228955286816E-3</v>
      </c>
      <c r="AR135" s="94">
        <f t="shared" si="71"/>
        <v>1.0968468235397825E-2</v>
      </c>
      <c r="AS135" s="95">
        <v>668118.62592751079</v>
      </c>
      <c r="AU135" s="141">
        <v>144.23535729548141</v>
      </c>
    </row>
    <row r="136" spans="1:47">
      <c r="A136" s="78">
        <v>2015</v>
      </c>
      <c r="B136" s="78">
        <v>12</v>
      </c>
      <c r="C136" s="317">
        <f t="shared" si="49"/>
        <v>42.633806123140985</v>
      </c>
      <c r="D136" s="318">
        <f t="shared" si="63"/>
        <v>2.1683298951445065E-2</v>
      </c>
      <c r="E136" s="321">
        <f>$D136*'MWh Impact Summary'!B$21</f>
        <v>39160.51004751373</v>
      </c>
      <c r="F136" s="319">
        <f>$D136*'MWh Impact Summary'!N$21</f>
        <v>2982.7642754036642</v>
      </c>
      <c r="G136" s="319">
        <f>$D136*'MWh Impact Summary'!C$21</f>
        <v>32455.595116636447</v>
      </c>
      <c r="H136" s="319">
        <f>$D136*'MWh Impact Summary'!D$21</f>
        <v>105.72354843321867</v>
      </c>
      <c r="I136" s="319">
        <f>$D136*'MWh Impact Summary'!E$21</f>
        <v>12895.890164401088</v>
      </c>
      <c r="J136" s="104">
        <f t="shared" si="72"/>
        <v>87600.483152388158</v>
      </c>
      <c r="K136" s="298">
        <f t="shared" si="50"/>
        <v>13.483333333333333</v>
      </c>
      <c r="L136" s="300">
        <f t="shared" si="61"/>
        <v>9.491962923853102E-2</v>
      </c>
      <c r="M136" s="297">
        <f t="shared" si="73"/>
        <v>8.3333333333333329E-2</v>
      </c>
      <c r="N136" s="302">
        <f>$L136*'MWh Impact Summary'!F$21</f>
        <v>91133.375633213334</v>
      </c>
      <c r="O136" s="302">
        <f>$L136*'MWh Impact Summary'!G$21</f>
        <v>805.71042727645829</v>
      </c>
      <c r="P136" s="304">
        <f>$M136*'MWh Impact Summary'!H$21</f>
        <v>4151.4162128193802</v>
      </c>
      <c r="Q136" s="304">
        <f>$M136*'MWh Impact Summary'!I$21</f>
        <v>1024.2027940471401</v>
      </c>
      <c r="R136" s="304">
        <f>$M136*'MWh Impact Summary'!J$21</f>
        <v>22503.135054635139</v>
      </c>
      <c r="S136" s="304">
        <f>$M136*'MWh Impact Summary'!K$21</f>
        <v>3325.2826530173561</v>
      </c>
      <c r="T136" s="304">
        <f>$M136*'MWh Impact Summary'!L$21</f>
        <v>1250.0859202622053</v>
      </c>
      <c r="U136" s="304">
        <f>$M136*'MWh Impact Summary'!M$21</f>
        <v>3666.1636129681938</v>
      </c>
      <c r="V136" s="302">
        <f>$L136*'MWh Impact Summary'!O$21</f>
        <v>6125.181742470666</v>
      </c>
      <c r="W136" s="302">
        <f>$L136*'MWh Impact Summary'!P$21</f>
        <v>321363.33612776309</v>
      </c>
      <c r="X136" s="302">
        <f>$L136*'MWh Impact Summary'!Q$21</f>
        <v>90219.094208184004</v>
      </c>
      <c r="Y136" s="85">
        <f t="shared" si="64"/>
        <v>545566.98438665702</v>
      </c>
      <c r="Z136" s="81">
        <f t="shared" si="65"/>
        <v>633167.46753904514</v>
      </c>
      <c r="AA136" s="81">
        <f>SUM(Z125:Z136)</f>
        <v>9840285.8871271387</v>
      </c>
      <c r="AB136" s="262">
        <f>+'MWh by mo-WgtbyActulCDH&amp;Days'!AB136</f>
        <v>4813839.2600633735</v>
      </c>
      <c r="AC136" s="308">
        <f t="shared" si="74"/>
        <v>131.53066260270384</v>
      </c>
      <c r="AD136" s="309">
        <f t="shared" si="66"/>
        <v>18.197633618376138</v>
      </c>
      <c r="AE136" s="107">
        <f t="shared" si="67"/>
        <v>1.3496390817089843E-3</v>
      </c>
      <c r="AF136" s="309">
        <f t="shared" si="75"/>
        <v>113.33302898432771</v>
      </c>
      <c r="AG136" s="107">
        <f t="shared" si="68"/>
        <v>8.4054162411120684E-3</v>
      </c>
      <c r="AH136" s="119">
        <f t="shared" si="76"/>
        <v>9.7550553228210532E-3</v>
      </c>
      <c r="AI136" s="122">
        <f t="shared" si="69"/>
        <v>9.7550553228210515E-3</v>
      </c>
      <c r="AJ136" s="87" t="b">
        <f t="shared" si="77"/>
        <v>1</v>
      </c>
      <c r="AK136" s="88">
        <f t="shared" si="51"/>
        <v>1.3316496209274612E-3</v>
      </c>
      <c r="AM136" s="89">
        <f t="shared" si="70"/>
        <v>321363.33612776309</v>
      </c>
      <c r="AN136" s="90">
        <f>SUM(AM125:AM136)</f>
        <v>3385636.2346315514</v>
      </c>
      <c r="AO136" s="96">
        <f t="shared" si="59"/>
        <v>66.758219119167762</v>
      </c>
      <c r="AP136" s="92">
        <f t="shared" si="58"/>
        <v>4.9511658184796864E-3</v>
      </c>
      <c r="AR136" s="94">
        <f t="shared" si="71"/>
        <v>9.7550553228210515E-3</v>
      </c>
      <c r="AS136" s="95">
        <v>550596.06631922</v>
      </c>
      <c r="AU136" s="141">
        <v>131.53066260270384</v>
      </c>
    </row>
    <row r="137" spans="1:47">
      <c r="A137" s="78">
        <v>2016</v>
      </c>
      <c r="B137" s="78">
        <v>1</v>
      </c>
      <c r="C137" s="317">
        <f t="shared" si="49"/>
        <v>26.112829868525239</v>
      </c>
      <c r="D137" s="324">
        <f>D125</f>
        <v>1.3280829182176284E-2</v>
      </c>
      <c r="E137" s="321">
        <f>$D137*'MWh Impact Summary'!B$22</f>
        <v>27470.366647375555</v>
      </c>
      <c r="F137" s="319">
        <f>$D137*'MWh Impact Summary'!N$22</f>
        <v>2436.9032296743749</v>
      </c>
      <c r="G137" s="319">
        <f>$D137*'MWh Impact Summary'!C$22</f>
        <v>22099.85470608377</v>
      </c>
      <c r="H137" s="319">
        <f>$D137*'MWh Impact Summary'!D$22</f>
        <v>76.293020643730046</v>
      </c>
      <c r="I137" s="319">
        <f>$D137*'MWh Impact Summary'!E$22</f>
        <v>8688.849208168589</v>
      </c>
      <c r="J137" s="104">
        <f t="shared" si="72"/>
        <v>60772.266811946021</v>
      </c>
      <c r="K137" s="298">
        <f t="shared" si="50"/>
        <v>13.3</v>
      </c>
      <c r="L137" s="300">
        <f t="shared" si="61"/>
        <v>9.3629003871876101E-2</v>
      </c>
      <c r="M137" s="297">
        <f t="shared" si="73"/>
        <v>8.3333333333333329E-2</v>
      </c>
      <c r="N137" s="302">
        <f>$L137*'MWh Impact Summary'!F$22</f>
        <v>101357.07850780238</v>
      </c>
      <c r="O137" s="302">
        <f>$L137*'MWh Impact Summary'!G$22</f>
        <v>1997.1383974667312</v>
      </c>
      <c r="P137" s="304">
        <f>$M137*'MWh Impact Summary'!H$22</f>
        <v>4879.6261297688152</v>
      </c>
      <c r="Q137" s="304">
        <f>$M137*'MWh Impact Summary'!I$22</f>
        <v>1115.0582743751593</v>
      </c>
      <c r="R137" s="304">
        <f>$M137*'MWh Impact Summary'!J$22</f>
        <v>25966.166648025377</v>
      </c>
      <c r="S137" s="304">
        <f>$M137*'MWh Impact Summary'!K$22</f>
        <v>6567.7947698924227</v>
      </c>
      <c r="T137" s="304">
        <f>$M137*'MWh Impact Summary'!L$22</f>
        <v>2385.5531024219808</v>
      </c>
      <c r="U137" s="304">
        <f>$M137*'MWh Impact Summary'!M$22</f>
        <v>7241.0717269323013</v>
      </c>
      <c r="V137" s="302">
        <f>$L137*'MWh Impact Summary'!O$22</f>
        <v>11764.35160153851</v>
      </c>
      <c r="W137" s="302">
        <f>$L137*'MWh Impact Summary'!P$22</f>
        <v>336255.59463188023</v>
      </c>
      <c r="X137" s="302">
        <f>$L137*'MWh Impact Summary'!Q$22</f>
        <v>114329.21001286566</v>
      </c>
      <c r="Y137" s="85">
        <f t="shared" si="64"/>
        <v>613858.64380296948</v>
      </c>
      <c r="Z137" s="81">
        <f t="shared" si="65"/>
        <v>674630.91061491554</v>
      </c>
      <c r="AA137" s="81"/>
      <c r="AB137" s="262">
        <f>+'MWh by mo-WgtbyActulCDH&amp;Days'!AB137</f>
        <v>4820575.9363739984</v>
      </c>
      <c r="AC137" s="308">
        <f t="shared" si="74"/>
        <v>139.94819696220114</v>
      </c>
      <c r="AD137" s="309">
        <f t="shared" si="66"/>
        <v>12.606847732318572</v>
      </c>
      <c r="AE137" s="107">
        <f t="shared" si="67"/>
        <v>9.4788328814425352E-4</v>
      </c>
      <c r="AF137" s="309">
        <f t="shared" si="75"/>
        <v>127.34134922988255</v>
      </c>
      <c r="AG137" s="107">
        <f t="shared" si="68"/>
        <v>9.5745375360813938E-3</v>
      </c>
      <c r="AH137" s="119">
        <f t="shared" si="76"/>
        <v>1.0522420824225647E-2</v>
      </c>
      <c r="AI137" s="122">
        <f t="shared" si="69"/>
        <v>1.0522420824225649E-2</v>
      </c>
      <c r="AJ137" s="87" t="b">
        <f t="shared" si="77"/>
        <v>1</v>
      </c>
      <c r="AK137" s="88">
        <f t="shared" si="51"/>
        <v>1.1395235086002729E-3</v>
      </c>
      <c r="AM137" s="89">
        <f t="shared" si="70"/>
        <v>336255.59463188023</v>
      </c>
      <c r="AN137" s="93"/>
      <c r="AO137" s="96">
        <f t="shared" si="59"/>
        <v>69.754236645177542</v>
      </c>
      <c r="AP137" s="92">
        <f t="shared" si="58"/>
        <v>5.2446794470058303E-3</v>
      </c>
      <c r="AR137" s="94">
        <f t="shared" si="71"/>
        <v>1.0522420824225649E-2</v>
      </c>
      <c r="AS137" s="95">
        <v>607892.27708418097</v>
      </c>
      <c r="AU137" s="141">
        <v>139.94819696220114</v>
      </c>
    </row>
    <row r="138" spans="1:47">
      <c r="A138" s="78">
        <v>2016</v>
      </c>
      <c r="B138" s="78">
        <v>2</v>
      </c>
      <c r="C138" s="317">
        <f t="shared" si="49"/>
        <v>35.042184420393127</v>
      </c>
      <c r="D138" s="324">
        <f>D126</f>
        <v>1.7822245532205266E-2</v>
      </c>
      <c r="E138" s="321">
        <f>$D138*'MWh Impact Summary'!B$22</f>
        <v>36863.934663528526</v>
      </c>
      <c r="F138" s="319">
        <f>$D138*'MWh Impact Summary'!N$22</f>
        <v>3270.2090435564064</v>
      </c>
      <c r="G138" s="319">
        <f>$D138*'MWh Impact Summary'!C$22</f>
        <v>29656.961278177139</v>
      </c>
      <c r="H138" s="319">
        <f>$D138*'MWh Impact Summary'!D$22</f>
        <v>102.38163051829498</v>
      </c>
      <c r="I138" s="319">
        <f>$D138*'MWh Impact Summary'!E$22</f>
        <v>11660.02527824941</v>
      </c>
      <c r="J138" s="104">
        <f t="shared" si="72"/>
        <v>81553.511894029783</v>
      </c>
      <c r="K138" s="298">
        <f t="shared" si="50"/>
        <v>12.733333333333333</v>
      </c>
      <c r="L138" s="300">
        <f t="shared" si="61"/>
        <v>8.9639798193124468E-2</v>
      </c>
      <c r="M138" s="297">
        <f t="shared" si="73"/>
        <v>8.3333333333333329E-2</v>
      </c>
      <c r="N138" s="302">
        <f>$L138*'MWh Impact Summary'!F$22</f>
        <v>97038.606491179191</v>
      </c>
      <c r="O138" s="302">
        <f>$L138*'MWh Impact Summary'!G$22</f>
        <v>1912.0472878002286</v>
      </c>
      <c r="P138" s="304">
        <f>$M138*'MWh Impact Summary'!H$22</f>
        <v>4879.6261297688152</v>
      </c>
      <c r="Q138" s="304">
        <f>$M138*'MWh Impact Summary'!I$22</f>
        <v>1115.0582743751593</v>
      </c>
      <c r="R138" s="304">
        <f>$M138*'MWh Impact Summary'!J$22</f>
        <v>25966.166648025377</v>
      </c>
      <c r="S138" s="304">
        <f>$M138*'MWh Impact Summary'!K$22</f>
        <v>6567.7947698924227</v>
      </c>
      <c r="T138" s="304">
        <f>$M138*'MWh Impact Summary'!L$22</f>
        <v>2385.5531024219808</v>
      </c>
      <c r="U138" s="304">
        <f>$M138*'MWh Impact Summary'!M$22</f>
        <v>7241.0717269323013</v>
      </c>
      <c r="V138" s="302">
        <f>$L138*'MWh Impact Summary'!O$22</f>
        <v>11263.113563377719</v>
      </c>
      <c r="W138" s="302">
        <f>$L138*'MWh Impact Summary'!P$22</f>
        <v>321928.91516134894</v>
      </c>
      <c r="X138" s="302">
        <f>$L138*'MWh Impact Summary'!Q$22</f>
        <v>109458.04066394655</v>
      </c>
      <c r="Y138" s="85">
        <f t="shared" si="64"/>
        <v>589755.99381906865</v>
      </c>
      <c r="Z138" s="81">
        <f t="shared" si="65"/>
        <v>671309.50571309845</v>
      </c>
      <c r="AA138" s="81"/>
      <c r="AB138" s="262">
        <f>+'MWh by mo-WgtbyActulCDH&amp;Days'!AB138</f>
        <v>4826494.7966620158</v>
      </c>
      <c r="AC138" s="308">
        <f t="shared" ref="AC138:AC197" si="78">+Z138*1000/AB138</f>
        <v>139.08841384794889</v>
      </c>
      <c r="AD138" s="309">
        <f t="shared" si="66"/>
        <v>16.89704751167076</v>
      </c>
      <c r="AE138" s="107">
        <f t="shared" si="67"/>
        <v>1.3269932600788556E-3</v>
      </c>
      <c r="AF138" s="309">
        <f t="shared" si="75"/>
        <v>122.19136633627815</v>
      </c>
      <c r="AG138" s="107">
        <f t="shared" si="68"/>
        <v>9.5961806023255082E-3</v>
      </c>
      <c r="AH138" s="119">
        <f t="shared" si="76"/>
        <v>1.0923173862404364E-2</v>
      </c>
      <c r="AI138" s="122">
        <f t="shared" si="69"/>
        <v>1.0923173862404363E-2</v>
      </c>
      <c r="AJ138" s="87" t="b">
        <f t="shared" si="77"/>
        <v>1</v>
      </c>
      <c r="AK138" s="88">
        <f t="shared" si="51"/>
        <v>1.1881824668366157E-3</v>
      </c>
      <c r="AM138" s="89">
        <f t="shared" si="70"/>
        <v>321928.91516134894</v>
      </c>
      <c r="AN138" s="93"/>
      <c r="AO138" s="96">
        <f t="shared" si="59"/>
        <v>66.700354755172157</v>
      </c>
      <c r="AP138" s="92">
        <f t="shared" si="58"/>
        <v>5.2382477556417928E-3</v>
      </c>
      <c r="AR138" s="94">
        <f t="shared" si="71"/>
        <v>1.0923173862404363E-2</v>
      </c>
      <c r="AS138" s="95">
        <v>582164.70607935276</v>
      </c>
      <c r="AU138" s="141">
        <v>139.08841384794889</v>
      </c>
    </row>
    <row r="139" spans="1:47">
      <c r="A139" s="78">
        <v>2016</v>
      </c>
      <c r="B139" s="78">
        <v>3</v>
      </c>
      <c r="C139" s="317">
        <f t="shared" si="49"/>
        <v>64.582270600115152</v>
      </c>
      <c r="D139" s="324">
        <f t="shared" ref="D139:D177" si="79">D127</f>
        <v>3.2846156787895278E-2</v>
      </c>
      <c r="E139" s="321">
        <f>$D139*'MWh Impact Summary'!B$22</f>
        <v>67939.73158932013</v>
      </c>
      <c r="F139" s="319">
        <f>$D139*'MWh Impact Summary'!N$22</f>
        <v>6026.9509125405784</v>
      </c>
      <c r="G139" s="319">
        <f>$D139*'MWh Impact Summary'!C$22</f>
        <v>54657.377390255904</v>
      </c>
      <c r="H139" s="319">
        <f>$D139*'MWh Impact Summary'!D$22</f>
        <v>188.68795641534257</v>
      </c>
      <c r="I139" s="319">
        <f>$D139*'MWh Impact Summary'!E$22</f>
        <v>21489.268439722411</v>
      </c>
      <c r="J139" s="104">
        <f t="shared" si="72"/>
        <v>150302.01628825438</v>
      </c>
      <c r="K139" s="298">
        <f t="shared" si="50"/>
        <v>12</v>
      </c>
      <c r="L139" s="300">
        <f t="shared" si="61"/>
        <v>8.4477296726504739E-2</v>
      </c>
      <c r="M139" s="297">
        <f t="shared" si="73"/>
        <v>8.3333333333333329E-2</v>
      </c>
      <c r="N139" s="302">
        <f>$L139*'MWh Impact Summary'!F$22</f>
        <v>91449.995646137468</v>
      </c>
      <c r="O139" s="302">
        <f>$L139*'MWh Impact Summary'!G$22</f>
        <v>1801.9293811729904</v>
      </c>
      <c r="P139" s="304">
        <f>$M139*'MWh Impact Summary'!H$22</f>
        <v>4879.6261297688152</v>
      </c>
      <c r="Q139" s="304">
        <f>$M139*'MWh Impact Summary'!I$22</f>
        <v>1115.0582743751593</v>
      </c>
      <c r="R139" s="304">
        <f>$M139*'MWh Impact Summary'!J$22</f>
        <v>25966.166648025377</v>
      </c>
      <c r="S139" s="304">
        <f>$M139*'MWh Impact Summary'!K$22</f>
        <v>6567.7947698924227</v>
      </c>
      <c r="T139" s="304">
        <f>$M139*'MWh Impact Summary'!L$22</f>
        <v>2385.5531024219808</v>
      </c>
      <c r="U139" s="304">
        <f>$M139*'MWh Impact Summary'!M$22</f>
        <v>7241.0717269323013</v>
      </c>
      <c r="V139" s="302">
        <f>$L139*'MWh Impact Summary'!O$22</f>
        <v>10614.452572816699</v>
      </c>
      <c r="W139" s="302">
        <f>$L139*'MWh Impact Summary'!P$22</f>
        <v>303388.50643477915</v>
      </c>
      <c r="X139" s="302">
        <f>$L139*'MWh Impact Summary'!Q$22</f>
        <v>103154.17444769833</v>
      </c>
      <c r="Y139" s="85">
        <f t="shared" si="64"/>
        <v>558564.32913402061</v>
      </c>
      <c r="Z139" s="81">
        <f t="shared" si="65"/>
        <v>708866.34542227502</v>
      </c>
      <c r="AA139" s="81"/>
      <c r="AB139" s="262">
        <f>+'MWh by mo-WgtbyActulCDH&amp;Days'!AB139</f>
        <v>4833093.7745679663</v>
      </c>
      <c r="AC139" s="308">
        <f t="shared" si="78"/>
        <v>146.66927199972261</v>
      </c>
      <c r="AD139" s="309">
        <f t="shared" si="66"/>
        <v>31.098510250132687</v>
      </c>
      <c r="AE139" s="107">
        <f t="shared" si="67"/>
        <v>2.5915425208443907E-3</v>
      </c>
      <c r="AF139" s="309">
        <f t="shared" si="75"/>
        <v>115.57076174958989</v>
      </c>
      <c r="AG139" s="107">
        <f t="shared" si="68"/>
        <v>9.6308968124658237E-3</v>
      </c>
      <c r="AH139" s="119">
        <f t="shared" si="76"/>
        <v>1.2222439333310214E-2</v>
      </c>
      <c r="AI139" s="122">
        <f t="shared" si="69"/>
        <v>1.2222439333310218E-2</v>
      </c>
      <c r="AJ139" s="87" t="b">
        <f t="shared" si="77"/>
        <v>1</v>
      </c>
      <c r="AK139" s="88">
        <f t="shared" si="51"/>
        <v>1.3323313902389878E-3</v>
      </c>
      <c r="AM139" s="89">
        <f t="shared" si="70"/>
        <v>303388.50643477915</v>
      </c>
      <c r="AN139" s="93"/>
      <c r="AO139" s="96">
        <f t="shared" si="59"/>
        <v>62.77314709497837</v>
      </c>
      <c r="AP139" s="92">
        <f t="shared" si="58"/>
        <v>5.2310955912481978E-3</v>
      </c>
      <c r="AR139" s="94">
        <f t="shared" si="71"/>
        <v>1.2222439333310218E-2</v>
      </c>
      <c r="AS139" s="95">
        <v>682340.71158247255</v>
      </c>
      <c r="AU139" s="141">
        <v>146.66927199972261</v>
      </c>
    </row>
    <row r="140" spans="1:47">
      <c r="A140" s="78">
        <v>2016</v>
      </c>
      <c r="B140" s="78">
        <v>4</v>
      </c>
      <c r="C140" s="317">
        <f t="shared" si="49"/>
        <v>114.03392869270741</v>
      </c>
      <c r="D140" s="324">
        <f t="shared" si="79"/>
        <v>5.7996974497419709E-2</v>
      </c>
      <c r="E140" s="321">
        <f>$D140*'MWh Impact Summary'!B$22</f>
        <v>119962.25025021646</v>
      </c>
      <c r="F140" s="319">
        <f>$D140*'MWh Impact Summary'!N$22</f>
        <v>10641.881807634596</v>
      </c>
      <c r="G140" s="319">
        <f>$D140*'MWh Impact Summary'!C$22</f>
        <v>96509.389000016454</v>
      </c>
      <c r="H140" s="319">
        <f>$D140*'MWh Impact Summary'!D$22</f>
        <v>333.16928573585164</v>
      </c>
      <c r="I140" s="319">
        <f>$D140*'MWh Impact Summary'!E$22</f>
        <v>37943.938516608665</v>
      </c>
      <c r="J140" s="104">
        <f t="shared" si="72"/>
        <v>265390.62886021199</v>
      </c>
      <c r="K140" s="298">
        <f t="shared" si="50"/>
        <v>11.2</v>
      </c>
      <c r="L140" s="300">
        <f t="shared" si="61"/>
        <v>7.8845476944737758E-2</v>
      </c>
      <c r="M140" s="297">
        <f t="shared" si="73"/>
        <v>8.3333333333333329E-2</v>
      </c>
      <c r="N140" s="302">
        <f>$L140*'MWh Impact Summary'!F$22</f>
        <v>85353.329269728303</v>
      </c>
      <c r="O140" s="302">
        <f>$L140*'MWh Impact Summary'!G$22</f>
        <v>1681.8007557614578</v>
      </c>
      <c r="P140" s="304">
        <f>$M140*'MWh Impact Summary'!H$22</f>
        <v>4879.6261297688152</v>
      </c>
      <c r="Q140" s="304">
        <f>$M140*'MWh Impact Summary'!I$22</f>
        <v>1115.0582743751593</v>
      </c>
      <c r="R140" s="304">
        <f>$M140*'MWh Impact Summary'!J$22</f>
        <v>25966.166648025377</v>
      </c>
      <c r="S140" s="304">
        <f>$M140*'MWh Impact Summary'!K$22</f>
        <v>6567.7947698924227</v>
      </c>
      <c r="T140" s="304">
        <f>$M140*'MWh Impact Summary'!L$22</f>
        <v>2385.5531024219808</v>
      </c>
      <c r="U140" s="304">
        <f>$M140*'MWh Impact Summary'!M$22</f>
        <v>7241.0717269323013</v>
      </c>
      <c r="V140" s="302">
        <f>$L140*'MWh Impact Summary'!O$22</f>
        <v>9906.822401295587</v>
      </c>
      <c r="W140" s="302">
        <f>$L140*'MWh Impact Summary'!P$22</f>
        <v>283162.60600579384</v>
      </c>
      <c r="X140" s="302">
        <f>$L140*'MWh Impact Summary'!Q$22</f>
        <v>96277.229484518437</v>
      </c>
      <c r="Y140" s="85">
        <f t="shared" si="64"/>
        <v>524537.05856851372</v>
      </c>
      <c r="Z140" s="81">
        <f t="shared" si="65"/>
        <v>789927.68742872565</v>
      </c>
      <c r="AA140" s="81"/>
      <c r="AB140" s="262">
        <f>+'MWh by mo-WgtbyActulCDH&amp;Days'!AB140</f>
        <v>4838808.8957821839</v>
      </c>
      <c r="AC140" s="308">
        <f t="shared" si="78"/>
        <v>163.24837463973361</v>
      </c>
      <c r="AD140" s="309">
        <f t="shared" si="66"/>
        <v>54.846272001265326</v>
      </c>
      <c r="AE140" s="107">
        <f t="shared" si="67"/>
        <v>4.8969885715415473E-3</v>
      </c>
      <c r="AF140" s="309">
        <f t="shared" si="75"/>
        <v>108.40210263846829</v>
      </c>
      <c r="AG140" s="107">
        <f t="shared" si="68"/>
        <v>9.6787591641489552E-3</v>
      </c>
      <c r="AH140" s="119">
        <f t="shared" si="76"/>
        <v>1.4575747735690502E-2</v>
      </c>
      <c r="AI140" s="122">
        <f t="shared" si="69"/>
        <v>1.4575747735690502E-2</v>
      </c>
      <c r="AJ140" s="87" t="b">
        <f t="shared" si="77"/>
        <v>1</v>
      </c>
      <c r="AK140" s="88">
        <f t="shared" si="51"/>
        <v>1.5813903135229058E-3</v>
      </c>
      <c r="AM140" s="89">
        <f t="shared" si="70"/>
        <v>283162.60600579384</v>
      </c>
      <c r="AN140" s="93"/>
      <c r="AO140" s="96">
        <f t="shared" si="59"/>
        <v>58.519071966784338</v>
      </c>
      <c r="AP140" s="92">
        <f t="shared" si="58"/>
        <v>5.2249171398914586E-3</v>
      </c>
      <c r="AR140" s="94">
        <f t="shared" si="71"/>
        <v>1.4575747735690502E-2</v>
      </c>
      <c r="AS140" s="95">
        <v>799569.9281839102</v>
      </c>
      <c r="AU140" s="141">
        <v>163.24837463973361</v>
      </c>
    </row>
    <row r="141" spans="1:47">
      <c r="A141" s="78">
        <v>2016</v>
      </c>
      <c r="B141" s="78">
        <v>5</v>
      </c>
      <c r="C141" s="317">
        <f t="shared" si="49"/>
        <v>208.47875842628665</v>
      </c>
      <c r="D141" s="324">
        <f t="shared" si="79"/>
        <v>0.10603105035770212</v>
      </c>
      <c r="E141" s="321">
        <f>$D141*'MWh Impact Summary'!B$22</f>
        <v>219317.01623280137</v>
      </c>
      <c r="F141" s="319">
        <f>$D141*'MWh Impact Summary'!N$22</f>
        <v>19455.66843139756</v>
      </c>
      <c r="G141" s="319">
        <f>$D141*'MWh Impact Summary'!C$22</f>
        <v>176440.09836249432</v>
      </c>
      <c r="H141" s="319">
        <f>$D141*'MWh Impact Summary'!D$22</f>
        <v>609.10572697321311</v>
      </c>
      <c r="I141" s="319">
        <f>$D141*'MWh Impact Summary'!E$22</f>
        <v>69369.75058592204</v>
      </c>
      <c r="J141" s="104">
        <f t="shared" si="72"/>
        <v>485191.63933958852</v>
      </c>
      <c r="K141" s="298">
        <f t="shared" si="50"/>
        <v>10.533333333333333</v>
      </c>
      <c r="L141" s="300">
        <f t="shared" si="61"/>
        <v>7.4152293793265281E-2</v>
      </c>
      <c r="M141" s="297">
        <f t="shared" si="73"/>
        <v>8.3333333333333329E-2</v>
      </c>
      <c r="N141" s="302">
        <f>$L141*'MWh Impact Summary'!F$22</f>
        <v>80272.773956054007</v>
      </c>
      <c r="O141" s="302">
        <f>$L141*'MWh Impact Summary'!G$22</f>
        <v>1581.693567918514</v>
      </c>
      <c r="P141" s="304">
        <f>$M141*'MWh Impact Summary'!H$22</f>
        <v>4879.6261297688152</v>
      </c>
      <c r="Q141" s="304">
        <f>$M141*'MWh Impact Summary'!I$22</f>
        <v>1115.0582743751593</v>
      </c>
      <c r="R141" s="304">
        <f>$M141*'MWh Impact Summary'!J$22</f>
        <v>25966.166648025377</v>
      </c>
      <c r="S141" s="304">
        <f>$M141*'MWh Impact Summary'!K$22</f>
        <v>6567.7947698924227</v>
      </c>
      <c r="T141" s="304">
        <f>$M141*'MWh Impact Summary'!L$22</f>
        <v>2385.5531024219808</v>
      </c>
      <c r="U141" s="304">
        <f>$M141*'MWh Impact Summary'!M$22</f>
        <v>7241.0717269323013</v>
      </c>
      <c r="V141" s="302">
        <f>$L141*'MWh Impact Summary'!O$22</f>
        <v>9317.1305916946603</v>
      </c>
      <c r="W141" s="302">
        <f>$L141*'MWh Impact Summary'!P$22</f>
        <v>266307.68898163951</v>
      </c>
      <c r="X141" s="302">
        <f>$L141*'MWh Impact Summary'!Q$22</f>
        <v>90546.442015201872</v>
      </c>
      <c r="Y141" s="85">
        <f t="shared" si="64"/>
        <v>496180.99976392463</v>
      </c>
      <c r="Z141" s="81">
        <f t="shared" si="65"/>
        <v>981372.63910351321</v>
      </c>
      <c r="AA141" s="81"/>
      <c r="AB141" s="262">
        <f>+'MWh by mo-WgtbyActulCDH&amp;Days'!AB141</f>
        <v>4843834.8322112709</v>
      </c>
      <c r="AC141" s="308">
        <f t="shared" si="78"/>
        <v>202.60241587459421</v>
      </c>
      <c r="AD141" s="309">
        <f t="shared" si="66"/>
        <v>100.16684221210171</v>
      </c>
      <c r="AE141" s="107">
        <f t="shared" si="67"/>
        <v>9.5095103365919354E-3</v>
      </c>
      <c r="AF141" s="309">
        <f t="shared" si="75"/>
        <v>102.43557366249249</v>
      </c>
      <c r="AG141" s="107">
        <f t="shared" si="68"/>
        <v>9.7248962337809323E-3</v>
      </c>
      <c r="AH141" s="119">
        <f t="shared" si="76"/>
        <v>1.9234406570372869E-2</v>
      </c>
      <c r="AI141" s="122">
        <f t="shared" si="69"/>
        <v>1.9234406570372869E-2</v>
      </c>
      <c r="AJ141" s="87" t="b">
        <f t="shared" si="77"/>
        <v>1</v>
      </c>
      <c r="AK141" s="88">
        <f t="shared" si="51"/>
        <v>2.0619419414784797E-3</v>
      </c>
      <c r="AM141" s="89">
        <f t="shared" si="70"/>
        <v>266307.68898163951</v>
      </c>
      <c r="AN141" s="93"/>
      <c r="AO141" s="96">
        <f t="shared" si="59"/>
        <v>54.978689035948555</v>
      </c>
      <c r="AP141" s="92">
        <f t="shared" si="58"/>
        <v>5.219495794552078E-3</v>
      </c>
      <c r="AR141" s="94">
        <f t="shared" si="71"/>
        <v>1.9234406570372869E-2</v>
      </c>
      <c r="AS141" s="95">
        <v>958692.5151507766</v>
      </c>
      <c r="AU141" s="141">
        <v>202.60241587459421</v>
      </c>
    </row>
    <row r="142" spans="1:47">
      <c r="A142" s="78">
        <v>2016</v>
      </c>
      <c r="B142" s="78">
        <v>6</v>
      </c>
      <c r="C142" s="317">
        <f t="shared" si="49"/>
        <v>271.66325293295364</v>
      </c>
      <c r="D142" s="324">
        <f t="shared" si="79"/>
        <v>0.13816630657965029</v>
      </c>
      <c r="E142" s="321">
        <f>$D142*'MWh Impact Summary'!B$22</f>
        <v>285786.30505619821</v>
      </c>
      <c r="F142" s="319">
        <f>$D142*'MWh Impact Summary'!N$22</f>
        <v>25352.175991240038</v>
      </c>
      <c r="G142" s="319">
        <f>$D142*'MWh Impact Summary'!C$22</f>
        <v>229914.50750563288</v>
      </c>
      <c r="H142" s="319">
        <f>$D142*'MWh Impact Summary'!D$22</f>
        <v>793.70984563946161</v>
      </c>
      <c r="I142" s="319">
        <f>$D142*'MWh Impact Summary'!E$22</f>
        <v>90393.91946485755</v>
      </c>
      <c r="J142" s="104">
        <f t="shared" si="72"/>
        <v>632240.61786356813</v>
      </c>
      <c r="K142" s="298">
        <f t="shared" si="50"/>
        <v>10.199999999999999</v>
      </c>
      <c r="L142" s="300">
        <f t="shared" si="61"/>
        <v>7.1805702217529022E-2</v>
      </c>
      <c r="M142" s="297">
        <f t="shared" si="73"/>
        <v>8.3333333333333329E-2</v>
      </c>
      <c r="N142" s="302">
        <f>$L142*'MWh Impact Summary'!F$22</f>
        <v>77732.496299216829</v>
      </c>
      <c r="O142" s="302">
        <f>$L142*'MWh Impact Summary'!G$22</f>
        <v>1531.6399739970416</v>
      </c>
      <c r="P142" s="304">
        <f>$M142*'MWh Impact Summary'!H$22</f>
        <v>4879.6261297688152</v>
      </c>
      <c r="Q142" s="304">
        <f>$M142*'MWh Impact Summary'!I$22</f>
        <v>1115.0582743751593</v>
      </c>
      <c r="R142" s="304">
        <f>$M142*'MWh Impact Summary'!J$22</f>
        <v>25966.166648025377</v>
      </c>
      <c r="S142" s="304">
        <f>$M142*'MWh Impact Summary'!K$22</f>
        <v>6567.7947698924227</v>
      </c>
      <c r="T142" s="304">
        <f>$M142*'MWh Impact Summary'!L$22</f>
        <v>2385.5531024219808</v>
      </c>
      <c r="U142" s="304">
        <f>$M142*'MWh Impact Summary'!M$22</f>
        <v>7241.0717269323013</v>
      </c>
      <c r="V142" s="302">
        <f>$L142*'MWh Impact Summary'!O$22</f>
        <v>9022.2846868941942</v>
      </c>
      <c r="W142" s="302">
        <f>$L142*'MWh Impact Summary'!P$22</f>
        <v>257880.23046956223</v>
      </c>
      <c r="X142" s="302">
        <f>$L142*'MWh Impact Summary'!Q$22</f>
        <v>87681.04828054356</v>
      </c>
      <c r="Y142" s="85">
        <f t="shared" si="64"/>
        <v>482002.97036162985</v>
      </c>
      <c r="Z142" s="81">
        <f t="shared" si="65"/>
        <v>1114243.588225198</v>
      </c>
      <c r="AA142" s="81"/>
      <c r="AB142" s="262">
        <f>+'MWh by mo-WgtbyActulCDH&amp;Days'!AB142</f>
        <v>4848895.9460375952</v>
      </c>
      <c r="AC142" s="308">
        <f t="shared" si="78"/>
        <v>229.79325616086521</v>
      </c>
      <c r="AD142" s="309">
        <f t="shared" si="66"/>
        <v>130.38857193465256</v>
      </c>
      <c r="AE142" s="107">
        <f t="shared" si="67"/>
        <v>1.2783193326926724E-2</v>
      </c>
      <c r="AF142" s="309">
        <f t="shared" si="75"/>
        <v>99.404684226212666</v>
      </c>
      <c r="AG142" s="107">
        <f t="shared" si="68"/>
        <v>9.7455572770796754E-3</v>
      </c>
      <c r="AH142" s="119">
        <f t="shared" si="76"/>
        <v>2.2528750604006401E-2</v>
      </c>
      <c r="AI142" s="122">
        <f t="shared" si="69"/>
        <v>2.2528750604006394E-2</v>
      </c>
      <c r="AJ142" s="87" t="b">
        <f t="shared" si="77"/>
        <v>1</v>
      </c>
      <c r="AK142" s="88">
        <f t="shared" si="51"/>
        <v>2.4041670833637591E-3</v>
      </c>
      <c r="AM142" s="89">
        <f t="shared" si="70"/>
        <v>257880.23046956223</v>
      </c>
      <c r="AN142" s="93"/>
      <c r="AO142" s="96">
        <f t="shared" si="59"/>
        <v>53.183288183425745</v>
      </c>
      <c r="AP142" s="92">
        <f t="shared" si="58"/>
        <v>5.2140478611201711E-3</v>
      </c>
      <c r="AR142" s="94">
        <f t="shared" si="71"/>
        <v>2.2528750604006394E-2</v>
      </c>
      <c r="AS142" s="95">
        <v>1168219.7004325814</v>
      </c>
      <c r="AU142" s="141">
        <v>229.79325616086521</v>
      </c>
    </row>
    <row r="143" spans="1:47">
      <c r="A143" s="78">
        <v>2016</v>
      </c>
      <c r="B143" s="78">
        <v>7</v>
      </c>
      <c r="C143" s="317">
        <f t="shared" si="49"/>
        <v>322.31916585708109</v>
      </c>
      <c r="D143" s="324">
        <f t="shared" si="79"/>
        <v>0.16392960109808263</v>
      </c>
      <c r="E143" s="321">
        <f>$D143*'MWh Impact Summary'!B$22</f>
        <v>339075.68456387776</v>
      </c>
      <c r="F143" s="319">
        <f>$D143*'MWh Impact Summary'!N$22</f>
        <v>30079.490435075983</v>
      </c>
      <c r="G143" s="319">
        <f>$D143*'MWh Impact Summary'!C$22</f>
        <v>272785.70611810533</v>
      </c>
      <c r="H143" s="319">
        <f>$D143*'MWh Impact Summary'!D$22</f>
        <v>941.70960782171767</v>
      </c>
      <c r="I143" s="319">
        <f>$D143*'MWh Impact Summary'!E$22</f>
        <v>107249.29634725285</v>
      </c>
      <c r="J143" s="104">
        <f t="shared" si="72"/>
        <v>750131.88707213383</v>
      </c>
      <c r="K143" s="298">
        <f t="shared" si="50"/>
        <v>10.366666666666667</v>
      </c>
      <c r="L143" s="300">
        <f t="shared" si="61"/>
        <v>7.2978998005397158E-2</v>
      </c>
      <c r="M143" s="297">
        <f t="shared" si="73"/>
        <v>8.3333333333333329E-2</v>
      </c>
      <c r="N143" s="302">
        <f>$L143*'MWh Impact Summary'!F$22</f>
        <v>79002.635127635425</v>
      </c>
      <c r="O143" s="302">
        <f>$L143*'MWh Impact Summary'!G$22</f>
        <v>1556.666770957778</v>
      </c>
      <c r="P143" s="304">
        <f>$M143*'MWh Impact Summary'!H$22</f>
        <v>4879.6261297688152</v>
      </c>
      <c r="Q143" s="304">
        <f>$M143*'MWh Impact Summary'!I$22</f>
        <v>1115.0582743751593</v>
      </c>
      <c r="R143" s="304">
        <f>$M143*'MWh Impact Summary'!J$22</f>
        <v>25966.166648025377</v>
      </c>
      <c r="S143" s="304">
        <f>$M143*'MWh Impact Summary'!K$22</f>
        <v>6567.7947698924227</v>
      </c>
      <c r="T143" s="304">
        <f>$M143*'MWh Impact Summary'!L$22</f>
        <v>2385.5531024219808</v>
      </c>
      <c r="U143" s="304">
        <f>$M143*'MWh Impact Summary'!M$22</f>
        <v>7241.0717269323013</v>
      </c>
      <c r="V143" s="302">
        <f>$L143*'MWh Impact Summary'!O$22</f>
        <v>9169.7076392944273</v>
      </c>
      <c r="W143" s="302">
        <f>$L143*'MWh Impact Summary'!P$22</f>
        <v>262093.95972560087</v>
      </c>
      <c r="X143" s="302">
        <f>$L143*'MWh Impact Summary'!Q$22</f>
        <v>89113.745147872731</v>
      </c>
      <c r="Y143" s="85">
        <f t="shared" si="64"/>
        <v>489091.9850627773</v>
      </c>
      <c r="Z143" s="81">
        <f t="shared" si="65"/>
        <v>1239223.8721349111</v>
      </c>
      <c r="AA143" s="81"/>
      <c r="AB143" s="262">
        <f>+'MWh by mo-WgtbyActulCDH&amp;Days'!AB143</f>
        <v>4855525.4877184592</v>
      </c>
      <c r="AC143" s="308">
        <f t="shared" si="78"/>
        <v>255.21931153886379</v>
      </c>
      <c r="AD143" s="309">
        <f t="shared" si="66"/>
        <v>154.49036133566045</v>
      </c>
      <c r="AE143" s="107">
        <f t="shared" si="67"/>
        <v>1.4902607202796828E-2</v>
      </c>
      <c r="AF143" s="309">
        <f t="shared" si="75"/>
        <v>100.72895020320334</v>
      </c>
      <c r="AG143" s="107">
        <f t="shared" si="68"/>
        <v>9.716618990662701E-3</v>
      </c>
      <c r="AH143" s="119">
        <f t="shared" si="76"/>
        <v>2.4619226193459527E-2</v>
      </c>
      <c r="AI143" s="122">
        <f t="shared" si="69"/>
        <v>2.4619226193459527E-2</v>
      </c>
      <c r="AJ143" s="87" t="b">
        <f t="shared" si="77"/>
        <v>1</v>
      </c>
      <c r="AK143" s="88">
        <f t="shared" si="51"/>
        <v>2.6443046877028357E-3</v>
      </c>
      <c r="AM143" s="89">
        <f t="shared" si="70"/>
        <v>262093.95972560087</v>
      </c>
      <c r="AN143" s="93"/>
      <c r="AO143" s="96">
        <f t="shared" si="59"/>
        <v>53.978495301598137</v>
      </c>
      <c r="AP143" s="92">
        <f t="shared" si="58"/>
        <v>5.2069288072281155E-3</v>
      </c>
      <c r="AR143" s="94">
        <f t="shared" si="71"/>
        <v>2.4619226193459527E-2</v>
      </c>
      <c r="AS143" s="95">
        <v>1227840.8440896038</v>
      </c>
      <c r="AU143" s="141">
        <v>255.21931153886379</v>
      </c>
    </row>
    <row r="144" spans="1:47">
      <c r="A144" s="78">
        <v>2016</v>
      </c>
      <c r="B144" s="78">
        <v>8</v>
      </c>
      <c r="C144" s="317">
        <f t="shared" si="49"/>
        <v>326.45437890907908</v>
      </c>
      <c r="D144" s="324">
        <f t="shared" si="79"/>
        <v>0.16603274573816959</v>
      </c>
      <c r="E144" s="321">
        <f>$D144*'MWh Impact Summary'!B$22</f>
        <v>343425.8763766893</v>
      </c>
      <c r="F144" s="319">
        <f>$D144*'MWh Impact Summary'!N$22</f>
        <v>30465.397060001073</v>
      </c>
      <c r="G144" s="319">
        <f>$D144*'MWh Impact Summary'!C$22</f>
        <v>276285.42668029573</v>
      </c>
      <c r="H144" s="319">
        <f>$D144*'MWh Impact Summary'!D$22</f>
        <v>953.79132766329542</v>
      </c>
      <c r="I144" s="319">
        <f>$D144*'MWh Impact Summary'!E$22</f>
        <v>108625.25762120767</v>
      </c>
      <c r="J144" s="104">
        <f t="shared" si="72"/>
        <v>759755.74906585715</v>
      </c>
      <c r="K144" s="298">
        <f t="shared" si="50"/>
        <v>10.933333333333334</v>
      </c>
      <c r="L144" s="300">
        <f t="shared" si="61"/>
        <v>7.6968203684148764E-2</v>
      </c>
      <c r="M144" s="297">
        <f t="shared" si="73"/>
        <v>8.3333333333333329E-2</v>
      </c>
      <c r="N144" s="302">
        <f>$L144*'MWh Impact Summary'!F$22</f>
        <v>83321.107144258582</v>
      </c>
      <c r="O144" s="302">
        <f>$L144*'MWh Impact Summary'!G$22</f>
        <v>1641.7578806242802</v>
      </c>
      <c r="P144" s="304">
        <f>$M144*'MWh Impact Summary'!H$22</f>
        <v>4879.6261297688152</v>
      </c>
      <c r="Q144" s="304">
        <f>$M144*'MWh Impact Summary'!I$22</f>
        <v>1115.0582743751593</v>
      </c>
      <c r="R144" s="304">
        <f>$M144*'MWh Impact Summary'!J$22</f>
        <v>25966.166648025377</v>
      </c>
      <c r="S144" s="304">
        <f>$M144*'MWh Impact Summary'!K$22</f>
        <v>6567.7947698924227</v>
      </c>
      <c r="T144" s="304">
        <f>$M144*'MWh Impact Summary'!L$22</f>
        <v>2385.5531024219808</v>
      </c>
      <c r="U144" s="304">
        <f>$M144*'MWh Impact Summary'!M$22</f>
        <v>7241.0717269323013</v>
      </c>
      <c r="V144" s="302">
        <f>$L144*'MWh Impact Summary'!O$22</f>
        <v>9670.9456774552164</v>
      </c>
      <c r="W144" s="302">
        <f>$L144*'MWh Impact Summary'!P$22</f>
        <v>276420.63919613208</v>
      </c>
      <c r="X144" s="302">
        <f>$L144*'MWh Impact Summary'!Q$22</f>
        <v>93984.914496791811</v>
      </c>
      <c r="Y144" s="85">
        <f t="shared" si="64"/>
        <v>513194.63504667801</v>
      </c>
      <c r="Z144" s="81">
        <f t="shared" si="65"/>
        <v>1272950.384112535</v>
      </c>
      <c r="AA144" s="81"/>
      <c r="AB144" s="262">
        <f>+'MWh by mo-WgtbyActulCDH&amp;Days'!AB144</f>
        <v>4862964.3023347482</v>
      </c>
      <c r="AC144" s="308">
        <f t="shared" si="78"/>
        <v>261.76428716562475</v>
      </c>
      <c r="AD144" s="309">
        <f t="shared" si="66"/>
        <v>156.23305083713905</v>
      </c>
      <c r="AE144" s="107">
        <f t="shared" si="67"/>
        <v>1.4289608308274913E-2</v>
      </c>
      <c r="AF144" s="309">
        <f t="shared" si="75"/>
        <v>105.53123632848572</v>
      </c>
      <c r="AG144" s="107">
        <f t="shared" si="68"/>
        <v>9.6522472251663778E-3</v>
      </c>
      <c r="AH144" s="119">
        <f t="shared" si="76"/>
        <v>2.3941855533441289E-2</v>
      </c>
      <c r="AI144" s="122">
        <f t="shared" si="69"/>
        <v>2.3941855533441289E-2</v>
      </c>
      <c r="AJ144" s="87" t="b">
        <f t="shared" si="77"/>
        <v>1</v>
      </c>
      <c r="AK144" s="88">
        <f t="shared" si="51"/>
        <v>2.5705635641036784E-3</v>
      </c>
      <c r="AM144" s="89">
        <f t="shared" si="70"/>
        <v>276420.63919613208</v>
      </c>
      <c r="AN144" s="93"/>
      <c r="AO144" s="96">
        <f t="shared" si="59"/>
        <v>56.842004590373058</v>
      </c>
      <c r="AP144" s="92">
        <f t="shared" si="58"/>
        <v>5.1989638344853402E-3</v>
      </c>
      <c r="AR144" s="94">
        <f t="shared" si="71"/>
        <v>2.3941855533441289E-2</v>
      </c>
      <c r="AS144" s="95">
        <v>1276453.2668340718</v>
      </c>
      <c r="AU144" s="141">
        <v>261.76428716562475</v>
      </c>
    </row>
    <row r="145" spans="1:47">
      <c r="A145" s="78">
        <v>2016</v>
      </c>
      <c r="B145" s="78">
        <v>9</v>
      </c>
      <c r="C145" s="317">
        <f t="shared" si="49"/>
        <v>277.87653293728147</v>
      </c>
      <c r="D145" s="324">
        <f t="shared" si="79"/>
        <v>0.14132634365008559</v>
      </c>
      <c r="E145" s="321">
        <f>$D145*'MWh Impact Summary'!B$22</f>
        <v>292322.59701157233</v>
      </c>
      <c r="F145" s="319">
        <f>$D145*'MWh Impact Summary'!N$22</f>
        <v>25932.012117222996</v>
      </c>
      <c r="G145" s="319">
        <f>$D145*'MWh Impact Summary'!C$22</f>
        <v>235172.94123476959</v>
      </c>
      <c r="H145" s="319">
        <f>$D145*'MWh Impact Summary'!D$22</f>
        <v>811.86298729519717</v>
      </c>
      <c r="I145" s="319">
        <f>$D145*'MWh Impact Summary'!E$22</f>
        <v>92461.342004564955</v>
      </c>
      <c r="J145" s="104">
        <f t="shared" si="72"/>
        <v>646700.75535542495</v>
      </c>
      <c r="K145" s="298">
        <f t="shared" si="50"/>
        <v>11.683333333333334</v>
      </c>
      <c r="L145" s="300">
        <f t="shared" si="61"/>
        <v>8.2248034729555317E-2</v>
      </c>
      <c r="M145" s="297">
        <f t="shared" si="73"/>
        <v>8.3333333333333329E-2</v>
      </c>
      <c r="N145" s="302">
        <f>$L145*'MWh Impact Summary'!F$22</f>
        <v>89036.731872142176</v>
      </c>
      <c r="O145" s="302">
        <f>$L145*'MWh Impact Summary'!G$22</f>
        <v>1754.3784669475922</v>
      </c>
      <c r="P145" s="304">
        <f>$M145*'MWh Impact Summary'!H$22</f>
        <v>4879.6261297688152</v>
      </c>
      <c r="Q145" s="304">
        <f>$M145*'MWh Impact Summary'!I$22</f>
        <v>1115.0582743751593</v>
      </c>
      <c r="R145" s="304">
        <f>$M145*'MWh Impact Summary'!J$22</f>
        <v>25966.166648025377</v>
      </c>
      <c r="S145" s="304">
        <f>$M145*'MWh Impact Summary'!K$22</f>
        <v>6567.7947698924227</v>
      </c>
      <c r="T145" s="304">
        <f>$M145*'MWh Impact Summary'!L$22</f>
        <v>2385.5531024219808</v>
      </c>
      <c r="U145" s="304">
        <f>$M145*'MWh Impact Summary'!M$22</f>
        <v>7241.0717269323013</v>
      </c>
      <c r="V145" s="302">
        <f>$L145*'MWh Impact Summary'!O$22</f>
        <v>10334.34896325626</v>
      </c>
      <c r="W145" s="302">
        <f>$L145*'MWh Impact Summary'!P$22</f>
        <v>295382.4208483058</v>
      </c>
      <c r="X145" s="302">
        <f>$L145*'MWh Impact Summary'!Q$22</f>
        <v>100432.05039977297</v>
      </c>
      <c r="Y145" s="85">
        <f t="shared" si="64"/>
        <v>545095.20120184089</v>
      </c>
      <c r="Z145" s="81">
        <f t="shared" si="65"/>
        <v>1191795.9565572659</v>
      </c>
      <c r="AA145" s="81"/>
      <c r="AB145" s="262">
        <f>+'MWh by mo-WgtbyActulCDH&amp;Days'!AB145</f>
        <v>4867498.8173319157</v>
      </c>
      <c r="AC145" s="308">
        <f t="shared" si="78"/>
        <v>244.84771363756394</v>
      </c>
      <c r="AD145" s="309">
        <f t="shared" si="66"/>
        <v>132.86099896987943</v>
      </c>
      <c r="AE145" s="107">
        <f t="shared" si="67"/>
        <v>1.1371840140075274E-2</v>
      </c>
      <c r="AF145" s="309">
        <f t="shared" si="75"/>
        <v>111.98671466768448</v>
      </c>
      <c r="AG145" s="107">
        <f t="shared" si="68"/>
        <v>9.5851681598588707E-3</v>
      </c>
      <c r="AH145" s="119">
        <f t="shared" si="76"/>
        <v>2.0957008299934146E-2</v>
      </c>
      <c r="AI145" s="122">
        <f t="shared" si="69"/>
        <v>2.0957008299934146E-2</v>
      </c>
      <c r="AJ145" s="87" t="b">
        <f t="shared" si="77"/>
        <v>1</v>
      </c>
      <c r="AK145" s="88">
        <f t="shared" si="51"/>
        <v>2.2490596327108814E-3</v>
      </c>
      <c r="AM145" s="89">
        <f t="shared" si="70"/>
        <v>295382.4208483058</v>
      </c>
      <c r="AN145" s="93"/>
      <c r="AO145" s="96">
        <f t="shared" si="59"/>
        <v>60.684641524005045</v>
      </c>
      <c r="AP145" s="92">
        <f t="shared" si="58"/>
        <v>5.1941205298720438E-3</v>
      </c>
      <c r="AR145" s="94">
        <f t="shared" si="71"/>
        <v>2.0957008299934146E-2</v>
      </c>
      <c r="AS145" s="95">
        <v>1206323.4397606517</v>
      </c>
      <c r="AU145" s="141">
        <v>244.84771363756394</v>
      </c>
    </row>
    <row r="146" spans="1:47">
      <c r="A146" s="78">
        <v>2016</v>
      </c>
      <c r="B146" s="78">
        <v>10</v>
      </c>
      <c r="C146" s="317">
        <f t="shared" ref="C146:C209" si="80">+C134</f>
        <v>198.89039579254836</v>
      </c>
      <c r="D146" s="324">
        <f t="shared" si="79"/>
        <v>0.10115446643644242</v>
      </c>
      <c r="E146" s="321">
        <f>$D146*'MWh Impact Summary'!B$22</f>
        <v>209230.1800521595</v>
      </c>
      <c r="F146" s="319">
        <f>$D146*'MWh Impact Summary'!N$22</f>
        <v>18560.86262187441</v>
      </c>
      <c r="G146" s="319">
        <f>$D146*'MWh Impact Summary'!C$22</f>
        <v>168325.25894670692</v>
      </c>
      <c r="H146" s="319">
        <f>$D146*'MWh Impact Summary'!D$22</f>
        <v>581.09171424312979</v>
      </c>
      <c r="I146" s="319">
        <f>$D146*'MWh Impact Summary'!E$22</f>
        <v>66179.294496051487</v>
      </c>
      <c r="J146" s="104">
        <f t="shared" si="72"/>
        <v>462876.68783103541</v>
      </c>
      <c r="K146" s="298">
        <f t="shared" ref="K146:K209" si="81">+K134</f>
        <v>12.466666666666667</v>
      </c>
      <c r="L146" s="300">
        <f t="shared" si="61"/>
        <v>8.7762524932535488E-2</v>
      </c>
      <c r="M146" s="297">
        <f t="shared" si="73"/>
        <v>8.3333333333333329E-2</v>
      </c>
      <c r="N146" s="302">
        <f>$L146*'MWh Impact Summary'!F$22</f>
        <v>95006.384365709484</v>
      </c>
      <c r="O146" s="302">
        <f>$L146*'MWh Impact Summary'!G$22</f>
        <v>1872.0044126630512</v>
      </c>
      <c r="P146" s="304">
        <f>$M146*'MWh Impact Summary'!H$22</f>
        <v>4879.6261297688152</v>
      </c>
      <c r="Q146" s="304">
        <f>$M146*'MWh Impact Summary'!I$22</f>
        <v>1115.0582743751593</v>
      </c>
      <c r="R146" s="304">
        <f>$M146*'MWh Impact Summary'!J$22</f>
        <v>25966.166648025377</v>
      </c>
      <c r="S146" s="304">
        <f>$M146*'MWh Impact Summary'!K$22</f>
        <v>6567.7947698924227</v>
      </c>
      <c r="T146" s="304">
        <f>$M146*'MWh Impact Summary'!L$22</f>
        <v>2385.5531024219808</v>
      </c>
      <c r="U146" s="304">
        <f>$M146*'MWh Impact Summary'!M$22</f>
        <v>7241.0717269323013</v>
      </c>
      <c r="V146" s="302">
        <f>$L146*'MWh Impact Summary'!O$22</f>
        <v>11027.236839537351</v>
      </c>
      <c r="W146" s="302">
        <f>$L146*'MWh Impact Summary'!P$22</f>
        <v>315186.94835168723</v>
      </c>
      <c r="X146" s="302">
        <f>$L146*'MWh Impact Summary'!Q$22</f>
        <v>107165.72567621994</v>
      </c>
      <c r="Y146" s="85">
        <f t="shared" si="64"/>
        <v>578413.57029723306</v>
      </c>
      <c r="Z146" s="81">
        <f t="shared" si="65"/>
        <v>1041290.2581282684</v>
      </c>
      <c r="AA146" s="81"/>
      <c r="AB146" s="262">
        <f>+'MWh by mo-WgtbyActulCDH&amp;Days'!AB146</f>
        <v>4872985.9866431234</v>
      </c>
      <c r="AC146" s="308">
        <f t="shared" si="78"/>
        <v>213.68628208298765</v>
      </c>
      <c r="AD146" s="309">
        <f t="shared" si="66"/>
        <v>94.988306779412568</v>
      </c>
      <c r="AE146" s="107">
        <f t="shared" si="67"/>
        <v>7.619382896744323E-3</v>
      </c>
      <c r="AF146" s="309">
        <f t="shared" si="75"/>
        <v>118.69797530357512</v>
      </c>
      <c r="AG146" s="107">
        <f t="shared" si="68"/>
        <v>9.5212279655274151E-3</v>
      </c>
      <c r="AH146" s="119">
        <f t="shared" si="76"/>
        <v>1.7140610862271737E-2</v>
      </c>
      <c r="AI146" s="122">
        <f t="shared" si="69"/>
        <v>1.7140610862271734E-2</v>
      </c>
      <c r="AJ146" s="87" t="b">
        <f t="shared" si="77"/>
        <v>1</v>
      </c>
      <c r="AK146" s="88">
        <f t="shared" si="51"/>
        <v>1.8438244529236873E-3</v>
      </c>
      <c r="AM146" s="89">
        <f t="shared" si="70"/>
        <v>315186.94835168723</v>
      </c>
      <c r="AN146" s="93"/>
      <c r="AO146" s="96">
        <f t="shared" si="59"/>
        <v>64.680454492505433</v>
      </c>
      <c r="AP146" s="92">
        <f t="shared" si="58"/>
        <v>5.18827175073573E-3</v>
      </c>
      <c r="AR146" s="94">
        <f t="shared" si="71"/>
        <v>1.7140610862271734E-2</v>
      </c>
      <c r="AS146" s="95">
        <v>973350.79860718851</v>
      </c>
      <c r="AU146" s="141">
        <v>213.68628208298765</v>
      </c>
    </row>
    <row r="147" spans="1:47">
      <c r="A147" s="78">
        <v>2016</v>
      </c>
      <c r="B147" s="78">
        <v>11</v>
      </c>
      <c r="C147" s="317">
        <f t="shared" si="80"/>
        <v>78.117279066674627</v>
      </c>
      <c r="D147" s="324">
        <f t="shared" si="79"/>
        <v>3.9729981188725644E-2</v>
      </c>
      <c r="E147" s="321">
        <f>$D147*'MWh Impact Summary'!B$22</f>
        <v>82178.389253914313</v>
      </c>
      <c r="F147" s="319">
        <f>$D147*'MWh Impact Summary'!N$22</f>
        <v>7290.0658645353069</v>
      </c>
      <c r="G147" s="319">
        <f>$D147*'MWh Impact Summary'!C$22</f>
        <v>66112.34883772512</v>
      </c>
      <c r="H147" s="319">
        <f>$D147*'MWh Impact Summary'!D$22</f>
        <v>228.23275816802223</v>
      </c>
      <c r="I147" s="319">
        <f>$D147*'MWh Impact Summary'!E$22</f>
        <v>25992.941469008769</v>
      </c>
      <c r="J147" s="104">
        <f t="shared" si="72"/>
        <v>181801.97818335154</v>
      </c>
      <c r="K147" s="298">
        <f t="shared" si="81"/>
        <v>13.15</v>
      </c>
      <c r="L147" s="300">
        <f t="shared" si="61"/>
        <v>9.2573037662794788E-2</v>
      </c>
      <c r="M147" s="297">
        <f t="shared" si="73"/>
        <v>8.3333333333333329E-2</v>
      </c>
      <c r="N147" s="302">
        <f>$L147*'MWh Impact Summary'!F$22</f>
        <v>100213.95356222565</v>
      </c>
      <c r="O147" s="302">
        <f>$L147*'MWh Impact Summary'!G$22</f>
        <v>1974.6142802020688</v>
      </c>
      <c r="P147" s="304">
        <f>$M147*'MWh Impact Summary'!H$22</f>
        <v>4879.6261297688152</v>
      </c>
      <c r="Q147" s="304">
        <f>$M147*'MWh Impact Summary'!I$22</f>
        <v>1115.0582743751593</v>
      </c>
      <c r="R147" s="304">
        <f>$M147*'MWh Impact Summary'!J$22</f>
        <v>25966.166648025377</v>
      </c>
      <c r="S147" s="304">
        <f>$M147*'MWh Impact Summary'!K$22</f>
        <v>6567.7947698924227</v>
      </c>
      <c r="T147" s="304">
        <f>$M147*'MWh Impact Summary'!L$22</f>
        <v>2385.5531024219808</v>
      </c>
      <c r="U147" s="304">
        <f>$M147*'MWh Impact Summary'!M$22</f>
        <v>7241.0717269323013</v>
      </c>
      <c r="V147" s="302">
        <f>$L147*'MWh Impact Summary'!O$22</f>
        <v>11631.670944378302</v>
      </c>
      <c r="W147" s="302">
        <f>$L147*'MWh Impact Summary'!P$22</f>
        <v>332463.2383014455</v>
      </c>
      <c r="X147" s="302">
        <f>$L147*'MWh Impact Summary'!Q$22</f>
        <v>113039.78283226943</v>
      </c>
      <c r="Y147" s="85">
        <f t="shared" si="64"/>
        <v>607478.53057193698</v>
      </c>
      <c r="Z147" s="81">
        <f t="shared" si="65"/>
        <v>789280.50875528855</v>
      </c>
      <c r="AA147" s="81"/>
      <c r="AB147" s="262">
        <f>+'MWh by mo-WgtbyActulCDH&amp;Days'!AB147</f>
        <v>4878687.6758089541</v>
      </c>
      <c r="AC147" s="308">
        <f t="shared" si="78"/>
        <v>161.78131522313836</v>
      </c>
      <c r="AD147" s="309">
        <f t="shared" si="66"/>
        <v>37.26452486081849</v>
      </c>
      <c r="AE147" s="107">
        <f t="shared" si="67"/>
        <v>2.8338041719253603E-3</v>
      </c>
      <c r="AF147" s="309">
        <f t="shared" si="75"/>
        <v>124.51679036231984</v>
      </c>
      <c r="AG147" s="107">
        <f t="shared" si="68"/>
        <v>9.4689574420015084E-3</v>
      </c>
      <c r="AH147" s="119">
        <f t="shared" si="76"/>
        <v>1.2302761613926868E-2</v>
      </c>
      <c r="AI147" s="122">
        <f t="shared" si="69"/>
        <v>1.2302761613926872E-2</v>
      </c>
      <c r="AJ147" s="87" t="b">
        <f t="shared" si="77"/>
        <v>1</v>
      </c>
      <c r="AK147" s="88">
        <f t="shared" si="51"/>
        <v>1.3342933785290469E-3</v>
      </c>
      <c r="AM147" s="89">
        <f t="shared" si="70"/>
        <v>332463.2383014455</v>
      </c>
      <c r="AN147" s="93"/>
      <c r="AO147" s="96">
        <f t="shared" si="59"/>
        <v>68.146038523836935</v>
      </c>
      <c r="AP147" s="92">
        <f t="shared" si="58"/>
        <v>5.182208252763265E-3</v>
      </c>
      <c r="AR147" s="94">
        <f t="shared" si="71"/>
        <v>1.2302761613926872E-2</v>
      </c>
      <c r="AS147" s="95">
        <v>753485.54449138115</v>
      </c>
      <c r="AU147" s="141">
        <v>161.78131522313836</v>
      </c>
    </row>
    <row r="148" spans="1:47">
      <c r="A148" s="78">
        <v>2016</v>
      </c>
      <c r="B148" s="78">
        <v>12</v>
      </c>
      <c r="C148" s="317">
        <f t="shared" si="80"/>
        <v>42.633806123140985</v>
      </c>
      <c r="D148" s="324">
        <f t="shared" si="79"/>
        <v>2.1683298951445065E-2</v>
      </c>
      <c r="E148" s="321">
        <f>$D148*'MWh Impact Summary'!B$22</f>
        <v>44850.224647136303</v>
      </c>
      <c r="F148" s="319">
        <f>$D148*'MWh Impact Summary'!N$22</f>
        <v>3978.6748643440305</v>
      </c>
      <c r="G148" s="319">
        <f>$D148*'MWh Impact Summary'!C$22</f>
        <v>36081.915504088276</v>
      </c>
      <c r="H148" s="319">
        <f>$D148*'MWh Impact Summary'!D$22</f>
        <v>124.56182907215788</v>
      </c>
      <c r="I148" s="319">
        <f>$D148*'MWh Impact Summary'!E$22</f>
        <v>14186.080728874589</v>
      </c>
      <c r="J148" s="104">
        <f t="shared" si="72"/>
        <v>99221.457573515348</v>
      </c>
      <c r="K148" s="298">
        <f t="shared" si="81"/>
        <v>13.483333333333333</v>
      </c>
      <c r="L148" s="300">
        <f t="shared" si="61"/>
        <v>9.491962923853102E-2</v>
      </c>
      <c r="M148" s="297">
        <f t="shared" si="73"/>
        <v>8.3333333333333329E-2</v>
      </c>
      <c r="N148" s="302">
        <f>$L148*'MWh Impact Summary'!F$22</f>
        <v>102754.23121906279</v>
      </c>
      <c r="O148" s="302">
        <f>$L148*'MWh Impact Summary'!G$22</f>
        <v>2024.6678741235405</v>
      </c>
      <c r="P148" s="304">
        <f>$M148*'MWh Impact Summary'!H$22</f>
        <v>4879.6261297688152</v>
      </c>
      <c r="Q148" s="304">
        <f>$M148*'MWh Impact Summary'!I$22</f>
        <v>1115.0582743751593</v>
      </c>
      <c r="R148" s="304">
        <f>$M148*'MWh Impact Summary'!J$22</f>
        <v>25966.166648025377</v>
      </c>
      <c r="S148" s="304">
        <f>$M148*'MWh Impact Summary'!K$22</f>
        <v>6567.7947698924227</v>
      </c>
      <c r="T148" s="304">
        <f>$M148*'MWh Impact Summary'!L$22</f>
        <v>2385.5531024219808</v>
      </c>
      <c r="U148" s="304">
        <f>$M148*'MWh Impact Summary'!M$22</f>
        <v>7241.0717269323013</v>
      </c>
      <c r="V148" s="302">
        <f>$L148*'MWh Impact Summary'!O$22</f>
        <v>11926.516849178764</v>
      </c>
      <c r="W148" s="302">
        <f>$L148*'MWh Impact Summary'!P$22</f>
        <v>340890.69681352266</v>
      </c>
      <c r="X148" s="302">
        <f>$L148*'MWh Impact Summary'!Q$22</f>
        <v>115905.17656692769</v>
      </c>
      <c r="Y148" s="85">
        <f t="shared" si="64"/>
        <v>621656.55997423152</v>
      </c>
      <c r="Z148" s="81">
        <f t="shared" si="65"/>
        <v>720878.01754774689</v>
      </c>
      <c r="AA148" s="81">
        <f>SUM(Z137:Z148)</f>
        <v>11195769.673743742</v>
      </c>
      <c r="AB148" s="262">
        <f>+'MWh by mo-WgtbyActulCDH&amp;Days'!AB148</f>
        <v>4884563.5171767101</v>
      </c>
      <c r="AC148" s="308">
        <f t="shared" si="78"/>
        <v>147.58289354059136</v>
      </c>
      <c r="AD148" s="309">
        <f t="shared" si="66"/>
        <v>20.313270003471182</v>
      </c>
      <c r="AE148" s="107">
        <f t="shared" si="67"/>
        <v>1.5065466009990989E-3</v>
      </c>
      <c r="AF148" s="309">
        <f t="shared" si="75"/>
        <v>127.26962353712017</v>
      </c>
      <c r="AG148" s="107">
        <f t="shared" si="68"/>
        <v>9.4390326479940785E-3</v>
      </c>
      <c r="AH148" s="119">
        <f t="shared" si="76"/>
        <v>1.0945579248993177E-2</v>
      </c>
      <c r="AI148" s="122">
        <f t="shared" si="69"/>
        <v>1.0945579248993179E-2</v>
      </c>
      <c r="AJ148" s="87" t="b">
        <f t="shared" si="77"/>
        <v>1</v>
      </c>
      <c r="AK148" s="88">
        <f t="shared" si="51"/>
        <v>1.1905239261721275E-3</v>
      </c>
      <c r="AM148" s="89">
        <f t="shared" si="70"/>
        <v>340890.69681352266</v>
      </c>
      <c r="AN148" s="90">
        <f>SUM(AM137:AM148)</f>
        <v>3591361.4449216984</v>
      </c>
      <c r="AO148" s="96">
        <f t="shared" si="59"/>
        <v>69.789387652503763</v>
      </c>
      <c r="AP148" s="92">
        <f t="shared" si="58"/>
        <v>5.1759743623612181E-3</v>
      </c>
      <c r="AR148" s="94">
        <f t="shared" si="71"/>
        <v>1.0945579248993179E-2</v>
      </c>
      <c r="AS148" s="95">
        <v>622720.01777752733</v>
      </c>
      <c r="AU148" s="141">
        <v>147.58289354059136</v>
      </c>
    </row>
    <row r="149" spans="1:47">
      <c r="A149" s="78">
        <v>2017</v>
      </c>
      <c r="B149" s="78">
        <v>1</v>
      </c>
      <c r="C149" s="317">
        <f t="shared" si="80"/>
        <v>26.112829868525239</v>
      </c>
      <c r="D149" s="324">
        <f t="shared" si="79"/>
        <v>1.3280829182176284E-2</v>
      </c>
      <c r="E149" s="321">
        <f>$D149*'MWh Impact Summary'!B$23</f>
        <v>30957.787989516721</v>
      </c>
      <c r="F149" s="319">
        <f>$D149*'MWh Impact Summary'!N$23</f>
        <v>3018.7763612055201</v>
      </c>
      <c r="G149" s="319">
        <f>$D149*'MWh Impact Summary'!C$23</f>
        <v>24294.878037527571</v>
      </c>
      <c r="H149" s="319">
        <f>$D149*'MWh Impact Summary'!D$23</f>
        <v>87.700181019450525</v>
      </c>
      <c r="I149" s="319">
        <f>$D149*'MWh Impact Summary'!E$23</f>
        <v>9469.8056842779806</v>
      </c>
      <c r="J149" s="104">
        <f t="shared" si="72"/>
        <v>67828.948253547234</v>
      </c>
      <c r="K149" s="298">
        <f t="shared" si="81"/>
        <v>13.3</v>
      </c>
      <c r="L149" s="300">
        <f t="shared" si="61"/>
        <v>9.3629003871876101E-2</v>
      </c>
      <c r="M149" s="297">
        <f t="shared" si="73"/>
        <v>8.3333333333333329E-2</v>
      </c>
      <c r="N149" s="302">
        <f>$L149*'MWh Impact Summary'!F$23</f>
        <v>113631.63322328901</v>
      </c>
      <c r="O149" s="302">
        <f>$L149*'MWh Impact Summary'!G$23</f>
        <v>3767.9077146657428</v>
      </c>
      <c r="P149" s="304">
        <f>$M149*'MWh Impact Summary'!H$23</f>
        <v>6034.7819856529059</v>
      </c>
      <c r="Q149" s="304">
        <f>$M149*'MWh Impact Summary'!I$23</f>
        <v>1205.9137547031787</v>
      </c>
      <c r="R149" s="304">
        <f>$M149*'MWh Impact Summary'!J$23</f>
        <v>29825.095581139907</v>
      </c>
      <c r="S149" s="304">
        <f>$M149*'MWh Impact Summary'!K$23</f>
        <v>9812.3938276201261</v>
      </c>
      <c r="T149" s="304">
        <f>$M149*'MWh Impact Summary'!L$23</f>
        <v>3509.1226472497447</v>
      </c>
      <c r="U149" s="304">
        <f>$M149*'MWh Impact Summary'!M$23</f>
        <v>10818.280717969055</v>
      </c>
      <c r="V149" s="302">
        <f>$L149*'MWh Impact Summary'!O$23</f>
        <v>27064.48057394748</v>
      </c>
      <c r="W149" s="302">
        <f>$L149*'MWh Impact Summary'!P$23</f>
        <v>352603.73132959101</v>
      </c>
      <c r="X149" s="302">
        <f>$L149*'MWh Impact Summary'!Q$23</f>
        <v>134143.4623745016</v>
      </c>
      <c r="Y149" s="85">
        <f t="shared" si="64"/>
        <v>692416.80373032985</v>
      </c>
      <c r="Z149" s="81">
        <f t="shared" si="65"/>
        <v>760245.75198387704</v>
      </c>
      <c r="AA149" s="81"/>
      <c r="AB149" s="262">
        <f>+'MWh by mo-WgtbyActulCDH&amp;Days'!AB149</f>
        <v>4891015.7222528467</v>
      </c>
      <c r="AC149" s="308">
        <f t="shared" si="78"/>
        <v>155.43719242711836</v>
      </c>
      <c r="AD149" s="309">
        <f t="shared" si="66"/>
        <v>13.868069968563626</v>
      </c>
      <c r="AE149" s="107">
        <f t="shared" si="67"/>
        <v>1.0427120277115506E-3</v>
      </c>
      <c r="AF149" s="309">
        <f t="shared" si="75"/>
        <v>141.56912245855474</v>
      </c>
      <c r="AG149" s="107">
        <f t="shared" si="68"/>
        <v>1.0644294921695845E-2</v>
      </c>
      <c r="AH149" s="119">
        <f t="shared" si="76"/>
        <v>1.1687006949407396E-2</v>
      </c>
      <c r="AI149" s="122">
        <f t="shared" si="69"/>
        <v>1.1687006949407396E-2</v>
      </c>
      <c r="AJ149" s="87" t="b">
        <f t="shared" si="77"/>
        <v>1</v>
      </c>
      <c r="AK149" s="88">
        <f t="shared" si="51"/>
        <v>1.1645861251817474E-3</v>
      </c>
      <c r="AM149" s="89">
        <f t="shared" si="70"/>
        <v>352603.73132959101</v>
      </c>
      <c r="AN149" s="93"/>
      <c r="AO149" s="96">
        <f t="shared" si="59"/>
        <v>72.0921279654318</v>
      </c>
      <c r="AP149" s="92">
        <f t="shared" si="58"/>
        <v>5.4204607492805866E-3</v>
      </c>
      <c r="AR149" s="94">
        <f t="shared" si="71"/>
        <v>1.1687006949407396E-2</v>
      </c>
      <c r="AS149" s="95">
        <v>677896.61789944256</v>
      </c>
      <c r="AU149" s="141">
        <v>155.43719242711836</v>
      </c>
    </row>
    <row r="150" spans="1:47">
      <c r="A150" s="78">
        <v>2017</v>
      </c>
      <c r="B150" s="78">
        <v>2</v>
      </c>
      <c r="C150" s="317">
        <f t="shared" si="80"/>
        <v>35.042184420393127</v>
      </c>
      <c r="D150" s="324">
        <f t="shared" si="79"/>
        <v>1.7822245532205266E-2</v>
      </c>
      <c r="E150" s="321">
        <f>$D150*'MWh Impact Summary'!B$23</f>
        <v>41543.889399886924</v>
      </c>
      <c r="F150" s="319">
        <f>$D150*'MWh Impact Summary'!N$23</f>
        <v>4051.0553052234727</v>
      </c>
      <c r="G150" s="319">
        <f>$D150*'MWh Impact Summary'!C$23</f>
        <v>32602.578921871587</v>
      </c>
      <c r="H150" s="319">
        <f>$D150*'MWh Impact Summary'!D$23</f>
        <v>117.68950100232894</v>
      </c>
      <c r="I150" s="319">
        <f>$D150*'MWh Impact Summary'!E$23</f>
        <v>12708.031985983196</v>
      </c>
      <c r="J150" s="104">
        <f t="shared" si="72"/>
        <v>91023.24511396751</v>
      </c>
      <c r="K150" s="298">
        <f t="shared" si="81"/>
        <v>12.733333333333333</v>
      </c>
      <c r="L150" s="300">
        <f t="shared" si="61"/>
        <v>8.9639798193124468E-2</v>
      </c>
      <c r="M150" s="297">
        <f t="shared" si="73"/>
        <v>8.3333333333333329E-2</v>
      </c>
      <c r="N150" s="302">
        <f>$L150*'MWh Impact Summary'!F$23</f>
        <v>108790.18519121903</v>
      </c>
      <c r="O150" s="302">
        <f>$L150*'MWh Impact Summary'!G$23</f>
        <v>3607.3702932388805</v>
      </c>
      <c r="P150" s="304">
        <f>$M150*'MWh Impact Summary'!H$23</f>
        <v>6034.7819856529059</v>
      </c>
      <c r="Q150" s="304">
        <f>$M150*'MWh Impact Summary'!I$23</f>
        <v>1205.9137547031787</v>
      </c>
      <c r="R150" s="304">
        <f>$M150*'MWh Impact Summary'!J$23</f>
        <v>29825.095581139907</v>
      </c>
      <c r="S150" s="304">
        <f>$M150*'MWh Impact Summary'!K$23</f>
        <v>9812.3938276201261</v>
      </c>
      <c r="T150" s="304">
        <f>$M150*'MWh Impact Summary'!L$23</f>
        <v>3509.1226472497447</v>
      </c>
      <c r="U150" s="304">
        <f>$M150*'MWh Impact Summary'!M$23</f>
        <v>10818.280717969055</v>
      </c>
      <c r="V150" s="302">
        <f>$L150*'MWh Impact Summary'!O$23</f>
        <v>25911.357341473518</v>
      </c>
      <c r="W150" s="302">
        <f>$L150*'MWh Impact Summary'!P$23</f>
        <v>337580.51470652566</v>
      </c>
      <c r="X150" s="302">
        <f>$L150*'MWh Impact Summary'!Q$23</f>
        <v>128428.07675954787</v>
      </c>
      <c r="Y150" s="85">
        <f t="shared" si="64"/>
        <v>665523.09280633996</v>
      </c>
      <c r="Z150" s="81">
        <f t="shared" si="65"/>
        <v>756546.33792030741</v>
      </c>
      <c r="AA150" s="81"/>
      <c r="AB150" s="262">
        <f>+'MWh by mo-WgtbyActulCDH&amp;Days'!AB150</f>
        <v>4896910.5000386564</v>
      </c>
      <c r="AC150" s="308">
        <f t="shared" si="78"/>
        <v>154.49462225505962</v>
      </c>
      <c r="AD150" s="309">
        <f t="shared" si="66"/>
        <v>18.587892327876723</v>
      </c>
      <c r="AE150" s="107">
        <f t="shared" si="67"/>
        <v>1.4597821199903186E-3</v>
      </c>
      <c r="AF150" s="309">
        <f t="shared" si="75"/>
        <v>135.90672992718294</v>
      </c>
      <c r="AG150" s="107">
        <f t="shared" si="68"/>
        <v>1.0673303397422744E-2</v>
      </c>
      <c r="AH150" s="119">
        <f t="shared" si="76"/>
        <v>1.2133085517413062E-2</v>
      </c>
      <c r="AI150" s="122">
        <f t="shared" si="69"/>
        <v>1.213308551741306E-2</v>
      </c>
      <c r="AJ150" s="87" t="b">
        <f t="shared" si="77"/>
        <v>1</v>
      </c>
      <c r="AK150" s="88">
        <f t="shared" ref="AK150:AK213" si="82">AI150-AI138</f>
        <v>1.2099116550086976E-3</v>
      </c>
      <c r="AM150" s="89">
        <f t="shared" si="70"/>
        <v>337580.51470652566</v>
      </c>
      <c r="AN150" s="93"/>
      <c r="AO150" s="96">
        <f t="shared" si="59"/>
        <v>68.937448357257253</v>
      </c>
      <c r="AP150" s="92">
        <f t="shared" si="58"/>
        <v>5.4139357348631355E-3</v>
      </c>
      <c r="AR150" s="94">
        <f t="shared" si="71"/>
        <v>1.213308551741306E-2</v>
      </c>
      <c r="AS150" s="95">
        <v>629113.27704088669</v>
      </c>
      <c r="AU150" s="141">
        <v>154.49462225505962</v>
      </c>
    </row>
    <row r="151" spans="1:47">
      <c r="A151" s="78">
        <v>2017</v>
      </c>
      <c r="B151" s="78">
        <v>3</v>
      </c>
      <c r="C151" s="317">
        <f t="shared" si="80"/>
        <v>64.582270600115152</v>
      </c>
      <c r="D151" s="324">
        <f t="shared" si="79"/>
        <v>3.2846156787895278E-2</v>
      </c>
      <c r="E151" s="321">
        <f>$D151*'MWh Impact Summary'!B$23</f>
        <v>76564.824692930866</v>
      </c>
      <c r="F151" s="319">
        <f>$D151*'MWh Impact Summary'!N$23</f>
        <v>7466.0399819629538</v>
      </c>
      <c r="G151" s="319">
        <f>$D151*'MWh Impact Summary'!C$23</f>
        <v>60086.110755372254</v>
      </c>
      <c r="H151" s="319">
        <f>$D151*'MWh Impact Summary'!D$23</f>
        <v>216.90015409261014</v>
      </c>
      <c r="I151" s="319">
        <f>$D151*'MWh Impact Summary'!E$23</f>
        <v>23420.730587676026</v>
      </c>
      <c r="J151" s="104">
        <f t="shared" si="72"/>
        <v>167754.60617203469</v>
      </c>
      <c r="K151" s="298">
        <f t="shared" si="81"/>
        <v>12</v>
      </c>
      <c r="L151" s="300">
        <f t="shared" si="61"/>
        <v>8.4477296726504739E-2</v>
      </c>
      <c r="M151" s="297">
        <f t="shared" si="73"/>
        <v>8.3333333333333329E-2</v>
      </c>
      <c r="N151" s="302">
        <f>$L151*'MWh Impact Summary'!F$23</f>
        <v>102524.7818555991</v>
      </c>
      <c r="O151" s="302">
        <f>$L151*'MWh Impact Summary'!G$23</f>
        <v>3399.6159831570603</v>
      </c>
      <c r="P151" s="304">
        <f>$M151*'MWh Impact Summary'!H$23</f>
        <v>6034.7819856529059</v>
      </c>
      <c r="Q151" s="304">
        <f>$M151*'MWh Impact Summary'!I$23</f>
        <v>1205.9137547031787</v>
      </c>
      <c r="R151" s="304">
        <f>$M151*'MWh Impact Summary'!J$23</f>
        <v>29825.095581139907</v>
      </c>
      <c r="S151" s="304">
        <f>$M151*'MWh Impact Summary'!K$23</f>
        <v>9812.3938276201261</v>
      </c>
      <c r="T151" s="304">
        <f>$M151*'MWh Impact Summary'!L$23</f>
        <v>3509.1226472497447</v>
      </c>
      <c r="U151" s="304">
        <f>$M151*'MWh Impact Summary'!M$23</f>
        <v>10818.280717969055</v>
      </c>
      <c r="V151" s="302">
        <f>$L151*'MWh Impact Summary'!O$23</f>
        <v>24419.080217095463</v>
      </c>
      <c r="W151" s="302">
        <f>$L151*'MWh Impact Summary'!P$23</f>
        <v>318138.70495902945</v>
      </c>
      <c r="X151" s="302">
        <f>$L151*'MWh Impact Summary'!Q$23</f>
        <v>121031.69537549015</v>
      </c>
      <c r="Y151" s="85">
        <f t="shared" si="64"/>
        <v>630719.46690470609</v>
      </c>
      <c r="Z151" s="81">
        <f t="shared" si="65"/>
        <v>798474.07307674084</v>
      </c>
      <c r="AA151" s="81"/>
      <c r="AB151" s="262">
        <f>+'MWh by mo-WgtbyActulCDH&amp;Days'!AB151</f>
        <v>4903267.7157294145</v>
      </c>
      <c r="AC151" s="308">
        <f t="shared" si="78"/>
        <v>162.84529407098856</v>
      </c>
      <c r="AD151" s="309">
        <f t="shared" si="66"/>
        <v>34.212818042524397</v>
      </c>
      <c r="AE151" s="107">
        <f t="shared" si="67"/>
        <v>2.8510681702103662E-3</v>
      </c>
      <c r="AF151" s="309">
        <f t="shared" si="75"/>
        <v>128.63247602846417</v>
      </c>
      <c r="AG151" s="107">
        <f t="shared" si="68"/>
        <v>1.0719373002372015E-2</v>
      </c>
      <c r="AH151" s="119">
        <f t="shared" si="76"/>
        <v>1.3570441172582381E-2</v>
      </c>
      <c r="AI151" s="122">
        <f t="shared" si="69"/>
        <v>1.357044117258238E-2</v>
      </c>
      <c r="AJ151" s="87" t="b">
        <f t="shared" si="77"/>
        <v>1</v>
      </c>
      <c r="AK151" s="88">
        <f t="shared" si="82"/>
        <v>1.3480018392721619E-3</v>
      </c>
      <c r="AM151" s="89">
        <f t="shared" si="70"/>
        <v>318138.70495902945</v>
      </c>
      <c r="AN151" s="93"/>
      <c r="AO151" s="96">
        <f t="shared" si="59"/>
        <v>64.882997095683336</v>
      </c>
      <c r="AP151" s="92">
        <f t="shared" si="58"/>
        <v>5.4069164246402781E-3</v>
      </c>
      <c r="AR151" s="94">
        <f t="shared" si="71"/>
        <v>1.357044117258238E-2</v>
      </c>
      <c r="AS151" s="95">
        <v>759520.3270257822</v>
      </c>
      <c r="AU151" s="141">
        <v>162.84529407098856</v>
      </c>
    </row>
    <row r="152" spans="1:47">
      <c r="A152" s="78">
        <v>2017</v>
      </c>
      <c r="B152" s="78">
        <v>4</v>
      </c>
      <c r="C152" s="317">
        <f t="shared" si="80"/>
        <v>114.03392869270741</v>
      </c>
      <c r="D152" s="324">
        <f t="shared" si="79"/>
        <v>5.7996974497419709E-2</v>
      </c>
      <c r="E152" s="321">
        <f>$D152*'MWh Impact Summary'!B$23</f>
        <v>135191.71249745056</v>
      </c>
      <c r="F152" s="319">
        <f>$D152*'MWh Impact Summary'!N$23</f>
        <v>13182.903961238982</v>
      </c>
      <c r="G152" s="319">
        <f>$D152*'MWh Impact Summary'!C$23</f>
        <v>106094.98869629433</v>
      </c>
      <c r="H152" s="319">
        <f>$D152*'MWh Impact Summary'!D$23</f>
        <v>382.98400591059192</v>
      </c>
      <c r="I152" s="319">
        <f>$D152*'MWh Impact Summary'!E$23</f>
        <v>41354.351541820783</v>
      </c>
      <c r="J152" s="104">
        <f t="shared" si="72"/>
        <v>296206.94070271525</v>
      </c>
      <c r="K152" s="298">
        <f t="shared" si="81"/>
        <v>11.2</v>
      </c>
      <c r="L152" s="300">
        <f t="shared" si="61"/>
        <v>7.8845476944737758E-2</v>
      </c>
      <c r="M152" s="297">
        <f t="shared" si="73"/>
        <v>8.3333333333333329E-2</v>
      </c>
      <c r="N152" s="302">
        <f>$L152*'MWh Impact Summary'!F$23</f>
        <v>95689.796398559163</v>
      </c>
      <c r="O152" s="302">
        <f>$L152*'MWh Impact Summary'!G$23</f>
        <v>3172.9749176132564</v>
      </c>
      <c r="P152" s="304">
        <f>$M152*'MWh Impact Summary'!H$23</f>
        <v>6034.7819856529059</v>
      </c>
      <c r="Q152" s="304">
        <f>$M152*'MWh Impact Summary'!I$23</f>
        <v>1205.9137547031787</v>
      </c>
      <c r="R152" s="304">
        <f>$M152*'MWh Impact Summary'!J$23</f>
        <v>29825.095581139907</v>
      </c>
      <c r="S152" s="304">
        <f>$M152*'MWh Impact Summary'!K$23</f>
        <v>9812.3938276201261</v>
      </c>
      <c r="T152" s="304">
        <f>$M152*'MWh Impact Summary'!L$23</f>
        <v>3509.1226472497447</v>
      </c>
      <c r="U152" s="304">
        <f>$M152*'MWh Impact Summary'!M$23</f>
        <v>10818.280717969055</v>
      </c>
      <c r="V152" s="302">
        <f>$L152*'MWh Impact Summary'!O$23</f>
        <v>22791.141535955769</v>
      </c>
      <c r="W152" s="302">
        <f>$L152*'MWh Impact Summary'!P$23</f>
        <v>296929.45796176081</v>
      </c>
      <c r="X152" s="302">
        <f>$L152*'MWh Impact Summary'!Q$23</f>
        <v>112962.91568379081</v>
      </c>
      <c r="Y152" s="85">
        <f t="shared" si="64"/>
        <v>592751.87501201476</v>
      </c>
      <c r="Z152" s="81">
        <f t="shared" si="65"/>
        <v>888958.81571472995</v>
      </c>
      <c r="AA152" s="81"/>
      <c r="AB152" s="262">
        <f>+'MWh by mo-WgtbyActulCDH&amp;Days'!AB152</f>
        <v>4909023.0862381933</v>
      </c>
      <c r="AC152" s="308">
        <f t="shared" si="78"/>
        <v>181.08670505274463</v>
      </c>
      <c r="AD152" s="309">
        <f t="shared" si="66"/>
        <v>60.339284517339678</v>
      </c>
      <c r="AE152" s="107">
        <f t="shared" si="67"/>
        <v>5.3874361176196144E-3</v>
      </c>
      <c r="AF152" s="309">
        <f t="shared" si="75"/>
        <v>120.74742053540498</v>
      </c>
      <c r="AG152" s="107">
        <f t="shared" si="68"/>
        <v>1.0781019690661161E-2</v>
      </c>
      <c r="AH152" s="119">
        <f t="shared" si="76"/>
        <v>1.6168455808280774E-2</v>
      </c>
      <c r="AI152" s="122">
        <f t="shared" si="69"/>
        <v>1.616845580828077E-2</v>
      </c>
      <c r="AJ152" s="87" t="b">
        <f t="shared" si="77"/>
        <v>1</v>
      </c>
      <c r="AK152" s="88">
        <f t="shared" si="82"/>
        <v>1.5927080725902688E-3</v>
      </c>
      <c r="AM152" s="89">
        <f t="shared" si="70"/>
        <v>296929.45796176081</v>
      </c>
      <c r="AN152" s="93"/>
      <c r="AO152" s="96">
        <f t="shared" si="59"/>
        <v>60.486465992421969</v>
      </c>
      <c r="AP152" s="92">
        <f t="shared" si="58"/>
        <v>5.4005773207519625E-3</v>
      </c>
      <c r="AR152" s="94">
        <f t="shared" si="71"/>
        <v>1.616845580828077E-2</v>
      </c>
      <c r="AS152" s="95">
        <v>888047.99240206345</v>
      </c>
      <c r="AU152" s="141">
        <v>181.08670505274463</v>
      </c>
    </row>
    <row r="153" spans="1:47">
      <c r="A153" s="78">
        <v>2017</v>
      </c>
      <c r="B153" s="78">
        <v>5</v>
      </c>
      <c r="C153" s="317">
        <f t="shared" si="80"/>
        <v>208.47875842628665</v>
      </c>
      <c r="D153" s="324">
        <f t="shared" si="79"/>
        <v>0.10603105035770212</v>
      </c>
      <c r="E153" s="321">
        <f>$D153*'MWh Impact Summary'!B$23</f>
        <v>247159.77686730729</v>
      </c>
      <c r="F153" s="319">
        <f>$D153*'MWh Impact Summary'!N$23</f>
        <v>24101.208138660222</v>
      </c>
      <c r="G153" s="319">
        <f>$D153*'MWh Impact Summary'!C$23</f>
        <v>193964.65396064939</v>
      </c>
      <c r="H153" s="319">
        <f>$D153*'MWh Impact Summary'!D$23</f>
        <v>700.17784149597537</v>
      </c>
      <c r="I153" s="319">
        <f>$D153*'MWh Impact Summary'!E$23</f>
        <v>75604.72539883951</v>
      </c>
      <c r="J153" s="104">
        <f t="shared" si="72"/>
        <v>541530.54220695235</v>
      </c>
      <c r="K153" s="298">
        <f t="shared" si="81"/>
        <v>10.533333333333333</v>
      </c>
      <c r="L153" s="300">
        <f t="shared" si="61"/>
        <v>7.4152293793265281E-2</v>
      </c>
      <c r="M153" s="297">
        <f t="shared" si="73"/>
        <v>8.3333333333333329E-2</v>
      </c>
      <c r="N153" s="302">
        <f>$L153*'MWh Impact Summary'!F$23</f>
        <v>89993.975184359224</v>
      </c>
      <c r="O153" s="302">
        <f>$L153*'MWh Impact Summary'!G$23</f>
        <v>2984.1073629934199</v>
      </c>
      <c r="P153" s="304">
        <f>$M153*'MWh Impact Summary'!H$23</f>
        <v>6034.7819856529059</v>
      </c>
      <c r="Q153" s="304">
        <f>$M153*'MWh Impact Summary'!I$23</f>
        <v>1205.9137547031787</v>
      </c>
      <c r="R153" s="304">
        <f>$M153*'MWh Impact Summary'!J$23</f>
        <v>29825.095581139907</v>
      </c>
      <c r="S153" s="304">
        <f>$M153*'MWh Impact Summary'!K$23</f>
        <v>9812.3938276201261</v>
      </c>
      <c r="T153" s="304">
        <f>$M153*'MWh Impact Summary'!L$23</f>
        <v>3509.1226472497447</v>
      </c>
      <c r="U153" s="304">
        <f>$M153*'MWh Impact Summary'!M$23</f>
        <v>10818.280717969055</v>
      </c>
      <c r="V153" s="302">
        <f>$L153*'MWh Impact Summary'!O$23</f>
        <v>21434.525968339356</v>
      </c>
      <c r="W153" s="302">
        <f>$L153*'MWh Impact Summary'!P$23</f>
        <v>279255.08546403702</v>
      </c>
      <c r="X153" s="302">
        <f>$L153*'MWh Impact Summary'!Q$23</f>
        <v>106238.93260737469</v>
      </c>
      <c r="Y153" s="85">
        <f t="shared" si="64"/>
        <v>561112.21510143869</v>
      </c>
      <c r="Z153" s="81">
        <f t="shared" si="65"/>
        <v>1102642.7573083909</v>
      </c>
      <c r="AA153" s="81"/>
      <c r="AB153" s="262">
        <f>+'MWh by mo-WgtbyActulCDH&amp;Days'!AB153</f>
        <v>4914208.6423511496</v>
      </c>
      <c r="AC153" s="308">
        <f t="shared" si="78"/>
        <v>224.37849866725304</v>
      </c>
      <c r="AD153" s="309">
        <f t="shared" si="66"/>
        <v>110.19689671699876</v>
      </c>
      <c r="AE153" s="107">
        <f t="shared" si="67"/>
        <v>1.0461730700980896E-2</v>
      </c>
      <c r="AF153" s="309">
        <f t="shared" si="75"/>
        <v>114.18160195025432</v>
      </c>
      <c r="AG153" s="107">
        <f t="shared" si="68"/>
        <v>1.0840025501606423E-2</v>
      </c>
      <c r="AH153" s="119">
        <f t="shared" si="76"/>
        <v>2.130175620258732E-2</v>
      </c>
      <c r="AI153" s="122">
        <f t="shared" si="69"/>
        <v>2.1301756202587313E-2</v>
      </c>
      <c r="AJ153" s="87" t="b">
        <f t="shared" si="77"/>
        <v>1</v>
      </c>
      <c r="AK153" s="88">
        <f t="shared" si="82"/>
        <v>2.0673496322144436E-3</v>
      </c>
      <c r="AM153" s="89">
        <f t="shared" si="70"/>
        <v>279255.08546403702</v>
      </c>
      <c r="AN153" s="93"/>
      <c r="AO153" s="96">
        <f t="shared" si="59"/>
        <v>56.826053956559413</v>
      </c>
      <c r="AP153" s="92">
        <f t="shared" si="58"/>
        <v>5.3948785401796914E-3</v>
      </c>
      <c r="AR153" s="94">
        <f t="shared" si="71"/>
        <v>2.1301756202587313E-2</v>
      </c>
      <c r="AS153" s="95">
        <v>1062138.4092348372</v>
      </c>
      <c r="AU153" s="141">
        <v>224.37849866725304</v>
      </c>
    </row>
    <row r="154" spans="1:47">
      <c r="A154" s="78">
        <v>2017</v>
      </c>
      <c r="B154" s="78">
        <v>6</v>
      </c>
      <c r="C154" s="317">
        <f t="shared" si="80"/>
        <v>271.66325293295364</v>
      </c>
      <c r="D154" s="324">
        <f t="shared" si="79"/>
        <v>0.13816630657965029</v>
      </c>
      <c r="E154" s="321">
        <f>$D154*'MWh Impact Summary'!B$23</f>
        <v>322067.48296467983</v>
      </c>
      <c r="F154" s="319">
        <f>$D154*'MWh Impact Summary'!N$23</f>
        <v>31405.658072727005</v>
      </c>
      <c r="G154" s="319">
        <f>$D154*'MWh Impact Summary'!C$23</f>
        <v>252750.30054246887</v>
      </c>
      <c r="H154" s="319">
        <f>$D154*'MWh Impact Summary'!D$23</f>
        <v>912.38355162991581</v>
      </c>
      <c r="I154" s="319">
        <f>$D154*'MWh Impact Summary'!E$23</f>
        <v>98518.553132181914</v>
      </c>
      <c r="J154" s="104">
        <f t="shared" si="72"/>
        <v>705654.3782636876</v>
      </c>
      <c r="K154" s="298">
        <f t="shared" si="81"/>
        <v>10.199999999999999</v>
      </c>
      <c r="L154" s="300">
        <f t="shared" si="61"/>
        <v>7.1805702217529022E-2</v>
      </c>
      <c r="M154" s="297">
        <f t="shared" si="73"/>
        <v>8.3333333333333329E-2</v>
      </c>
      <c r="N154" s="302">
        <f>$L154*'MWh Impact Summary'!F$23</f>
        <v>87146.064577259225</v>
      </c>
      <c r="O154" s="302">
        <f>$L154*'MWh Impact Summary'!G$23</f>
        <v>2889.6735856835012</v>
      </c>
      <c r="P154" s="304">
        <f>$M154*'MWh Impact Summary'!H$23</f>
        <v>6034.7819856529059</v>
      </c>
      <c r="Q154" s="304">
        <f>$M154*'MWh Impact Summary'!I$23</f>
        <v>1205.9137547031787</v>
      </c>
      <c r="R154" s="304">
        <f>$M154*'MWh Impact Summary'!J$23</f>
        <v>29825.095581139907</v>
      </c>
      <c r="S154" s="304">
        <f>$M154*'MWh Impact Summary'!K$23</f>
        <v>9812.3938276201261</v>
      </c>
      <c r="T154" s="304">
        <f>$M154*'MWh Impact Summary'!L$23</f>
        <v>3509.1226472497447</v>
      </c>
      <c r="U154" s="304">
        <f>$M154*'MWh Impact Summary'!M$23</f>
        <v>10818.280717969055</v>
      </c>
      <c r="V154" s="302">
        <f>$L154*'MWh Impact Summary'!O$23</f>
        <v>20756.218184531142</v>
      </c>
      <c r="W154" s="302">
        <f>$L154*'MWh Impact Summary'!P$23</f>
        <v>270417.89921517501</v>
      </c>
      <c r="X154" s="302">
        <f>$L154*'MWh Impact Summary'!Q$23</f>
        <v>102876.94106916661</v>
      </c>
      <c r="Y154" s="85">
        <f t="shared" si="64"/>
        <v>545292.38514615048</v>
      </c>
      <c r="Z154" s="81">
        <f t="shared" si="65"/>
        <v>1250946.7634098381</v>
      </c>
      <c r="AA154" s="81"/>
      <c r="AB154" s="262">
        <f>+'MWh by mo-WgtbyActulCDH&amp;Days'!AB154</f>
        <v>4919416.2556081917</v>
      </c>
      <c r="AC154" s="308">
        <f t="shared" si="78"/>
        <v>254.28764276325353</v>
      </c>
      <c r="AD154" s="309">
        <f t="shared" si="66"/>
        <v>143.44270571924736</v>
      </c>
      <c r="AE154" s="107">
        <f t="shared" si="67"/>
        <v>1.4063010364632096E-2</v>
      </c>
      <c r="AF154" s="309">
        <f t="shared" si="75"/>
        <v>110.84493704400614</v>
      </c>
      <c r="AG154" s="107">
        <f t="shared" si="68"/>
        <v>1.0867150690588839E-2</v>
      </c>
      <c r="AH154" s="119">
        <f t="shared" si="76"/>
        <v>2.4930161055220935E-2</v>
      </c>
      <c r="AI154" s="122">
        <f t="shared" si="69"/>
        <v>2.4930161055220935E-2</v>
      </c>
      <c r="AJ154" s="87" t="b">
        <f t="shared" si="77"/>
        <v>1</v>
      </c>
      <c r="AK154" s="88">
        <f t="shared" si="82"/>
        <v>2.4014104512145411E-3</v>
      </c>
      <c r="AM154" s="89">
        <f t="shared" si="70"/>
        <v>270417.89921517501</v>
      </c>
      <c r="AN154" s="93"/>
      <c r="AO154" s="96">
        <f t="shared" si="59"/>
        <v>54.969509625638096</v>
      </c>
      <c r="AP154" s="92">
        <f t="shared" si="58"/>
        <v>5.3891676103566769E-3</v>
      </c>
      <c r="AR154" s="94">
        <f t="shared" si="71"/>
        <v>2.4930161055220935E-2</v>
      </c>
      <c r="AS154" s="95">
        <v>1292227.9054156456</v>
      </c>
      <c r="AU154" s="141">
        <v>254.28764276325353</v>
      </c>
    </row>
    <row r="155" spans="1:47">
      <c r="A155" s="78">
        <v>2017</v>
      </c>
      <c r="B155" s="78">
        <v>7</v>
      </c>
      <c r="C155" s="317">
        <f t="shared" si="80"/>
        <v>322.31916585708109</v>
      </c>
      <c r="D155" s="324">
        <f t="shared" si="79"/>
        <v>0.16392960109808263</v>
      </c>
      <c r="E155" s="321">
        <f>$D155*'MWh Impact Summary'!B$23</f>
        <v>382122.06228895142</v>
      </c>
      <c r="F155" s="319">
        <f>$D155*'MWh Impact Summary'!N$23</f>
        <v>37261.740054671056</v>
      </c>
      <c r="G155" s="319">
        <f>$D155*'MWh Impact Summary'!C$23</f>
        <v>299879.59417198377</v>
      </c>
      <c r="H155" s="319">
        <f>$D155*'MWh Impact Summary'!D$23</f>
        <v>1082.5119044556757</v>
      </c>
      <c r="I155" s="319">
        <f>$D155*'MWh Impact Summary'!E$23</f>
        <v>116888.89654445968</v>
      </c>
      <c r="J155" s="104">
        <f t="shared" si="72"/>
        <v>837234.80496452167</v>
      </c>
      <c r="K155" s="298">
        <f t="shared" si="81"/>
        <v>10.366666666666667</v>
      </c>
      <c r="L155" s="300">
        <f t="shared" si="61"/>
        <v>7.2978998005397158E-2</v>
      </c>
      <c r="M155" s="297">
        <f t="shared" si="73"/>
        <v>8.3333333333333329E-2</v>
      </c>
      <c r="N155" s="302">
        <f>$L155*'MWh Impact Summary'!F$23</f>
        <v>88570.019880809225</v>
      </c>
      <c r="O155" s="302">
        <f>$L155*'MWh Impact Summary'!G$23</f>
        <v>2936.890474338461</v>
      </c>
      <c r="P155" s="304">
        <f>$M155*'MWh Impact Summary'!H$23</f>
        <v>6034.7819856529059</v>
      </c>
      <c r="Q155" s="304">
        <f>$M155*'MWh Impact Summary'!I$23</f>
        <v>1205.9137547031787</v>
      </c>
      <c r="R155" s="304">
        <f>$M155*'MWh Impact Summary'!J$23</f>
        <v>29825.095581139907</v>
      </c>
      <c r="S155" s="304">
        <f>$M155*'MWh Impact Summary'!K$23</f>
        <v>9812.3938276201261</v>
      </c>
      <c r="T155" s="304">
        <f>$M155*'MWh Impact Summary'!L$23</f>
        <v>3509.1226472497447</v>
      </c>
      <c r="U155" s="304">
        <f>$M155*'MWh Impact Summary'!M$23</f>
        <v>10818.280717969055</v>
      </c>
      <c r="V155" s="302">
        <f>$L155*'MWh Impact Summary'!O$23</f>
        <v>21095.372076435251</v>
      </c>
      <c r="W155" s="302">
        <f>$L155*'MWh Impact Summary'!P$23</f>
        <v>274836.49233960605</v>
      </c>
      <c r="X155" s="302">
        <f>$L155*'MWh Impact Summary'!Q$23</f>
        <v>104557.93683827066</v>
      </c>
      <c r="Y155" s="85">
        <f t="shared" si="64"/>
        <v>553202.30012379459</v>
      </c>
      <c r="Z155" s="81">
        <f t="shared" si="65"/>
        <v>1390437.1050883164</v>
      </c>
      <c r="AA155" s="81"/>
      <c r="AB155" s="262">
        <f>+'MWh by mo-WgtbyActulCDH&amp;Days'!AB155</f>
        <v>4925689.6397420345</v>
      </c>
      <c r="AC155" s="308">
        <f t="shared" si="78"/>
        <v>282.28272724895749</v>
      </c>
      <c r="AD155" s="309">
        <f t="shared" si="66"/>
        <v>169.97311365487673</v>
      </c>
      <c r="AE155" s="107">
        <f t="shared" si="67"/>
        <v>1.6396120288251773E-2</v>
      </c>
      <c r="AF155" s="309">
        <f t="shared" si="75"/>
        <v>112.30961359408072</v>
      </c>
      <c r="AG155" s="107">
        <f t="shared" si="68"/>
        <v>1.0833724783994924E-2</v>
      </c>
      <c r="AH155" s="119">
        <f t="shared" si="76"/>
        <v>2.7229845072246697E-2</v>
      </c>
      <c r="AI155" s="122">
        <f t="shared" si="69"/>
        <v>2.7229845072246701E-2</v>
      </c>
      <c r="AJ155" s="87" t="b">
        <f t="shared" si="77"/>
        <v>1</v>
      </c>
      <c r="AK155" s="88">
        <f t="shared" si="82"/>
        <v>2.6106188787871736E-3</v>
      </c>
      <c r="AM155" s="89">
        <f t="shared" si="70"/>
        <v>274836.49233960605</v>
      </c>
      <c r="AN155" s="93"/>
      <c r="AO155" s="96">
        <f t="shared" si="59"/>
        <v>55.796550826535558</v>
      </c>
      <c r="AP155" s="92">
        <f t="shared" si="58"/>
        <v>5.3823039382510183E-3</v>
      </c>
      <c r="AR155" s="94">
        <f t="shared" si="71"/>
        <v>2.7229845072246701E-2</v>
      </c>
      <c r="AS155" s="95">
        <v>1357227.0173592614</v>
      </c>
      <c r="AU155" s="141">
        <v>282.28272724895749</v>
      </c>
    </row>
    <row r="156" spans="1:47">
      <c r="A156" s="78">
        <v>2017</v>
      </c>
      <c r="B156" s="78">
        <v>8</v>
      </c>
      <c r="C156" s="317">
        <f t="shared" si="80"/>
        <v>326.45437890907908</v>
      </c>
      <c r="D156" s="324">
        <f t="shared" si="79"/>
        <v>0.16603274573816959</v>
      </c>
      <c r="E156" s="321">
        <f>$D156*'MWh Impact Summary'!B$23</f>
        <v>387024.52018416178</v>
      </c>
      <c r="F156" s="319">
        <f>$D156*'MWh Impact Summary'!N$23</f>
        <v>37739.791781457156</v>
      </c>
      <c r="G156" s="319">
        <f>$D156*'MWh Impact Summary'!C$23</f>
        <v>303726.91739444988</v>
      </c>
      <c r="H156" s="319">
        <f>$D156*'MWh Impact Summary'!D$23</f>
        <v>1096.4000557989104</v>
      </c>
      <c r="I156" s="319">
        <f>$D156*'MWh Impact Summary'!E$23</f>
        <v>118388.52964675748</v>
      </c>
      <c r="J156" s="104">
        <f t="shared" si="72"/>
        <v>847976.15906262526</v>
      </c>
      <c r="K156" s="298">
        <f t="shared" si="81"/>
        <v>10.933333333333334</v>
      </c>
      <c r="L156" s="300">
        <f>L144</f>
        <v>7.6968203684148764E-2</v>
      </c>
      <c r="M156" s="297">
        <f t="shared" si="73"/>
        <v>8.3333333333333329E-2</v>
      </c>
      <c r="N156" s="302">
        <f>$L156*'MWh Impact Summary'!F$23</f>
        <v>93411.467912879176</v>
      </c>
      <c r="O156" s="302">
        <f>$L156*'MWh Impact Summary'!G$23</f>
        <v>3097.4278957653219</v>
      </c>
      <c r="P156" s="304">
        <f>$M156*'MWh Impact Summary'!H$23</f>
        <v>6034.7819856529059</v>
      </c>
      <c r="Q156" s="304">
        <f>$M156*'MWh Impact Summary'!I$23</f>
        <v>1205.9137547031787</v>
      </c>
      <c r="R156" s="304">
        <f>$M156*'MWh Impact Summary'!J$23</f>
        <v>29825.095581139907</v>
      </c>
      <c r="S156" s="304">
        <f>$M156*'MWh Impact Summary'!K$23</f>
        <v>9812.3938276201261</v>
      </c>
      <c r="T156" s="304">
        <f>$M156*'MWh Impact Summary'!L$23</f>
        <v>3509.1226472497447</v>
      </c>
      <c r="U156" s="304">
        <f>$M156*'MWh Impact Summary'!M$23</f>
        <v>10818.280717969055</v>
      </c>
      <c r="V156" s="302">
        <f>$L156*'MWh Impact Summary'!O$23</f>
        <v>22248.495308909201</v>
      </c>
      <c r="W156" s="302">
        <f>$L156*'MWh Impact Summary'!P$23</f>
        <v>289859.70896267128</v>
      </c>
      <c r="X156" s="302">
        <f>$L156*'MWh Impact Summary'!Q$23</f>
        <v>110273.32245322436</v>
      </c>
      <c r="Y156" s="85">
        <f t="shared" si="64"/>
        <v>580096.01104778424</v>
      </c>
      <c r="Z156" s="81">
        <f t="shared" si="65"/>
        <v>1428072.1701104096</v>
      </c>
      <c r="AA156" s="81"/>
      <c r="AB156" s="262">
        <f>+'MWh by mo-WgtbyActulCDH&amp;Days'!AB156</f>
        <v>4932512.8426490845</v>
      </c>
      <c r="AC156" s="308">
        <f t="shared" si="78"/>
        <v>289.52224062399819</v>
      </c>
      <c r="AD156" s="309">
        <f t="shared" si="66"/>
        <v>171.91565153780851</v>
      </c>
      <c r="AE156" s="107">
        <f t="shared" si="67"/>
        <v>1.5723992518701997E-2</v>
      </c>
      <c r="AF156" s="309">
        <f t="shared" si="75"/>
        <v>117.60658908618967</v>
      </c>
      <c r="AG156" s="107">
        <f t="shared" si="68"/>
        <v>1.0756700221297835E-2</v>
      </c>
      <c r="AH156" s="119">
        <f t="shared" si="76"/>
        <v>2.6480692739999832E-2</v>
      </c>
      <c r="AI156" s="122">
        <f t="shared" si="69"/>
        <v>2.6480692739999836E-2</v>
      </c>
      <c r="AJ156" s="87" t="b">
        <f t="shared" si="77"/>
        <v>1</v>
      </c>
      <c r="AK156" s="88">
        <f t="shared" si="82"/>
        <v>2.5388372065585467E-3</v>
      </c>
      <c r="AM156" s="89">
        <f t="shared" si="70"/>
        <v>289859.70896267128</v>
      </c>
      <c r="AN156" s="93"/>
      <c r="AO156" s="96">
        <f t="shared" si="59"/>
        <v>58.765119972196061</v>
      </c>
      <c r="AP156" s="92">
        <f t="shared" si="58"/>
        <v>5.3748585340423231E-3</v>
      </c>
      <c r="AR156" s="94">
        <f t="shared" si="71"/>
        <v>2.6480692739999836E-2</v>
      </c>
      <c r="AS156" s="95">
        <v>1410892.9277387722</v>
      </c>
      <c r="AU156" s="141">
        <v>289.52224062399819</v>
      </c>
    </row>
    <row r="157" spans="1:47">
      <c r="A157" s="78">
        <v>2017</v>
      </c>
      <c r="B157" s="78">
        <v>9</v>
      </c>
      <c r="C157" s="317">
        <f t="shared" si="80"/>
        <v>277.87653293728147</v>
      </c>
      <c r="D157" s="324">
        <f t="shared" si="79"/>
        <v>0.14132634365008559</v>
      </c>
      <c r="E157" s="321">
        <f>$D157*'MWh Impact Summary'!B$23</f>
        <v>329433.57105478499</v>
      </c>
      <c r="F157" s="319">
        <f>$D157*'MWh Impact Summary'!N$23</f>
        <v>32123.944941559395</v>
      </c>
      <c r="G157" s="319">
        <f>$D157*'MWh Impact Summary'!C$23</f>
        <v>258531.01755698523</v>
      </c>
      <c r="H157" s="319">
        <f>$D157*'MWh Impact Summary'!D$23</f>
        <v>933.25091008350421</v>
      </c>
      <c r="I157" s="319">
        <f>$D157*'MWh Impact Summary'!E$23</f>
        <v>100771.79625440342</v>
      </c>
      <c r="J157" s="104">
        <f t="shared" si="72"/>
        <v>721793.5807178166</v>
      </c>
      <c r="K157" s="298">
        <f t="shared" si="81"/>
        <v>11.683333333333334</v>
      </c>
      <c r="L157" s="300">
        <f t="shared" si="61"/>
        <v>8.2248034729555317E-2</v>
      </c>
      <c r="M157" s="297">
        <f t="shared" si="73"/>
        <v>8.3333333333333329E-2</v>
      </c>
      <c r="N157" s="302">
        <f>$L157*'MWh Impact Summary'!F$23</f>
        <v>99819.266778854129</v>
      </c>
      <c r="O157" s="302">
        <f>$L157*'MWh Impact Summary'!G$23</f>
        <v>3309.9038947126382</v>
      </c>
      <c r="P157" s="304">
        <f>$M157*'MWh Impact Summary'!H$23</f>
        <v>6034.7819856529059</v>
      </c>
      <c r="Q157" s="304">
        <f>$M157*'MWh Impact Summary'!I$23</f>
        <v>1205.9137547031787</v>
      </c>
      <c r="R157" s="304">
        <f>$M157*'MWh Impact Summary'!J$23</f>
        <v>29825.095581139907</v>
      </c>
      <c r="S157" s="304">
        <f>$M157*'MWh Impact Summary'!K$23</f>
        <v>9812.3938276201261</v>
      </c>
      <c r="T157" s="304">
        <f>$M157*'MWh Impact Summary'!L$23</f>
        <v>3509.1226472497447</v>
      </c>
      <c r="U157" s="304">
        <f>$M157*'MWh Impact Summary'!M$23</f>
        <v>10818.280717969055</v>
      </c>
      <c r="V157" s="302">
        <f>$L157*'MWh Impact Summary'!O$23</f>
        <v>23774.68782247767</v>
      </c>
      <c r="W157" s="302">
        <f>$L157*'MWh Impact Summary'!P$23</f>
        <v>309743.37802261068</v>
      </c>
      <c r="X157" s="302">
        <f>$L157*'MWh Impact Summary'!Q$23</f>
        <v>117837.8034141925</v>
      </c>
      <c r="Y157" s="85">
        <f t="shared" si="64"/>
        <v>615690.62844718259</v>
      </c>
      <c r="Z157" s="81">
        <f t="shared" si="65"/>
        <v>1337484.2091649992</v>
      </c>
      <c r="AA157" s="81"/>
      <c r="AB157" s="262">
        <f>+'MWh by mo-WgtbyActulCDH&amp;Days'!AB157</f>
        <v>4937360.4766257806</v>
      </c>
      <c r="AC157" s="308">
        <f t="shared" si="78"/>
        <v>270.89053260276501</v>
      </c>
      <c r="AD157" s="309">
        <f t="shared" si="66"/>
        <v>146.19017269144067</v>
      </c>
      <c r="AE157" s="107">
        <f t="shared" si="67"/>
        <v>1.2512710929367246E-2</v>
      </c>
      <c r="AF157" s="309">
        <f t="shared" si="75"/>
        <v>124.7003599113243</v>
      </c>
      <c r="AG157" s="107">
        <f t="shared" si="68"/>
        <v>1.067335462864402E-2</v>
      </c>
      <c r="AH157" s="119">
        <f t="shared" si="76"/>
        <v>2.3186065558011268E-2</v>
      </c>
      <c r="AI157" s="122">
        <f t="shared" si="69"/>
        <v>2.3186065558011268E-2</v>
      </c>
      <c r="AJ157" s="87" t="b">
        <f t="shared" si="77"/>
        <v>1</v>
      </c>
      <c r="AK157" s="88">
        <f t="shared" si="82"/>
        <v>2.2290572580771217E-3</v>
      </c>
      <c r="AM157" s="89">
        <f t="shared" si="70"/>
        <v>309743.37802261068</v>
      </c>
      <c r="AN157" s="93"/>
      <c r="AO157" s="96">
        <f t="shared" si="59"/>
        <v>62.734608803425061</v>
      </c>
      <c r="AP157" s="92">
        <f t="shared" si="58"/>
        <v>5.3695813526469386E-3</v>
      </c>
      <c r="AR157" s="94">
        <f t="shared" si="71"/>
        <v>2.3186065558011268E-2</v>
      </c>
      <c r="AS157" s="95">
        <v>1334004.0496220316</v>
      </c>
      <c r="AU157" s="141">
        <v>270.89053260276501</v>
      </c>
    </row>
    <row r="158" spans="1:47">
      <c r="A158" s="78">
        <v>2017</v>
      </c>
      <c r="B158" s="78">
        <v>10</v>
      </c>
      <c r="C158" s="317">
        <f t="shared" si="80"/>
        <v>198.89039579254836</v>
      </c>
      <c r="D158" s="324">
        <f t="shared" si="79"/>
        <v>0.10115446643644242</v>
      </c>
      <c r="E158" s="321">
        <f>$D158*'MWh Impact Summary'!B$23</f>
        <v>235792.39542774681</v>
      </c>
      <c r="F158" s="319">
        <f>$D158*'MWh Impact Summary'!N$23</f>
        <v>22992.74449809999</v>
      </c>
      <c r="G158" s="319">
        <f>$D158*'MWh Impact Summary'!C$23</f>
        <v>185043.82454694269</v>
      </c>
      <c r="H158" s="319">
        <f>$D158*'MWh Impact Summary'!D$23</f>
        <v>667.9752367651663</v>
      </c>
      <c r="I158" s="319">
        <f>$D158*'MWh Impact Summary'!E$23</f>
        <v>72127.510120791922</v>
      </c>
      <c r="J158" s="104">
        <f t="shared" si="72"/>
        <v>516624.44983034657</v>
      </c>
      <c r="K158" s="298">
        <f t="shared" si="81"/>
        <v>12.466666666666667</v>
      </c>
      <c r="L158" s="300">
        <f t="shared" si="61"/>
        <v>8.7762524932535488E-2</v>
      </c>
      <c r="M158" s="297">
        <f t="shared" si="73"/>
        <v>8.3333333333333329E-2</v>
      </c>
      <c r="N158" s="302">
        <f>$L158*'MWh Impact Summary'!F$23</f>
        <v>106511.85670553907</v>
      </c>
      <c r="O158" s="302">
        <f>$L158*'MWh Impact Summary'!G$23</f>
        <v>3531.8232713909465</v>
      </c>
      <c r="P158" s="304">
        <f>$M158*'MWh Impact Summary'!H$23</f>
        <v>6034.7819856529059</v>
      </c>
      <c r="Q158" s="304">
        <f>$M158*'MWh Impact Summary'!I$23</f>
        <v>1205.9137547031787</v>
      </c>
      <c r="R158" s="304">
        <f>$M158*'MWh Impact Summary'!J$23</f>
        <v>29825.095581139907</v>
      </c>
      <c r="S158" s="304">
        <f>$M158*'MWh Impact Summary'!K$23</f>
        <v>9812.3938276201261</v>
      </c>
      <c r="T158" s="304">
        <f>$M158*'MWh Impact Summary'!L$23</f>
        <v>3509.1226472497447</v>
      </c>
      <c r="U158" s="304">
        <f>$M158*'MWh Impact Summary'!M$23</f>
        <v>10818.280717969055</v>
      </c>
      <c r="V158" s="302">
        <f>$L158*'MWh Impact Summary'!O$23</f>
        <v>25368.711114426958</v>
      </c>
      <c r="W158" s="302">
        <f>$L158*'MWh Impact Summary'!P$23</f>
        <v>330510.76570743619</v>
      </c>
      <c r="X158" s="302">
        <f>$L158*'MWh Impact Summary'!Q$23</f>
        <v>125738.48352898144</v>
      </c>
      <c r="Y158" s="85">
        <f t="shared" si="64"/>
        <v>652867.22884210956</v>
      </c>
      <c r="Z158" s="81">
        <f t="shared" si="65"/>
        <v>1169491.6786724562</v>
      </c>
      <c r="AA158" s="81"/>
      <c r="AB158" s="262">
        <f>+'MWh by mo-WgtbyActulCDH&amp;Days'!AB158</f>
        <v>4942855.5525092389</v>
      </c>
      <c r="AC158" s="308">
        <f t="shared" si="78"/>
        <v>236.60243886325267</v>
      </c>
      <c r="AD158" s="309">
        <f t="shared" si="66"/>
        <v>104.51943099330151</v>
      </c>
      <c r="AE158" s="107">
        <f t="shared" si="67"/>
        <v>8.3839115770027953E-3</v>
      </c>
      <c r="AF158" s="309">
        <f t="shared" si="75"/>
        <v>132.08300786995116</v>
      </c>
      <c r="AG158" s="107">
        <f t="shared" si="68"/>
        <v>1.0594893679407847E-2</v>
      </c>
      <c r="AH158" s="119">
        <f t="shared" si="76"/>
        <v>1.8978805256410644E-2</v>
      </c>
      <c r="AI158" s="122">
        <f t="shared" si="69"/>
        <v>1.8978805256410641E-2</v>
      </c>
      <c r="AJ158" s="87" t="b">
        <f t="shared" si="77"/>
        <v>1</v>
      </c>
      <c r="AK158" s="88">
        <f t="shared" si="82"/>
        <v>1.8381943941389069E-3</v>
      </c>
      <c r="AM158" s="89">
        <f t="shared" si="70"/>
        <v>330510.76570743619</v>
      </c>
      <c r="AN158" s="93"/>
      <c r="AO158" s="96">
        <f t="shared" si="59"/>
        <v>66.866361397037494</v>
      </c>
      <c r="AP158" s="92">
        <f t="shared" si="58"/>
        <v>5.363611876767713E-3</v>
      </c>
      <c r="AR158" s="94">
        <f t="shared" si="71"/>
        <v>1.8978805256410641E-2</v>
      </c>
      <c r="AS158" s="95">
        <v>1078209.4451565538</v>
      </c>
      <c r="AU158" s="141">
        <v>236.60243886325267</v>
      </c>
    </row>
    <row r="159" spans="1:47">
      <c r="A159" s="78">
        <v>2017</v>
      </c>
      <c r="B159" s="78">
        <v>11</v>
      </c>
      <c r="C159" s="317">
        <f t="shared" si="80"/>
        <v>78.117279066674627</v>
      </c>
      <c r="D159" s="324">
        <f t="shared" si="79"/>
        <v>3.9729981188725644E-2</v>
      </c>
      <c r="E159" s="321">
        <f>$D159*'MWh Impact Summary'!B$23</f>
        <v>92611.110164622121</v>
      </c>
      <c r="F159" s="319">
        <f>$D159*'MWh Impact Summary'!N$23</f>
        <v>9030.7560166971034</v>
      </c>
      <c r="G159" s="319">
        <f>$D159*'MWh Impact Summary'!C$23</f>
        <v>72678.824053302407</v>
      </c>
      <c r="H159" s="319">
        <f>$D159*'MWh Impact Summary'!D$23</f>
        <v>262.35760541418529</v>
      </c>
      <c r="I159" s="319">
        <f>$D159*'MWh Impact Summary'!E$23</f>
        <v>28329.195153129658</v>
      </c>
      <c r="J159" s="104">
        <f t="shared" si="72"/>
        <v>202912.24299316548</v>
      </c>
      <c r="K159" s="298">
        <f t="shared" si="81"/>
        <v>13.15</v>
      </c>
      <c r="L159" s="300">
        <f t="shared" si="61"/>
        <v>9.2573037662794788E-2</v>
      </c>
      <c r="M159" s="297">
        <f t="shared" si="73"/>
        <v>8.3333333333333329E-2</v>
      </c>
      <c r="N159" s="302">
        <f>$L159*'MWh Impact Summary'!F$23</f>
        <v>112350.07345009402</v>
      </c>
      <c r="O159" s="302">
        <f>$L159*'MWh Impact Summary'!G$23</f>
        <v>3725.4125148762791</v>
      </c>
      <c r="P159" s="304">
        <f>$M159*'MWh Impact Summary'!H$23</f>
        <v>6034.7819856529059</v>
      </c>
      <c r="Q159" s="304">
        <f>$M159*'MWh Impact Summary'!I$23</f>
        <v>1205.9137547031787</v>
      </c>
      <c r="R159" s="304">
        <f>$M159*'MWh Impact Summary'!J$23</f>
        <v>29825.095581139907</v>
      </c>
      <c r="S159" s="304">
        <f>$M159*'MWh Impact Summary'!K$23</f>
        <v>9812.3938276201261</v>
      </c>
      <c r="T159" s="304">
        <f>$M159*'MWh Impact Summary'!L$23</f>
        <v>3509.1226472497447</v>
      </c>
      <c r="U159" s="304">
        <f>$M159*'MWh Impact Summary'!M$23</f>
        <v>10818.280717969055</v>
      </c>
      <c r="V159" s="302">
        <f>$L159*'MWh Impact Summary'!O$23</f>
        <v>26759.242071233784</v>
      </c>
      <c r="W159" s="302">
        <f>$L159*'MWh Impact Summary'!P$23</f>
        <v>348626.99751760316</v>
      </c>
      <c r="X159" s="302">
        <f>$L159*'MWh Impact Summary'!Q$23</f>
        <v>132630.56618230796</v>
      </c>
      <c r="Y159" s="85">
        <f t="shared" si="64"/>
        <v>685297.88025045022</v>
      </c>
      <c r="Z159" s="81">
        <f t="shared" si="65"/>
        <v>888210.12324361573</v>
      </c>
      <c r="AA159" s="81"/>
      <c r="AB159" s="262">
        <f>+'MWh by mo-WgtbyActulCDH&amp;Days'!AB159</f>
        <v>4948496.4210517863</v>
      </c>
      <c r="AC159" s="308">
        <f t="shared" si="78"/>
        <v>179.49090949424789</v>
      </c>
      <c r="AD159" s="309">
        <f t="shared" si="66"/>
        <v>41.00482767451151</v>
      </c>
      <c r="AE159" s="107">
        <f t="shared" si="67"/>
        <v>3.1182378459704571E-3</v>
      </c>
      <c r="AF159" s="309">
        <f t="shared" si="75"/>
        <v>138.48608181973637</v>
      </c>
      <c r="AG159" s="107">
        <f t="shared" si="68"/>
        <v>1.0531260974884894E-2</v>
      </c>
      <c r="AH159" s="119">
        <f t="shared" si="76"/>
        <v>1.3649498820855352E-2</v>
      </c>
      <c r="AI159" s="122">
        <f t="shared" si="69"/>
        <v>1.3649498820855354E-2</v>
      </c>
      <c r="AJ159" s="87" t="b">
        <f t="shared" si="77"/>
        <v>1</v>
      </c>
      <c r="AK159" s="88">
        <f t="shared" si="82"/>
        <v>1.3467372069284819E-3</v>
      </c>
      <c r="AM159" s="89">
        <f t="shared" si="70"/>
        <v>348626.99751760316</v>
      </c>
      <c r="AN159" s="93"/>
      <c r="AO159" s="96">
        <f t="shared" si="59"/>
        <v>70.451096222780265</v>
      </c>
      <c r="AP159" s="92">
        <f t="shared" si="58"/>
        <v>5.357497811618271E-3</v>
      </c>
      <c r="AR159" s="94">
        <f t="shared" si="71"/>
        <v>1.3649498820855354E-2</v>
      </c>
      <c r="AS159" s="95">
        <v>837522.03634758166</v>
      </c>
      <c r="AU159" s="141">
        <v>179.49090949424789</v>
      </c>
    </row>
    <row r="160" spans="1:47">
      <c r="A160" s="78">
        <v>2017</v>
      </c>
      <c r="B160" s="78">
        <v>12</v>
      </c>
      <c r="C160" s="317">
        <f t="shared" si="80"/>
        <v>42.633806123140985</v>
      </c>
      <c r="D160" s="324">
        <f t="shared" si="79"/>
        <v>2.1683298951445065E-2</v>
      </c>
      <c r="E160" s="321">
        <f>$D160*'MWh Impact Summary'!B$23</f>
        <v>50544.055845024304</v>
      </c>
      <c r="F160" s="319">
        <f>$D160*'MWh Impact Summary'!N$23</f>
        <v>4928.6855067319357</v>
      </c>
      <c r="G160" s="319">
        <f>$D160*'MWh Impact Summary'!C$23</f>
        <v>39665.678720090546</v>
      </c>
      <c r="H160" s="319">
        <f>$D160*'MWh Impact Summary'!D$23</f>
        <v>143.18603281884697</v>
      </c>
      <c r="I160" s="319">
        <f>$D160*'MWh Impact Summary'!E$23</f>
        <v>15461.13008816257</v>
      </c>
      <c r="J160" s="104">
        <f t="shared" si="72"/>
        <v>110742.73619282819</v>
      </c>
      <c r="K160" s="298">
        <f t="shared" si="81"/>
        <v>13.483333333333333</v>
      </c>
      <c r="L160" s="300">
        <f t="shared" si="61"/>
        <v>9.491962923853102E-2</v>
      </c>
      <c r="M160" s="297">
        <f t="shared" si="73"/>
        <v>8.3333333333333329E-2</v>
      </c>
      <c r="N160" s="302">
        <f>$L160*'MWh Impact Summary'!F$23</f>
        <v>115197.98405719399</v>
      </c>
      <c r="O160" s="302">
        <f>$L160*'MWh Impact Summary'!G$23</f>
        <v>3819.8462921861969</v>
      </c>
      <c r="P160" s="304">
        <f>$M160*'MWh Impact Summary'!H$23</f>
        <v>6034.7819856529059</v>
      </c>
      <c r="Q160" s="304">
        <f>$M160*'MWh Impact Summary'!I$23</f>
        <v>1205.9137547031787</v>
      </c>
      <c r="R160" s="304">
        <f>$M160*'MWh Impact Summary'!J$23</f>
        <v>29825.095581139907</v>
      </c>
      <c r="S160" s="304">
        <f>$M160*'MWh Impact Summary'!K$23</f>
        <v>9812.3938276201261</v>
      </c>
      <c r="T160" s="304">
        <f>$M160*'MWh Impact Summary'!L$23</f>
        <v>3509.1226472497447</v>
      </c>
      <c r="U160" s="304">
        <f>$M160*'MWh Impact Summary'!M$23</f>
        <v>10818.280717969055</v>
      </c>
      <c r="V160" s="302">
        <f>$L160*'MWh Impact Summary'!O$23</f>
        <v>27437.549855041987</v>
      </c>
      <c r="W160" s="302">
        <f>$L160*'MWh Impact Summary'!P$23</f>
        <v>357464.18376646505</v>
      </c>
      <c r="X160" s="302">
        <f>$L160*'MWh Impact Summary'!Q$23</f>
        <v>135992.55772051602</v>
      </c>
      <c r="Y160" s="85">
        <f t="shared" si="64"/>
        <v>701117.71020573808</v>
      </c>
      <c r="Z160" s="81">
        <f t="shared" si="65"/>
        <v>811860.44639856624</v>
      </c>
      <c r="AA160" s="81">
        <f>SUM(Z149:Z160)</f>
        <v>12583370.232092248</v>
      </c>
      <c r="AB160" s="262">
        <f>+'MWh by mo-WgtbyActulCDH&amp;Days'!AB160</f>
        <v>4954254.5070241485</v>
      </c>
      <c r="AC160" s="308">
        <f t="shared" si="78"/>
        <v>163.87136455091468</v>
      </c>
      <c r="AD160" s="309">
        <f t="shared" si="66"/>
        <v>22.353057566141789</v>
      </c>
      <c r="AE160" s="107">
        <f t="shared" si="67"/>
        <v>1.6578287440896259E-3</v>
      </c>
      <c r="AF160" s="309">
        <f t="shared" si="75"/>
        <v>141.51830698477289</v>
      </c>
      <c r="AG160" s="107">
        <f t="shared" si="68"/>
        <v>1.0495795326435568E-2</v>
      </c>
      <c r="AH160" s="119">
        <f t="shared" si="76"/>
        <v>1.2153624070525195E-2</v>
      </c>
      <c r="AI160" s="122">
        <f t="shared" si="69"/>
        <v>1.2153624070525193E-2</v>
      </c>
      <c r="AJ160" s="87" t="b">
        <f t="shared" si="77"/>
        <v>1</v>
      </c>
      <c r="AK160" s="88">
        <f t="shared" si="82"/>
        <v>1.2080448215320144E-3</v>
      </c>
      <c r="AM160" s="89">
        <f t="shared" si="70"/>
        <v>357464.18376646505</v>
      </c>
      <c r="AN160" s="90">
        <f>SUM(AM149:AM160)</f>
        <v>3765966.9199525113</v>
      </c>
      <c r="AO160" s="96">
        <f t="shared" si="59"/>
        <v>72.152971402589813</v>
      </c>
      <c r="AP160" s="92">
        <f t="shared" si="58"/>
        <v>5.3512710558163033E-3</v>
      </c>
      <c r="AR160" s="94">
        <f t="shared" si="71"/>
        <v>1.2153624070525193E-2</v>
      </c>
      <c r="AS160" s="95">
        <v>693785.17810445942</v>
      </c>
      <c r="AU160" s="141">
        <v>163.87136455091468</v>
      </c>
    </row>
    <row r="161" spans="1:47">
      <c r="A161" s="78">
        <v>2018</v>
      </c>
      <c r="B161" s="78">
        <v>1</v>
      </c>
      <c r="C161" s="317">
        <f t="shared" si="80"/>
        <v>26.112829868525239</v>
      </c>
      <c r="D161" s="324">
        <f t="shared" si="79"/>
        <v>1.3280829182176284E-2</v>
      </c>
      <c r="E161" s="321">
        <f>$D161*'MWh Impact Summary'!B$24</f>
        <v>34436.708096721777</v>
      </c>
      <c r="F161" s="319">
        <f>$D161*'MWh Impact Summary'!N$24</f>
        <v>3746.203134958469</v>
      </c>
      <c r="G161" s="319">
        <f>$D161*'MWh Impact Summary'!C$24</f>
        <v>26459.338190352402</v>
      </c>
      <c r="H161" s="319">
        <f>$D161*'MWh Impact Summary'!D$24</f>
        <v>98.953301802887808</v>
      </c>
      <c r="I161" s="319">
        <f>$D161*'MWh Impact Summary'!E$24</f>
        <v>10239.888238488184</v>
      </c>
      <c r="J161" s="104">
        <f t="shared" si="72"/>
        <v>74981.090962323724</v>
      </c>
      <c r="K161" s="298">
        <f t="shared" si="81"/>
        <v>13.3</v>
      </c>
      <c r="L161" s="300">
        <f t="shared" si="61"/>
        <v>9.3629003871876101E-2</v>
      </c>
      <c r="M161" s="297">
        <f t="shared" si="73"/>
        <v>8.3333333333333329E-2</v>
      </c>
      <c r="N161" s="302">
        <f>$L161*'MWh Impact Summary'!F$24</f>
        <v>125656.42259291024</v>
      </c>
      <c r="O161" s="302">
        <f>$L161*'MWh Impact Summary'!G$24</f>
        <v>6199.9413981308535</v>
      </c>
      <c r="P161" s="304">
        <f>$M161*'MWh Impact Summary'!H$24</f>
        <v>7178.8295623080285</v>
      </c>
      <c r="Q161" s="304">
        <f>$M161*'MWh Impact Summary'!I$24</f>
        <v>1296.7692350311981</v>
      </c>
      <c r="R161" s="304">
        <f>$M161*'MWh Impact Summary'!J$24</f>
        <v>34064.61412568362</v>
      </c>
      <c r="S161" s="304">
        <f>$M161*'MWh Impact Summary'!K$24</f>
        <v>13049.956431574017</v>
      </c>
      <c r="T161" s="304">
        <f>$M161*'MWh Impact Summary'!L$24</f>
        <v>4762.4738519084722</v>
      </c>
      <c r="U161" s="304">
        <f>$M161*'MWh Impact Summary'!M$24</f>
        <v>15170.867427480242</v>
      </c>
      <c r="V161" s="302">
        <f>$L161*'MWh Impact Summary'!O$24</f>
        <v>45089.330945597474</v>
      </c>
      <c r="W161" s="302">
        <f>$L161*'MWh Impact Summary'!P$24</f>
        <v>363101.03599023627</v>
      </c>
      <c r="X161" s="302">
        <f>$L161*'MWh Impact Summary'!Q$24</f>
        <v>135477.22140961234</v>
      </c>
      <c r="Y161" s="85">
        <f t="shared" si="64"/>
        <v>751047.46297047264</v>
      </c>
      <c r="Z161" s="81">
        <f t="shared" si="65"/>
        <v>826028.55393279635</v>
      </c>
      <c r="AA161" s="81"/>
      <c r="AB161" s="262">
        <f>+'MWh by mo-WgtbyActulCDH&amp;Days'!AB161</f>
        <v>4960404.0012794416</v>
      </c>
      <c r="AC161" s="308">
        <f t="shared" si="78"/>
        <v>166.52445117771416</v>
      </c>
      <c r="AD161" s="309">
        <f t="shared" si="66"/>
        <v>15.115924215645295</v>
      </c>
      <c r="AE161" s="107">
        <f t="shared" si="67"/>
        <v>1.1365356553116764E-3</v>
      </c>
      <c r="AF161" s="309">
        <f t="shared" si="75"/>
        <v>151.40852696206889</v>
      </c>
      <c r="AG161" s="107">
        <f t="shared" si="68"/>
        <v>1.1384099771584126E-2</v>
      </c>
      <c r="AH161" s="119">
        <f t="shared" si="76"/>
        <v>1.2520635426895802E-2</v>
      </c>
      <c r="AI161" s="122">
        <f t="shared" si="69"/>
        <v>1.25206354268958E-2</v>
      </c>
      <c r="AJ161" s="87" t="b">
        <f t="shared" si="77"/>
        <v>1</v>
      </c>
      <c r="AK161" s="88">
        <f t="shared" si="82"/>
        <v>8.3362847748840417E-4</v>
      </c>
      <c r="AM161" s="89">
        <f t="shared" si="70"/>
        <v>363101.03599023627</v>
      </c>
      <c r="AN161" s="93"/>
      <c r="AO161" s="96">
        <f t="shared" si="59"/>
        <v>73.199891762159154</v>
      </c>
      <c r="AP161" s="92">
        <f t="shared" si="58"/>
        <v>5.5037512603127187E-3</v>
      </c>
      <c r="AR161" s="94">
        <f t="shared" si="71"/>
        <v>1.25206354268958E-2</v>
      </c>
      <c r="AS161" s="95">
        <v>720512.05106462038</v>
      </c>
      <c r="AU161" s="141">
        <v>166.52445117771416</v>
      </c>
    </row>
    <row r="162" spans="1:47">
      <c r="A162" s="78">
        <v>2018</v>
      </c>
      <c r="B162" s="78">
        <v>2</v>
      </c>
      <c r="C162" s="317">
        <f t="shared" si="80"/>
        <v>35.042184420393127</v>
      </c>
      <c r="D162" s="324">
        <f t="shared" si="79"/>
        <v>1.7822245532205266E-2</v>
      </c>
      <c r="E162" s="321">
        <f>$D162*'MWh Impact Summary'!B$24</f>
        <v>46212.435880459474</v>
      </c>
      <c r="F162" s="319">
        <f>$D162*'MWh Impact Summary'!N$24</f>
        <v>5027.2276805088959</v>
      </c>
      <c r="G162" s="319">
        <f>$D162*'MWh Impact Summary'!C$24</f>
        <v>35507.182223304713</v>
      </c>
      <c r="H162" s="319">
        <f>$D162*'MWh Impact Summary'!D$24</f>
        <v>132.7906576285387</v>
      </c>
      <c r="I162" s="319">
        <f>$D162*'MWh Impact Summary'!E$24</f>
        <v>13741.446404084538</v>
      </c>
      <c r="J162" s="104">
        <f t="shared" si="72"/>
        <v>100621.08284598617</v>
      </c>
      <c r="K162" s="298">
        <f t="shared" si="81"/>
        <v>12.733333333333333</v>
      </c>
      <c r="L162" s="300">
        <f t="shared" si="61"/>
        <v>8.9639798193124468E-2</v>
      </c>
      <c r="M162" s="297">
        <f t="shared" si="73"/>
        <v>8.3333333333333329E-2</v>
      </c>
      <c r="N162" s="302">
        <f>$L162*'MWh Impact Summary'!F$24</f>
        <v>120302.64017667093</v>
      </c>
      <c r="O162" s="302">
        <f>$L162*'MWh Impact Summary'!G$24</f>
        <v>5935.7834939498389</v>
      </c>
      <c r="P162" s="304">
        <f>$M162*'MWh Impact Summary'!H$24</f>
        <v>7178.8295623080285</v>
      </c>
      <c r="Q162" s="304">
        <f>$M162*'MWh Impact Summary'!I$24</f>
        <v>1296.7692350311981</v>
      </c>
      <c r="R162" s="304">
        <f>$M162*'MWh Impact Summary'!J$24</f>
        <v>34064.61412568362</v>
      </c>
      <c r="S162" s="304">
        <f>$M162*'MWh Impact Summary'!K$24</f>
        <v>13049.956431574017</v>
      </c>
      <c r="T162" s="304">
        <f>$M162*'MWh Impact Summary'!L$24</f>
        <v>4762.4738519084722</v>
      </c>
      <c r="U162" s="304">
        <f>$M162*'MWh Impact Summary'!M$24</f>
        <v>15170.867427480242</v>
      </c>
      <c r="V162" s="302">
        <f>$L162*'MWh Impact Summary'!O$24</f>
        <v>43168.231632125891</v>
      </c>
      <c r="W162" s="302">
        <f>$L162*'MWh Impact Summary'!P$24</f>
        <v>347630.5657851384</v>
      </c>
      <c r="X162" s="302">
        <f>$L162*'MWh Impact Summary'!Q$24</f>
        <v>129705.00896860125</v>
      </c>
      <c r="Y162" s="85">
        <f t="shared" si="64"/>
        <v>722265.74069047184</v>
      </c>
      <c r="Z162" s="81">
        <f t="shared" si="65"/>
        <v>822886.82353645796</v>
      </c>
      <c r="AA162" s="81"/>
      <c r="AB162" s="262">
        <f>+'MWh by mo-WgtbyActulCDH&amp;Days'!AB162</f>
        <v>4966174.0780797284</v>
      </c>
      <c r="AC162" s="308">
        <f t="shared" si="78"/>
        <v>165.69834456037509</v>
      </c>
      <c r="AD162" s="309">
        <f t="shared" si="66"/>
        <v>20.261287917819697</v>
      </c>
      <c r="AE162" s="107">
        <f t="shared" si="67"/>
        <v>1.5912006218183009E-3</v>
      </c>
      <c r="AF162" s="309">
        <f t="shared" si="75"/>
        <v>145.4370566425554</v>
      </c>
      <c r="AG162" s="107">
        <f t="shared" si="68"/>
        <v>1.1421758375069797E-2</v>
      </c>
      <c r="AH162" s="119">
        <f t="shared" si="76"/>
        <v>1.3012958996888098E-2</v>
      </c>
      <c r="AI162" s="122">
        <f t="shared" si="69"/>
        <v>1.3012958996888096E-2</v>
      </c>
      <c r="AJ162" s="87" t="b">
        <f t="shared" si="77"/>
        <v>1</v>
      </c>
      <c r="AK162" s="88">
        <f t="shared" si="82"/>
        <v>8.7987347947503583E-4</v>
      </c>
      <c r="AM162" s="89">
        <f t="shared" si="70"/>
        <v>347630.5657851384</v>
      </c>
      <c r="AN162" s="93"/>
      <c r="AO162" s="96">
        <f t="shared" si="59"/>
        <v>69.999673857497328</v>
      </c>
      <c r="AP162" s="92">
        <f t="shared" si="58"/>
        <v>5.4973565856673299E-3</v>
      </c>
      <c r="AR162" s="94">
        <f t="shared" si="71"/>
        <v>1.3012958996888096E-2</v>
      </c>
      <c r="AS162" s="95">
        <v>669054.7350160582</v>
      </c>
      <c r="AU162" s="141">
        <v>165.69834456037509</v>
      </c>
    </row>
    <row r="163" spans="1:47">
      <c r="A163" s="78">
        <v>2018</v>
      </c>
      <c r="B163" s="78">
        <v>3</v>
      </c>
      <c r="C163" s="317">
        <f t="shared" si="80"/>
        <v>64.582270600115152</v>
      </c>
      <c r="D163" s="324">
        <f t="shared" si="79"/>
        <v>3.2846156787895278E-2</v>
      </c>
      <c r="E163" s="321">
        <f>$D163*'MWh Impact Summary'!B$24</f>
        <v>85168.892535861567</v>
      </c>
      <c r="F163" s="319">
        <f>$D163*'MWh Impact Summary'!N$24</f>
        <v>9265.1124295228055</v>
      </c>
      <c r="G163" s="319">
        <f>$D163*'MWh Impact Summary'!C$24</f>
        <v>65439.255243989661</v>
      </c>
      <c r="H163" s="319">
        <f>$D163*'MWh Impact Summary'!D$24</f>
        <v>244.73138093362394</v>
      </c>
      <c r="I163" s="319">
        <f>$D163*'MWh Impact Summary'!E$24</f>
        <v>25325.299343756233</v>
      </c>
      <c r="J163" s="104">
        <f t="shared" si="72"/>
        <v>185443.2909340639</v>
      </c>
      <c r="K163" s="298">
        <f t="shared" si="81"/>
        <v>12</v>
      </c>
      <c r="L163" s="300">
        <f t="shared" si="61"/>
        <v>8.4477296726504739E-2</v>
      </c>
      <c r="M163" s="297">
        <f t="shared" si="73"/>
        <v>8.3333333333333329E-2</v>
      </c>
      <c r="N163" s="302">
        <f>$L163*'MWh Impact Summary'!F$24</f>
        <v>113374.21587330246</v>
      </c>
      <c r="O163" s="302">
        <f>$L163*'MWh Impact Summary'!G$24</f>
        <v>5593.9320885391153</v>
      </c>
      <c r="P163" s="304">
        <f>$M163*'MWh Impact Summary'!H$24</f>
        <v>7178.8295623080285</v>
      </c>
      <c r="Q163" s="304">
        <f>$M163*'MWh Impact Summary'!I$24</f>
        <v>1296.7692350311981</v>
      </c>
      <c r="R163" s="304">
        <f>$M163*'MWh Impact Summary'!J$24</f>
        <v>34064.61412568362</v>
      </c>
      <c r="S163" s="304">
        <f>$M163*'MWh Impact Summary'!K$24</f>
        <v>13049.956431574017</v>
      </c>
      <c r="T163" s="304">
        <f>$M163*'MWh Impact Summary'!L$24</f>
        <v>4762.4738519084722</v>
      </c>
      <c r="U163" s="304">
        <f>$M163*'MWh Impact Summary'!M$24</f>
        <v>15170.867427480242</v>
      </c>
      <c r="V163" s="302">
        <f>$L163*'MWh Impact Summary'!O$24</f>
        <v>40682.103108809744</v>
      </c>
      <c r="W163" s="302">
        <f>$L163*'MWh Impact Summary'!P$24</f>
        <v>327609.95728442364</v>
      </c>
      <c r="X163" s="302">
        <f>$L163*'MWh Impact Summary'!Q$24</f>
        <v>122235.08698611637</v>
      </c>
      <c r="Y163" s="85">
        <f t="shared" si="64"/>
        <v>685018.80597517686</v>
      </c>
      <c r="Z163" s="81">
        <f t="shared" si="65"/>
        <v>870462.09690924082</v>
      </c>
      <c r="AA163" s="81"/>
      <c r="AB163" s="262">
        <f>+'MWh by mo-WgtbyActulCDH&amp;Days'!AB163</f>
        <v>4972258.3870254578</v>
      </c>
      <c r="AC163" s="308">
        <f t="shared" si="78"/>
        <v>175.06372942737903</v>
      </c>
      <c r="AD163" s="309">
        <f t="shared" si="66"/>
        <v>37.295586130028376</v>
      </c>
      <c r="AE163" s="107">
        <f t="shared" si="67"/>
        <v>3.1079655108356978E-3</v>
      </c>
      <c r="AF163" s="309">
        <f t="shared" si="75"/>
        <v>137.76814329735063</v>
      </c>
      <c r="AG163" s="107">
        <f t="shared" si="68"/>
        <v>1.1480678608112553E-2</v>
      </c>
      <c r="AH163" s="119">
        <f t="shared" si="76"/>
        <v>1.458864411894825E-2</v>
      </c>
      <c r="AI163" s="122">
        <f t="shared" si="69"/>
        <v>1.4588644118948252E-2</v>
      </c>
      <c r="AJ163" s="87" t="b">
        <f t="shared" si="77"/>
        <v>1</v>
      </c>
      <c r="AK163" s="88">
        <f t="shared" si="82"/>
        <v>1.0182029463658721E-3</v>
      </c>
      <c r="AM163" s="89">
        <f t="shared" si="70"/>
        <v>327609.95728442364</v>
      </c>
      <c r="AN163" s="93"/>
      <c r="AO163" s="96">
        <f t="shared" si="59"/>
        <v>65.887556877431095</v>
      </c>
      <c r="AP163" s="92">
        <f t="shared" si="58"/>
        <v>5.4906297397859247E-3</v>
      </c>
      <c r="AR163" s="94">
        <f t="shared" si="71"/>
        <v>1.4588644118948252E-2</v>
      </c>
      <c r="AS163" s="95">
        <v>809172.95227528678</v>
      </c>
      <c r="AU163" s="141">
        <v>175.06372942737903</v>
      </c>
    </row>
    <row r="164" spans="1:47">
      <c r="A164" s="78">
        <v>2018</v>
      </c>
      <c r="B164" s="78">
        <v>4</v>
      </c>
      <c r="C164" s="317">
        <f t="shared" si="80"/>
        <v>114.03392869270741</v>
      </c>
      <c r="D164" s="324">
        <f t="shared" si="79"/>
        <v>5.7996974497419709E-2</v>
      </c>
      <c r="E164" s="321">
        <f>$D164*'MWh Impact Summary'!B$24</f>
        <v>150384.05011195102</v>
      </c>
      <c r="F164" s="319">
        <f>$D164*'MWh Impact Summary'!N$24</f>
        <v>16359.554414865011</v>
      </c>
      <c r="G164" s="319">
        <f>$D164*'MWh Impact Summary'!C$24</f>
        <v>115547.1199271165</v>
      </c>
      <c r="H164" s="319">
        <f>$D164*'MWh Impact Summary'!D$24</f>
        <v>432.12603990115707</v>
      </c>
      <c r="I164" s="319">
        <f>$D164*'MWh Impact Summary'!E$24</f>
        <v>44717.278482962138</v>
      </c>
      <c r="J164" s="104">
        <f t="shared" si="72"/>
        <v>327440.12897679582</v>
      </c>
      <c r="K164" s="298">
        <f t="shared" si="81"/>
        <v>11.2</v>
      </c>
      <c r="L164" s="300">
        <f t="shared" si="61"/>
        <v>7.8845476944737758E-2</v>
      </c>
      <c r="M164" s="297">
        <f t="shared" si="73"/>
        <v>8.3333333333333329E-2</v>
      </c>
      <c r="N164" s="302">
        <f>$L164*'MWh Impact Summary'!F$24</f>
        <v>105815.93481508229</v>
      </c>
      <c r="O164" s="302">
        <f>$L164*'MWh Impact Summary'!G$24</f>
        <v>5221.0032826365077</v>
      </c>
      <c r="P164" s="304">
        <f>$M164*'MWh Impact Summary'!H$24</f>
        <v>7178.8295623080285</v>
      </c>
      <c r="Q164" s="304">
        <f>$M164*'MWh Impact Summary'!I$24</f>
        <v>1296.7692350311981</v>
      </c>
      <c r="R164" s="304">
        <f>$M164*'MWh Impact Summary'!J$24</f>
        <v>34064.61412568362</v>
      </c>
      <c r="S164" s="304">
        <f>$M164*'MWh Impact Summary'!K$24</f>
        <v>13049.956431574017</v>
      </c>
      <c r="T164" s="304">
        <f>$M164*'MWh Impact Summary'!L$24</f>
        <v>4762.4738519084722</v>
      </c>
      <c r="U164" s="304">
        <f>$M164*'MWh Impact Summary'!M$24</f>
        <v>15170.867427480242</v>
      </c>
      <c r="V164" s="302">
        <f>$L164*'MWh Impact Summary'!O$24</f>
        <v>37969.962901555758</v>
      </c>
      <c r="W164" s="302">
        <f>$L164*'MWh Impact Summary'!P$24</f>
        <v>305769.29346546205</v>
      </c>
      <c r="X164" s="302">
        <f>$L164*'MWh Impact Summary'!Q$24</f>
        <v>114086.08118704196</v>
      </c>
      <c r="Y164" s="85">
        <f t="shared" si="64"/>
        <v>644385.78628576407</v>
      </c>
      <c r="Z164" s="81">
        <f t="shared" si="65"/>
        <v>971825.91526255989</v>
      </c>
      <c r="AA164" s="81"/>
      <c r="AB164" s="262">
        <f>+'MWh by mo-WgtbyActulCDH&amp;Days'!AB164</f>
        <v>4977933.1022701599</v>
      </c>
      <c r="AC164" s="308">
        <f t="shared" si="78"/>
        <v>195.22679298750799</v>
      </c>
      <c r="AD164" s="309">
        <f t="shared" si="66"/>
        <v>65.778330533905418</v>
      </c>
      <c r="AE164" s="107">
        <f t="shared" si="67"/>
        <v>5.8730652262415561E-3</v>
      </c>
      <c r="AF164" s="309">
        <f t="shared" si="75"/>
        <v>129.44846245360256</v>
      </c>
      <c r="AG164" s="107">
        <f t="shared" si="68"/>
        <v>1.1557898433357373E-2</v>
      </c>
      <c r="AH164" s="119">
        <f t="shared" si="76"/>
        <v>1.7430963659598928E-2</v>
      </c>
      <c r="AI164" s="122">
        <f t="shared" si="69"/>
        <v>1.7430963659598932E-2</v>
      </c>
      <c r="AJ164" s="87" t="b">
        <f t="shared" si="77"/>
        <v>1</v>
      </c>
      <c r="AK164" s="88">
        <f t="shared" si="82"/>
        <v>1.2625078513181613E-3</v>
      </c>
      <c r="AM164" s="89">
        <f t="shared" si="70"/>
        <v>305769.29346546205</v>
      </c>
      <c r="AN164" s="93"/>
      <c r="AO164" s="96">
        <f t="shared" si="59"/>
        <v>61.424950312413316</v>
      </c>
      <c r="AP164" s="92">
        <f t="shared" si="58"/>
        <v>5.4843705636083316E-3</v>
      </c>
      <c r="AR164" s="94">
        <f t="shared" si="71"/>
        <v>1.7430963659598932E-2</v>
      </c>
      <c r="AS164" s="95">
        <v>948781.63662367896</v>
      </c>
      <c r="AU164" s="141">
        <v>195.22679298750799</v>
      </c>
    </row>
    <row r="165" spans="1:47">
      <c r="A165" s="78">
        <v>2018</v>
      </c>
      <c r="B165" s="78">
        <v>5</v>
      </c>
      <c r="C165" s="317">
        <f t="shared" si="80"/>
        <v>208.47875842628665</v>
      </c>
      <c r="D165" s="324">
        <f t="shared" si="79"/>
        <v>0.10603105035770212</v>
      </c>
      <c r="E165" s="321">
        <f>$D165*'MWh Impact Summary'!B$24</f>
        <v>274934.66561992624</v>
      </c>
      <c r="F165" s="319">
        <f>$D165*'MWh Impact Summary'!N$24</f>
        <v>29908.814261842115</v>
      </c>
      <c r="G165" s="319">
        <f>$D165*'MWh Impact Summary'!C$24</f>
        <v>211245.2002513443</v>
      </c>
      <c r="H165" s="319">
        <f>$D165*'MWh Impact Summary'!D$24</f>
        <v>790.02013975181512</v>
      </c>
      <c r="I165" s="319">
        <f>$D165*'MWh Impact Summary'!E$24</f>
        <v>81752.885349171003</v>
      </c>
      <c r="J165" s="104">
        <f t="shared" si="72"/>
        <v>598631.58562203543</v>
      </c>
      <c r="K165" s="298">
        <f t="shared" si="81"/>
        <v>10.533333333333333</v>
      </c>
      <c r="L165" s="300">
        <f t="shared" si="61"/>
        <v>7.4152293793265281E-2</v>
      </c>
      <c r="M165" s="297">
        <f t="shared" si="73"/>
        <v>8.3333333333333329E-2</v>
      </c>
      <c r="N165" s="302">
        <f>$L165*'MWh Impact Summary'!F$24</f>
        <v>99517.367266565503</v>
      </c>
      <c r="O165" s="302">
        <f>$L165*'MWh Impact Summary'!G$24</f>
        <v>4910.229277717669</v>
      </c>
      <c r="P165" s="304">
        <f>$M165*'MWh Impact Summary'!H$24</f>
        <v>7178.8295623080285</v>
      </c>
      <c r="Q165" s="304">
        <f>$M165*'MWh Impact Summary'!I$24</f>
        <v>1296.7692350311981</v>
      </c>
      <c r="R165" s="304">
        <f>$M165*'MWh Impact Summary'!J$24</f>
        <v>34064.61412568362</v>
      </c>
      <c r="S165" s="304">
        <f>$M165*'MWh Impact Summary'!K$24</f>
        <v>13049.956431574017</v>
      </c>
      <c r="T165" s="304">
        <f>$M165*'MWh Impact Summary'!L$24</f>
        <v>4762.4738519084722</v>
      </c>
      <c r="U165" s="304">
        <f>$M165*'MWh Impact Summary'!M$24</f>
        <v>15170.867427480242</v>
      </c>
      <c r="V165" s="302">
        <f>$L165*'MWh Impact Summary'!O$24</f>
        <v>35709.846062177443</v>
      </c>
      <c r="W165" s="302">
        <f>$L165*'MWh Impact Summary'!P$24</f>
        <v>287568.74028299411</v>
      </c>
      <c r="X165" s="302">
        <f>$L165*'MWh Impact Summary'!Q$24</f>
        <v>107295.24302114661</v>
      </c>
      <c r="Y165" s="85">
        <f t="shared" si="64"/>
        <v>610524.9365445869</v>
      </c>
      <c r="Z165" s="81">
        <f t="shared" si="65"/>
        <v>1209156.5221666223</v>
      </c>
      <c r="AA165" s="81"/>
      <c r="AB165" s="262">
        <f>+'MWh by mo-WgtbyActulCDH&amp;Days'!AB165</f>
        <v>4983179.119985274</v>
      </c>
      <c r="AC165" s="308">
        <f t="shared" si="78"/>
        <v>242.64761371254815</v>
      </c>
      <c r="AD165" s="309">
        <f t="shared" si="66"/>
        <v>120.13045712549149</v>
      </c>
      <c r="AE165" s="107">
        <f t="shared" si="67"/>
        <v>1.1404790233432736E-2</v>
      </c>
      <c r="AF165" s="309">
        <f t="shared" si="75"/>
        <v>122.51715658705663</v>
      </c>
      <c r="AG165" s="107">
        <f t="shared" si="68"/>
        <v>1.1631375625353478E-2</v>
      </c>
      <c r="AH165" s="119">
        <f t="shared" si="76"/>
        <v>2.3036165858786213E-2</v>
      </c>
      <c r="AI165" s="122">
        <f t="shared" si="69"/>
        <v>2.3036165858786217E-2</v>
      </c>
      <c r="AJ165" s="87" t="b">
        <f t="shared" si="77"/>
        <v>1</v>
      </c>
      <c r="AK165" s="88">
        <f t="shared" si="82"/>
        <v>1.7344096561989035E-3</v>
      </c>
      <c r="AM165" s="89">
        <f t="shared" si="70"/>
        <v>287568.74028299411</v>
      </c>
      <c r="AN165" s="93"/>
      <c r="AO165" s="96">
        <f t="shared" si="59"/>
        <v>57.707887547065312</v>
      </c>
      <c r="AP165" s="92">
        <f t="shared" si="58"/>
        <v>5.4785969190251881E-3</v>
      </c>
      <c r="AR165" s="94">
        <f t="shared" si="71"/>
        <v>2.3036165858786217E-2</v>
      </c>
      <c r="AS165" s="95">
        <v>1138391.8949239727</v>
      </c>
      <c r="AU165" s="141">
        <v>242.64761371254815</v>
      </c>
    </row>
    <row r="166" spans="1:47">
      <c r="A166" s="78">
        <v>2018</v>
      </c>
      <c r="B166" s="78">
        <v>6</v>
      </c>
      <c r="C166" s="317">
        <f t="shared" si="80"/>
        <v>271.66325293295364</v>
      </c>
      <c r="D166" s="324">
        <f t="shared" si="79"/>
        <v>0.13816630657965029</v>
      </c>
      <c r="E166" s="321">
        <f>$D166*'MWh Impact Summary'!B$24</f>
        <v>358260.21878747712</v>
      </c>
      <c r="F166" s="319">
        <f>$D166*'MWh Impact Summary'!N$24</f>
        <v>38973.398705328553</v>
      </c>
      <c r="G166" s="319">
        <f>$D166*'MWh Impact Summary'!C$24</f>
        <v>275268.13139116194</v>
      </c>
      <c r="H166" s="319">
        <f>$D166*'MWh Impact Summary'!D$24</f>
        <v>1029.4547159988449</v>
      </c>
      <c r="I166" s="319">
        <f>$D166*'MWh Impact Summary'!E$24</f>
        <v>106530.060607893</v>
      </c>
      <c r="J166" s="104">
        <f t="shared" si="72"/>
        <v>780061.26420785952</v>
      </c>
      <c r="K166" s="298">
        <f t="shared" si="81"/>
        <v>10.199999999999999</v>
      </c>
      <c r="L166" s="300">
        <f t="shared" si="61"/>
        <v>7.1805702217529022E-2</v>
      </c>
      <c r="M166" s="297">
        <f t="shared" si="73"/>
        <v>8.3333333333333329E-2</v>
      </c>
      <c r="N166" s="302">
        <f>$L166*'MWh Impact Summary'!F$24</f>
        <v>96368.08349230708</v>
      </c>
      <c r="O166" s="302">
        <f>$L166*'MWh Impact Summary'!G$24</f>
        <v>4754.8422752582474</v>
      </c>
      <c r="P166" s="304">
        <f>$M166*'MWh Impact Summary'!H$24</f>
        <v>7178.8295623080285</v>
      </c>
      <c r="Q166" s="304">
        <f>$M166*'MWh Impact Summary'!I$24</f>
        <v>1296.7692350311981</v>
      </c>
      <c r="R166" s="304">
        <f>$M166*'MWh Impact Summary'!J$24</f>
        <v>34064.61412568362</v>
      </c>
      <c r="S166" s="304">
        <f>$M166*'MWh Impact Summary'!K$24</f>
        <v>13049.956431574017</v>
      </c>
      <c r="T166" s="304">
        <f>$M166*'MWh Impact Summary'!L$24</f>
        <v>4762.4738519084722</v>
      </c>
      <c r="U166" s="304">
        <f>$M166*'MWh Impact Summary'!M$24</f>
        <v>15170.867427480242</v>
      </c>
      <c r="V166" s="302">
        <f>$L166*'MWh Impact Summary'!O$24</f>
        <v>34579.787642488278</v>
      </c>
      <c r="W166" s="302">
        <f>$L166*'MWh Impact Summary'!P$24</f>
        <v>278468.46369176009</v>
      </c>
      <c r="X166" s="302">
        <f>$L166*'MWh Impact Summary'!Q$24</f>
        <v>103899.82393819891</v>
      </c>
      <c r="Y166" s="85">
        <f t="shared" si="64"/>
        <v>593594.51167399809</v>
      </c>
      <c r="Z166" s="81">
        <f t="shared" si="65"/>
        <v>1373655.7758818576</v>
      </c>
      <c r="AA166" s="81"/>
      <c r="AB166" s="262">
        <f>+'MWh by mo-WgtbyActulCDH&amp;Days'!AB166</f>
        <v>4988439.4249103442</v>
      </c>
      <c r="AC166" s="308">
        <f t="shared" si="78"/>
        <v>275.3678372884213</v>
      </c>
      <c r="AD166" s="309">
        <f t="shared" si="66"/>
        <v>156.37380706930793</v>
      </c>
      <c r="AE166" s="107">
        <f t="shared" si="67"/>
        <v>1.5330765398951758E-2</v>
      </c>
      <c r="AF166" s="309">
        <f t="shared" si="75"/>
        <v>118.99403021911338</v>
      </c>
      <c r="AG166" s="107">
        <f t="shared" si="68"/>
        <v>1.1666081394030725E-2</v>
      </c>
      <c r="AH166" s="119">
        <f t="shared" si="76"/>
        <v>2.6996846792982483E-2</v>
      </c>
      <c r="AI166" s="122">
        <f t="shared" si="69"/>
        <v>2.699684679298248E-2</v>
      </c>
      <c r="AJ166" s="87" t="b">
        <f t="shared" si="77"/>
        <v>1</v>
      </c>
      <c r="AK166" s="88">
        <f t="shared" si="82"/>
        <v>2.066685737761545E-3</v>
      </c>
      <c r="AM166" s="89">
        <f t="shared" si="70"/>
        <v>278468.46369176009</v>
      </c>
      <c r="AN166" s="93"/>
      <c r="AO166" s="96">
        <f t="shared" si="59"/>
        <v>55.8227613832887</v>
      </c>
      <c r="AP166" s="92">
        <f t="shared" si="58"/>
        <v>5.4728197434596769E-3</v>
      </c>
      <c r="AR166" s="94">
        <f t="shared" si="71"/>
        <v>2.699684679298248E-2</v>
      </c>
      <c r="AS166" s="95">
        <v>1387807.9406546159</v>
      </c>
      <c r="AU166" s="141">
        <v>275.3678372884213</v>
      </c>
    </row>
    <row r="167" spans="1:47">
      <c r="A167" s="78">
        <v>2018</v>
      </c>
      <c r="B167" s="78">
        <v>7</v>
      </c>
      <c r="C167" s="317">
        <f t="shared" si="80"/>
        <v>322.31916585708109</v>
      </c>
      <c r="D167" s="324">
        <f t="shared" si="79"/>
        <v>0.16392960109808263</v>
      </c>
      <c r="E167" s="321">
        <f>$D167*'MWh Impact Summary'!B$24</f>
        <v>425063.50650175702</v>
      </c>
      <c r="F167" s="319">
        <f>$D167*'MWh Impact Summary'!N$24</f>
        <v>46240.605697293955</v>
      </c>
      <c r="G167" s="319">
        <f>$D167*'MWh Impact Summary'!C$24</f>
        <v>326596.23095558607</v>
      </c>
      <c r="H167" s="319">
        <f>$D167*'MWh Impact Summary'!D$24</f>
        <v>1221.4128402205258</v>
      </c>
      <c r="I167" s="319">
        <f>$D167*'MWh Impact Summary'!E$24</f>
        <v>126394.27638126176</v>
      </c>
      <c r="J167" s="104">
        <f t="shared" si="72"/>
        <v>925516.03237611928</v>
      </c>
      <c r="K167" s="298">
        <f t="shared" si="81"/>
        <v>10.366666666666667</v>
      </c>
      <c r="L167" s="300">
        <f t="shared" si="61"/>
        <v>7.2978998005397158E-2</v>
      </c>
      <c r="M167" s="297">
        <f t="shared" si="73"/>
        <v>8.3333333333333329E-2</v>
      </c>
      <c r="N167" s="302">
        <f>$L167*'MWh Impact Summary'!F$24</f>
        <v>97942.725379436291</v>
      </c>
      <c r="O167" s="302">
        <f>$L167*'MWh Impact Summary'!G$24</f>
        <v>4832.5357764879582</v>
      </c>
      <c r="P167" s="304">
        <f>$M167*'MWh Impact Summary'!H$24</f>
        <v>7178.8295623080285</v>
      </c>
      <c r="Q167" s="304">
        <f>$M167*'MWh Impact Summary'!I$24</f>
        <v>1296.7692350311981</v>
      </c>
      <c r="R167" s="304">
        <f>$M167*'MWh Impact Summary'!J$24</f>
        <v>34064.61412568362</v>
      </c>
      <c r="S167" s="304">
        <f>$M167*'MWh Impact Summary'!K$24</f>
        <v>13049.956431574017</v>
      </c>
      <c r="T167" s="304">
        <f>$M167*'MWh Impact Summary'!L$24</f>
        <v>4762.4738519084722</v>
      </c>
      <c r="U167" s="304">
        <f>$M167*'MWh Impact Summary'!M$24</f>
        <v>15170.867427480242</v>
      </c>
      <c r="V167" s="302">
        <f>$L167*'MWh Impact Summary'!O$24</f>
        <v>35144.816852332864</v>
      </c>
      <c r="W167" s="302">
        <f>$L167*'MWh Impact Summary'!P$24</f>
        <v>283018.6019873771</v>
      </c>
      <c r="X167" s="302">
        <f>$L167*'MWh Impact Summary'!Q$24</f>
        <v>105597.53347967277</v>
      </c>
      <c r="Y167" s="85">
        <f t="shared" si="64"/>
        <v>602059.7241092925</v>
      </c>
      <c r="Z167" s="81">
        <f t="shared" si="65"/>
        <v>1527575.7564854119</v>
      </c>
      <c r="AA167" s="81"/>
      <c r="AB167" s="262">
        <f>+'MWh by mo-WgtbyActulCDH&amp;Days'!AB167</f>
        <v>4994424.4728166815</v>
      </c>
      <c r="AC167" s="308">
        <f t="shared" si="78"/>
        <v>305.85621322328501</v>
      </c>
      <c r="AD167" s="309">
        <f t="shared" si="66"/>
        <v>185.30984649251496</v>
      </c>
      <c r="AE167" s="107">
        <f t="shared" si="67"/>
        <v>1.7875547893168645E-2</v>
      </c>
      <c r="AF167" s="309">
        <f t="shared" si="75"/>
        <v>120.54636673077005</v>
      </c>
      <c r="AG167" s="107">
        <f t="shared" si="68"/>
        <v>1.1628266887212543E-2</v>
      </c>
      <c r="AH167" s="119">
        <f t="shared" si="76"/>
        <v>2.9503814780381186E-2</v>
      </c>
      <c r="AI167" s="122">
        <f t="shared" si="69"/>
        <v>2.950381478038119E-2</v>
      </c>
      <c r="AJ167" s="87" t="b">
        <f t="shared" si="77"/>
        <v>1</v>
      </c>
      <c r="AK167" s="88">
        <f t="shared" si="82"/>
        <v>2.2739697081344892E-3</v>
      </c>
      <c r="AM167" s="89">
        <f t="shared" si="70"/>
        <v>283018.6019873771</v>
      </c>
      <c r="AN167" s="93"/>
      <c r="AO167" s="96">
        <f t="shared" si="59"/>
        <v>56.666909976869562</v>
      </c>
      <c r="AP167" s="92">
        <f t="shared" si="58"/>
        <v>5.4662614125597642E-3</v>
      </c>
      <c r="AR167" s="94">
        <f t="shared" si="71"/>
        <v>2.950381478038119E-2</v>
      </c>
      <c r="AS167" s="95">
        <v>1458921.5818659998</v>
      </c>
      <c r="AU167" s="141">
        <v>305.85621322328501</v>
      </c>
    </row>
    <row r="168" spans="1:47">
      <c r="A168" s="78">
        <v>2018</v>
      </c>
      <c r="B168" s="78">
        <v>8</v>
      </c>
      <c r="C168" s="317">
        <f t="shared" si="80"/>
        <v>326.45437890907908</v>
      </c>
      <c r="D168" s="324">
        <f t="shared" si="79"/>
        <v>0.16603274573816959</v>
      </c>
      <c r="E168" s="321">
        <f>$D168*'MWh Impact Summary'!B$24</f>
        <v>430516.8842285829</v>
      </c>
      <c r="F168" s="319">
        <f>$D168*'MWh Impact Summary'!N$24</f>
        <v>46833.852318863239</v>
      </c>
      <c r="G168" s="319">
        <f>$D168*'MWh Impact Summary'!C$24</f>
        <v>330786.31687055068</v>
      </c>
      <c r="H168" s="319">
        <f>$D168*'MWh Impact Summary'!D$24</f>
        <v>1237.0830294422162</v>
      </c>
      <c r="I168" s="319">
        <f>$D168*'MWh Impact Summary'!E$24</f>
        <v>128015.85932374616</v>
      </c>
      <c r="J168" s="104">
        <f t="shared" si="72"/>
        <v>937389.99577118515</v>
      </c>
      <c r="K168" s="298">
        <f t="shared" si="81"/>
        <v>10.933333333333334</v>
      </c>
      <c r="L168" s="300">
        <f t="shared" si="61"/>
        <v>7.6968203684148764E-2</v>
      </c>
      <c r="M168" s="297">
        <f t="shared" si="73"/>
        <v>8.3333333333333329E-2</v>
      </c>
      <c r="N168" s="302">
        <f>$L168*'MWh Impact Summary'!F$24</f>
        <v>103296.50779567557</v>
      </c>
      <c r="O168" s="302">
        <f>$L168*'MWh Impact Summary'!G$24</f>
        <v>5096.6936806689719</v>
      </c>
      <c r="P168" s="304">
        <f>$M168*'MWh Impact Summary'!H$24</f>
        <v>7178.8295623080285</v>
      </c>
      <c r="Q168" s="304">
        <f>$M168*'MWh Impact Summary'!I$24</f>
        <v>1296.7692350311981</v>
      </c>
      <c r="R168" s="304">
        <f>$M168*'MWh Impact Summary'!J$24</f>
        <v>34064.61412568362</v>
      </c>
      <c r="S168" s="304">
        <f>$M168*'MWh Impact Summary'!K$24</f>
        <v>13049.956431574017</v>
      </c>
      <c r="T168" s="304">
        <f>$M168*'MWh Impact Summary'!L$24</f>
        <v>4762.4738519084722</v>
      </c>
      <c r="U168" s="304">
        <f>$M168*'MWh Impact Summary'!M$24</f>
        <v>15170.867427480242</v>
      </c>
      <c r="V168" s="302">
        <f>$L168*'MWh Impact Summary'!O$24</f>
        <v>37065.916165804432</v>
      </c>
      <c r="W168" s="302">
        <f>$L168*'MWh Impact Summary'!P$24</f>
        <v>298489.07219247485</v>
      </c>
      <c r="X168" s="302">
        <f>$L168*'MWh Impact Summary'!Q$24</f>
        <v>111369.74592068381</v>
      </c>
      <c r="Y168" s="85">
        <f t="shared" si="64"/>
        <v>630841.44638929318</v>
      </c>
      <c r="Z168" s="81">
        <f t="shared" si="65"/>
        <v>1568231.4421604783</v>
      </c>
      <c r="AA168" s="81"/>
      <c r="AB168" s="262">
        <f>+'MWh by mo-WgtbyActulCDH&amp;Days'!AB168</f>
        <v>5000782.228093843</v>
      </c>
      <c r="AC168" s="308">
        <f t="shared" si="78"/>
        <v>313.59722751979223</v>
      </c>
      <c r="AD168" s="309">
        <f t="shared" si="66"/>
        <v>187.44867363050355</v>
      </c>
      <c r="AE168" s="107">
        <f t="shared" si="67"/>
        <v>1.714469575888752E-2</v>
      </c>
      <c r="AF168" s="309">
        <f t="shared" si="75"/>
        <v>126.14855388928866</v>
      </c>
      <c r="AG168" s="107">
        <f t="shared" si="68"/>
        <v>1.1537977489873964E-2</v>
      </c>
      <c r="AH168" s="119">
        <f t="shared" si="76"/>
        <v>2.8682673248761482E-2</v>
      </c>
      <c r="AI168" s="122">
        <f t="shared" si="69"/>
        <v>2.8682673248761482E-2</v>
      </c>
      <c r="AJ168" s="87" t="b">
        <f t="shared" si="77"/>
        <v>1</v>
      </c>
      <c r="AK168" s="88">
        <f t="shared" si="82"/>
        <v>2.2019805087616466E-3</v>
      </c>
      <c r="AM168" s="89">
        <f t="shared" si="70"/>
        <v>298489.07219247485</v>
      </c>
      <c r="AN168" s="93"/>
      <c r="AO168" s="96">
        <f t="shared" si="59"/>
        <v>59.68847643786529</v>
      </c>
      <c r="AP168" s="92">
        <f t="shared" si="58"/>
        <v>5.4593118693169471E-3</v>
      </c>
      <c r="AR168" s="94">
        <f t="shared" si="71"/>
        <v>2.8682673248761482E-2</v>
      </c>
      <c r="AS168" s="95">
        <v>1516703.6736954609</v>
      </c>
      <c r="AU168" s="141">
        <v>313.59722751979223</v>
      </c>
    </row>
    <row r="169" spans="1:47">
      <c r="A169" s="78">
        <v>2018</v>
      </c>
      <c r="B169" s="78">
        <v>9</v>
      </c>
      <c r="C169" s="317">
        <f t="shared" si="80"/>
        <v>277.87653293728147</v>
      </c>
      <c r="D169" s="324">
        <f t="shared" si="79"/>
        <v>0.14132634365008559</v>
      </c>
      <c r="E169" s="321">
        <f>$D169*'MWh Impact Summary'!B$24</f>
        <v>366454.0802306651</v>
      </c>
      <c r="F169" s="319">
        <f>$D169*'MWh Impact Summary'!N$24</f>
        <v>39864.769313101846</v>
      </c>
      <c r="G169" s="319">
        <f>$D169*'MWh Impact Summary'!C$24</f>
        <v>281563.85949621967</v>
      </c>
      <c r="H169" s="319">
        <f>$D169*'MWh Impact Summary'!D$24</f>
        <v>1052.9996391094257</v>
      </c>
      <c r="I169" s="319">
        <f>$D169*'MWh Impact Summary'!E$24</f>
        <v>108966.53697445632</v>
      </c>
      <c r="J169" s="104">
        <f t="shared" si="72"/>
        <v>797902.24565355235</v>
      </c>
      <c r="K169" s="298">
        <f t="shared" si="81"/>
        <v>11.683333333333334</v>
      </c>
      <c r="L169" s="300">
        <f t="shared" si="61"/>
        <v>8.2248034729555317E-2</v>
      </c>
      <c r="M169" s="297">
        <f t="shared" si="73"/>
        <v>8.3333333333333329E-2</v>
      </c>
      <c r="N169" s="302">
        <f>$L169*'MWh Impact Summary'!F$24</f>
        <v>110382.39628775699</v>
      </c>
      <c r="O169" s="302">
        <f>$L169*'MWh Impact Summary'!G$24</f>
        <v>5446.3144362026669</v>
      </c>
      <c r="P169" s="304">
        <f>$M169*'MWh Impact Summary'!H$24</f>
        <v>7178.8295623080285</v>
      </c>
      <c r="Q169" s="304">
        <f>$M169*'MWh Impact Summary'!I$24</f>
        <v>1296.7692350311981</v>
      </c>
      <c r="R169" s="304">
        <f>$M169*'MWh Impact Summary'!J$24</f>
        <v>34064.61412568362</v>
      </c>
      <c r="S169" s="304">
        <f>$M169*'MWh Impact Summary'!K$24</f>
        <v>13049.956431574017</v>
      </c>
      <c r="T169" s="304">
        <f>$M169*'MWh Impact Summary'!L$24</f>
        <v>4762.4738519084722</v>
      </c>
      <c r="U169" s="304">
        <f>$M169*'MWh Impact Summary'!M$24</f>
        <v>15170.867427480242</v>
      </c>
      <c r="V169" s="302">
        <f>$L169*'MWh Impact Summary'!O$24</f>
        <v>39608.547610105044</v>
      </c>
      <c r="W169" s="302">
        <f>$L169*'MWh Impact Summary'!P$24</f>
        <v>318964.69452275138</v>
      </c>
      <c r="X169" s="302">
        <f>$L169*'MWh Impact Summary'!Q$24</f>
        <v>119009.4388573161</v>
      </c>
      <c r="Y169" s="85">
        <f t="shared" si="64"/>
        <v>668934.90234811767</v>
      </c>
      <c r="Z169" s="81">
        <f t="shared" si="65"/>
        <v>1466837.1480016699</v>
      </c>
      <c r="AA169" s="81"/>
      <c r="AB169" s="262">
        <f>+'MWh by mo-WgtbyActulCDH&amp;Days'!AB169</f>
        <v>5005798.6680340152</v>
      </c>
      <c r="AC169" s="308">
        <f t="shared" si="78"/>
        <v>293.02759564993806</v>
      </c>
      <c r="AD169" s="309">
        <f t="shared" si="66"/>
        <v>159.39559270507411</v>
      </c>
      <c r="AE169" s="107">
        <f t="shared" si="67"/>
        <v>1.3642989389877954E-2</v>
      </c>
      <c r="AF169" s="309">
        <f t="shared" si="75"/>
        <v>133.63200294486398</v>
      </c>
      <c r="AG169" s="107">
        <f t="shared" si="68"/>
        <v>1.1437831921101054E-2</v>
      </c>
      <c r="AH169" s="119">
        <f t="shared" si="76"/>
        <v>2.508082131097901E-2</v>
      </c>
      <c r="AI169" s="122">
        <f t="shared" si="69"/>
        <v>2.508082131097901E-2</v>
      </c>
      <c r="AJ169" s="87" t="b">
        <f t="shared" si="77"/>
        <v>1</v>
      </c>
      <c r="AK169" s="88">
        <f t="shared" si="82"/>
        <v>1.8947557529677417E-3</v>
      </c>
      <c r="AM169" s="89">
        <f t="shared" si="70"/>
        <v>318964.69452275138</v>
      </c>
      <c r="AN169" s="93"/>
      <c r="AO169" s="96">
        <f t="shared" si="59"/>
        <v>63.719041790392673</v>
      </c>
      <c r="AP169" s="92">
        <f t="shared" ref="AP169:AP232" si="83">+AO169/K169/1000</f>
        <v>5.4538409521020827E-3</v>
      </c>
      <c r="AR169" s="94">
        <f t="shared" si="71"/>
        <v>2.508082131097901E-2</v>
      </c>
      <c r="AS169" s="95">
        <v>1433185.8171820336</v>
      </c>
      <c r="AU169" s="141">
        <v>293.02759564993806</v>
      </c>
    </row>
    <row r="170" spans="1:47">
      <c r="A170" s="78">
        <v>2018</v>
      </c>
      <c r="B170" s="78">
        <v>10</v>
      </c>
      <c r="C170" s="317">
        <f t="shared" si="80"/>
        <v>198.89039579254836</v>
      </c>
      <c r="D170" s="324">
        <f t="shared" si="79"/>
        <v>0.10115446643644242</v>
      </c>
      <c r="E170" s="321">
        <f>$D170*'MWh Impact Summary'!B$24</f>
        <v>262289.86048750539</v>
      </c>
      <c r="F170" s="319">
        <f>$D170*'MWh Impact Summary'!N$24</f>
        <v>28533.24698941391</v>
      </c>
      <c r="G170" s="319">
        <f>$D170*'MWh Impact Summary'!C$24</f>
        <v>201529.60332465442</v>
      </c>
      <c r="H170" s="319">
        <f>$D170*'MWh Impact Summary'!D$24</f>
        <v>753.68550477472058</v>
      </c>
      <c r="I170" s="319">
        <f>$D170*'MWh Impact Summary'!E$24</f>
        <v>77992.903675261317</v>
      </c>
      <c r="J170" s="104">
        <f t="shared" si="72"/>
        <v>571099.2999816098</v>
      </c>
      <c r="K170" s="298">
        <f t="shared" si="81"/>
        <v>12.466666666666667</v>
      </c>
      <c r="L170" s="300">
        <f t="shared" si="61"/>
        <v>8.7762524932535488E-2</v>
      </c>
      <c r="M170" s="297">
        <f t="shared" si="73"/>
        <v>8.3333333333333329E-2</v>
      </c>
      <c r="N170" s="302">
        <f>$L170*'MWh Impact Summary'!F$24</f>
        <v>117783.21315726422</v>
      </c>
      <c r="O170" s="302">
        <f>$L170*'MWh Impact Summary'!G$24</f>
        <v>5811.4738919823039</v>
      </c>
      <c r="P170" s="304">
        <f>$M170*'MWh Impact Summary'!H$24</f>
        <v>7178.8295623080285</v>
      </c>
      <c r="Q170" s="304">
        <f>$M170*'MWh Impact Summary'!I$24</f>
        <v>1296.7692350311981</v>
      </c>
      <c r="R170" s="304">
        <f>$M170*'MWh Impact Summary'!J$24</f>
        <v>34064.61412568362</v>
      </c>
      <c r="S170" s="304">
        <f>$M170*'MWh Impact Summary'!K$24</f>
        <v>13049.956431574017</v>
      </c>
      <c r="T170" s="304">
        <f>$M170*'MWh Impact Summary'!L$24</f>
        <v>4762.4738519084722</v>
      </c>
      <c r="U170" s="304">
        <f>$M170*'MWh Impact Summary'!M$24</f>
        <v>15170.867427480242</v>
      </c>
      <c r="V170" s="302">
        <f>$L170*'MWh Impact Summary'!O$24</f>
        <v>42264.184896374572</v>
      </c>
      <c r="W170" s="302">
        <f>$L170*'MWh Impact Summary'!P$24</f>
        <v>340350.34451215126</v>
      </c>
      <c r="X170" s="302">
        <f>$L170*'MWh Impact Summary'!Q$24</f>
        <v>126988.67370224313</v>
      </c>
      <c r="Y170" s="85">
        <f t="shared" si="64"/>
        <v>708721.40079400106</v>
      </c>
      <c r="Z170" s="81">
        <f t="shared" si="65"/>
        <v>1279820.7007756107</v>
      </c>
      <c r="AA170" s="81"/>
      <c r="AB170" s="262">
        <f>+'MWh by mo-WgtbyActulCDH&amp;Days'!AB170</f>
        <v>5011255.4649064513</v>
      </c>
      <c r="AC170" s="308">
        <f t="shared" si="78"/>
        <v>255.38923524017588</v>
      </c>
      <c r="AD170" s="309">
        <f t="shared" si="66"/>
        <v>113.96331797111264</v>
      </c>
      <c r="AE170" s="107">
        <f t="shared" si="67"/>
        <v>9.1414426180036895E-3</v>
      </c>
      <c r="AF170" s="309">
        <f t="shared" si="75"/>
        <v>141.42591726906329</v>
      </c>
      <c r="AG170" s="107">
        <f t="shared" si="68"/>
        <v>1.1344324914630746E-2</v>
      </c>
      <c r="AH170" s="119">
        <f t="shared" si="76"/>
        <v>2.0485767532634435E-2</v>
      </c>
      <c r="AI170" s="122">
        <f t="shared" si="69"/>
        <v>2.0485767532634432E-2</v>
      </c>
      <c r="AJ170" s="87" t="b">
        <f t="shared" si="77"/>
        <v>1</v>
      </c>
      <c r="AK170" s="88">
        <f t="shared" si="82"/>
        <v>1.5069622762237909E-3</v>
      </c>
      <c r="AM170" s="89">
        <f t="shared" si="70"/>
        <v>340350.34451215126</v>
      </c>
      <c r="AN170" s="93"/>
      <c r="AO170" s="96">
        <f t="shared" si="59"/>
        <v>67.91718101294299</v>
      </c>
      <c r="AP170" s="92">
        <f t="shared" si="83"/>
        <v>5.4479022202895445E-3</v>
      </c>
      <c r="AR170" s="94">
        <f t="shared" si="71"/>
        <v>2.0485767532634432E-2</v>
      </c>
      <c r="AS170" s="95">
        <v>1155848.495995641</v>
      </c>
      <c r="AU170" s="141">
        <v>255.38923524017588</v>
      </c>
    </row>
    <row r="171" spans="1:47">
      <c r="A171" s="78">
        <v>2018</v>
      </c>
      <c r="B171" s="78">
        <v>11</v>
      </c>
      <c r="C171" s="317">
        <f t="shared" si="80"/>
        <v>78.117279066674627</v>
      </c>
      <c r="D171" s="324">
        <f t="shared" si="79"/>
        <v>3.9729981188725644E-2</v>
      </c>
      <c r="E171" s="321">
        <f>$D171*'MWh Impact Summary'!B$24</f>
        <v>103018.39938733366</v>
      </c>
      <c r="F171" s="319">
        <f>$D171*'MWh Impact Summary'!N$24</f>
        <v>11206.874061808818</v>
      </c>
      <c r="G171" s="319">
        <f>$D171*'MWh Impact Summary'!C$24</f>
        <v>79153.868643958398</v>
      </c>
      <c r="H171" s="319">
        <f>$D171*'MWh Impact Summary'!D$24</f>
        <v>296.02163880454316</v>
      </c>
      <c r="I171" s="319">
        <f>$D171*'MWh Impact Summary'!E$24</f>
        <v>30632.919188192027</v>
      </c>
      <c r="J171" s="104">
        <f t="shared" si="72"/>
        <v>224308.08292009745</v>
      </c>
      <c r="K171" s="298">
        <f t="shared" si="81"/>
        <v>13.15</v>
      </c>
      <c r="L171" s="300">
        <f t="shared" si="61"/>
        <v>9.2573037662794788E-2</v>
      </c>
      <c r="M171" s="297">
        <f t="shared" si="73"/>
        <v>8.3333333333333329E-2</v>
      </c>
      <c r="N171" s="302">
        <f>$L171*'MWh Impact Summary'!F$24</f>
        <v>124239.24489449395</v>
      </c>
      <c r="O171" s="302">
        <f>$L171*'MWh Impact Summary'!G$24</f>
        <v>6130.017247024115</v>
      </c>
      <c r="P171" s="304">
        <f>$M171*'MWh Impact Summary'!H$24</f>
        <v>7178.8295623080285</v>
      </c>
      <c r="Q171" s="304">
        <f>$M171*'MWh Impact Summary'!I$24</f>
        <v>1296.7692350311981</v>
      </c>
      <c r="R171" s="304">
        <f>$M171*'MWh Impact Summary'!J$24</f>
        <v>34064.61412568362</v>
      </c>
      <c r="S171" s="304">
        <f>$M171*'MWh Impact Summary'!K$24</f>
        <v>13049.956431574017</v>
      </c>
      <c r="T171" s="304">
        <f>$M171*'MWh Impact Summary'!L$24</f>
        <v>4762.4738519084722</v>
      </c>
      <c r="U171" s="304">
        <f>$M171*'MWh Impact Summary'!M$24</f>
        <v>15170.867427480242</v>
      </c>
      <c r="V171" s="302">
        <f>$L171*'MWh Impact Summary'!O$24</f>
        <v>44580.804656737346</v>
      </c>
      <c r="W171" s="302">
        <f>$L171*'MWh Impact Summary'!P$24</f>
        <v>359005.91152418096</v>
      </c>
      <c r="X171" s="302">
        <f>$L171*'MWh Impact Summary'!Q$24</f>
        <v>133949.28282228587</v>
      </c>
      <c r="Y171" s="85">
        <f t="shared" si="64"/>
        <v>743428.77177870774</v>
      </c>
      <c r="Z171" s="81">
        <f t="shared" si="65"/>
        <v>967736.85469880514</v>
      </c>
      <c r="AA171" s="81"/>
      <c r="AB171" s="262">
        <f>+'MWh by mo-WgtbyActulCDH&amp;Days'!AB171</f>
        <v>5016812.6063650586</v>
      </c>
      <c r="AC171" s="308">
        <f t="shared" si="78"/>
        <v>192.89874480681087</v>
      </c>
      <c r="AD171" s="309">
        <f t="shared" si="66"/>
        <v>44.711273974137995</v>
      </c>
      <c r="AE171" s="107">
        <f t="shared" si="67"/>
        <v>3.4000968801625852E-3</v>
      </c>
      <c r="AF171" s="309">
        <f t="shared" si="75"/>
        <v>148.18747083267289</v>
      </c>
      <c r="AG171" s="107">
        <f t="shared" si="68"/>
        <v>1.1269009188796418E-2</v>
      </c>
      <c r="AH171" s="119">
        <f t="shared" si="76"/>
        <v>1.4669106068959003E-2</v>
      </c>
      <c r="AI171" s="122">
        <f t="shared" si="69"/>
        <v>1.4669106068959001E-2</v>
      </c>
      <c r="AJ171" s="87" t="b">
        <f t="shared" si="77"/>
        <v>1</v>
      </c>
      <c r="AK171" s="88">
        <f t="shared" si="82"/>
        <v>1.0196072481036475E-3</v>
      </c>
      <c r="AM171" s="89">
        <f t="shared" si="70"/>
        <v>359005.91152418096</v>
      </c>
      <c r="AN171" s="93"/>
      <c r="AO171" s="96">
        <f t="shared" ref="AO171:AO220" si="84">+AM171*1000/AB171</f>
        <v>71.56055840489114</v>
      </c>
      <c r="AP171" s="92">
        <f t="shared" si="83"/>
        <v>5.4418675593073109E-3</v>
      </c>
      <c r="AR171" s="94">
        <f t="shared" si="71"/>
        <v>1.4669106068959001E-2</v>
      </c>
      <c r="AS171" s="95">
        <v>893899.58279067918</v>
      </c>
      <c r="AU171" s="141">
        <v>192.89874480681087</v>
      </c>
    </row>
    <row r="172" spans="1:47">
      <c r="A172" s="78">
        <v>2018</v>
      </c>
      <c r="B172" s="78">
        <v>12</v>
      </c>
      <c r="C172" s="317">
        <f t="shared" si="80"/>
        <v>42.633806123140985</v>
      </c>
      <c r="D172" s="324">
        <f t="shared" si="79"/>
        <v>2.1683298951445065E-2</v>
      </c>
      <c r="E172" s="321">
        <f>$D172*'MWh Impact Summary'!B$24</f>
        <v>56224.007275614073</v>
      </c>
      <c r="F172" s="319">
        <f>$D172*'MWh Impact Summary'!N$24</f>
        <v>6116.3381739116912</v>
      </c>
      <c r="G172" s="319">
        <f>$D172*'MWh Impact Summary'!C$24</f>
        <v>43199.542149730754</v>
      </c>
      <c r="H172" s="319">
        <f>$D172*'MWh Impact Summary'!D$24</f>
        <v>161.55873972870319</v>
      </c>
      <c r="I172" s="319">
        <f>$D172*'MWh Impact Summary'!E$24</f>
        <v>16718.42584968339</v>
      </c>
      <c r="J172" s="104">
        <f t="shared" si="72"/>
        <v>122419.87218866861</v>
      </c>
      <c r="K172" s="298">
        <f t="shared" si="81"/>
        <v>13.483333333333333</v>
      </c>
      <c r="L172" s="300">
        <f t="shared" si="61"/>
        <v>9.491962923853102E-2</v>
      </c>
      <c r="M172" s="297">
        <f t="shared" si="73"/>
        <v>8.3333333333333329E-2</v>
      </c>
      <c r="N172" s="302">
        <f>$L172*'MWh Impact Summary'!F$24</f>
        <v>127388.52866875233</v>
      </c>
      <c r="O172" s="302">
        <f>$L172*'MWh Impact Summary'!G$24</f>
        <v>6285.4042494835339</v>
      </c>
      <c r="P172" s="304">
        <f>$M172*'MWh Impact Summary'!H$24</f>
        <v>7178.8295623080285</v>
      </c>
      <c r="Q172" s="304">
        <f>$M172*'MWh Impact Summary'!I$24</f>
        <v>1296.7692350311981</v>
      </c>
      <c r="R172" s="304">
        <f>$M172*'MWh Impact Summary'!J$24</f>
        <v>34064.61412568362</v>
      </c>
      <c r="S172" s="304">
        <f>$M172*'MWh Impact Summary'!K$24</f>
        <v>13049.956431574017</v>
      </c>
      <c r="T172" s="304">
        <f>$M172*'MWh Impact Summary'!L$24</f>
        <v>4762.4738519084722</v>
      </c>
      <c r="U172" s="304">
        <f>$M172*'MWh Impact Summary'!M$24</f>
        <v>15170.867427480242</v>
      </c>
      <c r="V172" s="302">
        <f>$L172*'MWh Impact Summary'!O$24</f>
        <v>45710.863076426504</v>
      </c>
      <c r="W172" s="302">
        <f>$L172*'MWh Impact Summary'!P$24</f>
        <v>368106.18811541487</v>
      </c>
      <c r="X172" s="302">
        <f>$L172*'MWh Impact Summary'!Q$24</f>
        <v>137344.70190523352</v>
      </c>
      <c r="Y172" s="85">
        <f t="shared" si="64"/>
        <v>760359.19664929633</v>
      </c>
      <c r="Z172" s="81">
        <f t="shared" si="65"/>
        <v>882779.06883796491</v>
      </c>
      <c r="AA172" s="81">
        <f>SUM(Z161:Z172)</f>
        <v>13766996.658649476</v>
      </c>
      <c r="AB172" s="262">
        <f>+'MWh by mo-WgtbyActulCDH&amp;Days'!AB172</f>
        <v>5022446.1507833218</v>
      </c>
      <c r="AC172" s="308">
        <f t="shared" si="78"/>
        <v>175.7667563444723</v>
      </c>
      <c r="AD172" s="309">
        <f t="shared" si="66"/>
        <v>24.374551466236326</v>
      </c>
      <c r="AE172" s="107">
        <f t="shared" si="67"/>
        <v>1.8077541260496659E-3</v>
      </c>
      <c r="AF172" s="309">
        <f t="shared" si="75"/>
        <v>151.39220487823596</v>
      </c>
      <c r="AG172" s="107">
        <f t="shared" si="68"/>
        <v>1.1228099249312928E-2</v>
      </c>
      <c r="AH172" s="119">
        <f t="shared" si="76"/>
        <v>1.3035853375362593E-2</v>
      </c>
      <c r="AI172" s="122">
        <f t="shared" si="69"/>
        <v>1.3035853375362593E-2</v>
      </c>
      <c r="AJ172" s="87" t="b">
        <f t="shared" si="77"/>
        <v>1</v>
      </c>
      <c r="AK172" s="88">
        <f t="shared" si="82"/>
        <v>8.8222930483740011E-4</v>
      </c>
      <c r="AM172" s="89">
        <f t="shared" si="70"/>
        <v>368106.18811541487</v>
      </c>
      <c r="AN172" s="90">
        <f>SUM(AM161:AM172)</f>
        <v>3878082.8693543645</v>
      </c>
      <c r="AO172" s="96">
        <f t="shared" si="84"/>
        <v>73.292212014658134</v>
      </c>
      <c r="AP172" s="92">
        <f t="shared" si="83"/>
        <v>5.4357635610376865E-3</v>
      </c>
      <c r="AR172" s="94">
        <f t="shared" si="71"/>
        <v>1.3035853375362593E-2</v>
      </c>
      <c r="AS172" s="95">
        <v>738281.07191137853</v>
      </c>
      <c r="AU172" s="141">
        <v>175.7667563444723</v>
      </c>
    </row>
    <row r="173" spans="1:47">
      <c r="A173" s="78">
        <v>2019</v>
      </c>
      <c r="B173" s="78">
        <v>1</v>
      </c>
      <c r="C173" s="317">
        <f t="shared" si="80"/>
        <v>26.112829868525239</v>
      </c>
      <c r="D173" s="324">
        <f t="shared" si="79"/>
        <v>1.3280829182176284E-2</v>
      </c>
      <c r="E173" s="321">
        <f>$D173*'MWh Impact Summary'!B$25</f>
        <v>37901.875731165361</v>
      </c>
      <c r="F173" s="319">
        <f>$D173*'MWh Impact Summary'!N$25</f>
        <v>4428.7198558267801</v>
      </c>
      <c r="G173" s="319">
        <f>$D173*'MWh Impact Summary'!C$25</f>
        <v>28612.968655251218</v>
      </c>
      <c r="H173" s="319">
        <f>$D173*'MWh Impact Summary'!D$25</f>
        <v>110.15232217588711</v>
      </c>
      <c r="I173" s="319">
        <f>$D173*'MWh Impact Summary'!E$25</f>
        <v>11006.117751685633</v>
      </c>
      <c r="J173" s="104">
        <f t="shared" si="72"/>
        <v>82059.834316104883</v>
      </c>
      <c r="K173" s="298">
        <f t="shared" si="81"/>
        <v>13.3</v>
      </c>
      <c r="L173" s="300">
        <f t="shared" si="61"/>
        <v>9.3629003871876101E-2</v>
      </c>
      <c r="M173" s="297">
        <f t="shared" si="73"/>
        <v>8.3333333333333329E-2</v>
      </c>
      <c r="N173" s="302">
        <f>$L173*'MWh Impact Summary'!F$25</f>
        <v>137592.71067200246</v>
      </c>
      <c r="O173" s="302">
        <f>$L173*'MWh Impact Summary'!G$25</f>
        <v>9306.2398848588891</v>
      </c>
      <c r="P173" s="304">
        <f>$M173*'MWh Impact Summary'!H$25</f>
        <v>8318.9410563016081</v>
      </c>
      <c r="Q173" s="304">
        <f>$M173*'MWh Impact Summary'!I$25</f>
        <v>1387.6247153592176</v>
      </c>
      <c r="R173" s="304">
        <f>$M173*'MWh Impact Summary'!J$25</f>
        <v>38287.060581780825</v>
      </c>
      <c r="S173" s="304">
        <f>$M173*'MWh Impact Summary'!K$25</f>
        <v>16986.455469833807</v>
      </c>
      <c r="T173" s="304">
        <f>$M173*'MWh Impact Summary'!L$25</f>
        <v>6010.8819032573711</v>
      </c>
      <c r="U173" s="304">
        <f>$M173*'MWh Impact Summary'!M$25</f>
        <v>19483.661370996266</v>
      </c>
      <c r="V173" s="302">
        <f>$L173*'MWh Impact Summary'!O$25</f>
        <v>68807.040492845568</v>
      </c>
      <c r="W173" s="302">
        <f>$L173*'MWh Impact Summary'!P$25</f>
        <v>372439.19608614105</v>
      </c>
      <c r="X173" s="302">
        <f>$L173*'MWh Impact Summary'!Q$25</f>
        <v>136511.07098900716</v>
      </c>
      <c r="Y173" s="85">
        <f t="shared" si="64"/>
        <v>815130.88322238415</v>
      </c>
      <c r="Z173" s="81">
        <f t="shared" si="65"/>
        <v>897190.71753848903</v>
      </c>
      <c r="AA173" s="81"/>
      <c r="AB173" s="262">
        <f>+'MWh by mo-WgtbyActulCDH&amp;Days'!AB173</f>
        <v>5028344.8487463314</v>
      </c>
      <c r="AC173" s="308">
        <f t="shared" si="78"/>
        <v>178.42664823638276</v>
      </c>
      <c r="AD173" s="309">
        <f t="shared" si="66"/>
        <v>16.319452381346533</v>
      </c>
      <c r="AE173" s="107">
        <f t="shared" si="67"/>
        <v>1.2270264948380852E-3</v>
      </c>
      <c r="AF173" s="309">
        <f t="shared" si="75"/>
        <v>162.10719585503622</v>
      </c>
      <c r="AG173" s="107">
        <f t="shared" si="68"/>
        <v>1.2188510966544075E-2</v>
      </c>
      <c r="AH173" s="119">
        <f t="shared" si="76"/>
        <v>1.341553746138216E-2</v>
      </c>
      <c r="AI173" s="122">
        <f t="shared" si="69"/>
        <v>1.3415537461382162E-2</v>
      </c>
      <c r="AJ173" s="87" t="b">
        <f t="shared" si="77"/>
        <v>1</v>
      </c>
      <c r="AK173" s="88">
        <f t="shared" si="82"/>
        <v>8.9490203448636119E-4</v>
      </c>
      <c r="AM173" s="89">
        <f t="shared" si="70"/>
        <v>372439.19608614105</v>
      </c>
      <c r="AN173" s="93"/>
      <c r="AO173" s="96">
        <f t="shared" si="84"/>
        <v>74.067950247882806</v>
      </c>
      <c r="AP173" s="92">
        <f t="shared" si="83"/>
        <v>5.5690188156302858E-3</v>
      </c>
      <c r="AR173" s="94">
        <f t="shared" si="71"/>
        <v>1.3415537461382162E-2</v>
      </c>
      <c r="AS173" s="95">
        <v>761448.87440197717</v>
      </c>
      <c r="AU173" s="141">
        <v>178.42664823638276</v>
      </c>
    </row>
    <row r="174" spans="1:47">
      <c r="A174" s="78">
        <v>2019</v>
      </c>
      <c r="B174" s="78">
        <v>2</v>
      </c>
      <c r="C174" s="317">
        <f t="shared" si="80"/>
        <v>35.042184420393127</v>
      </c>
      <c r="D174" s="324">
        <f t="shared" si="79"/>
        <v>1.7822245532205266E-2</v>
      </c>
      <c r="E174" s="321">
        <f>$D174*'MWh Impact Summary'!B$25</f>
        <v>50862.527192091315</v>
      </c>
      <c r="F174" s="319">
        <f>$D174*'MWh Impact Summary'!N$25</f>
        <v>5943.1328858461866</v>
      </c>
      <c r="G174" s="319">
        <f>$D174*'MWh Impact Summary'!C$25</f>
        <v>38397.252595008307</v>
      </c>
      <c r="H174" s="319">
        <f>$D174*'MWh Impact Summary'!D$25</f>
        <v>147.8192140590082</v>
      </c>
      <c r="I174" s="319">
        <f>$D174*'MWh Impact Summary'!E$25</f>
        <v>14769.690223119136</v>
      </c>
      <c r="J174" s="104">
        <f t="shared" si="72"/>
        <v>110120.42211012395</v>
      </c>
      <c r="K174" s="298">
        <f t="shared" si="81"/>
        <v>12.733333333333333</v>
      </c>
      <c r="L174" s="300">
        <f t="shared" si="61"/>
        <v>8.9639798193124468E-2</v>
      </c>
      <c r="M174" s="297">
        <f t="shared" si="73"/>
        <v>8.3333333333333329E-2</v>
      </c>
      <c r="N174" s="302">
        <f>$L174*'MWh Impact Summary'!F$25</f>
        <v>131730.36460327049</v>
      </c>
      <c r="O174" s="302">
        <f>$L174*'MWh Impact Summary'!G$25</f>
        <v>8909.7334235992348</v>
      </c>
      <c r="P174" s="304">
        <f>$M174*'MWh Impact Summary'!H$25</f>
        <v>8318.9410563016081</v>
      </c>
      <c r="Q174" s="304">
        <f>$M174*'MWh Impact Summary'!I$25</f>
        <v>1387.6247153592176</v>
      </c>
      <c r="R174" s="304">
        <f>$M174*'MWh Impact Summary'!J$25</f>
        <v>38287.060581780825</v>
      </c>
      <c r="S174" s="304">
        <f>$M174*'MWh Impact Summary'!K$25</f>
        <v>16986.455469833807</v>
      </c>
      <c r="T174" s="304">
        <f>$M174*'MWh Impact Summary'!L$25</f>
        <v>6010.8819032573711</v>
      </c>
      <c r="U174" s="304">
        <f>$M174*'MWh Impact Summary'!M$25</f>
        <v>19483.661370996266</v>
      </c>
      <c r="V174" s="302">
        <f>$L174*'MWh Impact Summary'!O$25</f>
        <v>65875.412201170431</v>
      </c>
      <c r="W174" s="302">
        <f>$L174*'MWh Impact Summary'!P$25</f>
        <v>356570.8594107916</v>
      </c>
      <c r="X174" s="302">
        <f>$L174*'MWh Impact Summary'!Q$25</f>
        <v>130694.80981904943</v>
      </c>
      <c r="Y174" s="85">
        <f t="shared" si="64"/>
        <v>784255.80455541029</v>
      </c>
      <c r="Z174" s="81">
        <f t="shared" si="65"/>
        <v>894376.2266655342</v>
      </c>
      <c r="AA174" s="81"/>
      <c r="AB174" s="262">
        <f>+'MWh by mo-WgtbyActulCDH&amp;Days'!AB174</f>
        <v>5033985.8735689241</v>
      </c>
      <c r="AC174" s="308">
        <f t="shared" si="78"/>
        <v>177.66760756351744</v>
      </c>
      <c r="AD174" s="309">
        <f t="shared" si="66"/>
        <v>21.875393550131744</v>
      </c>
      <c r="AE174" s="107">
        <f t="shared" si="67"/>
        <v>1.7179628442511841E-3</v>
      </c>
      <c r="AF174" s="309">
        <f t="shared" si="75"/>
        <v>155.79221401338572</v>
      </c>
      <c r="AG174" s="107">
        <f t="shared" si="68"/>
        <v>1.2234990629323485E-2</v>
      </c>
      <c r="AH174" s="119">
        <f t="shared" si="76"/>
        <v>1.395295347357467E-2</v>
      </c>
      <c r="AI174" s="122">
        <f t="shared" si="69"/>
        <v>1.3952953473574668E-2</v>
      </c>
      <c r="AJ174" s="87" t="b">
        <f t="shared" si="77"/>
        <v>1</v>
      </c>
      <c r="AK174" s="88">
        <f t="shared" si="82"/>
        <v>9.3999447668657171E-4</v>
      </c>
      <c r="AM174" s="89">
        <f t="shared" si="70"/>
        <v>356570.8594107916</v>
      </c>
      <c r="AN174" s="93"/>
      <c r="AO174" s="96">
        <f t="shared" si="84"/>
        <v>70.832709579694352</v>
      </c>
      <c r="AP174" s="92">
        <f t="shared" si="83"/>
        <v>5.5627782392430125E-3</v>
      </c>
      <c r="AR174" s="94">
        <f t="shared" si="71"/>
        <v>1.3952953473574668E-2</v>
      </c>
      <c r="AS174" s="95">
        <v>707451.56583231059</v>
      </c>
      <c r="AU174" s="141">
        <v>177.66760756351744</v>
      </c>
    </row>
    <row r="175" spans="1:47">
      <c r="A175" s="78">
        <v>2019</v>
      </c>
      <c r="B175" s="78">
        <v>3</v>
      </c>
      <c r="C175" s="317">
        <f t="shared" si="80"/>
        <v>64.582270600115152</v>
      </c>
      <c r="D175" s="324">
        <f t="shared" si="79"/>
        <v>3.2846156787895278E-2</v>
      </c>
      <c r="E175" s="321">
        <f>$D175*'MWh Impact Summary'!B$25</f>
        <v>93738.947752747001</v>
      </c>
      <c r="F175" s="319">
        <f>$D175*'MWh Impact Summary'!N$25</f>
        <v>10953.113300288253</v>
      </c>
      <c r="G175" s="319">
        <f>$D175*'MWh Impact Summary'!C$25</f>
        <v>70765.615740229608</v>
      </c>
      <c r="H175" s="319">
        <f>$D175*'MWh Impact Summary'!D$25</f>
        <v>272.42880659858463</v>
      </c>
      <c r="I175" s="319">
        <f>$D175*'MWh Impact Summary'!E$25</f>
        <v>27220.338755886674</v>
      </c>
      <c r="J175" s="104">
        <f t="shared" si="72"/>
        <v>202950.44435575014</v>
      </c>
      <c r="K175" s="298">
        <f t="shared" si="81"/>
        <v>12</v>
      </c>
      <c r="L175" s="300">
        <f t="shared" si="61"/>
        <v>8.4477296726504739E-2</v>
      </c>
      <c r="M175" s="297">
        <f t="shared" si="73"/>
        <v>8.3333333333333329E-2</v>
      </c>
      <c r="N175" s="302">
        <f>$L175*'MWh Impact Summary'!F$25</f>
        <v>124143.79910255858</v>
      </c>
      <c r="O175" s="302">
        <f>$L175*'MWh Impact Summary'!G$25</f>
        <v>8396.6074149102751</v>
      </c>
      <c r="P175" s="304">
        <f>$M175*'MWh Impact Summary'!H$25</f>
        <v>8318.9410563016081</v>
      </c>
      <c r="Q175" s="304">
        <f>$M175*'MWh Impact Summary'!I$25</f>
        <v>1387.6247153592176</v>
      </c>
      <c r="R175" s="304">
        <f>$M175*'MWh Impact Summary'!J$25</f>
        <v>38287.060581780825</v>
      </c>
      <c r="S175" s="304">
        <f>$M175*'MWh Impact Summary'!K$25</f>
        <v>16986.455469833807</v>
      </c>
      <c r="T175" s="304">
        <f>$M175*'MWh Impact Summary'!L$25</f>
        <v>6010.8819032573711</v>
      </c>
      <c r="U175" s="304">
        <f>$M175*'MWh Impact Summary'!M$25</f>
        <v>19483.661370996266</v>
      </c>
      <c r="V175" s="302">
        <f>$L175*'MWh Impact Summary'!O$25</f>
        <v>62081.540294296748</v>
      </c>
      <c r="W175" s="302">
        <f>$L175*'MWh Impact Summary'!P$25</f>
        <v>336035.36488975125</v>
      </c>
      <c r="X175" s="302">
        <f>$L175*'MWh Impact Summary'!Q$25</f>
        <v>123167.88359910419</v>
      </c>
      <c r="Y175" s="85">
        <f t="shared" si="64"/>
        <v>744299.82039815001</v>
      </c>
      <c r="Z175" s="81">
        <f t="shared" si="65"/>
        <v>947250.26475390012</v>
      </c>
      <c r="AA175" s="81"/>
      <c r="AB175" s="262">
        <f>+'MWh by mo-WgtbyActulCDH&amp;Days'!AB175</f>
        <v>5039839.6897841692</v>
      </c>
      <c r="AC175" s="308">
        <f t="shared" si="78"/>
        <v>187.9524594153244</v>
      </c>
      <c r="AD175" s="309">
        <f t="shared" si="66"/>
        <v>40.269226175414616</v>
      </c>
      <c r="AE175" s="107">
        <f t="shared" si="67"/>
        <v>3.3557688479512178E-3</v>
      </c>
      <c r="AF175" s="309">
        <f t="shared" si="75"/>
        <v>147.68323323990978</v>
      </c>
      <c r="AG175" s="107">
        <f t="shared" si="68"/>
        <v>1.2306936103325816E-2</v>
      </c>
      <c r="AH175" s="119">
        <f t="shared" si="76"/>
        <v>1.5662704951277032E-2</v>
      </c>
      <c r="AI175" s="122">
        <f t="shared" si="69"/>
        <v>1.5662704951277032E-2</v>
      </c>
      <c r="AJ175" s="87" t="b">
        <f t="shared" si="77"/>
        <v>1</v>
      </c>
      <c r="AK175" s="88">
        <f t="shared" si="82"/>
        <v>1.0740608323287805E-3</v>
      </c>
      <c r="AM175" s="89">
        <f t="shared" si="70"/>
        <v>336035.36488975125</v>
      </c>
      <c r="AN175" s="93"/>
      <c r="AO175" s="96">
        <f t="shared" si="84"/>
        <v>66.675804306017909</v>
      </c>
      <c r="AP175" s="92">
        <f t="shared" si="83"/>
        <v>5.5563170255014923E-3</v>
      </c>
      <c r="AR175" s="94">
        <f t="shared" si="71"/>
        <v>1.5662704951277032E-2</v>
      </c>
      <c r="AS175" s="95">
        <v>857008.83732047398</v>
      </c>
      <c r="AU175" s="141">
        <v>187.9524594153244</v>
      </c>
    </row>
    <row r="176" spans="1:47">
      <c r="A176" s="78">
        <v>2019</v>
      </c>
      <c r="B176" s="78">
        <v>4</v>
      </c>
      <c r="C176" s="317">
        <f t="shared" si="80"/>
        <v>114.03392869270741</v>
      </c>
      <c r="D176" s="324">
        <f t="shared" si="79"/>
        <v>5.7996974497419709E-2</v>
      </c>
      <c r="E176" s="321">
        <f>$D176*'MWh Impact Summary'!B$25</f>
        <v>165516.33109888082</v>
      </c>
      <c r="F176" s="319">
        <f>$D176*'MWh Impact Summary'!N$25</f>
        <v>19340.084042291142</v>
      </c>
      <c r="G176" s="319">
        <f>$D176*'MWh Impact Summary'!C$25</f>
        <v>124951.95824227472</v>
      </c>
      <c r="H176" s="319">
        <f>$D176*'MWh Impact Summary'!D$25</f>
        <v>481.03181905541396</v>
      </c>
      <c r="I176" s="319">
        <f>$D176*'MWh Impact Summary'!E$25</f>
        <v>48063.379311946737</v>
      </c>
      <c r="J176" s="104">
        <f t="shared" si="72"/>
        <v>358352.78451444884</v>
      </c>
      <c r="K176" s="298">
        <f t="shared" si="81"/>
        <v>11.2</v>
      </c>
      <c r="L176" s="300">
        <f t="shared" si="61"/>
        <v>7.8845476944737758E-2</v>
      </c>
      <c r="M176" s="297">
        <f t="shared" si="73"/>
        <v>8.3333333333333329E-2</v>
      </c>
      <c r="N176" s="302">
        <f>$L176*'MWh Impact Summary'!F$25</f>
        <v>115867.54582905468</v>
      </c>
      <c r="O176" s="302">
        <f>$L176*'MWh Impact Summary'!G$25</f>
        <v>7836.83358724959</v>
      </c>
      <c r="P176" s="304">
        <f>$M176*'MWh Impact Summary'!H$25</f>
        <v>8318.9410563016081</v>
      </c>
      <c r="Q176" s="304">
        <f>$M176*'MWh Impact Summary'!I$25</f>
        <v>1387.6247153592176</v>
      </c>
      <c r="R176" s="304">
        <f>$M176*'MWh Impact Summary'!J$25</f>
        <v>38287.060581780825</v>
      </c>
      <c r="S176" s="304">
        <f>$M176*'MWh Impact Summary'!K$25</f>
        <v>16986.455469833807</v>
      </c>
      <c r="T176" s="304">
        <f>$M176*'MWh Impact Summary'!L$25</f>
        <v>6010.8819032573711</v>
      </c>
      <c r="U176" s="304">
        <f>$M176*'MWh Impact Summary'!M$25</f>
        <v>19483.661370996266</v>
      </c>
      <c r="V176" s="302">
        <f>$L176*'MWh Impact Summary'!O$25</f>
        <v>57942.770941343631</v>
      </c>
      <c r="W176" s="302">
        <f>$L176*'MWh Impact Summary'!P$25</f>
        <v>313633.00723043451</v>
      </c>
      <c r="X176" s="302">
        <f>$L176*'MWh Impact Summary'!Q$25</f>
        <v>114956.69135916392</v>
      </c>
      <c r="Y176" s="85">
        <f t="shared" si="64"/>
        <v>700711.47404477547</v>
      </c>
      <c r="Z176" s="81">
        <f t="shared" si="65"/>
        <v>1059064.2585592242</v>
      </c>
      <c r="AA176" s="81"/>
      <c r="AB176" s="262">
        <f>+'MWh by mo-WgtbyActulCDH&amp;Days'!AB176</f>
        <v>5045414.9673927901</v>
      </c>
      <c r="AC176" s="308">
        <f t="shared" si="78"/>
        <v>209.906274390448</v>
      </c>
      <c r="AD176" s="309">
        <f t="shared" si="66"/>
        <v>71.025433354915307</v>
      </c>
      <c r="AE176" s="107">
        <f t="shared" si="67"/>
        <v>6.3415565495460102E-3</v>
      </c>
      <c r="AF176" s="309">
        <f t="shared" si="75"/>
        <v>138.88084103553271</v>
      </c>
      <c r="AG176" s="107">
        <f t="shared" si="68"/>
        <v>1.2400075092458279E-2</v>
      </c>
      <c r="AH176" s="119">
        <f t="shared" si="76"/>
        <v>1.8741631642004288E-2</v>
      </c>
      <c r="AI176" s="122">
        <f t="shared" si="69"/>
        <v>1.8741631642004285E-2</v>
      </c>
      <c r="AJ176" s="87" t="b">
        <f t="shared" si="77"/>
        <v>1</v>
      </c>
      <c r="AK176" s="88">
        <f t="shared" si="82"/>
        <v>1.310667982405353E-3</v>
      </c>
      <c r="AM176" s="89">
        <f t="shared" si="70"/>
        <v>313633.00723043451</v>
      </c>
      <c r="AN176" s="93"/>
      <c r="AO176" s="96">
        <f t="shared" si="84"/>
        <v>62.161984545842792</v>
      </c>
      <c r="AP176" s="92">
        <f t="shared" si="83"/>
        <v>5.5501771915931067E-3</v>
      </c>
      <c r="AR176" s="94">
        <f t="shared" si="71"/>
        <v>1.8741631642004285E-2</v>
      </c>
      <c r="AS176" s="95">
        <v>1007481.0355190123</v>
      </c>
      <c r="AU176" s="141">
        <v>209.906274390448</v>
      </c>
    </row>
    <row r="177" spans="1:47">
      <c r="A177" s="78">
        <v>2019</v>
      </c>
      <c r="B177" s="78">
        <v>5</v>
      </c>
      <c r="C177" s="317">
        <f t="shared" si="80"/>
        <v>208.47875842628665</v>
      </c>
      <c r="D177" s="324">
        <f t="shared" si="79"/>
        <v>0.10603105035770212</v>
      </c>
      <c r="E177" s="321">
        <f>$D177*'MWh Impact Summary'!B$25</f>
        <v>302599.75782957999</v>
      </c>
      <c r="F177" s="319">
        <f>$D177*'MWh Impact Summary'!N$25</f>
        <v>35357.868971278782</v>
      </c>
      <c r="G177" s="319">
        <f>$D177*'MWh Impact Summary'!C$25</f>
        <v>228439.28483320388</v>
      </c>
      <c r="H177" s="319">
        <f>$D177*'MWh Impact Summary'!D$25</f>
        <v>879.43051291737368</v>
      </c>
      <c r="I177" s="319">
        <f>$D177*'MWh Impact Summary'!E$25</f>
        <v>87870.283516480558</v>
      </c>
      <c r="J177" s="104">
        <f t="shared" si="72"/>
        <v>655146.62566346058</v>
      </c>
      <c r="K177" s="298">
        <f t="shared" si="81"/>
        <v>10.533333333333333</v>
      </c>
      <c r="L177" s="300">
        <f t="shared" si="61"/>
        <v>7.4152293793265281E-2</v>
      </c>
      <c r="M177" s="297">
        <f t="shared" si="73"/>
        <v>8.3333333333333329E-2</v>
      </c>
      <c r="N177" s="302">
        <f>$L177*'MWh Impact Summary'!F$25</f>
        <v>108970.66810113477</v>
      </c>
      <c r="O177" s="302">
        <f>$L177*'MWh Impact Summary'!G$25</f>
        <v>7370.3553975323539</v>
      </c>
      <c r="P177" s="304">
        <f>$M177*'MWh Impact Summary'!H$25</f>
        <v>8318.9410563016081</v>
      </c>
      <c r="Q177" s="304">
        <f>$M177*'MWh Impact Summary'!I$25</f>
        <v>1387.6247153592176</v>
      </c>
      <c r="R177" s="304">
        <f>$M177*'MWh Impact Summary'!J$25</f>
        <v>38287.060581780825</v>
      </c>
      <c r="S177" s="304">
        <f>$M177*'MWh Impact Summary'!K$25</f>
        <v>16986.455469833807</v>
      </c>
      <c r="T177" s="304">
        <f>$M177*'MWh Impact Summary'!L$25</f>
        <v>6010.8819032573711</v>
      </c>
      <c r="U177" s="304">
        <f>$M177*'MWh Impact Summary'!M$25</f>
        <v>19483.661370996266</v>
      </c>
      <c r="V177" s="302">
        <f>$L177*'MWh Impact Summary'!O$25</f>
        <v>54493.796480549376</v>
      </c>
      <c r="W177" s="302">
        <f>$L177*'MWh Impact Summary'!P$25</f>
        <v>294964.3758476706</v>
      </c>
      <c r="X177" s="302">
        <f>$L177*'MWh Impact Summary'!Q$25</f>
        <v>108114.03115921369</v>
      </c>
      <c r="Y177" s="85">
        <f t="shared" si="64"/>
        <v>664387.85208362993</v>
      </c>
      <c r="Z177" s="81">
        <f t="shared" si="65"/>
        <v>1319534.4777470906</v>
      </c>
      <c r="AA177" s="81"/>
      <c r="AB177" s="262">
        <f>+'MWh by mo-WgtbyActulCDH&amp;Days'!AB177</f>
        <v>5050667.5493750526</v>
      </c>
      <c r="AC177" s="308">
        <f t="shared" si="78"/>
        <v>261.25942063051923</v>
      </c>
      <c r="AD177" s="309">
        <f t="shared" si="66"/>
        <v>129.71485833482063</v>
      </c>
      <c r="AE177" s="107">
        <f t="shared" si="67"/>
        <v>1.2314701740647528E-2</v>
      </c>
      <c r="AF177" s="309">
        <f t="shared" si="75"/>
        <v>131.5445622956986</v>
      </c>
      <c r="AG177" s="107">
        <f t="shared" si="68"/>
        <v>1.2488407812882778E-2</v>
      </c>
      <c r="AH177" s="119">
        <f t="shared" si="76"/>
        <v>2.4803109553530309E-2</v>
      </c>
      <c r="AI177" s="122">
        <f t="shared" si="69"/>
        <v>2.4803109553530305E-2</v>
      </c>
      <c r="AJ177" s="87" t="b">
        <f t="shared" si="77"/>
        <v>1</v>
      </c>
      <c r="AK177" s="88">
        <f t="shared" si="82"/>
        <v>1.7669436947440886E-3</v>
      </c>
      <c r="AM177" s="89">
        <f t="shared" si="70"/>
        <v>294964.3758476706</v>
      </c>
      <c r="AN177" s="93"/>
      <c r="AO177" s="96">
        <f t="shared" si="84"/>
        <v>58.401067376562573</v>
      </c>
      <c r="AP177" s="92">
        <f t="shared" si="83"/>
        <v>5.5444051306863208E-3</v>
      </c>
      <c r="AR177" s="94">
        <f t="shared" si="71"/>
        <v>2.4803109553530305E-2</v>
      </c>
      <c r="AS177" s="95">
        <v>1212333.667608062</v>
      </c>
      <c r="AU177" s="141">
        <v>261.25942063051923</v>
      </c>
    </row>
    <row r="178" spans="1:47">
      <c r="A178" s="78">
        <v>2019</v>
      </c>
      <c r="B178" s="78">
        <v>6</v>
      </c>
      <c r="C178" s="317">
        <f t="shared" si="80"/>
        <v>271.66325293295364</v>
      </c>
      <c r="D178" s="324">
        <f t="shared" ref="D178:D216" si="85">D166</f>
        <v>0.13816630657965029</v>
      </c>
      <c r="E178" s="321">
        <f>$D178*'MWh Impact Summary'!B$25</f>
        <v>394309.88158812159</v>
      </c>
      <c r="F178" s="319">
        <f>$D178*'MWh Impact Summary'!N$25</f>
        <v>46073.920307382316</v>
      </c>
      <c r="G178" s="319">
        <f>$D178*'MWh Impact Summary'!C$25</f>
        <v>297673.2962337177</v>
      </c>
      <c r="H178" s="319">
        <f>$D178*'MWh Impact Summary'!D$25</f>
        <v>1145.963050005895</v>
      </c>
      <c r="I178" s="319">
        <f>$D178*'MWh Impact Summary'!E$25</f>
        <v>114501.48320347126</v>
      </c>
      <c r="J178" s="104">
        <f t="shared" si="72"/>
        <v>853704.54438269872</v>
      </c>
      <c r="K178" s="298">
        <f t="shared" si="81"/>
        <v>10.199999999999999</v>
      </c>
      <c r="L178" s="300">
        <f t="shared" ref="L178:L216" si="86">L166</f>
        <v>7.1805702217529022E-2</v>
      </c>
      <c r="M178" s="297">
        <f t="shared" si="73"/>
        <v>8.3333333333333329E-2</v>
      </c>
      <c r="N178" s="302">
        <f>$L178*'MWh Impact Summary'!F$25</f>
        <v>105522.22923717479</v>
      </c>
      <c r="O178" s="302">
        <f>$L178*'MWh Impact Summary'!G$25</f>
        <v>7137.1163026737331</v>
      </c>
      <c r="P178" s="304">
        <f>$M178*'MWh Impact Summary'!H$25</f>
        <v>8318.9410563016081</v>
      </c>
      <c r="Q178" s="304">
        <f>$M178*'MWh Impact Summary'!I$25</f>
        <v>1387.6247153592176</v>
      </c>
      <c r="R178" s="304">
        <f>$M178*'MWh Impact Summary'!J$25</f>
        <v>38287.060581780825</v>
      </c>
      <c r="S178" s="304">
        <f>$M178*'MWh Impact Summary'!K$25</f>
        <v>16986.455469833807</v>
      </c>
      <c r="T178" s="304">
        <f>$M178*'MWh Impact Summary'!L$25</f>
        <v>6010.8819032573711</v>
      </c>
      <c r="U178" s="304">
        <f>$M178*'MWh Impact Summary'!M$25</f>
        <v>19483.661370996266</v>
      </c>
      <c r="V178" s="302">
        <f>$L178*'MWh Impact Summary'!O$25</f>
        <v>52769.309250152233</v>
      </c>
      <c r="W178" s="302">
        <f>$L178*'MWh Impact Summary'!P$25</f>
        <v>285630.06015628856</v>
      </c>
      <c r="X178" s="302">
        <f>$L178*'MWh Impact Summary'!Q$25</f>
        <v>104692.70105923855</v>
      </c>
      <c r="Y178" s="85">
        <f t="shared" si="64"/>
        <v>646226.04110305686</v>
      </c>
      <c r="Z178" s="81">
        <f t="shared" si="65"/>
        <v>1499930.5854857555</v>
      </c>
      <c r="AA178" s="81"/>
      <c r="AB178" s="262">
        <f>+'MWh by mo-WgtbyActulCDH&amp;Days'!AB178</f>
        <v>5055929.9660004415</v>
      </c>
      <c r="AC178" s="308">
        <f t="shared" si="78"/>
        <v>296.66759539240508</v>
      </c>
      <c r="AD178" s="309">
        <f t="shared" si="66"/>
        <v>168.85213009744928</v>
      </c>
      <c r="AE178" s="107">
        <f t="shared" si="67"/>
        <v>1.6554130401710714E-2</v>
      </c>
      <c r="AF178" s="309">
        <f t="shared" si="75"/>
        <v>127.81546529495589</v>
      </c>
      <c r="AG178" s="107">
        <f t="shared" si="68"/>
        <v>1.2530927970093716E-2</v>
      </c>
      <c r="AH178" s="119">
        <f t="shared" si="76"/>
        <v>2.9085058371804431E-2</v>
      </c>
      <c r="AI178" s="122">
        <f t="shared" si="69"/>
        <v>2.9085058371804421E-2</v>
      </c>
      <c r="AJ178" s="87" t="b">
        <f t="shared" si="77"/>
        <v>1</v>
      </c>
      <c r="AK178" s="88">
        <f t="shared" si="82"/>
        <v>2.0882115788219413E-3</v>
      </c>
      <c r="AM178" s="89">
        <f t="shared" si="70"/>
        <v>285630.06015628856</v>
      </c>
      <c r="AN178" s="93"/>
      <c r="AO178" s="96">
        <f t="shared" si="84"/>
        <v>56.494069751175751</v>
      </c>
      <c r="AP178" s="92">
        <f t="shared" si="83"/>
        <v>5.5386342893309565E-3</v>
      </c>
      <c r="AR178" s="94">
        <f t="shared" si="71"/>
        <v>2.9085058371804421E-2</v>
      </c>
      <c r="AS178" s="95">
        <v>1480669.7439639654</v>
      </c>
      <c r="AU178" s="141">
        <v>296.66759539240508</v>
      </c>
    </row>
    <row r="179" spans="1:47">
      <c r="A179" s="78">
        <v>2019</v>
      </c>
      <c r="B179" s="78">
        <v>7</v>
      </c>
      <c r="C179" s="317">
        <f t="shared" si="80"/>
        <v>322.31916585708109</v>
      </c>
      <c r="D179" s="324">
        <f t="shared" si="85"/>
        <v>0.16392960109808263</v>
      </c>
      <c r="E179" s="321">
        <f>$D179*'MWh Impact Summary'!B$25</f>
        <v>467835.19946311775</v>
      </c>
      <c r="F179" s="319">
        <f>$D179*'MWh Impact Summary'!N$25</f>
        <v>54665.131926790986</v>
      </c>
      <c r="G179" s="319">
        <f>$D179*'MWh Impact Summary'!C$25</f>
        <v>353179.19337312464</v>
      </c>
      <c r="H179" s="319">
        <f>$D179*'MWh Impact Summary'!D$25</f>
        <v>1359.645996995022</v>
      </c>
      <c r="I179" s="319">
        <f>$D179*'MWh Impact Summary'!E$25</f>
        <v>135852.09687763633</v>
      </c>
      <c r="J179" s="104">
        <f t="shared" si="72"/>
        <v>1012891.2676376647</v>
      </c>
      <c r="K179" s="298">
        <f t="shared" si="81"/>
        <v>10.366666666666667</v>
      </c>
      <c r="L179" s="300">
        <f t="shared" si="86"/>
        <v>7.2978998005397158E-2</v>
      </c>
      <c r="M179" s="297">
        <f t="shared" si="73"/>
        <v>8.3333333333333329E-2</v>
      </c>
      <c r="N179" s="302">
        <f>$L179*'MWh Impact Summary'!F$25</f>
        <v>107246.44866915479</v>
      </c>
      <c r="O179" s="302">
        <f>$L179*'MWh Impact Summary'!G$25</f>
        <v>7253.735850103044</v>
      </c>
      <c r="P179" s="304">
        <f>$M179*'MWh Impact Summary'!H$25</f>
        <v>8318.9410563016081</v>
      </c>
      <c r="Q179" s="304">
        <f>$M179*'MWh Impact Summary'!I$25</f>
        <v>1387.6247153592176</v>
      </c>
      <c r="R179" s="304">
        <f>$M179*'MWh Impact Summary'!J$25</f>
        <v>38287.060581780825</v>
      </c>
      <c r="S179" s="304">
        <f>$M179*'MWh Impact Summary'!K$25</f>
        <v>16986.455469833807</v>
      </c>
      <c r="T179" s="304">
        <f>$M179*'MWh Impact Summary'!L$25</f>
        <v>6010.8819032573711</v>
      </c>
      <c r="U179" s="304">
        <f>$M179*'MWh Impact Summary'!M$25</f>
        <v>19483.661370996266</v>
      </c>
      <c r="V179" s="302">
        <f>$L179*'MWh Impact Summary'!O$25</f>
        <v>53631.552865350808</v>
      </c>
      <c r="W179" s="302">
        <f>$L179*'MWh Impact Summary'!P$25</f>
        <v>290297.21800197958</v>
      </c>
      <c r="X179" s="302">
        <f>$L179*'MWh Impact Summary'!Q$25</f>
        <v>106403.36610922613</v>
      </c>
      <c r="Y179" s="85">
        <f t="shared" si="64"/>
        <v>655306.94659334351</v>
      </c>
      <c r="Z179" s="81">
        <f t="shared" si="65"/>
        <v>1668198.2142310082</v>
      </c>
      <c r="AA179" s="81"/>
      <c r="AB179" s="262">
        <f>+'MWh by mo-WgtbyActulCDH&amp;Days'!AB179</f>
        <v>5061685.0368930642</v>
      </c>
      <c r="AC179" s="308">
        <f t="shared" si="78"/>
        <v>329.57368980330165</v>
      </c>
      <c r="AD179" s="309">
        <f t="shared" si="66"/>
        <v>200.10950113549382</v>
      </c>
      <c r="AE179" s="107">
        <f t="shared" si="67"/>
        <v>1.9303167312105511E-2</v>
      </c>
      <c r="AF179" s="309">
        <f t="shared" si="75"/>
        <v>129.46418866780783</v>
      </c>
      <c r="AG179" s="107">
        <f t="shared" si="68"/>
        <v>1.2488506945447699E-2</v>
      </c>
      <c r="AH179" s="119">
        <f t="shared" si="76"/>
        <v>3.1791674257553207E-2</v>
      </c>
      <c r="AI179" s="122">
        <f t="shared" si="69"/>
        <v>3.1791674257553214E-2</v>
      </c>
      <c r="AJ179" s="87" t="b">
        <f t="shared" si="77"/>
        <v>1</v>
      </c>
      <c r="AK179" s="88">
        <f t="shared" si="82"/>
        <v>2.2878594771720238E-3</v>
      </c>
      <c r="AM179" s="89">
        <f t="shared" si="70"/>
        <v>290297.21800197958</v>
      </c>
      <c r="AN179" s="93"/>
      <c r="AO179" s="96">
        <f t="shared" si="84"/>
        <v>57.351892874821829</v>
      </c>
      <c r="AP179" s="92">
        <f t="shared" si="83"/>
        <v>5.5323369332625555E-3</v>
      </c>
      <c r="AR179" s="94">
        <f t="shared" si="71"/>
        <v>3.1791674257553214E-2</v>
      </c>
      <c r="AS179" s="95">
        <v>1557805.0600731373</v>
      </c>
      <c r="AU179" s="141">
        <v>329.57368980330165</v>
      </c>
    </row>
    <row r="180" spans="1:47">
      <c r="A180" s="78">
        <v>2019</v>
      </c>
      <c r="B180" s="78">
        <v>8</v>
      </c>
      <c r="C180" s="317">
        <f t="shared" si="80"/>
        <v>326.45437890907908</v>
      </c>
      <c r="D180" s="324">
        <f t="shared" si="85"/>
        <v>0.16603274573816959</v>
      </c>
      <c r="E180" s="321">
        <f>$D180*'MWh Impact Summary'!B$25</f>
        <v>473837.31918770709</v>
      </c>
      <c r="F180" s="319">
        <f>$D180*'MWh Impact Summary'!N$25</f>
        <v>55366.461512426271</v>
      </c>
      <c r="G180" s="319">
        <f>$D180*'MWh Impact Summary'!C$25</f>
        <v>357710.32699729846</v>
      </c>
      <c r="H180" s="319">
        <f>$D180*'MWh Impact Summary'!D$25</f>
        <v>1377.0896567845973</v>
      </c>
      <c r="I180" s="319">
        <f>$D180*'MWh Impact Summary'!E$25</f>
        <v>137595.01949489946</v>
      </c>
      <c r="J180" s="104">
        <f t="shared" si="72"/>
        <v>1025886.2168491159</v>
      </c>
      <c r="K180" s="298">
        <f t="shared" si="81"/>
        <v>10.933333333333334</v>
      </c>
      <c r="L180" s="300">
        <f t="shared" si="86"/>
        <v>7.6968203684148764E-2</v>
      </c>
      <c r="M180" s="297">
        <f t="shared" si="73"/>
        <v>8.3333333333333329E-2</v>
      </c>
      <c r="N180" s="302">
        <f>$L180*'MWh Impact Summary'!F$25</f>
        <v>113108.79473788671</v>
      </c>
      <c r="O180" s="302">
        <f>$L180*'MWh Impact Summary'!G$25</f>
        <v>7650.2423113626955</v>
      </c>
      <c r="P180" s="304">
        <f>$M180*'MWh Impact Summary'!H$25</f>
        <v>8318.9410563016081</v>
      </c>
      <c r="Q180" s="304">
        <f>$M180*'MWh Impact Summary'!I$25</f>
        <v>1387.6247153592176</v>
      </c>
      <c r="R180" s="304">
        <f>$M180*'MWh Impact Summary'!J$25</f>
        <v>38287.060581780825</v>
      </c>
      <c r="S180" s="304">
        <f>$M180*'MWh Impact Summary'!K$25</f>
        <v>16986.455469833807</v>
      </c>
      <c r="T180" s="304">
        <f>$M180*'MWh Impact Summary'!L$25</f>
        <v>6010.8819032573711</v>
      </c>
      <c r="U180" s="304">
        <f>$M180*'MWh Impact Summary'!M$25</f>
        <v>19483.661370996266</v>
      </c>
      <c r="V180" s="302">
        <f>$L180*'MWh Impact Summary'!O$25</f>
        <v>56563.181157025931</v>
      </c>
      <c r="W180" s="302">
        <f>$L180*'MWh Impact Summary'!P$25</f>
        <v>306165.55467732891</v>
      </c>
      <c r="X180" s="302">
        <f>$L180*'MWh Impact Summary'!Q$25</f>
        <v>112219.62727918383</v>
      </c>
      <c r="Y180" s="85">
        <f t="shared" si="64"/>
        <v>686182.02526031714</v>
      </c>
      <c r="Z180" s="81">
        <f t="shared" si="65"/>
        <v>1712068.242109433</v>
      </c>
      <c r="AA180" s="81"/>
      <c r="AB180" s="262">
        <f>+'MWh by mo-WgtbyActulCDH&amp;Days'!AB180</f>
        <v>5067694.0549152512</v>
      </c>
      <c r="AC180" s="308">
        <f t="shared" si="78"/>
        <v>337.83970057325502</v>
      </c>
      <c r="AD180" s="309">
        <f t="shared" si="66"/>
        <v>202.43649394226745</v>
      </c>
      <c r="AE180" s="107">
        <f t="shared" si="67"/>
        <v>1.8515532982524462E-2</v>
      </c>
      <c r="AF180" s="309">
        <f t="shared" si="75"/>
        <v>135.40320663098757</v>
      </c>
      <c r="AG180" s="107">
        <f t="shared" si="68"/>
        <v>1.2384439630883008E-2</v>
      </c>
      <c r="AH180" s="119">
        <f t="shared" si="76"/>
        <v>3.0899972613407468E-2</v>
      </c>
      <c r="AI180" s="122">
        <f t="shared" si="69"/>
        <v>3.0899972613407472E-2</v>
      </c>
      <c r="AJ180" s="87" t="b">
        <f t="shared" si="77"/>
        <v>1</v>
      </c>
      <c r="AK180" s="88">
        <f t="shared" si="82"/>
        <v>2.2172993646459895E-3</v>
      </c>
      <c r="AM180" s="89">
        <f t="shared" si="70"/>
        <v>306165.55467732891</v>
      </c>
      <c r="AN180" s="93"/>
      <c r="AO180" s="96">
        <f t="shared" si="84"/>
        <v>60.415161483628474</v>
      </c>
      <c r="AP180" s="92">
        <f t="shared" si="83"/>
        <v>5.525776964966019E-3</v>
      </c>
      <c r="AR180" s="94">
        <f t="shared" si="71"/>
        <v>3.0899972613407472E-2</v>
      </c>
      <c r="AS180" s="95">
        <v>1619595.3729790451</v>
      </c>
      <c r="AU180" s="141">
        <v>337.83970057325502</v>
      </c>
    </row>
    <row r="181" spans="1:47">
      <c r="A181" s="78">
        <v>2019</v>
      </c>
      <c r="B181" s="78">
        <v>9</v>
      </c>
      <c r="C181" s="317">
        <f t="shared" si="80"/>
        <v>277.87653293728147</v>
      </c>
      <c r="D181" s="324">
        <f t="shared" si="85"/>
        <v>0.14132634365008559</v>
      </c>
      <c r="E181" s="321">
        <f>$D181*'MWh Impact Summary'!B$25</f>
        <v>403328.2441245704</v>
      </c>
      <c r="F181" s="319">
        <f>$D181*'MWh Impact Summary'!N$25</f>
        <v>47127.688767695588</v>
      </c>
      <c r="G181" s="319">
        <f>$D181*'MWh Impact Summary'!C$25</f>
        <v>304481.45861616475</v>
      </c>
      <c r="H181" s="319">
        <f>$D181*'MWh Impact Summary'!D$25</f>
        <v>1172.172665135761</v>
      </c>
      <c r="I181" s="319">
        <f>$D181*'MWh Impact Summary'!E$25</f>
        <v>117120.27602279154</v>
      </c>
      <c r="J181" s="104">
        <f t="shared" si="72"/>
        <v>873229.84019635804</v>
      </c>
      <c r="K181" s="298">
        <f t="shared" si="81"/>
        <v>11.683333333333334</v>
      </c>
      <c r="L181" s="300">
        <f t="shared" si="86"/>
        <v>8.2248034729555317E-2</v>
      </c>
      <c r="M181" s="297">
        <f t="shared" si="73"/>
        <v>8.3333333333333329E-2</v>
      </c>
      <c r="N181" s="302">
        <f>$L181*'MWh Impact Summary'!F$25</f>
        <v>120867.78218179663</v>
      </c>
      <c r="O181" s="302">
        <f>$L181*'MWh Impact Summary'!G$25</f>
        <v>8175.030274794588</v>
      </c>
      <c r="P181" s="304">
        <f>$M181*'MWh Impact Summary'!H$25</f>
        <v>8318.9410563016081</v>
      </c>
      <c r="Q181" s="304">
        <f>$M181*'MWh Impact Summary'!I$25</f>
        <v>1387.6247153592176</v>
      </c>
      <c r="R181" s="304">
        <f>$M181*'MWh Impact Summary'!J$25</f>
        <v>38287.060581780825</v>
      </c>
      <c r="S181" s="304">
        <f>$M181*'MWh Impact Summary'!K$25</f>
        <v>16986.455469833807</v>
      </c>
      <c r="T181" s="304">
        <f>$M181*'MWh Impact Summary'!L$25</f>
        <v>6010.8819032573711</v>
      </c>
      <c r="U181" s="304">
        <f>$M181*'MWh Impact Summary'!M$25</f>
        <v>19483.661370996266</v>
      </c>
      <c r="V181" s="302">
        <f>$L181*'MWh Impact Summary'!O$25</f>
        <v>60443.277425419481</v>
      </c>
      <c r="W181" s="302">
        <f>$L181*'MWh Impact Summary'!P$25</f>
        <v>327167.76498293842</v>
      </c>
      <c r="X181" s="302">
        <f>$L181*'MWh Impact Summary'!Q$25</f>
        <v>119917.62000412784</v>
      </c>
      <c r="Y181" s="85">
        <f t="shared" si="64"/>
        <v>727046.09996660601</v>
      </c>
      <c r="Z181" s="81">
        <f t="shared" si="65"/>
        <v>1600275.9401629642</v>
      </c>
      <c r="AA181" s="81"/>
      <c r="AB181" s="262">
        <f>+'MWh by mo-WgtbyActulCDH&amp;Days'!AB181</f>
        <v>5072789.4203578094</v>
      </c>
      <c r="AC181" s="308">
        <f t="shared" si="78"/>
        <v>315.4627183499544</v>
      </c>
      <c r="AD181" s="309">
        <f t="shared" si="66"/>
        <v>172.13997425005763</v>
      </c>
      <c r="AE181" s="107">
        <f t="shared" si="67"/>
        <v>1.4733806640518484E-2</v>
      </c>
      <c r="AF181" s="309">
        <f t="shared" si="75"/>
        <v>143.32274409989677</v>
      </c>
      <c r="AG181" s="107">
        <f t="shared" si="68"/>
        <v>1.2267281948635956E-2</v>
      </c>
      <c r="AH181" s="119">
        <f t="shared" si="76"/>
        <v>2.700108858915444E-2</v>
      </c>
      <c r="AI181" s="122">
        <f t="shared" si="69"/>
        <v>2.7001088589154443E-2</v>
      </c>
      <c r="AJ181" s="87" t="b">
        <f t="shared" si="77"/>
        <v>1</v>
      </c>
      <c r="AK181" s="88">
        <f t="shared" si="82"/>
        <v>1.9202672781754339E-3</v>
      </c>
      <c r="AM181" s="89">
        <f t="shared" si="70"/>
        <v>327167.76498293842</v>
      </c>
      <c r="AN181" s="93"/>
      <c r="AO181" s="96">
        <f t="shared" si="84"/>
        <v>64.494647396552409</v>
      </c>
      <c r="AP181" s="92">
        <f t="shared" si="83"/>
        <v>5.5202265959959267E-3</v>
      </c>
      <c r="AR181" s="94">
        <f t="shared" si="71"/>
        <v>2.7001088589154443E-2</v>
      </c>
      <c r="AS181" s="95">
        <v>1529578.6557736564</v>
      </c>
      <c r="AU181" s="141">
        <v>315.4627183499544</v>
      </c>
    </row>
    <row r="182" spans="1:47">
      <c r="A182" s="78">
        <v>2019</v>
      </c>
      <c r="B182" s="78">
        <v>10</v>
      </c>
      <c r="C182" s="317">
        <f t="shared" si="80"/>
        <v>198.89039579254836</v>
      </c>
      <c r="D182" s="324">
        <f t="shared" si="85"/>
        <v>0.10115446643644242</v>
      </c>
      <c r="E182" s="321">
        <f>$D182*'MWh Impact Summary'!B$25</f>
        <v>288682.57877089287</v>
      </c>
      <c r="F182" s="319">
        <f>$D182*'MWh Impact Summary'!N$25</f>
        <v>33731.688576633467</v>
      </c>
      <c r="G182" s="319">
        <f>$D182*'MWh Impact Summary'!C$25</f>
        <v>217932.89694358563</v>
      </c>
      <c r="H182" s="319">
        <f>$D182*'MWh Impact Summary'!D$25</f>
        <v>838.98371280844208</v>
      </c>
      <c r="I182" s="319">
        <f>$D182*'MWh Impact Summary'!E$25</f>
        <v>83828.950243751417</v>
      </c>
      <c r="J182" s="104">
        <f t="shared" si="72"/>
        <v>625015.09824767185</v>
      </c>
      <c r="K182" s="298">
        <f t="shared" si="81"/>
        <v>12.466666666666667</v>
      </c>
      <c r="L182" s="300">
        <f t="shared" si="86"/>
        <v>8.7762524932535488E-2</v>
      </c>
      <c r="M182" s="297">
        <f t="shared" si="73"/>
        <v>8.3333333333333329E-2</v>
      </c>
      <c r="N182" s="302">
        <f>$L182*'MWh Impact Summary'!F$25</f>
        <v>128971.61351210254</v>
      </c>
      <c r="O182" s="302">
        <f>$L182*'MWh Impact Summary'!G$25</f>
        <v>8723.1421477123422</v>
      </c>
      <c r="P182" s="304">
        <f>$M182*'MWh Impact Summary'!H$25</f>
        <v>8318.9410563016081</v>
      </c>
      <c r="Q182" s="304">
        <f>$M182*'MWh Impact Summary'!I$25</f>
        <v>1387.6247153592176</v>
      </c>
      <c r="R182" s="304">
        <f>$M182*'MWh Impact Summary'!J$25</f>
        <v>38287.060581780825</v>
      </c>
      <c r="S182" s="304">
        <f>$M182*'MWh Impact Summary'!K$25</f>
        <v>16986.455469833807</v>
      </c>
      <c r="T182" s="304">
        <f>$M182*'MWh Impact Summary'!L$25</f>
        <v>6010.8819032573711</v>
      </c>
      <c r="U182" s="304">
        <f>$M182*'MWh Impact Summary'!M$25</f>
        <v>19483.661370996266</v>
      </c>
      <c r="V182" s="302">
        <f>$L182*'MWh Impact Summary'!O$25</f>
        <v>64495.822416852738</v>
      </c>
      <c r="W182" s="302">
        <f>$L182*'MWh Impact Summary'!P$25</f>
        <v>349103.40685768606</v>
      </c>
      <c r="X182" s="302">
        <f>$L182*'MWh Impact Summary'!Q$25</f>
        <v>127957.74573906936</v>
      </c>
      <c r="Y182" s="85">
        <f t="shared" si="64"/>
        <v>769726.35577095207</v>
      </c>
      <c r="Z182" s="81">
        <f t="shared" si="65"/>
        <v>1394741.454018624</v>
      </c>
      <c r="AA182" s="81"/>
      <c r="AB182" s="262">
        <f>+'MWh by mo-WgtbyActulCDH&amp;Days'!AB182</f>
        <v>5078184.2010707669</v>
      </c>
      <c r="AC182" s="308">
        <f t="shared" si="78"/>
        <v>274.65357671045768</v>
      </c>
      <c r="AD182" s="309">
        <f t="shared" si="66"/>
        <v>123.07846141459058</v>
      </c>
      <c r="AE182" s="107">
        <f t="shared" si="67"/>
        <v>9.8726038567853412E-3</v>
      </c>
      <c r="AF182" s="309">
        <f t="shared" si="75"/>
        <v>151.57511529586708</v>
      </c>
      <c r="AG182" s="107">
        <f t="shared" si="68"/>
        <v>1.2158431708224631E-2</v>
      </c>
      <c r="AH182" s="119">
        <f t="shared" si="76"/>
        <v>2.2031035565009974E-2</v>
      </c>
      <c r="AI182" s="122">
        <f t="shared" si="69"/>
        <v>2.2031035565009977E-2</v>
      </c>
      <c r="AJ182" s="87" t="b">
        <f t="shared" si="77"/>
        <v>1</v>
      </c>
      <c r="AK182" s="88">
        <f t="shared" si="82"/>
        <v>1.5452680323755456E-3</v>
      </c>
      <c r="AM182" s="89">
        <f t="shared" si="70"/>
        <v>349103.40685768606</v>
      </c>
      <c r="AN182" s="93"/>
      <c r="AO182" s="96">
        <f t="shared" si="84"/>
        <v>68.745715601272479</v>
      </c>
      <c r="AP182" s="92">
        <f t="shared" si="83"/>
        <v>5.514362214005814E-3</v>
      </c>
      <c r="AR182" s="94">
        <f t="shared" si="71"/>
        <v>2.2031035565009977E-2</v>
      </c>
      <c r="AS182" s="95">
        <v>1231148.637096449</v>
      </c>
      <c r="AU182" s="141">
        <v>274.65357671045768</v>
      </c>
    </row>
    <row r="183" spans="1:47">
      <c r="A183" s="78">
        <v>2019</v>
      </c>
      <c r="B183" s="78">
        <v>11</v>
      </c>
      <c r="C183" s="317">
        <f t="shared" si="80"/>
        <v>78.117279066674627</v>
      </c>
      <c r="D183" s="324">
        <f t="shared" si="85"/>
        <v>3.9729981188725644E-2</v>
      </c>
      <c r="E183" s="321">
        <f>$D183*'MWh Impact Summary'!B$25</f>
        <v>113384.54769356952</v>
      </c>
      <c r="F183" s="319">
        <f>$D183*'MWh Impact Summary'!N$25</f>
        <v>13248.642396385443</v>
      </c>
      <c r="G183" s="319">
        <f>$D183*'MWh Impact Summary'!C$25</f>
        <v>85596.515912754563</v>
      </c>
      <c r="H183" s="319">
        <f>$D183*'MWh Impact Summary'!D$25</f>
        <v>329.52382926630668</v>
      </c>
      <c r="I183" s="319">
        <f>$D183*'MWh Impact Summary'!E$25</f>
        <v>32925.116740618694</v>
      </c>
      <c r="J183" s="104">
        <f t="shared" si="72"/>
        <v>245484.34657259451</v>
      </c>
      <c r="K183" s="298">
        <f t="shared" si="81"/>
        <v>13.15</v>
      </c>
      <c r="L183" s="300">
        <f t="shared" si="86"/>
        <v>9.2573037662794788E-2</v>
      </c>
      <c r="M183" s="297">
        <f t="shared" si="73"/>
        <v>8.3333333333333329E-2</v>
      </c>
      <c r="N183" s="302">
        <f>$L183*'MWh Impact Summary'!F$25</f>
        <v>136040.91318322046</v>
      </c>
      <c r="O183" s="302">
        <f>$L183*'MWh Impact Summary'!G$25</f>
        <v>9201.282292172511</v>
      </c>
      <c r="P183" s="304">
        <f>$M183*'MWh Impact Summary'!H$25</f>
        <v>8318.9410563016081</v>
      </c>
      <c r="Q183" s="304">
        <f>$M183*'MWh Impact Summary'!I$25</f>
        <v>1387.6247153592176</v>
      </c>
      <c r="R183" s="304">
        <f>$M183*'MWh Impact Summary'!J$25</f>
        <v>38287.060581780825</v>
      </c>
      <c r="S183" s="304">
        <f>$M183*'MWh Impact Summary'!K$25</f>
        <v>16986.455469833807</v>
      </c>
      <c r="T183" s="304">
        <f>$M183*'MWh Impact Summary'!L$25</f>
        <v>6010.8819032573711</v>
      </c>
      <c r="U183" s="304">
        <f>$M183*'MWh Impact Summary'!M$25</f>
        <v>19483.661370996266</v>
      </c>
      <c r="V183" s="302">
        <f>$L183*'MWh Impact Summary'!O$25</f>
        <v>68031.021239166861</v>
      </c>
      <c r="W183" s="302">
        <f>$L183*'MWh Impact Summary'!P$25</f>
        <v>368238.75402501912</v>
      </c>
      <c r="X183" s="302">
        <f>$L183*'MWh Impact Summary'!Q$25</f>
        <v>134971.47244401835</v>
      </c>
      <c r="Y183" s="85">
        <f t="shared" si="64"/>
        <v>806958.06828112644</v>
      </c>
      <c r="Z183" s="81">
        <f t="shared" si="65"/>
        <v>1052442.4148537209</v>
      </c>
      <c r="AA183" s="81"/>
      <c r="AB183" s="262">
        <f>+'MWh by mo-WgtbyActulCDH&amp;Days'!AB183</f>
        <v>5083645.8651113315</v>
      </c>
      <c r="AC183" s="308">
        <f t="shared" si="78"/>
        <v>207.02512385383724</v>
      </c>
      <c r="AD183" s="309">
        <f t="shared" si="66"/>
        <v>48.289033714432122</v>
      </c>
      <c r="AE183" s="107">
        <f t="shared" si="67"/>
        <v>3.6721698642153706E-3</v>
      </c>
      <c r="AF183" s="309">
        <f t="shared" si="75"/>
        <v>158.73609013940512</v>
      </c>
      <c r="AG183" s="107">
        <f t="shared" si="68"/>
        <v>1.2071185561931947E-2</v>
      </c>
      <c r="AH183" s="119">
        <f t="shared" si="76"/>
        <v>1.5743355426147319E-2</v>
      </c>
      <c r="AI183" s="122">
        <f t="shared" si="69"/>
        <v>1.5743355426147319E-2</v>
      </c>
      <c r="AJ183" s="87" t="b">
        <f t="shared" si="77"/>
        <v>1</v>
      </c>
      <c r="AK183" s="88">
        <f t="shared" si="82"/>
        <v>1.0742493571883182E-3</v>
      </c>
      <c r="AM183" s="89">
        <f t="shared" si="70"/>
        <v>368238.75402501912</v>
      </c>
      <c r="AN183" s="93"/>
      <c r="AO183" s="96">
        <f t="shared" si="84"/>
        <v>72.435957144893436</v>
      </c>
      <c r="AP183" s="92">
        <f t="shared" si="83"/>
        <v>5.5084378056953183E-3</v>
      </c>
      <c r="AR183" s="94">
        <f t="shared" si="71"/>
        <v>1.5743355426147319E-2</v>
      </c>
      <c r="AS183" s="95">
        <v>948328.38809993269</v>
      </c>
      <c r="AU183" s="141">
        <v>207.02512385383724</v>
      </c>
    </row>
    <row r="184" spans="1:47">
      <c r="A184" s="78">
        <v>2019</v>
      </c>
      <c r="B184" s="78">
        <v>12</v>
      </c>
      <c r="C184" s="317">
        <f t="shared" si="80"/>
        <v>42.633806123140985</v>
      </c>
      <c r="D184" s="324">
        <f t="shared" si="85"/>
        <v>2.1683298951445065E-2</v>
      </c>
      <c r="E184" s="321">
        <f>$D184*'MWh Impact Summary'!B$25</f>
        <v>61881.505365819889</v>
      </c>
      <c r="F184" s="319">
        <f>$D184*'MWh Impact Summary'!N$25</f>
        <v>7230.6672489222383</v>
      </c>
      <c r="G184" s="319">
        <f>$D184*'MWh Impact Summary'!C$25</f>
        <v>46715.724201376455</v>
      </c>
      <c r="H184" s="319">
        <f>$D184*'MWh Impact Summary'!D$25</f>
        <v>179.84311816472459</v>
      </c>
      <c r="I184" s="319">
        <f>$D184*'MWh Impact Summary'!E$25</f>
        <v>17969.430841327892</v>
      </c>
      <c r="J184" s="104">
        <f t="shared" si="72"/>
        <v>133977.17077561119</v>
      </c>
      <c r="K184" s="298">
        <f t="shared" si="81"/>
        <v>13.483333333333333</v>
      </c>
      <c r="L184" s="300">
        <f t="shared" si="86"/>
        <v>9.491962923853102E-2</v>
      </c>
      <c r="M184" s="297">
        <f t="shared" si="73"/>
        <v>8.3333333333333329E-2</v>
      </c>
      <c r="N184" s="302">
        <f>$L184*'MWh Impact Summary'!F$25</f>
        <v>139489.35204718041</v>
      </c>
      <c r="O184" s="302">
        <f>$L184*'MWh Impact Summary'!G$25</f>
        <v>9434.5213870311291</v>
      </c>
      <c r="P184" s="304">
        <f>$M184*'MWh Impact Summary'!H$25</f>
        <v>8318.9410563016081</v>
      </c>
      <c r="Q184" s="304">
        <f>$M184*'MWh Impact Summary'!I$25</f>
        <v>1387.6247153592176</v>
      </c>
      <c r="R184" s="304">
        <f>$M184*'MWh Impact Summary'!J$25</f>
        <v>38287.060581780825</v>
      </c>
      <c r="S184" s="304">
        <f>$M184*'MWh Impact Summary'!K$25</f>
        <v>16986.455469833807</v>
      </c>
      <c r="T184" s="304">
        <f>$M184*'MWh Impact Summary'!L$25</f>
        <v>6010.8819032573711</v>
      </c>
      <c r="U184" s="304">
        <f>$M184*'MWh Impact Summary'!M$25</f>
        <v>19483.661370996266</v>
      </c>
      <c r="V184" s="302">
        <f>$L184*'MWh Impact Summary'!O$25</f>
        <v>69755.508469563982</v>
      </c>
      <c r="W184" s="302">
        <f>$L184*'MWh Impact Summary'!P$25</f>
        <v>377573.06971640105</v>
      </c>
      <c r="X184" s="302">
        <f>$L184*'MWh Impact Summary'!Q$25</f>
        <v>138392.80254399346</v>
      </c>
      <c r="Y184" s="85">
        <f t="shared" si="64"/>
        <v>825119.87926169916</v>
      </c>
      <c r="Z184" s="81">
        <f t="shared" si="65"/>
        <v>959097.05003731034</v>
      </c>
      <c r="AA184" s="81">
        <f>SUM(Z173:Z184)</f>
        <v>15004169.846163053</v>
      </c>
      <c r="AB184" s="262">
        <f>+'MWh by mo-WgtbyActulCDH&amp;Days'!AB184</f>
        <v>5089162.3387235999</v>
      </c>
      <c r="AC184" s="308">
        <f t="shared" si="78"/>
        <v>188.45872585739897</v>
      </c>
      <c r="AD184" s="309">
        <f t="shared" si="66"/>
        <v>26.325977019081233</v>
      </c>
      <c r="AE184" s="107">
        <f t="shared" si="67"/>
        <v>1.9524828444312413E-3</v>
      </c>
      <c r="AF184" s="309">
        <f t="shared" si="75"/>
        <v>162.13274883831775</v>
      </c>
      <c r="AG184" s="107">
        <f t="shared" si="68"/>
        <v>1.2024678529417882E-2</v>
      </c>
      <c r="AH184" s="119">
        <f t="shared" si="76"/>
        <v>1.3977161373849124E-2</v>
      </c>
      <c r="AI184" s="122">
        <f t="shared" si="69"/>
        <v>1.3977161373849122E-2</v>
      </c>
      <c r="AJ184" s="87" t="b">
        <f t="shared" si="77"/>
        <v>1</v>
      </c>
      <c r="AK184" s="88">
        <f t="shared" si="82"/>
        <v>9.4130799848652844E-4</v>
      </c>
      <c r="AM184" s="89">
        <f t="shared" si="70"/>
        <v>377573.06971640105</v>
      </c>
      <c r="AN184" s="90">
        <f>SUM(AM173:AM184)</f>
        <v>3977818.6318824305</v>
      </c>
      <c r="AO184" s="96">
        <f t="shared" si="84"/>
        <v>74.191594723445036</v>
      </c>
      <c r="AP184" s="92">
        <f t="shared" si="83"/>
        <v>5.502466852171449E-3</v>
      </c>
      <c r="AR184" s="94">
        <f t="shared" si="71"/>
        <v>1.3977161373849122E-2</v>
      </c>
      <c r="AS184" s="95">
        <v>781088.61044894578</v>
      </c>
      <c r="AU184" s="141">
        <v>188.45872585739897</v>
      </c>
    </row>
    <row r="185" spans="1:47">
      <c r="A185" s="78">
        <v>2020</v>
      </c>
      <c r="B185" s="78">
        <v>1</v>
      </c>
      <c r="C185" s="317">
        <f t="shared" si="80"/>
        <v>26.112829868525239</v>
      </c>
      <c r="D185" s="324">
        <f t="shared" si="85"/>
        <v>1.3280829182176284E-2</v>
      </c>
      <c r="E185" s="321">
        <f>$D185*'MWh Impact Summary'!B$26</f>
        <v>41343.430840338558</v>
      </c>
      <c r="F185" s="319">
        <f>$D185*'MWh Impact Summary'!N$26</f>
        <v>5030.4660222114398</v>
      </c>
      <c r="G185" s="319">
        <f>$D185*'MWh Impact Summary'!C$26</f>
        <v>30041.525371417025</v>
      </c>
      <c r="H185" s="319">
        <f>$D185*'MWh Impact Summary'!D$26</f>
        <v>121.30390475057224</v>
      </c>
      <c r="I185" s="319">
        <f>$D185*'MWh Impact Summary'!E$26</f>
        <v>11152.592178293675</v>
      </c>
      <c r="J185" s="104">
        <f t="shared" si="72"/>
        <v>87689.318317011275</v>
      </c>
      <c r="K185" s="298">
        <f t="shared" si="81"/>
        <v>13.3</v>
      </c>
      <c r="L185" s="300">
        <f t="shared" si="86"/>
        <v>9.3629003871876101E-2</v>
      </c>
      <c r="M185" s="297">
        <f t="shared" si="73"/>
        <v>8.3333333333333329E-2</v>
      </c>
      <c r="N185" s="302">
        <f>$L185*'MWh Impact Summary'!F$26</f>
        <v>149452.20438316235</v>
      </c>
      <c r="O185" s="302">
        <f>$L185*'MWh Impact Summary'!G$26</f>
        <v>13080.264578986604</v>
      </c>
      <c r="P185" s="304">
        <f>$M185*'MWh Impact Summary'!H$26</f>
        <v>8838.4534494789077</v>
      </c>
      <c r="Q185" s="304">
        <f>$M185*'MWh Impact Summary'!I$26</f>
        <v>1478.4801956872363</v>
      </c>
      <c r="R185" s="304">
        <f>$M185*'MWh Impact Summary'!J$26</f>
        <v>42494.69323986776</v>
      </c>
      <c r="S185" s="304">
        <f>$M185*'MWh Impact Summary'!K$26</f>
        <v>20878.700540923863</v>
      </c>
      <c r="T185" s="304">
        <f>$M185*'MWh Impact Summary'!L$26</f>
        <v>7255.000680045925</v>
      </c>
      <c r="U185" s="304">
        <f>$M185*'MWh Impact Summary'!M$26</f>
        <v>23127.66384873179</v>
      </c>
      <c r="V185" s="302">
        <f>$L185*'MWh Impact Summary'!O$26</f>
        <v>96884.241437470002</v>
      </c>
      <c r="W185" s="302">
        <f>$L185*'MWh Impact Summary'!P$26</f>
        <v>380638.45076918235</v>
      </c>
      <c r="X185" s="302">
        <f>$L185*'MWh Impact Summary'!Q$26</f>
        <v>137285.53590027441</v>
      </c>
      <c r="Y185" s="85">
        <f t="shared" si="64"/>
        <v>881413.68902381125</v>
      </c>
      <c r="Z185" s="81">
        <f t="shared" si="65"/>
        <v>969103.00734082249</v>
      </c>
      <c r="AA185" s="81"/>
      <c r="AB185" s="262">
        <f>+'MWh by mo-WgtbyActulCDH&amp;Days'!AB185</f>
        <v>5094859.9289051732</v>
      </c>
      <c r="AC185" s="308">
        <f t="shared" si="78"/>
        <v>190.21190393139454</v>
      </c>
      <c r="AD185" s="309">
        <f t="shared" si="66"/>
        <v>17.211330545029274</v>
      </c>
      <c r="AE185" s="107">
        <f t="shared" si="67"/>
        <v>1.2940850033856597E-3</v>
      </c>
      <c r="AF185" s="309">
        <f t="shared" si="75"/>
        <v>173.00057338636529</v>
      </c>
      <c r="AG185" s="107">
        <f t="shared" si="68"/>
        <v>1.3007561908749269E-2</v>
      </c>
      <c r="AH185" s="119">
        <f t="shared" si="76"/>
        <v>1.430164691213493E-2</v>
      </c>
      <c r="AI185" s="122">
        <f t="shared" si="69"/>
        <v>1.4301646912134928E-2</v>
      </c>
      <c r="AJ185" s="87" t="b">
        <f t="shared" si="77"/>
        <v>1</v>
      </c>
      <c r="AK185" s="88">
        <f t="shared" si="82"/>
        <v>8.8610945075276622E-4</v>
      </c>
      <c r="AM185" s="89">
        <f t="shared" si="70"/>
        <v>380638.45076918235</v>
      </c>
      <c r="AN185" s="93"/>
      <c r="AO185" s="96">
        <f t="shared" si="84"/>
        <v>74.710287639051373</v>
      </c>
      <c r="AP185" s="92">
        <f t="shared" si="83"/>
        <v>5.6173148600790505E-3</v>
      </c>
      <c r="AR185" s="94">
        <f t="shared" si="71"/>
        <v>1.4301646912134928E-2</v>
      </c>
      <c r="AS185" s="95">
        <v>791250.87450248061</v>
      </c>
      <c r="AU185" s="141">
        <v>190.21190393139454</v>
      </c>
    </row>
    <row r="186" spans="1:47">
      <c r="A186" s="78">
        <v>2020</v>
      </c>
      <c r="B186" s="78">
        <v>2</v>
      </c>
      <c r="C186" s="317">
        <f t="shared" si="80"/>
        <v>35.042184420393127</v>
      </c>
      <c r="D186" s="324">
        <f t="shared" si="85"/>
        <v>1.7822245532205266E-2</v>
      </c>
      <c r="E186" s="321">
        <f>$D186*'MWh Impact Summary'!B$26</f>
        <v>55480.93160998846</v>
      </c>
      <c r="F186" s="319">
        <f>$D186*'MWh Impact Summary'!N$26</f>
        <v>6750.6478217180793</v>
      </c>
      <c r="G186" s="319">
        <f>$D186*'MWh Impact Summary'!C$26</f>
        <v>40314.308239873986</v>
      </c>
      <c r="H186" s="319">
        <f>$D186*'MWh Impact Summary'!D$26</f>
        <v>162.78411120454416</v>
      </c>
      <c r="I186" s="319">
        <f>$D186*'MWh Impact Summary'!E$26</f>
        <v>14966.25198589679</v>
      </c>
      <c r="J186" s="104">
        <f t="shared" si="72"/>
        <v>117674.92376868185</v>
      </c>
      <c r="K186" s="298">
        <f t="shared" si="81"/>
        <v>12.733333333333333</v>
      </c>
      <c r="L186" s="300">
        <f t="shared" si="86"/>
        <v>8.9639798193124468E-2</v>
      </c>
      <c r="M186" s="297">
        <f t="shared" si="73"/>
        <v>8.3333333333333329E-2</v>
      </c>
      <c r="N186" s="302">
        <f>$L186*'MWh Impact Summary'!F$26</f>
        <v>143084.56660242609</v>
      </c>
      <c r="O186" s="302">
        <f>$L186*'MWh Impact Summary'!G$26</f>
        <v>12522.960073114991</v>
      </c>
      <c r="P186" s="304">
        <f>$M186*'MWh Impact Summary'!H$26</f>
        <v>8838.4534494789077</v>
      </c>
      <c r="Q186" s="304">
        <f>$M186*'MWh Impact Summary'!I$26</f>
        <v>1478.4801956872363</v>
      </c>
      <c r="R186" s="304">
        <f>$M186*'MWh Impact Summary'!J$26</f>
        <v>42494.69323986776</v>
      </c>
      <c r="S186" s="304">
        <f>$M186*'MWh Impact Summary'!K$26</f>
        <v>20878.700540923863</v>
      </c>
      <c r="T186" s="304">
        <f>$M186*'MWh Impact Summary'!L$26</f>
        <v>7255.000680045925</v>
      </c>
      <c r="U186" s="304">
        <f>$M186*'MWh Impact Summary'!M$26</f>
        <v>23127.66384873179</v>
      </c>
      <c r="V186" s="302">
        <f>$L186*'MWh Impact Summary'!O$26</f>
        <v>92756.341426349711</v>
      </c>
      <c r="W186" s="302">
        <f>$L186*'MWh Impact Summary'!P$26</f>
        <v>364420.77241560805</v>
      </c>
      <c r="X186" s="302">
        <f>$L186*'MWh Impact Summary'!Q$26</f>
        <v>131436.27747845819</v>
      </c>
      <c r="Y186" s="85">
        <f t="shared" si="64"/>
        <v>848293.90995069244</v>
      </c>
      <c r="Z186" s="81">
        <f t="shared" si="65"/>
        <v>965968.83371937426</v>
      </c>
      <c r="AA186" s="81"/>
      <c r="AB186" s="262">
        <f>+'MWh by mo-WgtbyActulCDH&amp;Days'!AB186</f>
        <v>5100381.4721688107</v>
      </c>
      <c r="AC186" s="308">
        <f t="shared" si="78"/>
        <v>189.39148747801801</v>
      </c>
      <c r="AD186" s="309">
        <f t="shared" si="66"/>
        <v>23.071788730077774</v>
      </c>
      <c r="AE186" s="107">
        <f t="shared" si="67"/>
        <v>1.8119205808961605E-3</v>
      </c>
      <c r="AF186" s="309">
        <f t="shared" si="75"/>
        <v>166.31969874794021</v>
      </c>
      <c r="AG186" s="107">
        <f t="shared" si="68"/>
        <v>1.3061756446173316E-2</v>
      </c>
      <c r="AH186" s="119">
        <f t="shared" si="76"/>
        <v>1.4873677027069477E-2</v>
      </c>
      <c r="AI186" s="122">
        <f t="shared" si="69"/>
        <v>1.4873677027069479E-2</v>
      </c>
      <c r="AJ186" s="87" t="b">
        <f t="shared" si="77"/>
        <v>1</v>
      </c>
      <c r="AK186" s="88">
        <f t="shared" si="82"/>
        <v>9.2072355349481078E-4</v>
      </c>
      <c r="AM186" s="89">
        <f t="shared" si="70"/>
        <v>364420.77241560805</v>
      </c>
      <c r="AN186" s="93"/>
      <c r="AO186" s="96">
        <f t="shared" si="84"/>
        <v>71.449709086298427</v>
      </c>
      <c r="AP186" s="92">
        <f t="shared" si="83"/>
        <v>5.6112336978768398E-3</v>
      </c>
      <c r="AR186" s="94">
        <f t="shared" si="71"/>
        <v>1.4873677027069479E-2</v>
      </c>
      <c r="AS186" s="95">
        <v>757160.94458751928</v>
      </c>
      <c r="AU186" s="141">
        <v>189.39148747801801</v>
      </c>
    </row>
    <row r="187" spans="1:47">
      <c r="A187" s="78">
        <v>2020</v>
      </c>
      <c r="B187" s="78">
        <v>3</v>
      </c>
      <c r="C187" s="317">
        <f t="shared" si="80"/>
        <v>64.582270600115152</v>
      </c>
      <c r="D187" s="324">
        <f t="shared" si="85"/>
        <v>3.2846156787895278E-2</v>
      </c>
      <c r="E187" s="321">
        <f>$D187*'MWh Impact Summary'!B$26</f>
        <v>102250.60445425735</v>
      </c>
      <c r="F187" s="319">
        <f>$D187*'MWh Impact Summary'!N$26</f>
        <v>12441.352374555647</v>
      </c>
      <c r="G187" s="319">
        <f>$D187*'MWh Impact Summary'!C$26</f>
        <v>74298.723292170413</v>
      </c>
      <c r="H187" s="319">
        <f>$D187*'MWh Impact Summary'!D$26</f>
        <v>300.00890906484096</v>
      </c>
      <c r="I187" s="319">
        <f>$D187*'MWh Impact Summary'!E$26</f>
        <v>27582.59941866529</v>
      </c>
      <c r="J187" s="104">
        <f t="shared" si="72"/>
        <v>216873.28844871352</v>
      </c>
      <c r="K187" s="298">
        <f t="shared" si="81"/>
        <v>12</v>
      </c>
      <c r="L187" s="300">
        <f t="shared" si="86"/>
        <v>8.4477296726504739E-2</v>
      </c>
      <c r="M187" s="297">
        <f t="shared" si="73"/>
        <v>8.3333333333333329E-2</v>
      </c>
      <c r="N187" s="302">
        <f>$L187*'MWh Impact Summary'!F$26</f>
        <v>134844.09418029682</v>
      </c>
      <c r="O187" s="302">
        <f>$L187*'MWh Impact Summary'!G$26</f>
        <v>11801.742477281145</v>
      </c>
      <c r="P187" s="304">
        <f>$M187*'MWh Impact Summary'!H$26</f>
        <v>8838.4534494789077</v>
      </c>
      <c r="Q187" s="304">
        <f>$M187*'MWh Impact Summary'!I$26</f>
        <v>1478.4801956872363</v>
      </c>
      <c r="R187" s="304">
        <f>$M187*'MWh Impact Summary'!J$26</f>
        <v>42494.69323986776</v>
      </c>
      <c r="S187" s="304">
        <f>$M187*'MWh Impact Summary'!K$26</f>
        <v>20878.700540923863</v>
      </c>
      <c r="T187" s="304">
        <f>$M187*'MWh Impact Summary'!L$26</f>
        <v>7255.000680045925</v>
      </c>
      <c r="U187" s="304">
        <f>$M187*'MWh Impact Summary'!M$26</f>
        <v>23127.66384873179</v>
      </c>
      <c r="V187" s="302">
        <f>$L187*'MWh Impact Summary'!O$26</f>
        <v>87414.353176664648</v>
      </c>
      <c r="W187" s="302">
        <f>$L187*'MWh Impact Summary'!P$26</f>
        <v>343433.18866392388</v>
      </c>
      <c r="X187" s="302">
        <f>$L187*'MWh Impact Summary'!Q$26</f>
        <v>123866.64893257839</v>
      </c>
      <c r="Y187" s="85">
        <f t="shared" si="64"/>
        <v>805433.01938548032</v>
      </c>
      <c r="Z187" s="81">
        <f t="shared" si="65"/>
        <v>1022306.3078341938</v>
      </c>
      <c r="AA187" s="81"/>
      <c r="AB187" s="262">
        <f>+'MWh by mo-WgtbyActulCDH&amp;Days'!AB187</f>
        <v>5106049.1589007676</v>
      </c>
      <c r="AC187" s="308">
        <f t="shared" si="78"/>
        <v>200.2147405988305</v>
      </c>
      <c r="AD187" s="309">
        <f t="shared" si="66"/>
        <v>42.473795629378955</v>
      </c>
      <c r="AE187" s="107">
        <f t="shared" si="67"/>
        <v>3.5394829691149129E-3</v>
      </c>
      <c r="AF187" s="309">
        <f t="shared" si="75"/>
        <v>157.74094496945153</v>
      </c>
      <c r="AG187" s="107">
        <f t="shared" si="68"/>
        <v>1.3145078747454294E-2</v>
      </c>
      <c r="AH187" s="119">
        <f t="shared" si="76"/>
        <v>1.6684561716569207E-2</v>
      </c>
      <c r="AI187" s="122">
        <f t="shared" si="69"/>
        <v>1.6684561716569211E-2</v>
      </c>
      <c r="AJ187" s="87" t="b">
        <f t="shared" si="77"/>
        <v>1</v>
      </c>
      <c r="AK187" s="88">
        <f t="shared" si="82"/>
        <v>1.0218567652921784E-3</v>
      </c>
      <c r="AM187" s="89">
        <f t="shared" si="70"/>
        <v>343433.18866392388</v>
      </c>
      <c r="AN187" s="93"/>
      <c r="AO187" s="96">
        <f t="shared" si="84"/>
        <v>67.260063108726186</v>
      </c>
      <c r="AP187" s="92">
        <f t="shared" si="83"/>
        <v>5.6050052590605158E-3</v>
      </c>
      <c r="AR187" s="94">
        <f t="shared" si="71"/>
        <v>1.6684561716569211E-2</v>
      </c>
      <c r="AS187" s="95">
        <v>884832.37801699457</v>
      </c>
      <c r="AU187" s="141">
        <v>200.2147405988305</v>
      </c>
    </row>
    <row r="188" spans="1:47">
      <c r="A188" s="78">
        <v>2020</v>
      </c>
      <c r="B188" s="78">
        <v>4</v>
      </c>
      <c r="C188" s="317">
        <f t="shared" si="80"/>
        <v>114.03392869270741</v>
      </c>
      <c r="D188" s="324">
        <f t="shared" si="85"/>
        <v>5.7996974497419709E-2</v>
      </c>
      <c r="E188" s="321">
        <f>$D188*'MWh Impact Summary'!B$26</f>
        <v>180545.49691076085</v>
      </c>
      <c r="F188" s="319">
        <f>$D188*'MWh Impact Summary'!N$26</f>
        <v>21967.891130764841</v>
      </c>
      <c r="G188" s="319">
        <f>$D188*'MWh Impact Summary'!C$26</f>
        <v>131190.42169204023</v>
      </c>
      <c r="H188" s="319">
        <f>$D188*'MWh Impact Summary'!D$26</f>
        <v>529.73043879655745</v>
      </c>
      <c r="I188" s="319">
        <f>$D188*'MWh Impact Summary'!E$26</f>
        <v>48703.028649196822</v>
      </c>
      <c r="J188" s="104">
        <f t="shared" si="72"/>
        <v>382936.56882155931</v>
      </c>
      <c r="K188" s="298">
        <f t="shared" si="81"/>
        <v>11.2</v>
      </c>
      <c r="L188" s="300">
        <f t="shared" si="86"/>
        <v>7.8845476944737758E-2</v>
      </c>
      <c r="M188" s="297">
        <f t="shared" si="73"/>
        <v>8.3333333333333329E-2</v>
      </c>
      <c r="N188" s="302">
        <f>$L188*'MWh Impact Summary'!F$26</f>
        <v>125854.48790161038</v>
      </c>
      <c r="O188" s="302">
        <f>$L188*'MWh Impact Summary'!G$26</f>
        <v>11014.959645462402</v>
      </c>
      <c r="P188" s="304">
        <f>$M188*'MWh Impact Summary'!H$26</f>
        <v>8838.4534494789077</v>
      </c>
      <c r="Q188" s="304">
        <f>$M188*'MWh Impact Summary'!I$26</f>
        <v>1478.4801956872363</v>
      </c>
      <c r="R188" s="304">
        <f>$M188*'MWh Impact Summary'!J$26</f>
        <v>42494.69323986776</v>
      </c>
      <c r="S188" s="304">
        <f>$M188*'MWh Impact Summary'!K$26</f>
        <v>20878.700540923863</v>
      </c>
      <c r="T188" s="304">
        <f>$M188*'MWh Impact Summary'!L$26</f>
        <v>7255.000680045925</v>
      </c>
      <c r="U188" s="304">
        <f>$M188*'MWh Impact Summary'!M$26</f>
        <v>23127.66384873179</v>
      </c>
      <c r="V188" s="302">
        <f>$L188*'MWh Impact Summary'!O$26</f>
        <v>81586.729631553681</v>
      </c>
      <c r="W188" s="302">
        <f>$L188*'MWh Impact Summary'!P$26</f>
        <v>320537.6427529956</v>
      </c>
      <c r="X188" s="302">
        <f>$L188*'MWh Impact Summary'!Q$26</f>
        <v>115608.87233707318</v>
      </c>
      <c r="Y188" s="85">
        <f t="shared" si="64"/>
        <v>758675.68422343081</v>
      </c>
      <c r="Z188" s="81">
        <f t="shared" si="65"/>
        <v>1141612.2530449901</v>
      </c>
      <c r="AA188" s="81"/>
      <c r="AB188" s="262">
        <f>+'MWh by mo-WgtbyActulCDH&amp;Days'!AB188</f>
        <v>5111527.3694814648</v>
      </c>
      <c r="AC188" s="308">
        <f t="shared" si="78"/>
        <v>223.34072979067312</v>
      </c>
      <c r="AD188" s="309">
        <f t="shared" si="66"/>
        <v>74.916270840667735</v>
      </c>
      <c r="AE188" s="107">
        <f t="shared" si="67"/>
        <v>6.6889527536310479E-3</v>
      </c>
      <c r="AF188" s="309">
        <f t="shared" si="75"/>
        <v>148.42445895000543</v>
      </c>
      <c r="AG188" s="107">
        <f t="shared" si="68"/>
        <v>1.3252183834821914E-2</v>
      </c>
      <c r="AH188" s="119">
        <f t="shared" si="76"/>
        <v>1.9941136588452962E-2</v>
      </c>
      <c r="AI188" s="122">
        <f t="shared" si="69"/>
        <v>1.9941136588452958E-2</v>
      </c>
      <c r="AJ188" s="87" t="b">
        <f t="shared" si="77"/>
        <v>1</v>
      </c>
      <c r="AK188" s="88">
        <f t="shared" si="82"/>
        <v>1.1995049464486734E-3</v>
      </c>
      <c r="AM188" s="89">
        <f t="shared" si="70"/>
        <v>320537.6427529956</v>
      </c>
      <c r="AN188" s="93"/>
      <c r="AO188" s="96">
        <f t="shared" si="84"/>
        <v>62.708779506253983</v>
      </c>
      <c r="AP188" s="92">
        <f t="shared" si="83"/>
        <v>5.5989981702012489E-3</v>
      </c>
      <c r="AR188" s="94">
        <f t="shared" si="71"/>
        <v>1.9941136588452958E-2</v>
      </c>
      <c r="AS188" s="95">
        <v>1032189.2219764603</v>
      </c>
      <c r="AU188" s="141">
        <v>223.34072979067312</v>
      </c>
    </row>
    <row r="189" spans="1:47">
      <c r="A189" s="78">
        <v>2020</v>
      </c>
      <c r="B189" s="78">
        <v>5</v>
      </c>
      <c r="C189" s="317">
        <f t="shared" si="80"/>
        <v>208.47875842628665</v>
      </c>
      <c r="D189" s="324">
        <f t="shared" si="85"/>
        <v>0.10603105035770212</v>
      </c>
      <c r="E189" s="321">
        <f>$D189*'MWh Impact Summary'!B$26</f>
        <v>330076.33313101414</v>
      </c>
      <c r="F189" s="319">
        <f>$D189*'MWh Impact Summary'!N$26</f>
        <v>40162.070365278698</v>
      </c>
      <c r="G189" s="319">
        <f>$D189*'MWh Impact Summary'!C$26</f>
        <v>239844.549296201</v>
      </c>
      <c r="H189" s="319">
        <f>$D189*'MWh Impact Summary'!D$26</f>
        <v>968.46215373776681</v>
      </c>
      <c r="I189" s="319">
        <f>$D189*'MWh Impact Summary'!E$26</f>
        <v>89039.701260715694</v>
      </c>
      <c r="J189" s="104">
        <f t="shared" si="72"/>
        <v>700091.11620694736</v>
      </c>
      <c r="K189" s="298">
        <f t="shared" si="81"/>
        <v>10.533333333333333</v>
      </c>
      <c r="L189" s="300">
        <f t="shared" si="86"/>
        <v>7.4152293793265281E-2</v>
      </c>
      <c r="M189" s="297">
        <f t="shared" si="73"/>
        <v>8.3333333333333329E-2</v>
      </c>
      <c r="N189" s="302">
        <f>$L189*'MWh Impact Summary'!F$26</f>
        <v>118363.14933603835</v>
      </c>
      <c r="O189" s="302">
        <f>$L189*'MWh Impact Summary'!G$26</f>
        <v>10359.307285613451</v>
      </c>
      <c r="P189" s="304">
        <f>$M189*'MWh Impact Summary'!H$26</f>
        <v>8838.4534494789077</v>
      </c>
      <c r="Q189" s="304">
        <f>$M189*'MWh Impact Summary'!I$26</f>
        <v>1478.4801956872363</v>
      </c>
      <c r="R189" s="304">
        <f>$M189*'MWh Impact Summary'!J$26</f>
        <v>42494.69323986776</v>
      </c>
      <c r="S189" s="304">
        <f>$M189*'MWh Impact Summary'!K$26</f>
        <v>20878.700540923863</v>
      </c>
      <c r="T189" s="304">
        <f>$M189*'MWh Impact Summary'!L$26</f>
        <v>7255.000680045925</v>
      </c>
      <c r="U189" s="304">
        <f>$M189*'MWh Impact Summary'!M$26</f>
        <v>23127.66384873179</v>
      </c>
      <c r="V189" s="302">
        <f>$L189*'MWh Impact Summary'!O$26</f>
        <v>76730.376677294538</v>
      </c>
      <c r="W189" s="302">
        <f>$L189*'MWh Impact Summary'!P$26</f>
        <v>301458.02116055542</v>
      </c>
      <c r="X189" s="302">
        <f>$L189*'MWh Impact Summary'!Q$26</f>
        <v>108727.39184081883</v>
      </c>
      <c r="Y189" s="85">
        <f t="shared" si="64"/>
        <v>719711.23825505609</v>
      </c>
      <c r="Z189" s="81">
        <f t="shared" si="65"/>
        <v>1419802.3544620033</v>
      </c>
      <c r="AA189" s="81"/>
      <c r="AB189" s="262">
        <f>+'MWh by mo-WgtbyActulCDH&amp;Days'!AB189</f>
        <v>5116441.1678385669</v>
      </c>
      <c r="AC189" s="308">
        <f t="shared" si="78"/>
        <v>277.49803191068384</v>
      </c>
      <c r="AD189" s="309">
        <f t="shared" si="66"/>
        <v>136.83165568435527</v>
      </c>
      <c r="AE189" s="107">
        <f t="shared" si="67"/>
        <v>1.2990347058641322E-2</v>
      </c>
      <c r="AF189" s="309">
        <f t="shared" si="75"/>
        <v>140.66637622632865</v>
      </c>
      <c r="AG189" s="107">
        <f t="shared" si="68"/>
        <v>1.3354402806297024E-2</v>
      </c>
      <c r="AH189" s="119">
        <f t="shared" si="76"/>
        <v>2.6344749864938344E-2</v>
      </c>
      <c r="AI189" s="122">
        <f t="shared" si="69"/>
        <v>2.634474986493834E-2</v>
      </c>
      <c r="AJ189" s="87" t="b">
        <f t="shared" si="77"/>
        <v>1</v>
      </c>
      <c r="AK189" s="88">
        <f t="shared" si="82"/>
        <v>1.5416403114080351E-3</v>
      </c>
      <c r="AM189" s="89">
        <f t="shared" si="70"/>
        <v>301458.02116055542</v>
      </c>
      <c r="AN189" s="93"/>
      <c r="AO189" s="96">
        <f t="shared" si="84"/>
        <v>58.919473765376239</v>
      </c>
      <c r="AP189" s="92">
        <f t="shared" si="83"/>
        <v>5.5936209270926809E-3</v>
      </c>
      <c r="AR189" s="94">
        <f t="shared" si="71"/>
        <v>2.634474986493834E-2</v>
      </c>
      <c r="AS189" s="95">
        <v>1231330.71450657</v>
      </c>
      <c r="AU189" s="141">
        <v>277.49803191068384</v>
      </c>
    </row>
    <row r="190" spans="1:47">
      <c r="A190" s="78">
        <v>2020</v>
      </c>
      <c r="B190" s="78">
        <v>6</v>
      </c>
      <c r="C190" s="317">
        <f t="shared" si="80"/>
        <v>271.66325293295364</v>
      </c>
      <c r="D190" s="324">
        <f t="shared" si="85"/>
        <v>0.13816630657965029</v>
      </c>
      <c r="E190" s="321">
        <f>$D190*'MWh Impact Summary'!B$26</f>
        <v>430113.89290414291</v>
      </c>
      <c r="F190" s="319">
        <f>$D190*'MWh Impact Summary'!N$26</f>
        <v>52334.150310145451</v>
      </c>
      <c r="G190" s="319">
        <f>$D190*'MWh Impact Summary'!C$26</f>
        <v>312535.1999977596</v>
      </c>
      <c r="H190" s="319">
        <f>$D190*'MWh Impact Summary'!D$26</f>
        <v>1261.9778677350505</v>
      </c>
      <c r="I190" s="319">
        <f>$D190*'MWh Impact Summary'!E$26</f>
        <v>116025.32107949526</v>
      </c>
      <c r="J190" s="104">
        <f t="shared" si="72"/>
        <v>912270.5421592783</v>
      </c>
      <c r="K190" s="298">
        <f t="shared" si="81"/>
        <v>10.199999999999999</v>
      </c>
      <c r="L190" s="300">
        <f t="shared" si="86"/>
        <v>7.1805702217529022E-2</v>
      </c>
      <c r="M190" s="297">
        <f t="shared" si="73"/>
        <v>8.3333333333333329E-2</v>
      </c>
      <c r="N190" s="302">
        <f>$L190*'MWh Impact Summary'!F$26</f>
        <v>114617.48005325229</v>
      </c>
      <c r="O190" s="302">
        <f>$L190*'MWh Impact Summary'!G$26</f>
        <v>10031.481105688972</v>
      </c>
      <c r="P190" s="304">
        <f>$M190*'MWh Impact Summary'!H$26</f>
        <v>8838.4534494789077</v>
      </c>
      <c r="Q190" s="304">
        <f>$M190*'MWh Impact Summary'!I$26</f>
        <v>1478.4801956872363</v>
      </c>
      <c r="R190" s="304">
        <f>$M190*'MWh Impact Summary'!J$26</f>
        <v>42494.69323986776</v>
      </c>
      <c r="S190" s="304">
        <f>$M190*'MWh Impact Summary'!K$26</f>
        <v>20878.700540923863</v>
      </c>
      <c r="T190" s="304">
        <f>$M190*'MWh Impact Summary'!L$26</f>
        <v>7255.000680045925</v>
      </c>
      <c r="U190" s="304">
        <f>$M190*'MWh Impact Summary'!M$26</f>
        <v>23127.66384873179</v>
      </c>
      <c r="V190" s="302">
        <f>$L190*'MWh Impact Summary'!O$26</f>
        <v>74302.200200164953</v>
      </c>
      <c r="W190" s="302">
        <f>$L190*'MWh Impact Summary'!P$26</f>
        <v>291918.21036433527</v>
      </c>
      <c r="X190" s="302">
        <f>$L190*'MWh Impact Summary'!Q$26</f>
        <v>105286.65159269163</v>
      </c>
      <c r="Y190" s="85">
        <f t="shared" si="64"/>
        <v>700229.01527086855</v>
      </c>
      <c r="Z190" s="81">
        <f t="shared" si="65"/>
        <v>1612499.5574301467</v>
      </c>
      <c r="AA190" s="81"/>
      <c r="AB190" s="262">
        <f>+'MWh by mo-WgtbyActulCDH&amp;Days'!AB190</f>
        <v>5121360.7767743841</v>
      </c>
      <c r="AC190" s="308">
        <f t="shared" si="78"/>
        <v>314.85763798225452</v>
      </c>
      <c r="AD190" s="309">
        <f t="shared" si="66"/>
        <v>178.13049732728629</v>
      </c>
      <c r="AE190" s="107">
        <f t="shared" si="67"/>
        <v>1.7463774247773168E-2</v>
      </c>
      <c r="AF190" s="309">
        <f t="shared" si="75"/>
        <v>136.72714065496822</v>
      </c>
      <c r="AG190" s="107">
        <f t="shared" si="68"/>
        <v>1.3404621632840022E-2</v>
      </c>
      <c r="AH190" s="119">
        <f t="shared" si="76"/>
        <v>3.086839588061319E-2</v>
      </c>
      <c r="AI190" s="122">
        <f t="shared" si="69"/>
        <v>3.086839588061319E-2</v>
      </c>
      <c r="AJ190" s="87" t="b">
        <f t="shared" si="77"/>
        <v>1</v>
      </c>
      <c r="AK190" s="88">
        <f t="shared" si="82"/>
        <v>1.7833375088087688E-3</v>
      </c>
      <c r="AM190" s="89">
        <f t="shared" si="70"/>
        <v>291918.21036433527</v>
      </c>
      <c r="AN190" s="93"/>
      <c r="AO190" s="96">
        <f t="shared" si="84"/>
        <v>57.000126155571451</v>
      </c>
      <c r="AP190" s="92">
        <f t="shared" si="83"/>
        <v>5.5882476623109268E-3</v>
      </c>
      <c r="AR190" s="94">
        <f t="shared" si="71"/>
        <v>3.086839588061319E-2</v>
      </c>
      <c r="AS190" s="95">
        <v>1495581.1010643367</v>
      </c>
      <c r="AU190" s="141">
        <v>314.85763798225452</v>
      </c>
    </row>
    <row r="191" spans="1:47">
      <c r="A191" s="78">
        <v>2020</v>
      </c>
      <c r="B191" s="78">
        <v>7</v>
      </c>
      <c r="C191" s="317">
        <f t="shared" si="80"/>
        <v>322.31916585708109</v>
      </c>
      <c r="D191" s="324">
        <f t="shared" si="85"/>
        <v>0.16392960109808263</v>
      </c>
      <c r="E191" s="321">
        <f>$D191*'MWh Impact Summary'!B$26</f>
        <v>510315.43533280172</v>
      </c>
      <c r="F191" s="319">
        <f>$D191*'MWh Impact Summary'!N$26</f>
        <v>62092.680889631665</v>
      </c>
      <c r="G191" s="319">
        <f>$D191*'MWh Impact Summary'!C$26</f>
        <v>370812.33430240751</v>
      </c>
      <c r="H191" s="319">
        <f>$D191*'MWh Impact Summary'!D$26</f>
        <v>1497.2936135710906</v>
      </c>
      <c r="I191" s="319">
        <f>$D191*'MWh Impact Summary'!E$26</f>
        <v>137660.07844230786</v>
      </c>
      <c r="J191" s="104">
        <f t="shared" si="72"/>
        <v>1082377.8225807198</v>
      </c>
      <c r="K191" s="298">
        <f t="shared" si="81"/>
        <v>10.366666666666667</v>
      </c>
      <c r="L191" s="300">
        <f t="shared" si="86"/>
        <v>7.2978998005397158E-2</v>
      </c>
      <c r="M191" s="297">
        <f t="shared" si="73"/>
        <v>8.3333333333333329E-2</v>
      </c>
      <c r="N191" s="302">
        <f>$L191*'MWh Impact Summary'!F$26</f>
        <v>116490.31469464533</v>
      </c>
      <c r="O191" s="302">
        <f>$L191*'MWh Impact Summary'!G$26</f>
        <v>10195.394195651212</v>
      </c>
      <c r="P191" s="304">
        <f>$M191*'MWh Impact Summary'!H$26</f>
        <v>8838.4534494789077</v>
      </c>
      <c r="Q191" s="304">
        <f>$M191*'MWh Impact Summary'!I$26</f>
        <v>1478.4801956872363</v>
      </c>
      <c r="R191" s="304">
        <f>$M191*'MWh Impact Summary'!J$26</f>
        <v>42494.69323986776</v>
      </c>
      <c r="S191" s="304">
        <f>$M191*'MWh Impact Summary'!K$26</f>
        <v>20878.700540923863</v>
      </c>
      <c r="T191" s="304">
        <f>$M191*'MWh Impact Summary'!L$26</f>
        <v>7255.000680045925</v>
      </c>
      <c r="U191" s="304">
        <f>$M191*'MWh Impact Summary'!M$26</f>
        <v>23127.66384873179</v>
      </c>
      <c r="V191" s="302">
        <f>$L191*'MWh Impact Summary'!O$26</f>
        <v>75516.288438729753</v>
      </c>
      <c r="W191" s="302">
        <f>$L191*'MWh Impact Summary'!P$26</f>
        <v>296688.11576244538</v>
      </c>
      <c r="X191" s="302">
        <f>$L191*'MWh Impact Summary'!Q$26</f>
        <v>107007.02171675525</v>
      </c>
      <c r="Y191" s="85">
        <f t="shared" si="64"/>
        <v>709970.12676296232</v>
      </c>
      <c r="Z191" s="81">
        <f t="shared" si="65"/>
        <v>1792347.9493436823</v>
      </c>
      <c r="AA191" s="81"/>
      <c r="AB191" s="262">
        <f>+'MWh by mo-WgtbyActulCDH&amp;Days'!AB191</f>
        <v>5126615.2635603016</v>
      </c>
      <c r="AC191" s="308">
        <f t="shared" si="78"/>
        <v>349.61623940918537</v>
      </c>
      <c r="AD191" s="309">
        <f t="shared" si="66"/>
        <v>211.12913041752944</v>
      </c>
      <c r="AE191" s="107">
        <f t="shared" si="67"/>
        <v>2.0366154059568757E-2</v>
      </c>
      <c r="AF191" s="309">
        <f t="shared" si="75"/>
        <v>138.48710899165593</v>
      </c>
      <c r="AG191" s="107">
        <f t="shared" si="68"/>
        <v>1.3358885111735297E-2</v>
      </c>
      <c r="AH191" s="119">
        <f t="shared" si="76"/>
        <v>3.3725039171304053E-2</v>
      </c>
      <c r="AI191" s="122">
        <f t="shared" si="69"/>
        <v>3.3725039171304053E-2</v>
      </c>
      <c r="AJ191" s="87" t="b">
        <f t="shared" si="77"/>
        <v>1</v>
      </c>
      <c r="AK191" s="88">
        <f t="shared" si="82"/>
        <v>1.9333649137508388E-3</v>
      </c>
      <c r="AM191" s="89">
        <f t="shared" si="70"/>
        <v>296688.11576244538</v>
      </c>
      <c r="AN191" s="93"/>
      <c r="AO191" s="96">
        <f t="shared" si="84"/>
        <v>57.872124298323719</v>
      </c>
      <c r="AP191" s="92">
        <f t="shared" si="83"/>
        <v>5.5825200287772068E-3</v>
      </c>
      <c r="AR191" s="94">
        <f t="shared" si="71"/>
        <v>3.3725039171304053E-2</v>
      </c>
      <c r="AS191" s="95">
        <v>1569649.5181221459</v>
      </c>
      <c r="AU191" s="141">
        <v>349.61623940918537</v>
      </c>
    </row>
    <row r="192" spans="1:47">
      <c r="A192" s="78">
        <v>2020</v>
      </c>
      <c r="B192" s="78">
        <v>8</v>
      </c>
      <c r="C192" s="317">
        <f t="shared" si="80"/>
        <v>326.45437890907908</v>
      </c>
      <c r="D192" s="324">
        <f t="shared" si="85"/>
        <v>0.16603274573816959</v>
      </c>
      <c r="E192" s="321">
        <f>$D192*'MWh Impact Summary'!B$26</f>
        <v>516862.55778893252</v>
      </c>
      <c r="F192" s="319">
        <f>$D192*'MWh Impact Summary'!N$26</f>
        <v>62889.302659750676</v>
      </c>
      <c r="G192" s="319">
        <f>$D192*'MWh Impact Summary'!C$26</f>
        <v>375569.69336472615</v>
      </c>
      <c r="H192" s="319">
        <f>$D192*'MWh Impact Summary'!D$26</f>
        <v>1516.5032317054893</v>
      </c>
      <c r="I192" s="319">
        <f>$D192*'MWh Impact Summary'!E$26</f>
        <v>139426.19666739073</v>
      </c>
      <c r="J192" s="104">
        <f t="shared" si="72"/>
        <v>1096264.2537125056</v>
      </c>
      <c r="K192" s="298">
        <f t="shared" si="81"/>
        <v>10.933333333333334</v>
      </c>
      <c r="L192" s="300">
        <f t="shared" si="86"/>
        <v>7.6968203684148764E-2</v>
      </c>
      <c r="M192" s="297">
        <f t="shared" si="73"/>
        <v>8.3333333333333329E-2</v>
      </c>
      <c r="N192" s="302">
        <f>$L192*'MWh Impact Summary'!F$26</f>
        <v>122857.95247538156</v>
      </c>
      <c r="O192" s="302">
        <f>$L192*'MWh Impact Summary'!G$26</f>
        <v>10752.698701522821</v>
      </c>
      <c r="P192" s="304">
        <f>$M192*'MWh Impact Summary'!H$26</f>
        <v>8838.4534494789077</v>
      </c>
      <c r="Q192" s="304">
        <f>$M192*'MWh Impact Summary'!I$26</f>
        <v>1478.4801956872363</v>
      </c>
      <c r="R192" s="304">
        <f>$M192*'MWh Impact Summary'!J$26</f>
        <v>42494.69323986776</v>
      </c>
      <c r="S192" s="304">
        <f>$M192*'MWh Impact Summary'!K$26</f>
        <v>20878.700540923863</v>
      </c>
      <c r="T192" s="304">
        <f>$M192*'MWh Impact Summary'!L$26</f>
        <v>7255.000680045925</v>
      </c>
      <c r="U192" s="304">
        <f>$M192*'MWh Impact Summary'!M$26</f>
        <v>23127.66384873179</v>
      </c>
      <c r="V192" s="302">
        <f>$L192*'MWh Impact Summary'!O$26</f>
        <v>79644.188449850015</v>
      </c>
      <c r="W192" s="302">
        <f>$L192*'MWh Impact Summary'!P$26</f>
        <v>312905.7941160195</v>
      </c>
      <c r="X192" s="302">
        <f>$L192*'MWh Impact Summary'!Q$26</f>
        <v>112856.28013857143</v>
      </c>
      <c r="Y192" s="85">
        <f t="shared" si="64"/>
        <v>743089.90583608078</v>
      </c>
      <c r="Z192" s="81">
        <f t="shared" si="65"/>
        <v>1839354.1595485862</v>
      </c>
      <c r="AA192" s="81"/>
      <c r="AB192" s="262">
        <f>+'MWh by mo-WgtbyActulCDH&amp;Days'!AB192</f>
        <v>5132042.3812502129</v>
      </c>
      <c r="AC192" s="308">
        <f t="shared" si="78"/>
        <v>358.40587877228376</v>
      </c>
      <c r="AD192" s="309">
        <f t="shared" si="66"/>
        <v>213.61169146180072</v>
      </c>
      <c r="AE192" s="107">
        <f t="shared" si="67"/>
        <v>1.9537654706872014E-2</v>
      </c>
      <c r="AF192" s="309">
        <f t="shared" si="75"/>
        <v>144.79418731048304</v>
      </c>
      <c r="AG192" s="107">
        <f t="shared" si="68"/>
        <v>1.324337079059296E-2</v>
      </c>
      <c r="AH192" s="119">
        <f t="shared" si="76"/>
        <v>3.2781025497464977E-2</v>
      </c>
      <c r="AI192" s="122">
        <f t="shared" si="69"/>
        <v>3.278102549746497E-2</v>
      </c>
      <c r="AJ192" s="87" t="b">
        <f t="shared" si="77"/>
        <v>1</v>
      </c>
      <c r="AK192" s="88">
        <f t="shared" si="82"/>
        <v>1.8810528840574985E-3</v>
      </c>
      <c r="AM192" s="89">
        <f t="shared" si="70"/>
        <v>312905.7941160195</v>
      </c>
      <c r="AN192" s="93"/>
      <c r="AO192" s="96">
        <f t="shared" si="84"/>
        <v>60.971007421765044</v>
      </c>
      <c r="AP192" s="92">
        <f t="shared" si="83"/>
        <v>5.5766165324785096E-3</v>
      </c>
      <c r="AR192" s="94">
        <f t="shared" si="71"/>
        <v>3.278102549746497E-2</v>
      </c>
      <c r="AS192" s="95">
        <v>1631630.4343088379</v>
      </c>
      <c r="AU192" s="141">
        <v>358.40587877228376</v>
      </c>
    </row>
    <row r="193" spans="1:47">
      <c r="A193" s="78">
        <v>2020</v>
      </c>
      <c r="B193" s="78">
        <v>9</v>
      </c>
      <c r="C193" s="317">
        <f t="shared" si="80"/>
        <v>277.87653293728147</v>
      </c>
      <c r="D193" s="324">
        <f t="shared" si="85"/>
        <v>0.14132634365008559</v>
      </c>
      <c r="E193" s="321">
        <f>$D193*'MWh Impact Summary'!B$26</f>
        <v>439951.13817567943</v>
      </c>
      <c r="F193" s="319">
        <f>$D193*'MWh Impact Summary'!N$26</f>
        <v>53531.098098095878</v>
      </c>
      <c r="G193" s="319">
        <f>$D193*'MWh Impact Summary'!C$26</f>
        <v>319683.27279682143</v>
      </c>
      <c r="H193" s="319">
        <f>$D193*'MWh Impact Summary'!D$26</f>
        <v>1290.8408875467057</v>
      </c>
      <c r="I193" s="319">
        <f>$D193*'MWh Impact Summary'!E$26</f>
        <v>118678.9659861064</v>
      </c>
      <c r="J193" s="104">
        <f t="shared" si="72"/>
        <v>933135.31594424974</v>
      </c>
      <c r="K193" s="298">
        <f t="shared" si="81"/>
        <v>11.683333333333334</v>
      </c>
      <c r="L193" s="300">
        <f t="shared" si="86"/>
        <v>8.2248034729555317E-2</v>
      </c>
      <c r="M193" s="297">
        <f t="shared" si="73"/>
        <v>8.3333333333333329E-2</v>
      </c>
      <c r="N193" s="302">
        <f>$L193*'MWh Impact Summary'!F$26</f>
        <v>131285.70836165012</v>
      </c>
      <c r="O193" s="302">
        <f>$L193*'MWh Impact Summary'!G$26</f>
        <v>11490.307606352893</v>
      </c>
      <c r="P193" s="304">
        <f>$M193*'MWh Impact Summary'!H$26</f>
        <v>8838.4534494789077</v>
      </c>
      <c r="Q193" s="304">
        <f>$M193*'MWh Impact Summary'!I$26</f>
        <v>1478.4801956872363</v>
      </c>
      <c r="R193" s="304">
        <f>$M193*'MWh Impact Summary'!J$26</f>
        <v>42494.69323986776</v>
      </c>
      <c r="S193" s="304">
        <f>$M193*'MWh Impact Summary'!K$26</f>
        <v>20878.700540923863</v>
      </c>
      <c r="T193" s="304">
        <f>$M193*'MWh Impact Summary'!L$26</f>
        <v>7255.000680045925</v>
      </c>
      <c r="U193" s="304">
        <f>$M193*'MWh Impact Summary'!M$26</f>
        <v>23127.66384873179</v>
      </c>
      <c r="V193" s="302">
        <f>$L193*'MWh Impact Summary'!O$26</f>
        <v>85107.585523391564</v>
      </c>
      <c r="W193" s="302">
        <f>$L193*'MWh Impact Summary'!P$26</f>
        <v>334370.36840751476</v>
      </c>
      <c r="X193" s="302">
        <f>$L193*'MWh Impact Summary'!Q$26</f>
        <v>120597.9456968576</v>
      </c>
      <c r="Y193" s="85">
        <f t="shared" si="64"/>
        <v>786924.90755050245</v>
      </c>
      <c r="Z193" s="81">
        <f t="shared" si="65"/>
        <v>1720060.2234947523</v>
      </c>
      <c r="AA193" s="81"/>
      <c r="AB193" s="262">
        <f>+'MWh by mo-WgtbyActulCDH&amp;Days'!AB193</f>
        <v>5136848.4535763171</v>
      </c>
      <c r="AC193" s="308">
        <f t="shared" si="78"/>
        <v>334.84737559217501</v>
      </c>
      <c r="AD193" s="309">
        <f t="shared" si="66"/>
        <v>181.65521610718204</v>
      </c>
      <c r="AE193" s="107">
        <f t="shared" si="67"/>
        <v>1.5548235330143968E-2</v>
      </c>
      <c r="AF193" s="309">
        <f t="shared" si="75"/>
        <v>153.19215948499291</v>
      </c>
      <c r="AG193" s="107">
        <f t="shared" si="68"/>
        <v>1.3112025062909522E-2</v>
      </c>
      <c r="AH193" s="119">
        <f t="shared" si="76"/>
        <v>2.8660260393053492E-2</v>
      </c>
      <c r="AI193" s="122">
        <f t="shared" si="69"/>
        <v>2.8660260393053496E-2</v>
      </c>
      <c r="AJ193" s="87" t="b">
        <f t="shared" si="77"/>
        <v>1</v>
      </c>
      <c r="AK193" s="88">
        <f t="shared" si="82"/>
        <v>1.6591718038990524E-3</v>
      </c>
      <c r="AM193" s="89">
        <f t="shared" si="70"/>
        <v>334370.36840751476</v>
      </c>
      <c r="AN193" s="93"/>
      <c r="AO193" s="96">
        <f t="shared" si="84"/>
        <v>65.09251176657223</v>
      </c>
      <c r="AP193" s="92">
        <f t="shared" si="83"/>
        <v>5.571399009977651E-3</v>
      </c>
      <c r="AR193" s="94">
        <f t="shared" si="71"/>
        <v>2.8660260393053496E-2</v>
      </c>
      <c r="AS193" s="95">
        <v>1543477.4099642611</v>
      </c>
      <c r="AU193" s="141">
        <v>334.84737559217501</v>
      </c>
    </row>
    <row r="194" spans="1:47">
      <c r="A194" s="78">
        <v>2020</v>
      </c>
      <c r="B194" s="78">
        <v>10</v>
      </c>
      <c r="C194" s="317">
        <f t="shared" si="80"/>
        <v>198.89039579254836</v>
      </c>
      <c r="D194" s="324">
        <f t="shared" si="85"/>
        <v>0.10115446643644242</v>
      </c>
      <c r="E194" s="321">
        <f>$D194*'MWh Impact Summary'!B$26</f>
        <v>314895.45042255439</v>
      </c>
      <c r="F194" s="319">
        <f>$D194*'MWh Impact Summary'!N$26</f>
        <v>38314.934965534056</v>
      </c>
      <c r="G194" s="319">
        <f>$D194*'MWh Impact Summary'!C$26</f>
        <v>228813.61006892897</v>
      </c>
      <c r="H194" s="319">
        <f>$D194*'MWh Impact Summary'!D$26</f>
        <v>923.92060716878041</v>
      </c>
      <c r="I194" s="319">
        <f>$D194*'MWh Impact Summary'!E$26</f>
        <v>84944.584084596616</v>
      </c>
      <c r="J194" s="104">
        <f t="shared" si="72"/>
        <v>667892.50014878286</v>
      </c>
      <c r="K194" s="298">
        <f t="shared" si="81"/>
        <v>12.466666666666667</v>
      </c>
      <c r="L194" s="300">
        <f t="shared" si="86"/>
        <v>8.7762524932535488E-2</v>
      </c>
      <c r="M194" s="297">
        <f t="shared" si="73"/>
        <v>8.3333333333333329E-2</v>
      </c>
      <c r="N194" s="302">
        <f>$L194*'MWh Impact Summary'!F$26</f>
        <v>140088.03117619728</v>
      </c>
      <c r="O194" s="302">
        <f>$L194*'MWh Impact Summary'!G$26</f>
        <v>12260.699129175413</v>
      </c>
      <c r="P194" s="304">
        <f>$M194*'MWh Impact Summary'!H$26</f>
        <v>8838.4534494789077</v>
      </c>
      <c r="Q194" s="304">
        <f>$M194*'MWh Impact Summary'!I$26</f>
        <v>1478.4801956872363</v>
      </c>
      <c r="R194" s="304">
        <f>$M194*'MWh Impact Summary'!J$26</f>
        <v>42494.69323986776</v>
      </c>
      <c r="S194" s="304">
        <f>$M194*'MWh Impact Summary'!K$26</f>
        <v>20878.700540923863</v>
      </c>
      <c r="T194" s="304">
        <f>$M194*'MWh Impact Summary'!L$26</f>
        <v>7255.000680045925</v>
      </c>
      <c r="U194" s="304">
        <f>$M194*'MWh Impact Summary'!M$26</f>
        <v>23127.66384873179</v>
      </c>
      <c r="V194" s="302">
        <f>$L194*'MWh Impact Summary'!O$26</f>
        <v>90813.80024464606</v>
      </c>
      <c r="W194" s="302">
        <f>$L194*'MWh Impact Summary'!P$26</f>
        <v>356788.92377863207</v>
      </c>
      <c r="X194" s="302">
        <f>$L194*'MWh Impact Summary'!Q$26</f>
        <v>128683.68527995647</v>
      </c>
      <c r="Y194" s="85">
        <f t="shared" si="64"/>
        <v>832708.13156334276</v>
      </c>
      <c r="Z194" s="81">
        <f t="shared" si="65"/>
        <v>1500600.6317121256</v>
      </c>
      <c r="AA194" s="81"/>
      <c r="AB194" s="262">
        <f>+'MWh by mo-WgtbyActulCDH&amp;Days'!AB194</f>
        <v>5141857.9398052078</v>
      </c>
      <c r="AC194" s="308">
        <f t="shared" si="78"/>
        <v>291.84015763939476</v>
      </c>
      <c r="AD194" s="309">
        <f t="shared" si="66"/>
        <v>129.89322302710002</v>
      </c>
      <c r="AE194" s="107">
        <f t="shared" si="67"/>
        <v>1.0419242488804815E-2</v>
      </c>
      <c r="AF194" s="309">
        <f t="shared" si="75"/>
        <v>161.9469346122948</v>
      </c>
      <c r="AG194" s="107">
        <f t="shared" si="68"/>
        <v>1.2990395824515624E-2</v>
      </c>
      <c r="AH194" s="119">
        <f t="shared" si="76"/>
        <v>2.3409638313320439E-2</v>
      </c>
      <c r="AI194" s="122">
        <f t="shared" si="69"/>
        <v>2.3409638313320436E-2</v>
      </c>
      <c r="AJ194" s="87" t="b">
        <f t="shared" si="77"/>
        <v>1</v>
      </c>
      <c r="AK194" s="88">
        <f t="shared" si="82"/>
        <v>1.3786027483104583E-3</v>
      </c>
      <c r="AM194" s="89">
        <f t="shared" si="70"/>
        <v>356788.92377863207</v>
      </c>
      <c r="AN194" s="93"/>
      <c r="AO194" s="96">
        <f t="shared" si="84"/>
        <v>69.389105641481123</v>
      </c>
      <c r="AP194" s="92">
        <f t="shared" si="83"/>
        <v>5.5659710407605176E-3</v>
      </c>
      <c r="AR194" s="94">
        <f t="shared" si="71"/>
        <v>2.3409638313320436E-2</v>
      </c>
      <c r="AS194" s="95">
        <v>1249756.1416365989</v>
      </c>
      <c r="AU194" s="141">
        <v>291.84015763939476</v>
      </c>
    </row>
    <row r="195" spans="1:47">
      <c r="A195" s="78">
        <v>2020</v>
      </c>
      <c r="B195" s="78">
        <v>11</v>
      </c>
      <c r="C195" s="317">
        <f t="shared" si="80"/>
        <v>78.117279066674627</v>
      </c>
      <c r="D195" s="324">
        <f t="shared" si="85"/>
        <v>3.9729981188725644E-2</v>
      </c>
      <c r="E195" s="321">
        <f>$D195*'MWh Impact Summary'!B$26</f>
        <v>123680.05845361439</v>
      </c>
      <c r="F195" s="319">
        <f>$D195*'MWh Impact Summary'!N$26</f>
        <v>15048.783301965006</v>
      </c>
      <c r="G195" s="319">
        <f>$D195*'MWh Impact Summary'!C$26</f>
        <v>89870.08427823479</v>
      </c>
      <c r="H195" s="319">
        <f>$D195*'MWh Impact Summary'!D$26</f>
        <v>362.88410819462581</v>
      </c>
      <c r="I195" s="319">
        <f>$D195*'MWh Impact Summary'!E$26</f>
        <v>33363.299186453994</v>
      </c>
      <c r="J195" s="104">
        <f t="shared" si="72"/>
        <v>262325.1093284628</v>
      </c>
      <c r="K195" s="298">
        <f t="shared" si="81"/>
        <v>13.15</v>
      </c>
      <c r="L195" s="300">
        <f t="shared" si="86"/>
        <v>9.2573037662794788E-2</v>
      </c>
      <c r="M195" s="297">
        <f t="shared" si="73"/>
        <v>8.3333333333333329E-2</v>
      </c>
      <c r="N195" s="302">
        <f>$L195*'MWh Impact Summary'!F$26</f>
        <v>147766.65320590863</v>
      </c>
      <c r="O195" s="302">
        <f>$L195*'MWh Impact Summary'!G$26</f>
        <v>12932.742798020588</v>
      </c>
      <c r="P195" s="304">
        <f>$M195*'MWh Impact Summary'!H$26</f>
        <v>8838.4534494789077</v>
      </c>
      <c r="Q195" s="304">
        <f>$M195*'MWh Impact Summary'!I$26</f>
        <v>1478.4801956872363</v>
      </c>
      <c r="R195" s="304">
        <f>$M195*'MWh Impact Summary'!J$26</f>
        <v>42494.69323986776</v>
      </c>
      <c r="S195" s="304">
        <f>$M195*'MWh Impact Summary'!K$26</f>
        <v>20878.700540923863</v>
      </c>
      <c r="T195" s="304">
        <f>$M195*'MWh Impact Summary'!L$26</f>
        <v>7255.000680045925</v>
      </c>
      <c r="U195" s="304">
        <f>$M195*'MWh Impact Summary'!M$26</f>
        <v>23127.66384873179</v>
      </c>
      <c r="V195" s="302">
        <f>$L195*'MWh Impact Summary'!O$26</f>
        <v>95791.562022761689</v>
      </c>
      <c r="W195" s="302">
        <f>$L195*'MWh Impact Summary'!P$26</f>
        <v>376345.53591088328</v>
      </c>
      <c r="X195" s="302">
        <f>$L195*'MWh Impact Summary'!Q$26</f>
        <v>135737.20278861717</v>
      </c>
      <c r="Y195" s="85">
        <f t="shared" si="64"/>
        <v>872646.6886809268</v>
      </c>
      <c r="Z195" s="81">
        <f t="shared" si="65"/>
        <v>1134971.7980093895</v>
      </c>
      <c r="AA195" s="81"/>
      <c r="AB195" s="262">
        <f>+'MWh by mo-WgtbyActulCDH&amp;Days'!AB195</f>
        <v>5146914.2029780019</v>
      </c>
      <c r="AC195" s="308">
        <f t="shared" si="78"/>
        <v>220.51500243635218</v>
      </c>
      <c r="AD195" s="309">
        <f t="shared" si="66"/>
        <v>50.967453309534797</v>
      </c>
      <c r="AE195" s="107">
        <f t="shared" si="67"/>
        <v>3.875851962702266E-3</v>
      </c>
      <c r="AF195" s="309">
        <f t="shared" si="75"/>
        <v>169.54754912681736</v>
      </c>
      <c r="AG195" s="107">
        <f t="shared" si="68"/>
        <v>1.289334974348421E-2</v>
      </c>
      <c r="AH195" s="119">
        <f t="shared" si="76"/>
        <v>1.6769201706186475E-2</v>
      </c>
      <c r="AI195" s="122">
        <f t="shared" si="69"/>
        <v>1.6769201706186475E-2</v>
      </c>
      <c r="AJ195" s="87" t="b">
        <f t="shared" si="77"/>
        <v>1</v>
      </c>
      <c r="AK195" s="88">
        <f t="shared" si="82"/>
        <v>1.0258462800391555E-3</v>
      </c>
      <c r="AM195" s="89">
        <f t="shared" si="70"/>
        <v>376345.53591088328</v>
      </c>
      <c r="AN195" s="93"/>
      <c r="AO195" s="96">
        <f t="shared" si="84"/>
        <v>73.120615784333452</v>
      </c>
      <c r="AP195" s="92">
        <f t="shared" si="83"/>
        <v>5.5605031014702242E-3</v>
      </c>
      <c r="AR195" s="94">
        <f t="shared" si="71"/>
        <v>1.6769201706186475E-2</v>
      </c>
      <c r="AS195" s="95">
        <v>974261.26226112701</v>
      </c>
      <c r="AU195" s="141">
        <v>220.51500243635218</v>
      </c>
    </row>
    <row r="196" spans="1:47">
      <c r="A196" s="78">
        <v>2020</v>
      </c>
      <c r="B196" s="78">
        <v>12</v>
      </c>
      <c r="C196" s="317">
        <f t="shared" si="80"/>
        <v>42.633806123140985</v>
      </c>
      <c r="D196" s="324">
        <f t="shared" si="85"/>
        <v>2.1683298951445065E-2</v>
      </c>
      <c r="E196" s="321">
        <f>$D196*'MWh Impact Summary'!B$26</f>
        <v>67500.451838697205</v>
      </c>
      <c r="F196" s="319">
        <f>$D196*'MWh Impact Summary'!N$26</f>
        <v>8213.124130162425</v>
      </c>
      <c r="G196" s="319">
        <f>$D196*'MWh Impact Summary'!C$26</f>
        <v>49048.095314716978</v>
      </c>
      <c r="H196" s="319">
        <f>$D196*'MWh Impact Summary'!D$26</f>
        <v>198.05004601777901</v>
      </c>
      <c r="I196" s="319">
        <f>$D196*'MWh Impact Summary'!E$26</f>
        <v>18208.576209235052</v>
      </c>
      <c r="J196" s="104">
        <f t="shared" si="72"/>
        <v>143168.29753882944</v>
      </c>
      <c r="K196" s="298">
        <f t="shared" si="81"/>
        <v>13.483333333333333</v>
      </c>
      <c r="L196" s="300">
        <f t="shared" si="86"/>
        <v>9.491962923853102E-2</v>
      </c>
      <c r="M196" s="297">
        <f t="shared" si="73"/>
        <v>8.3333333333333329E-2</v>
      </c>
      <c r="N196" s="302">
        <f>$L196*'MWh Impact Summary'!F$26</f>
        <v>151512.32248869463</v>
      </c>
      <c r="O196" s="302">
        <f>$L196*'MWh Impact Summary'!G$26</f>
        <v>13260.568977945064</v>
      </c>
      <c r="P196" s="304">
        <f>$M196*'MWh Impact Summary'!H$26</f>
        <v>8838.4534494789077</v>
      </c>
      <c r="Q196" s="304">
        <f>$M196*'MWh Impact Summary'!I$26</f>
        <v>1478.4801956872363</v>
      </c>
      <c r="R196" s="304">
        <f>$M196*'MWh Impact Summary'!J$26</f>
        <v>42494.69323986776</v>
      </c>
      <c r="S196" s="304">
        <f>$M196*'MWh Impact Summary'!K$26</f>
        <v>20878.700540923863</v>
      </c>
      <c r="T196" s="304">
        <f>$M196*'MWh Impact Summary'!L$26</f>
        <v>7255.000680045925</v>
      </c>
      <c r="U196" s="304">
        <f>$M196*'MWh Impact Summary'!M$26</f>
        <v>23127.66384873179</v>
      </c>
      <c r="V196" s="302">
        <f>$L196*'MWh Impact Summary'!O$26</f>
        <v>98219.73849989126</v>
      </c>
      <c r="W196" s="302">
        <f>$L196*'MWh Impact Summary'!P$26</f>
        <v>385885.34670710331</v>
      </c>
      <c r="X196" s="302">
        <f>$L196*'MWh Impact Summary'!Q$26</f>
        <v>139177.94303674434</v>
      </c>
      <c r="Y196" s="85">
        <f t="shared" si="64"/>
        <v>892128.91166511411</v>
      </c>
      <c r="Z196" s="81">
        <f t="shared" si="65"/>
        <v>1035297.2092039436</v>
      </c>
      <c r="AA196" s="81">
        <f>SUM(Z185:Z196)</f>
        <v>16153924.285144009</v>
      </c>
      <c r="AB196" s="262">
        <f>+'MWh by mo-WgtbyActulCDH&amp;Days'!AB196</f>
        <v>5152004.6812553955</v>
      </c>
      <c r="AC196" s="308">
        <f t="shared" si="78"/>
        <v>200.95036267546081</v>
      </c>
      <c r="AD196" s="309">
        <f t="shared" si="66"/>
        <v>27.788852378127778</v>
      </c>
      <c r="AE196" s="107">
        <f t="shared" si="67"/>
        <v>2.060977926684384E-3</v>
      </c>
      <c r="AF196" s="309">
        <f t="shared" si="75"/>
        <v>173.16151029733302</v>
      </c>
      <c r="AG196" s="107">
        <f t="shared" si="68"/>
        <v>1.2842633643807147E-2</v>
      </c>
      <c r="AH196" s="119">
        <f t="shared" si="76"/>
        <v>1.4903611570491531E-2</v>
      </c>
      <c r="AI196" s="122">
        <f t="shared" si="69"/>
        <v>1.4903611570491531E-2</v>
      </c>
      <c r="AJ196" s="87" t="b">
        <f t="shared" si="77"/>
        <v>1</v>
      </c>
      <c r="AK196" s="88">
        <f t="shared" si="82"/>
        <v>9.2645019664240949E-4</v>
      </c>
      <c r="AM196" s="89">
        <f t="shared" si="70"/>
        <v>385885.34670710331</v>
      </c>
      <c r="AN196" s="90">
        <f>SUM(AM185:AM196)</f>
        <v>4065390.3708091988</v>
      </c>
      <c r="AO196" s="96">
        <f t="shared" si="84"/>
        <v>74.900038059180133</v>
      </c>
      <c r="AP196" s="92">
        <f t="shared" si="83"/>
        <v>5.5550090031530391E-3</v>
      </c>
      <c r="AR196" s="94">
        <f t="shared" si="71"/>
        <v>1.4903611570491531E-2</v>
      </c>
      <c r="AS196" s="95">
        <v>809014.09152322926</v>
      </c>
      <c r="AU196" s="141">
        <v>200.95036267546081</v>
      </c>
    </row>
    <row r="197" spans="1:47">
      <c r="A197" s="78">
        <v>2021</v>
      </c>
      <c r="B197" s="78">
        <v>1</v>
      </c>
      <c r="C197" s="317">
        <f t="shared" si="80"/>
        <v>26.112829868525239</v>
      </c>
      <c r="D197" s="324">
        <f t="shared" si="85"/>
        <v>1.3280829182176284E-2</v>
      </c>
      <c r="E197" s="321">
        <f>$D197*'MWh Impact Summary'!B$27</f>
        <v>44188.525024514463</v>
      </c>
      <c r="F197" s="319">
        <f>$D197*'MWh Impact Summary'!N$27</f>
        <v>5806.5634564263446</v>
      </c>
      <c r="G197" s="319">
        <f>$D197*'MWh Impact Summary'!C$27</f>
        <v>30797.346728658675</v>
      </c>
      <c r="H197" s="319">
        <f>$D197*'MWh Impact Summary'!D$27</f>
        <v>132.42883687676476</v>
      </c>
      <c r="I197" s="319">
        <f>$D197*'MWh Impact Summary'!E$27</f>
        <v>11297.177537782454</v>
      </c>
      <c r="J197" s="104">
        <f t="shared" si="72"/>
        <v>92222.041584258695</v>
      </c>
      <c r="K197" s="298">
        <f t="shared" si="81"/>
        <v>13.3</v>
      </c>
      <c r="L197" s="300">
        <f t="shared" si="86"/>
        <v>9.3629003871876101E-2</v>
      </c>
      <c r="M197" s="297">
        <f t="shared" si="73"/>
        <v>8.3333333333333329E-2</v>
      </c>
      <c r="N197" s="302">
        <f>$L197*'MWh Impact Summary'!F$27</f>
        <v>161268.30772360135</v>
      </c>
      <c r="O197" s="302">
        <f>$L197*'MWh Impact Summary'!G$27</f>
        <v>17274.995160691102</v>
      </c>
      <c r="P197" s="304">
        <f>$M197*'MWh Impact Summary'!H$27</f>
        <v>9386.759703614207</v>
      </c>
      <c r="Q197" s="304">
        <f>$M197*'MWh Impact Summary'!I$27</f>
        <v>1569.3356760152556</v>
      </c>
      <c r="R197" s="304">
        <f>$M197*'MWh Impact Summary'!J$27</f>
        <v>43847.049831561431</v>
      </c>
      <c r="S197" s="304">
        <f>$M197*'MWh Impact Summary'!K$27</f>
        <v>24152.549595186574</v>
      </c>
      <c r="T197" s="304">
        <f>$M197*'MWh Impact Summary'!L$27</f>
        <v>8496.6959299755836</v>
      </c>
      <c r="U197" s="304">
        <f>$M197*'MWh Impact Summary'!M$27</f>
        <v>26550.381637838967</v>
      </c>
      <c r="V197" s="302">
        <f>$L197*'MWh Impact Summary'!O$27</f>
        <v>129557.01638389862</v>
      </c>
      <c r="W197" s="302">
        <f>$L197*'MWh Impact Summary'!P$27</f>
        <v>387143.62415546569</v>
      </c>
      <c r="X197" s="302">
        <f>$L197*'MWh Impact Summary'!Q$27</f>
        <v>137285.53590027441</v>
      </c>
      <c r="Y197" s="85">
        <f t="shared" ref="Y197:Y260" si="87">SUM(N197:X197)</f>
        <v>946532.25169812317</v>
      </c>
      <c r="Z197" s="81">
        <f t="shared" ref="Z197:Z260" si="88">Y197+J197</f>
        <v>1038754.2932823818</v>
      </c>
      <c r="AA197" s="81"/>
      <c r="AB197" s="262">
        <f>+'MWh by mo-WgtbyActulCDH&amp;Days'!AB197</f>
        <v>5157217.8149424428</v>
      </c>
      <c r="AC197" s="308">
        <f t="shared" si="78"/>
        <v>201.41757252771279</v>
      </c>
      <c r="AD197" s="309">
        <f t="shared" ref="AD197:AD260" si="89">+J197*1000/AB197</f>
        <v>17.882130422542165</v>
      </c>
      <c r="AE197" s="107">
        <f t="shared" ref="AE197:AE260" si="90">+AD197/K197/1000</f>
        <v>1.3445210844016664E-3</v>
      </c>
      <c r="AF197" s="309">
        <f t="shared" si="75"/>
        <v>183.5354421051706</v>
      </c>
      <c r="AG197" s="107">
        <f t="shared" ref="AG197:AG260" si="91">+AF197/K197/1000</f>
        <v>1.3799657301140647E-2</v>
      </c>
      <c r="AH197" s="119">
        <f t="shared" si="76"/>
        <v>1.5144178385542313E-2</v>
      </c>
      <c r="AI197" s="122">
        <f t="shared" ref="AI197:AI260" si="92">+AC197/K197/1000</f>
        <v>1.5144178385542315E-2</v>
      </c>
      <c r="AJ197" s="87" t="b">
        <f t="shared" si="77"/>
        <v>1</v>
      </c>
      <c r="AK197" s="88">
        <f t="shared" si="82"/>
        <v>8.4253147340738674E-4</v>
      </c>
      <c r="AM197" s="89">
        <f t="shared" ref="AM197:AM260" si="93">+W197</f>
        <v>387143.62415546569</v>
      </c>
      <c r="AN197" s="93"/>
      <c r="AO197" s="96">
        <f t="shared" si="84"/>
        <v>75.068309706400555</v>
      </c>
      <c r="AP197" s="92">
        <f t="shared" si="83"/>
        <v>5.6442338125113197E-3</v>
      </c>
      <c r="AR197" s="94">
        <f t="shared" ref="AR197:AR260" si="94">AI197</f>
        <v>1.5144178385542315E-2</v>
      </c>
      <c r="AS197" s="95">
        <v>817529.58394237643</v>
      </c>
      <c r="AU197" s="141">
        <v>201.41757252771279</v>
      </c>
    </row>
    <row r="198" spans="1:47">
      <c r="A198" s="78">
        <v>2021</v>
      </c>
      <c r="B198" s="78">
        <v>2</v>
      </c>
      <c r="C198" s="317">
        <f t="shared" si="80"/>
        <v>35.042184420393127</v>
      </c>
      <c r="D198" s="324">
        <f t="shared" si="85"/>
        <v>1.7822245532205266E-2</v>
      </c>
      <c r="E198" s="321">
        <f>$D198*'MWh Impact Summary'!B$27</f>
        <v>59298.913636342862</v>
      </c>
      <c r="F198" s="319">
        <f>$D198*'MWh Impact Summary'!N$27</f>
        <v>7792.1339247134947</v>
      </c>
      <c r="G198" s="319">
        <f>$D198*'MWh Impact Summary'!C$27</f>
        <v>41328.584805174854</v>
      </c>
      <c r="H198" s="319">
        <f>$D198*'MWh Impact Summary'!D$27</f>
        <v>177.71324470685698</v>
      </c>
      <c r="I198" s="319">
        <f>$D198*'MWh Impact Summary'!E$27</f>
        <v>15160.278709817721</v>
      </c>
      <c r="J198" s="104">
        <f t="shared" ref="J198:J261" si="95">SUM(E198:I198)</f>
        <v>123757.62432075579</v>
      </c>
      <c r="K198" s="298">
        <f t="shared" si="81"/>
        <v>12.733333333333333</v>
      </c>
      <c r="L198" s="300">
        <f t="shared" si="86"/>
        <v>8.9639798193124468E-2</v>
      </c>
      <c r="M198" s="297">
        <f t="shared" ref="M198:M261" si="96">1/12</f>
        <v>8.3333333333333329E-2</v>
      </c>
      <c r="N198" s="302">
        <f>$L198*'MWh Impact Summary'!F$27</f>
        <v>154397.22694339775</v>
      </c>
      <c r="O198" s="302">
        <f>$L198*'MWh Impact Summary'!G$27</f>
        <v>16538.967797954883</v>
      </c>
      <c r="P198" s="304">
        <f>$M198*'MWh Impact Summary'!H$27</f>
        <v>9386.759703614207</v>
      </c>
      <c r="Q198" s="304">
        <f>$M198*'MWh Impact Summary'!I$27</f>
        <v>1569.3356760152556</v>
      </c>
      <c r="R198" s="304">
        <f>$M198*'MWh Impact Summary'!J$27</f>
        <v>43847.049831561431</v>
      </c>
      <c r="S198" s="304">
        <f>$M198*'MWh Impact Summary'!K$27</f>
        <v>24152.549595186574</v>
      </c>
      <c r="T198" s="304">
        <f>$M198*'MWh Impact Summary'!L$27</f>
        <v>8496.6959299755836</v>
      </c>
      <c r="U198" s="304">
        <f>$M198*'MWh Impact Summary'!M$27</f>
        <v>26550.381637838967</v>
      </c>
      <c r="V198" s="302">
        <f>$L198*'MWh Impact Summary'!O$27</f>
        <v>124037.04325476005</v>
      </c>
      <c r="W198" s="302">
        <f>$L198*'MWh Impact Summary'!P$27</f>
        <v>370648.78302603471</v>
      </c>
      <c r="X198" s="302">
        <f>$L198*'MWh Impact Summary'!Q$27</f>
        <v>131436.27747845819</v>
      </c>
      <c r="Y198" s="85">
        <f t="shared" si="87"/>
        <v>911061.07087479765</v>
      </c>
      <c r="Z198" s="81">
        <f t="shared" si="88"/>
        <v>1034818.6951955535</v>
      </c>
      <c r="AA198" s="81"/>
      <c r="AB198" s="262">
        <f>+'MWh by mo-WgtbyActulCDH&amp;Days'!AB198</f>
        <v>5162310.6728719575</v>
      </c>
      <c r="AC198" s="308">
        <f t="shared" ref="AC198:AC220" si="97">+Z198*1000/AB198</f>
        <v>200.4564933748652</v>
      </c>
      <c r="AD198" s="309">
        <f t="shared" si="89"/>
        <v>23.973300361619941</v>
      </c>
      <c r="AE198" s="107">
        <f t="shared" si="90"/>
        <v>1.8827199236874301E-3</v>
      </c>
      <c r="AF198" s="309">
        <f t="shared" ref="AF198:AF220" si="98">+Y198*1000/AB198</f>
        <v>176.48319301324526</v>
      </c>
      <c r="AG198" s="107">
        <f t="shared" si="91"/>
        <v>1.3859936624076854E-2</v>
      </c>
      <c r="AH198" s="119">
        <f t="shared" ref="AH198:AH220" si="99">AE198+AG198</f>
        <v>1.5742656547764286E-2</v>
      </c>
      <c r="AI198" s="122">
        <f t="shared" si="92"/>
        <v>1.5742656547764283E-2</v>
      </c>
      <c r="AJ198" s="87" t="b">
        <f t="shared" ref="AJ198:AJ220" si="100">AH198=AI198</f>
        <v>1</v>
      </c>
      <c r="AK198" s="88">
        <f t="shared" si="82"/>
        <v>8.6897952069480387E-4</v>
      </c>
      <c r="AM198" s="89">
        <f t="shared" si="93"/>
        <v>370648.78302603471</v>
      </c>
      <c r="AN198" s="93"/>
      <c r="AO198" s="96">
        <f t="shared" si="84"/>
        <v>71.799007559502613</v>
      </c>
      <c r="AP198" s="92">
        <f t="shared" si="83"/>
        <v>5.6386655151441844E-3</v>
      </c>
      <c r="AR198" s="94">
        <f t="shared" si="94"/>
        <v>1.5742656547764283E-2</v>
      </c>
      <c r="AS198" s="95">
        <v>756573.78368226485</v>
      </c>
      <c r="AU198" s="141">
        <v>200.4564933748652</v>
      </c>
    </row>
    <row r="199" spans="1:47">
      <c r="A199" s="78">
        <v>2021</v>
      </c>
      <c r="B199" s="78">
        <v>3</v>
      </c>
      <c r="C199" s="317">
        <f t="shared" si="80"/>
        <v>64.582270600115152</v>
      </c>
      <c r="D199" s="324">
        <f t="shared" si="85"/>
        <v>3.2846156787895278E-2</v>
      </c>
      <c r="E199" s="321">
        <f>$D199*'MWh Impact Summary'!B$27</f>
        <v>109287.09354450084</v>
      </c>
      <c r="F199" s="319">
        <f>$D199*'MWh Impact Summary'!N$27</f>
        <v>14360.797136417177</v>
      </c>
      <c r="G199" s="319">
        <f>$D199*'MWh Impact Summary'!C$27</f>
        <v>76168.021245111246</v>
      </c>
      <c r="H199" s="319">
        <f>$D199*'MWh Impact Summary'!D$27</f>
        <v>327.52309962170904</v>
      </c>
      <c r="I199" s="319">
        <f>$D199*'MWh Impact Summary'!E$27</f>
        <v>27940.188039214387</v>
      </c>
      <c r="J199" s="104">
        <f t="shared" si="95"/>
        <v>228083.62306486533</v>
      </c>
      <c r="K199" s="298">
        <f t="shared" si="81"/>
        <v>12</v>
      </c>
      <c r="L199" s="300">
        <f t="shared" si="86"/>
        <v>8.4477296726504739E-2</v>
      </c>
      <c r="M199" s="297">
        <f t="shared" si="96"/>
        <v>8.3333333333333329E-2</v>
      </c>
      <c r="N199" s="302">
        <f>$L199*'MWh Impact Summary'!F$27</f>
        <v>145505.24005136962</v>
      </c>
      <c r="O199" s="302">
        <f>$L199*'MWh Impact Summary'!G$27</f>
        <v>15586.461799119788</v>
      </c>
      <c r="P199" s="304">
        <f>$M199*'MWh Impact Summary'!H$27</f>
        <v>9386.759703614207</v>
      </c>
      <c r="Q199" s="304">
        <f>$M199*'MWh Impact Summary'!I$27</f>
        <v>1569.3356760152556</v>
      </c>
      <c r="R199" s="304">
        <f>$M199*'MWh Impact Summary'!J$27</f>
        <v>43847.049831561431</v>
      </c>
      <c r="S199" s="304">
        <f>$M199*'MWh Impact Summary'!K$27</f>
        <v>24152.549595186574</v>
      </c>
      <c r="T199" s="304">
        <f>$M199*'MWh Impact Summary'!L$27</f>
        <v>8496.6959299755836</v>
      </c>
      <c r="U199" s="304">
        <f>$M199*'MWh Impact Summary'!M$27</f>
        <v>26550.381637838967</v>
      </c>
      <c r="V199" s="302">
        <f>$L199*'MWh Impact Summary'!O$27</f>
        <v>116893.54861705136</v>
      </c>
      <c r="W199" s="302">
        <f>$L199*'MWh Impact Summary'!P$27</f>
        <v>349302.51803500659</v>
      </c>
      <c r="X199" s="302">
        <f>$L199*'MWh Impact Summary'!Q$27</f>
        <v>123866.64893257839</v>
      </c>
      <c r="Y199" s="85">
        <f t="shared" si="87"/>
        <v>865157.18980931782</v>
      </c>
      <c r="Z199" s="81">
        <f t="shared" si="88"/>
        <v>1093240.8128741831</v>
      </c>
      <c r="AA199" s="81"/>
      <c r="AB199" s="262">
        <f>+'MWh by mo-WgtbyActulCDH&amp;Days'!AB199</f>
        <v>5167504.396665371</v>
      </c>
      <c r="AC199" s="308">
        <f t="shared" si="97"/>
        <v>211.56069331642166</v>
      </c>
      <c r="AD199" s="309">
        <f t="shared" si="89"/>
        <v>44.13806076527954</v>
      </c>
      <c r="AE199" s="107">
        <f t="shared" si="90"/>
        <v>3.6781717304399616E-3</v>
      </c>
      <c r="AF199" s="309">
        <f t="shared" si="98"/>
        <v>167.42263255114213</v>
      </c>
      <c r="AG199" s="107">
        <f t="shared" si="91"/>
        <v>1.3951886045928511E-2</v>
      </c>
      <c r="AH199" s="119">
        <f t="shared" si="99"/>
        <v>1.7630057776368474E-2</v>
      </c>
      <c r="AI199" s="122">
        <f t="shared" si="92"/>
        <v>1.7630057776368471E-2</v>
      </c>
      <c r="AJ199" s="87" t="b">
        <f t="shared" si="100"/>
        <v>1</v>
      </c>
      <c r="AK199" s="88">
        <f t="shared" si="82"/>
        <v>9.4549605979925982E-4</v>
      </c>
      <c r="AM199" s="89">
        <f t="shared" si="93"/>
        <v>349302.51803500659</v>
      </c>
      <c r="AN199" s="93"/>
      <c r="AO199" s="96">
        <f t="shared" si="84"/>
        <v>67.595978875298897</v>
      </c>
      <c r="AP199" s="92">
        <f t="shared" si="83"/>
        <v>5.6329982396082414E-3</v>
      </c>
      <c r="AR199" s="94">
        <f t="shared" si="94"/>
        <v>1.7630057776368471E-2</v>
      </c>
      <c r="AS199" s="95">
        <v>905658.16661233245</v>
      </c>
      <c r="AU199" s="141">
        <v>211.56069331642166</v>
      </c>
    </row>
    <row r="200" spans="1:47">
      <c r="A200" s="78">
        <v>2021</v>
      </c>
      <c r="B200" s="78">
        <v>4</v>
      </c>
      <c r="C200" s="317">
        <f t="shared" si="80"/>
        <v>114.03392869270741</v>
      </c>
      <c r="D200" s="324">
        <f t="shared" si="85"/>
        <v>5.7996974497419709E-2</v>
      </c>
      <c r="E200" s="321">
        <f>$D200*'MWh Impact Summary'!B$27</f>
        <v>192969.93612151861</v>
      </c>
      <c r="F200" s="319">
        <f>$D200*'MWh Impact Summary'!N$27</f>
        <v>25357.084868764479</v>
      </c>
      <c r="G200" s="319">
        <f>$D200*'MWh Impact Summary'!C$27</f>
        <v>134491.07042257121</v>
      </c>
      <c r="H200" s="319">
        <f>$D200*'MWh Impact Summary'!D$27</f>
        <v>578.31267684493389</v>
      </c>
      <c r="I200" s="319">
        <f>$D200*'MWh Impact Summary'!E$27</f>
        <v>49334.428488163569</v>
      </c>
      <c r="J200" s="104">
        <f t="shared" si="95"/>
        <v>402730.83257786278</v>
      </c>
      <c r="K200" s="298">
        <f t="shared" si="81"/>
        <v>11.2</v>
      </c>
      <c r="L200" s="300">
        <f t="shared" si="86"/>
        <v>7.8845476944737758E-2</v>
      </c>
      <c r="M200" s="297">
        <f t="shared" si="96"/>
        <v>8.3333333333333329E-2</v>
      </c>
      <c r="N200" s="302">
        <f>$L200*'MWh Impact Summary'!F$27</f>
        <v>135804.89071461163</v>
      </c>
      <c r="O200" s="302">
        <f>$L200*'MWh Impact Summary'!G$27</f>
        <v>14547.364345845135</v>
      </c>
      <c r="P200" s="304">
        <f>$M200*'MWh Impact Summary'!H$27</f>
        <v>9386.759703614207</v>
      </c>
      <c r="Q200" s="304">
        <f>$M200*'MWh Impact Summary'!I$27</f>
        <v>1569.3356760152556</v>
      </c>
      <c r="R200" s="304">
        <f>$M200*'MWh Impact Summary'!J$27</f>
        <v>43847.049831561431</v>
      </c>
      <c r="S200" s="304">
        <f>$M200*'MWh Impact Summary'!K$27</f>
        <v>24152.549595186574</v>
      </c>
      <c r="T200" s="304">
        <f>$M200*'MWh Impact Summary'!L$27</f>
        <v>8496.6959299755836</v>
      </c>
      <c r="U200" s="304">
        <f>$M200*'MWh Impact Summary'!M$27</f>
        <v>26550.381637838967</v>
      </c>
      <c r="V200" s="302">
        <f>$L200*'MWh Impact Summary'!O$27</f>
        <v>109100.64537591461</v>
      </c>
      <c r="W200" s="302">
        <f>$L200*'MWh Impact Summary'!P$27</f>
        <v>326015.68349933944</v>
      </c>
      <c r="X200" s="302">
        <f>$L200*'MWh Impact Summary'!Q$27</f>
        <v>115608.87233707318</v>
      </c>
      <c r="Y200" s="85">
        <f t="shared" si="87"/>
        <v>815080.22864697606</v>
      </c>
      <c r="Z200" s="81">
        <f t="shared" si="88"/>
        <v>1217811.0612248387</v>
      </c>
      <c r="AA200" s="81"/>
      <c r="AB200" s="262">
        <f>+'MWh by mo-WgtbyActulCDH&amp;Days'!AB200</f>
        <v>5172569.6347586866</v>
      </c>
      <c r="AC200" s="308">
        <f t="shared" si="97"/>
        <v>235.43637828312245</v>
      </c>
      <c r="AD200" s="309">
        <f t="shared" si="89"/>
        <v>77.858948456022318</v>
      </c>
      <c r="AE200" s="107">
        <f t="shared" si="90"/>
        <v>6.951691826430564E-3</v>
      </c>
      <c r="AF200" s="309">
        <f t="shared" si="98"/>
        <v>157.57742982710016</v>
      </c>
      <c r="AG200" s="107">
        <f t="shared" si="91"/>
        <v>1.4069413377419659E-2</v>
      </c>
      <c r="AH200" s="119">
        <f t="shared" si="99"/>
        <v>2.1021105203850223E-2</v>
      </c>
      <c r="AI200" s="122">
        <f t="shared" si="92"/>
        <v>2.102110520385022E-2</v>
      </c>
      <c r="AJ200" s="87" t="b">
        <f t="shared" si="100"/>
        <v>1</v>
      </c>
      <c r="AK200" s="88">
        <f t="shared" si="82"/>
        <v>1.0799686153972615E-3</v>
      </c>
      <c r="AM200" s="89">
        <f t="shared" si="93"/>
        <v>326015.68349933944</v>
      </c>
      <c r="AN200" s="93"/>
      <c r="AO200" s="96">
        <f t="shared" si="84"/>
        <v>63.027799820919938</v>
      </c>
      <c r="AP200" s="92">
        <f t="shared" si="83"/>
        <v>5.6274821268678518E-3</v>
      </c>
      <c r="AR200" s="94">
        <f t="shared" si="94"/>
        <v>2.102110520385022E-2</v>
      </c>
      <c r="AS200" s="95">
        <v>1044428.6427978469</v>
      </c>
      <c r="AU200" s="141">
        <v>235.43637828312245</v>
      </c>
    </row>
    <row r="201" spans="1:47">
      <c r="A201" s="78">
        <v>2021</v>
      </c>
      <c r="B201" s="78">
        <v>5</v>
      </c>
      <c r="C201" s="317">
        <f t="shared" si="80"/>
        <v>208.47875842628665</v>
      </c>
      <c r="D201" s="324">
        <f t="shared" si="85"/>
        <v>0.10603105035770212</v>
      </c>
      <c r="E201" s="321">
        <f>$D201*'MWh Impact Summary'!B$27</f>
        <v>352790.90317605453</v>
      </c>
      <c r="F201" s="319">
        <f>$D201*'MWh Impact Summary'!N$27</f>
        <v>46358.251718184205</v>
      </c>
      <c r="G201" s="319">
        <f>$D201*'MWh Impact Summary'!C$27</f>
        <v>245878.85116785447</v>
      </c>
      <c r="H201" s="319">
        <f>$D201*'MWh Impact Summary'!D$27</f>
        <v>1057.2810235777179</v>
      </c>
      <c r="I201" s="319">
        <f>$D201*'MWh Impact Summary'!E$27</f>
        <v>90194.037132568919</v>
      </c>
      <c r="J201" s="104">
        <f t="shared" si="95"/>
        <v>736279.32421823975</v>
      </c>
      <c r="K201" s="298">
        <f t="shared" si="81"/>
        <v>10.533333333333333</v>
      </c>
      <c r="L201" s="300">
        <f t="shared" si="86"/>
        <v>7.4152293793265281E-2</v>
      </c>
      <c r="M201" s="297">
        <f t="shared" si="96"/>
        <v>8.3333333333333329E-2</v>
      </c>
      <c r="N201" s="302">
        <f>$L201*'MWh Impact Summary'!F$27</f>
        <v>127721.26626731335</v>
      </c>
      <c r="O201" s="302">
        <f>$L201*'MWh Impact Summary'!G$27</f>
        <v>13681.449801449593</v>
      </c>
      <c r="P201" s="304">
        <f>$M201*'MWh Impact Summary'!H$27</f>
        <v>9386.759703614207</v>
      </c>
      <c r="Q201" s="304">
        <f>$M201*'MWh Impact Summary'!I$27</f>
        <v>1569.3356760152556</v>
      </c>
      <c r="R201" s="304">
        <f>$M201*'MWh Impact Summary'!J$27</f>
        <v>43847.049831561431</v>
      </c>
      <c r="S201" s="304">
        <f>$M201*'MWh Impact Summary'!K$27</f>
        <v>24152.549595186574</v>
      </c>
      <c r="T201" s="304">
        <f>$M201*'MWh Impact Summary'!L$27</f>
        <v>8496.6959299755836</v>
      </c>
      <c r="U201" s="304">
        <f>$M201*'MWh Impact Summary'!M$27</f>
        <v>26550.381637838967</v>
      </c>
      <c r="V201" s="302">
        <f>$L201*'MWh Impact Summary'!O$27</f>
        <v>102606.55934163398</v>
      </c>
      <c r="W201" s="302">
        <f>$L201*'MWh Impact Summary'!P$27</f>
        <v>306609.98805295024</v>
      </c>
      <c r="X201" s="302">
        <f>$L201*'MWh Impact Summary'!Q$27</f>
        <v>108727.39184081883</v>
      </c>
      <c r="Y201" s="85">
        <f t="shared" si="87"/>
        <v>773349.42767835804</v>
      </c>
      <c r="Z201" s="81">
        <f t="shared" si="88"/>
        <v>1509628.7518965979</v>
      </c>
      <c r="AA201" s="81"/>
      <c r="AB201" s="262">
        <f>+'MWh by mo-WgtbyActulCDH&amp;Days'!AB201</f>
        <v>5177582.9748099707</v>
      </c>
      <c r="AC201" s="308">
        <f t="shared" si="97"/>
        <v>291.57017072275983</v>
      </c>
      <c r="AD201" s="309">
        <f t="shared" si="89"/>
        <v>142.20521965565661</v>
      </c>
      <c r="AE201" s="107">
        <f t="shared" si="90"/>
        <v>1.3500495536929424E-2</v>
      </c>
      <c r="AF201" s="309">
        <f t="shared" si="98"/>
        <v>149.36495106710325</v>
      </c>
      <c r="AG201" s="107">
        <f t="shared" si="91"/>
        <v>1.418021687345917E-2</v>
      </c>
      <c r="AH201" s="119">
        <f t="shared" si="99"/>
        <v>2.7680712410388594E-2</v>
      </c>
      <c r="AI201" s="122">
        <f t="shared" si="92"/>
        <v>2.7680712410388591E-2</v>
      </c>
      <c r="AJ201" s="87" t="b">
        <f t="shared" si="100"/>
        <v>1</v>
      </c>
      <c r="AK201" s="88">
        <f t="shared" si="82"/>
        <v>1.3359625454502505E-3</v>
      </c>
      <c r="AM201" s="89">
        <f t="shared" si="93"/>
        <v>306609.98805295024</v>
      </c>
      <c r="AN201" s="93"/>
      <c r="AO201" s="96">
        <f t="shared" si="84"/>
        <v>59.21874927831621</v>
      </c>
      <c r="AP201" s="92">
        <f t="shared" si="83"/>
        <v>5.6220331593338172E-3</v>
      </c>
      <c r="AR201" s="94">
        <f t="shared" si="94"/>
        <v>2.7680712410388591E-2</v>
      </c>
      <c r="AS201" s="95">
        <v>1229631.339983386</v>
      </c>
      <c r="AU201" s="141">
        <v>291.57017072275983</v>
      </c>
    </row>
    <row r="202" spans="1:47">
      <c r="A202" s="78">
        <v>2021</v>
      </c>
      <c r="B202" s="78">
        <v>6</v>
      </c>
      <c r="C202" s="317">
        <f t="shared" si="80"/>
        <v>271.66325293295364</v>
      </c>
      <c r="D202" s="324">
        <f t="shared" si="85"/>
        <v>0.13816630657965029</v>
      </c>
      <c r="E202" s="321">
        <f>$D202*'MWh Impact Summary'!B$27</f>
        <v>459712.65890787914</v>
      </c>
      <c r="F202" s="319">
        <f>$D202*'MWh Impact Summary'!N$27</f>
        <v>60408.233227748722</v>
      </c>
      <c r="G202" s="319">
        <f>$D202*'MWh Impact Summary'!C$27</f>
        <v>320398.3419696666</v>
      </c>
      <c r="H202" s="319">
        <f>$D202*'MWh Impact Summary'!D$27</f>
        <v>1377.7154291282948</v>
      </c>
      <c r="I202" s="319">
        <f>$D202*'MWh Impact Summary'!E$27</f>
        <v>117529.50615951011</v>
      </c>
      <c r="J202" s="104">
        <f t="shared" si="95"/>
        <v>959426.45569393283</v>
      </c>
      <c r="K202" s="298">
        <f t="shared" si="81"/>
        <v>10.199999999999999</v>
      </c>
      <c r="L202" s="300">
        <f t="shared" si="86"/>
        <v>7.1805702217529022E-2</v>
      </c>
      <c r="M202" s="297">
        <f t="shared" si="96"/>
        <v>8.3333333333333329E-2</v>
      </c>
      <c r="N202" s="302">
        <f>$L202*'MWh Impact Summary'!F$27</f>
        <v>123679.45404366415</v>
      </c>
      <c r="O202" s="302">
        <f>$L202*'MWh Impact Summary'!G$27</f>
        <v>13248.492529251818</v>
      </c>
      <c r="P202" s="304">
        <f>$M202*'MWh Impact Summary'!H$27</f>
        <v>9386.759703614207</v>
      </c>
      <c r="Q202" s="304">
        <f>$M202*'MWh Impact Summary'!I$27</f>
        <v>1569.3356760152556</v>
      </c>
      <c r="R202" s="304">
        <f>$M202*'MWh Impact Summary'!J$27</f>
        <v>43847.049831561431</v>
      </c>
      <c r="S202" s="304">
        <f>$M202*'MWh Impact Summary'!K$27</f>
        <v>24152.549595186574</v>
      </c>
      <c r="T202" s="304">
        <f>$M202*'MWh Impact Summary'!L$27</f>
        <v>8496.6959299755836</v>
      </c>
      <c r="U202" s="304">
        <f>$M202*'MWh Impact Summary'!M$27</f>
        <v>26550.381637838967</v>
      </c>
      <c r="V202" s="302">
        <f>$L202*'MWh Impact Summary'!O$27</f>
        <v>99359.516324493656</v>
      </c>
      <c r="W202" s="302">
        <f>$L202*'MWh Impact Summary'!P$27</f>
        <v>296907.14032975555</v>
      </c>
      <c r="X202" s="302">
        <f>$L202*'MWh Impact Summary'!Q$27</f>
        <v>105286.65159269163</v>
      </c>
      <c r="Y202" s="85">
        <f t="shared" si="87"/>
        <v>752484.02719404874</v>
      </c>
      <c r="Z202" s="81">
        <f t="shared" si="88"/>
        <v>1711910.4828879815</v>
      </c>
      <c r="AA202" s="81"/>
      <c r="AB202" s="262">
        <f>+'MWh by mo-WgtbyActulCDH&amp;Days'!AB202</f>
        <v>5182599.1656009592</v>
      </c>
      <c r="AC202" s="308">
        <f t="shared" si="97"/>
        <v>330.31890528031471</v>
      </c>
      <c r="AD202" s="309">
        <f t="shared" si="89"/>
        <v>185.1245726395436</v>
      </c>
      <c r="AE202" s="107">
        <f t="shared" si="90"/>
        <v>1.8149467905837612E-2</v>
      </c>
      <c r="AF202" s="309">
        <f t="shared" si="98"/>
        <v>145.19433264077117</v>
      </c>
      <c r="AG202" s="107">
        <f t="shared" si="91"/>
        <v>1.4234738494193253E-2</v>
      </c>
      <c r="AH202" s="119">
        <f t="shared" si="99"/>
        <v>3.2384206400030868E-2</v>
      </c>
      <c r="AI202" s="122">
        <f t="shared" si="92"/>
        <v>3.2384206400030854E-2</v>
      </c>
      <c r="AJ202" s="87" t="b">
        <f t="shared" si="100"/>
        <v>1</v>
      </c>
      <c r="AK202" s="88">
        <f t="shared" si="82"/>
        <v>1.5158105194176645E-3</v>
      </c>
      <c r="AM202" s="89">
        <f t="shared" si="93"/>
        <v>296907.14032975555</v>
      </c>
      <c r="AN202" s="93"/>
      <c r="AO202" s="96">
        <f t="shared" si="84"/>
        <v>57.289234772476767</v>
      </c>
      <c r="AP202" s="92">
        <f t="shared" si="83"/>
        <v>5.6165916443604675E-3</v>
      </c>
      <c r="AR202" s="94">
        <f t="shared" si="94"/>
        <v>3.2384206400030854E-2</v>
      </c>
      <c r="AS202" s="95">
        <v>1480819.0403773016</v>
      </c>
      <c r="AU202" s="141">
        <v>330.31890528031471</v>
      </c>
    </row>
    <row r="203" spans="1:47">
      <c r="A203" s="78">
        <v>2021</v>
      </c>
      <c r="B203" s="78">
        <v>7</v>
      </c>
      <c r="C203" s="317">
        <f t="shared" si="80"/>
        <v>322.31916585708109</v>
      </c>
      <c r="D203" s="324">
        <f t="shared" si="85"/>
        <v>0.16392960109808263</v>
      </c>
      <c r="E203" s="321">
        <f>$D203*'MWh Impact Summary'!B$27</f>
        <v>545433.35969586496</v>
      </c>
      <c r="F203" s="319">
        <f>$D203*'MWh Impact Summary'!N$27</f>
        <v>71672.304349802303</v>
      </c>
      <c r="G203" s="319">
        <f>$D203*'MWh Impact Summary'!C$27</f>
        <v>380141.68353914941</v>
      </c>
      <c r="H203" s="319">
        <f>$D203*'MWh Impact Summary'!D$27</f>
        <v>1634.6122749794847</v>
      </c>
      <c r="I203" s="319">
        <f>$D203*'MWh Impact Summary'!E$27</f>
        <v>139444.74263612399</v>
      </c>
      <c r="J203" s="104">
        <f t="shared" si="95"/>
        <v>1138326.70249592</v>
      </c>
      <c r="K203" s="298">
        <f t="shared" si="81"/>
        <v>10.366666666666667</v>
      </c>
      <c r="L203" s="300">
        <f t="shared" si="86"/>
        <v>7.2978998005397158E-2</v>
      </c>
      <c r="M203" s="297">
        <f t="shared" si="96"/>
        <v>8.3333333333333329E-2</v>
      </c>
      <c r="N203" s="302">
        <f>$L203*'MWh Impact Summary'!F$27</f>
        <v>125700.36015548876</v>
      </c>
      <c r="O203" s="302">
        <f>$L203*'MWh Impact Summary'!G$27</f>
        <v>13464.971165350707</v>
      </c>
      <c r="P203" s="304">
        <f>$M203*'MWh Impact Summary'!H$27</f>
        <v>9386.759703614207</v>
      </c>
      <c r="Q203" s="304">
        <f>$M203*'MWh Impact Summary'!I$27</f>
        <v>1569.3356760152556</v>
      </c>
      <c r="R203" s="304">
        <f>$M203*'MWh Impact Summary'!J$27</f>
        <v>43847.049831561431</v>
      </c>
      <c r="S203" s="304">
        <f>$M203*'MWh Impact Summary'!K$27</f>
        <v>24152.549595186574</v>
      </c>
      <c r="T203" s="304">
        <f>$M203*'MWh Impact Summary'!L$27</f>
        <v>8496.6959299755836</v>
      </c>
      <c r="U203" s="304">
        <f>$M203*'MWh Impact Summary'!M$27</f>
        <v>26550.381637838967</v>
      </c>
      <c r="V203" s="302">
        <f>$L203*'MWh Impact Summary'!O$27</f>
        <v>100983.03783306383</v>
      </c>
      <c r="W203" s="302">
        <f>$L203*'MWh Impact Summary'!P$27</f>
        <v>301758.56419135293</v>
      </c>
      <c r="X203" s="302">
        <f>$L203*'MWh Impact Summary'!Q$27</f>
        <v>107007.02171675525</v>
      </c>
      <c r="Y203" s="85">
        <f t="shared" si="87"/>
        <v>762916.72743620351</v>
      </c>
      <c r="Z203" s="81">
        <f t="shared" si="88"/>
        <v>1901243.4299321235</v>
      </c>
      <c r="AA203" s="81"/>
      <c r="AB203" s="262">
        <f>+'MWh by mo-WgtbyActulCDH&amp;Days'!AB203</f>
        <v>5187842.8780874414</v>
      </c>
      <c r="AC203" s="308">
        <f t="shared" si="97"/>
        <v>366.48053432046862</v>
      </c>
      <c r="AD203" s="309">
        <f t="shared" si="89"/>
        <v>219.42196964060278</v>
      </c>
      <c r="AE203" s="107">
        <f t="shared" si="90"/>
        <v>2.1166106396199622E-2</v>
      </c>
      <c r="AF203" s="309">
        <f t="shared" si="98"/>
        <v>147.05856467986587</v>
      </c>
      <c r="AG203" s="107">
        <f t="shared" si="91"/>
        <v>1.4185713634713748E-2</v>
      </c>
      <c r="AH203" s="119">
        <f t="shared" si="99"/>
        <v>3.5351820030913368E-2</v>
      </c>
      <c r="AI203" s="122">
        <f t="shared" si="92"/>
        <v>3.5351820030913375E-2</v>
      </c>
      <c r="AJ203" s="87" t="b">
        <f t="shared" si="100"/>
        <v>1</v>
      </c>
      <c r="AK203" s="88">
        <f t="shared" si="82"/>
        <v>1.6267808596093225E-3</v>
      </c>
      <c r="AM203" s="89">
        <f t="shared" si="93"/>
        <v>301758.56419135293</v>
      </c>
      <c r="AN203" s="93"/>
      <c r="AO203" s="96">
        <f t="shared" si="84"/>
        <v>58.166480998476132</v>
      </c>
      <c r="AP203" s="92">
        <f t="shared" si="83"/>
        <v>5.6109145657694016E-3</v>
      </c>
      <c r="AR203" s="94">
        <f t="shared" si="94"/>
        <v>3.5351820030913375E-2</v>
      </c>
      <c r="AS203" s="95">
        <v>1548236.5721445843</v>
      </c>
      <c r="AU203" s="141">
        <v>366.48053432046862</v>
      </c>
    </row>
    <row r="204" spans="1:47">
      <c r="A204" s="78">
        <v>2021</v>
      </c>
      <c r="B204" s="78">
        <v>8</v>
      </c>
      <c r="C204" s="317">
        <f t="shared" si="80"/>
        <v>326.45437890907908</v>
      </c>
      <c r="D204" s="324">
        <f t="shared" si="85"/>
        <v>0.16603274573816959</v>
      </c>
      <c r="E204" s="321">
        <f>$D204*'MWh Impact Summary'!B$27</f>
        <v>552431.02966690715</v>
      </c>
      <c r="F204" s="319">
        <f>$D204*'MWh Impact Summary'!N$27</f>
        <v>72591.828473122645</v>
      </c>
      <c r="G204" s="319">
        <f>$D204*'MWh Impact Summary'!C$27</f>
        <v>385018.73404652323</v>
      </c>
      <c r="H204" s="319">
        <f>$D204*'MWh Impact Summary'!D$27</f>
        <v>1655.5836311086716</v>
      </c>
      <c r="I204" s="319">
        <f>$D204*'MWh Impact Summary'!E$27</f>
        <v>141233.75731742001</v>
      </c>
      <c r="J204" s="104">
        <f t="shared" si="95"/>
        <v>1152930.9331350818</v>
      </c>
      <c r="K204" s="298">
        <f t="shared" si="81"/>
        <v>10.933333333333334</v>
      </c>
      <c r="L204" s="300">
        <f t="shared" si="86"/>
        <v>7.6968203684148764E-2</v>
      </c>
      <c r="M204" s="297">
        <f t="shared" si="96"/>
        <v>8.3333333333333329E-2</v>
      </c>
      <c r="N204" s="302">
        <f>$L204*'MWh Impact Summary'!F$27</f>
        <v>132571.44093569231</v>
      </c>
      <c r="O204" s="302">
        <f>$L204*'MWh Impact Summary'!G$27</f>
        <v>14200.998528086919</v>
      </c>
      <c r="P204" s="304">
        <f>$M204*'MWh Impact Summary'!H$27</f>
        <v>9386.759703614207</v>
      </c>
      <c r="Q204" s="304">
        <f>$M204*'MWh Impact Summary'!I$27</f>
        <v>1569.3356760152556</v>
      </c>
      <c r="R204" s="304">
        <f>$M204*'MWh Impact Summary'!J$27</f>
        <v>43847.049831561431</v>
      </c>
      <c r="S204" s="304">
        <f>$M204*'MWh Impact Summary'!K$27</f>
        <v>24152.549595186574</v>
      </c>
      <c r="T204" s="304">
        <f>$M204*'MWh Impact Summary'!L$27</f>
        <v>8496.6959299755836</v>
      </c>
      <c r="U204" s="304">
        <f>$M204*'MWh Impact Summary'!M$27</f>
        <v>26550.381637838967</v>
      </c>
      <c r="V204" s="302">
        <f>$L204*'MWh Impact Summary'!O$27</f>
        <v>106503.01096220236</v>
      </c>
      <c r="W204" s="302">
        <f>$L204*'MWh Impact Summary'!P$27</f>
        <v>318253.40532078379</v>
      </c>
      <c r="X204" s="302">
        <f>$L204*'MWh Impact Summary'!Q$27</f>
        <v>112856.28013857143</v>
      </c>
      <c r="Y204" s="85">
        <f t="shared" si="87"/>
        <v>798387.90825952881</v>
      </c>
      <c r="Z204" s="81">
        <f t="shared" si="88"/>
        <v>1951318.8413946107</v>
      </c>
      <c r="AA204" s="81"/>
      <c r="AB204" s="262">
        <f>+'MWh by mo-WgtbyActulCDH&amp;Days'!AB204</f>
        <v>5193203.3234929005</v>
      </c>
      <c r="AC204" s="308">
        <f t="shared" si="97"/>
        <v>375.74474170253973</v>
      </c>
      <c r="AD204" s="309">
        <f t="shared" si="89"/>
        <v>222.00766296198685</v>
      </c>
      <c r="AE204" s="107">
        <f t="shared" si="90"/>
        <v>2.0305578929450018E-2</v>
      </c>
      <c r="AF204" s="309">
        <f t="shared" si="98"/>
        <v>153.73707874055285</v>
      </c>
      <c r="AG204" s="107">
        <f t="shared" si="91"/>
        <v>1.4061318177489589E-2</v>
      </c>
      <c r="AH204" s="119">
        <f t="shared" si="99"/>
        <v>3.4366897106939603E-2</v>
      </c>
      <c r="AI204" s="122">
        <f t="shared" si="92"/>
        <v>3.436689710693961E-2</v>
      </c>
      <c r="AJ204" s="87" t="b">
        <f t="shared" si="100"/>
        <v>1</v>
      </c>
      <c r="AK204" s="88">
        <f t="shared" si="82"/>
        <v>1.58587160947464E-3</v>
      </c>
      <c r="AM204" s="89">
        <f t="shared" si="93"/>
        <v>318253.40532078379</v>
      </c>
      <c r="AN204" s="93"/>
      <c r="AO204" s="96">
        <f t="shared" si="84"/>
        <v>61.28267766468452</v>
      </c>
      <c r="AP204" s="92">
        <f t="shared" si="83"/>
        <v>5.6051229571357792E-3</v>
      </c>
      <c r="AR204" s="94">
        <f t="shared" si="94"/>
        <v>3.436689710693961E-2</v>
      </c>
      <c r="AS204" s="95">
        <v>1608940.8856324463</v>
      </c>
      <c r="AU204" s="141">
        <v>375.74474170253973</v>
      </c>
    </row>
    <row r="205" spans="1:47">
      <c r="A205" s="78">
        <v>2021</v>
      </c>
      <c r="B205" s="78">
        <v>9</v>
      </c>
      <c r="C205" s="317">
        <f t="shared" si="80"/>
        <v>277.87653293728147</v>
      </c>
      <c r="D205" s="324">
        <f t="shared" si="85"/>
        <v>0.14132634365008559</v>
      </c>
      <c r="E205" s="321">
        <f>$D205*'MWh Impact Summary'!B$27</f>
        <v>470226.8651558389</v>
      </c>
      <c r="F205" s="319">
        <f>$D205*'MWh Impact Summary'!N$27</f>
        <v>61789.845439038028</v>
      </c>
      <c r="G205" s="319">
        <f>$D205*'MWh Impact Summary'!C$27</f>
        <v>327726.25470754155</v>
      </c>
      <c r="H205" s="319">
        <f>$D205*'MWh Impact Summary'!D$27</f>
        <v>1409.2255124208978</v>
      </c>
      <c r="I205" s="319">
        <f>$D205*'MWh Impact Summary'!E$27</f>
        <v>120217.55366926896</v>
      </c>
      <c r="J205" s="104">
        <f t="shared" si="95"/>
        <v>981369.74448410829</v>
      </c>
      <c r="K205" s="298">
        <f t="shared" si="81"/>
        <v>11.683333333333334</v>
      </c>
      <c r="L205" s="300">
        <f t="shared" si="86"/>
        <v>8.2248034729555317E-2</v>
      </c>
      <c r="M205" s="297">
        <f t="shared" si="96"/>
        <v>8.3333333333333329E-2</v>
      </c>
      <c r="N205" s="302">
        <f>$L205*'MWh Impact Summary'!F$27</f>
        <v>141665.51843890292</v>
      </c>
      <c r="O205" s="302">
        <f>$L205*'MWh Impact Summary'!G$27</f>
        <v>15175.152390531906</v>
      </c>
      <c r="P205" s="304">
        <f>$M205*'MWh Impact Summary'!H$27</f>
        <v>9386.759703614207</v>
      </c>
      <c r="Q205" s="304">
        <f>$M205*'MWh Impact Summary'!I$27</f>
        <v>1569.3356760152556</v>
      </c>
      <c r="R205" s="304">
        <f>$M205*'MWh Impact Summary'!J$27</f>
        <v>43847.049831561431</v>
      </c>
      <c r="S205" s="304">
        <f>$M205*'MWh Impact Summary'!K$27</f>
        <v>24152.549595186574</v>
      </c>
      <c r="T205" s="304">
        <f>$M205*'MWh Impact Summary'!L$27</f>
        <v>8496.6959299755836</v>
      </c>
      <c r="U205" s="304">
        <f>$M205*'MWh Impact Summary'!M$27</f>
        <v>26550.381637838967</v>
      </c>
      <c r="V205" s="302">
        <f>$L205*'MWh Impact Summary'!O$27</f>
        <v>113808.85775076807</v>
      </c>
      <c r="W205" s="302">
        <f>$L205*'MWh Impact Summary'!P$27</f>
        <v>340084.81269797171</v>
      </c>
      <c r="X205" s="302">
        <f>$L205*'MWh Impact Summary'!Q$27</f>
        <v>120597.9456968576</v>
      </c>
      <c r="Y205" s="85">
        <f t="shared" si="87"/>
        <v>845335.05934922432</v>
      </c>
      <c r="Z205" s="81">
        <f t="shared" si="88"/>
        <v>1826704.8038333326</v>
      </c>
      <c r="AA205" s="81"/>
      <c r="AB205" s="262">
        <f>+'MWh by mo-WgtbyActulCDH&amp;Days'!AB205</f>
        <v>5198143.0314946659</v>
      </c>
      <c r="AC205" s="308">
        <f t="shared" si="97"/>
        <v>351.41487888379339</v>
      </c>
      <c r="AD205" s="309">
        <f t="shared" si="89"/>
        <v>188.79237037883638</v>
      </c>
      <c r="AE205" s="107">
        <f t="shared" si="90"/>
        <v>1.6159118720014527E-2</v>
      </c>
      <c r="AF205" s="309">
        <f t="shared" si="98"/>
        <v>162.62250850495701</v>
      </c>
      <c r="AG205" s="107">
        <f t="shared" si="91"/>
        <v>1.3919187603847961E-2</v>
      </c>
      <c r="AH205" s="119">
        <f t="shared" si="99"/>
        <v>3.0078306323862488E-2</v>
      </c>
      <c r="AI205" s="122">
        <f t="shared" si="92"/>
        <v>3.0078306323862485E-2</v>
      </c>
      <c r="AJ205" s="87" t="b">
        <f t="shared" si="100"/>
        <v>1</v>
      </c>
      <c r="AK205" s="88">
        <f t="shared" si="82"/>
        <v>1.4180459308089886E-3</v>
      </c>
      <c r="AM205" s="89">
        <f t="shared" si="93"/>
        <v>340084.81269797171</v>
      </c>
      <c r="AN205" s="93"/>
      <c r="AO205" s="96">
        <f t="shared" si="84"/>
        <v>65.424289142768018</v>
      </c>
      <c r="AP205" s="92">
        <f t="shared" si="83"/>
        <v>5.5997965029473337E-3</v>
      </c>
      <c r="AR205" s="94">
        <f t="shared" si="94"/>
        <v>3.0078306323862485E-2</v>
      </c>
      <c r="AS205" s="95">
        <v>1525924.4689069695</v>
      </c>
      <c r="AU205" s="141">
        <v>351.41487888379339</v>
      </c>
    </row>
    <row r="206" spans="1:47">
      <c r="A206" s="78">
        <v>2021</v>
      </c>
      <c r="B206" s="78">
        <v>10</v>
      </c>
      <c r="C206" s="317">
        <f t="shared" si="80"/>
        <v>198.89039579254836</v>
      </c>
      <c r="D206" s="324">
        <f t="shared" si="85"/>
        <v>0.10115446643644242</v>
      </c>
      <c r="E206" s="321">
        <f>$D206*'MWh Impact Summary'!B$27</f>
        <v>336565.3311366273</v>
      </c>
      <c r="F206" s="319">
        <f>$D206*'MWh Impact Summary'!N$27</f>
        <v>44226.141320485171</v>
      </c>
      <c r="G206" s="319">
        <f>$D206*'MWh Impact Summary'!C$27</f>
        <v>234570.38210961255</v>
      </c>
      <c r="H206" s="319">
        <f>$D206*'MWh Impact Summary'!D$27</f>
        <v>1008.6545163193412</v>
      </c>
      <c r="I206" s="319">
        <f>$D206*'MWh Impact Summary'!E$27</f>
        <v>86045.829699082562</v>
      </c>
      <c r="J206" s="104">
        <f t="shared" si="95"/>
        <v>702416.3387821269</v>
      </c>
      <c r="K206" s="298">
        <f t="shared" si="81"/>
        <v>12.466666666666667</v>
      </c>
      <c r="L206" s="300">
        <f t="shared" si="86"/>
        <v>8.7762524932535488E-2</v>
      </c>
      <c r="M206" s="297">
        <f t="shared" si="96"/>
        <v>8.3333333333333329E-2</v>
      </c>
      <c r="N206" s="302">
        <f>$L206*'MWh Impact Summary'!F$27</f>
        <v>151163.77716447844</v>
      </c>
      <c r="O206" s="302">
        <f>$L206*'MWh Impact Summary'!G$27</f>
        <v>16192.60198019667</v>
      </c>
      <c r="P206" s="304">
        <f>$M206*'MWh Impact Summary'!H$27</f>
        <v>9386.759703614207</v>
      </c>
      <c r="Q206" s="304">
        <f>$M206*'MWh Impact Summary'!I$27</f>
        <v>1569.3356760152556</v>
      </c>
      <c r="R206" s="304">
        <f>$M206*'MWh Impact Summary'!J$27</f>
        <v>43847.049831561431</v>
      </c>
      <c r="S206" s="304">
        <f>$M206*'MWh Impact Summary'!K$27</f>
        <v>24152.549595186574</v>
      </c>
      <c r="T206" s="304">
        <f>$M206*'MWh Impact Summary'!L$27</f>
        <v>8496.6959299755836</v>
      </c>
      <c r="U206" s="304">
        <f>$M206*'MWh Impact Summary'!M$27</f>
        <v>26550.381637838967</v>
      </c>
      <c r="V206" s="302">
        <f>$L206*'MWh Impact Summary'!O$27</f>
        <v>121439.40884104781</v>
      </c>
      <c r="W206" s="302">
        <f>$L206*'MWh Impact Summary'!P$27</f>
        <v>362886.50484747911</v>
      </c>
      <c r="X206" s="302">
        <f>$L206*'MWh Impact Summary'!Q$27</f>
        <v>128683.68527995647</v>
      </c>
      <c r="Y206" s="85">
        <f t="shared" si="87"/>
        <v>894368.75048735051</v>
      </c>
      <c r="Z206" s="81">
        <f t="shared" si="88"/>
        <v>1596785.0892694774</v>
      </c>
      <c r="AA206" s="81"/>
      <c r="AB206" s="262">
        <f>+'MWh by mo-WgtbyActulCDH&amp;Days'!AB206</f>
        <v>5203221.4699283605</v>
      </c>
      <c r="AC206" s="308">
        <f t="shared" si="97"/>
        <v>306.88393690293225</v>
      </c>
      <c r="AD206" s="309">
        <f t="shared" si="89"/>
        <v>134.99643304473796</v>
      </c>
      <c r="AE206" s="107">
        <f t="shared" si="90"/>
        <v>1.0828590885941548E-2</v>
      </c>
      <c r="AF206" s="309">
        <f t="shared" si="98"/>
        <v>171.88750385819429</v>
      </c>
      <c r="AG206" s="107">
        <f t="shared" si="91"/>
        <v>1.378776768915997E-2</v>
      </c>
      <c r="AH206" s="119">
        <f t="shared" si="99"/>
        <v>2.461635857510152E-2</v>
      </c>
      <c r="AI206" s="122">
        <f t="shared" si="92"/>
        <v>2.461635857510152E-2</v>
      </c>
      <c r="AJ206" s="87" t="b">
        <f t="shared" si="100"/>
        <v>1</v>
      </c>
      <c r="AK206" s="88">
        <f t="shared" si="82"/>
        <v>1.2067202617810843E-3</v>
      </c>
      <c r="AM206" s="89">
        <f t="shared" si="93"/>
        <v>362886.50484747911</v>
      </c>
      <c r="AN206" s="93"/>
      <c r="AO206" s="96">
        <f t="shared" si="84"/>
        <v>69.742659801193398</v>
      </c>
      <c r="AP206" s="92">
        <f t="shared" si="83"/>
        <v>5.5943310000957274E-3</v>
      </c>
      <c r="AR206" s="94">
        <f t="shared" si="94"/>
        <v>2.461635857510152E-2</v>
      </c>
      <c r="AS206" s="95">
        <v>1246983.1319195579</v>
      </c>
      <c r="AU206" s="141">
        <v>306.88393690293225</v>
      </c>
    </row>
    <row r="207" spans="1:47">
      <c r="A207" s="78">
        <v>2021</v>
      </c>
      <c r="B207" s="78">
        <v>11</v>
      </c>
      <c r="C207" s="317">
        <f t="shared" si="80"/>
        <v>78.117279066674627</v>
      </c>
      <c r="D207" s="324">
        <f t="shared" si="85"/>
        <v>3.9729981188725644E-2</v>
      </c>
      <c r="E207" s="321">
        <f>$D207*'MWh Impact Summary'!B$27</f>
        <v>132191.23925918955</v>
      </c>
      <c r="F207" s="319">
        <f>$D207*'MWh Impact Summary'!N$27</f>
        <v>17370.501022975834</v>
      </c>
      <c r="G207" s="319">
        <f>$D207*'MWh Impact Summary'!C$27</f>
        <v>92131.145533773582</v>
      </c>
      <c r="H207" s="319">
        <f>$D207*'MWh Impact Summary'!D$27</f>
        <v>396.16466154235371</v>
      </c>
      <c r="I207" s="319">
        <f>$D207*'MWh Impact Summary'!E$27</f>
        <v>33795.830433852585</v>
      </c>
      <c r="J207" s="104">
        <f t="shared" si="95"/>
        <v>275884.88091133389</v>
      </c>
      <c r="K207" s="298">
        <f t="shared" si="81"/>
        <v>13.15</v>
      </c>
      <c r="L207" s="300">
        <f t="shared" si="86"/>
        <v>9.2573037662794788E-2</v>
      </c>
      <c r="M207" s="297">
        <f t="shared" si="96"/>
        <v>8.3333333333333329E-2</v>
      </c>
      <c r="N207" s="302">
        <f>$L207*'MWh Impact Summary'!F$27</f>
        <v>159449.4922229592</v>
      </c>
      <c r="O207" s="302">
        <f>$L207*'MWh Impact Summary'!G$27</f>
        <v>17080.164388202102</v>
      </c>
      <c r="P207" s="304">
        <f>$M207*'MWh Impact Summary'!H$27</f>
        <v>9386.759703614207</v>
      </c>
      <c r="Q207" s="304">
        <f>$M207*'MWh Impact Summary'!I$27</f>
        <v>1569.3356760152556</v>
      </c>
      <c r="R207" s="304">
        <f>$M207*'MWh Impact Summary'!J$27</f>
        <v>43847.049831561431</v>
      </c>
      <c r="S207" s="304">
        <f>$M207*'MWh Impact Summary'!K$27</f>
        <v>24152.549595186574</v>
      </c>
      <c r="T207" s="304">
        <f>$M207*'MWh Impact Summary'!L$27</f>
        <v>8496.6959299755836</v>
      </c>
      <c r="U207" s="304">
        <f>$M207*'MWh Impact Summary'!M$27</f>
        <v>26550.381637838967</v>
      </c>
      <c r="V207" s="302">
        <f>$L207*'MWh Impact Summary'!O$27</f>
        <v>128095.84702618547</v>
      </c>
      <c r="W207" s="302">
        <f>$L207*'MWh Impact Summary'!P$27</f>
        <v>382777.34268002806</v>
      </c>
      <c r="X207" s="302">
        <f>$L207*'MWh Impact Summary'!Q$27</f>
        <v>135737.20278861717</v>
      </c>
      <c r="Y207" s="85">
        <f t="shared" si="87"/>
        <v>937142.82148018409</v>
      </c>
      <c r="Z207" s="81">
        <f t="shared" si="88"/>
        <v>1213027.702391518</v>
      </c>
      <c r="AA207" s="81"/>
      <c r="AB207" s="262">
        <f>+'MWh by mo-WgtbyActulCDH&amp;Days'!AB207</f>
        <v>5208331.8045660509</v>
      </c>
      <c r="AC207" s="308">
        <f t="shared" si="97"/>
        <v>232.90138722115947</v>
      </c>
      <c r="AD207" s="309">
        <f t="shared" si="89"/>
        <v>52.969912682880647</v>
      </c>
      <c r="AE207" s="107">
        <f t="shared" si="90"/>
        <v>4.0281302420441551E-3</v>
      </c>
      <c r="AF207" s="309">
        <f t="shared" si="98"/>
        <v>179.93147453827879</v>
      </c>
      <c r="AG207" s="107">
        <f t="shared" si="91"/>
        <v>1.3683001866028804E-2</v>
      </c>
      <c r="AH207" s="119">
        <f t="shared" si="99"/>
        <v>1.7711132108072958E-2</v>
      </c>
      <c r="AI207" s="122">
        <f t="shared" si="92"/>
        <v>1.7711132108072965E-2</v>
      </c>
      <c r="AJ207" s="87" t="b">
        <f t="shared" si="100"/>
        <v>1</v>
      </c>
      <c r="AK207" s="88">
        <f t="shared" si="82"/>
        <v>9.4193040188648991E-4</v>
      </c>
      <c r="AM207" s="89">
        <f t="shared" si="93"/>
        <v>382777.34268002806</v>
      </c>
      <c r="AN207" s="93"/>
      <c r="AO207" s="96">
        <f t="shared" si="84"/>
        <v>73.493271366554268</v>
      </c>
      <c r="AP207" s="92">
        <f t="shared" si="83"/>
        <v>5.5888419290155335E-3</v>
      </c>
      <c r="AR207" s="94">
        <f t="shared" si="94"/>
        <v>1.7711132108072965E-2</v>
      </c>
      <c r="AS207" s="95">
        <v>989876.09988125623</v>
      </c>
      <c r="AU207" s="141">
        <v>232.90138722115947</v>
      </c>
    </row>
    <row r="208" spans="1:47">
      <c r="A208" s="78">
        <v>2021</v>
      </c>
      <c r="B208" s="78">
        <v>12</v>
      </c>
      <c r="C208" s="317">
        <f t="shared" si="80"/>
        <v>42.633806123140985</v>
      </c>
      <c r="D208" s="324">
        <f t="shared" si="85"/>
        <v>2.1683298951445065E-2</v>
      </c>
      <c r="E208" s="321">
        <f>$D208*'MWh Impact Summary'!B$27</f>
        <v>72145.570520239853</v>
      </c>
      <c r="F208" s="319">
        <f>$D208*'MWh Impact Summary'!N$27</f>
        <v>9480.2402454811872</v>
      </c>
      <c r="G208" s="319">
        <f>$D208*'MWh Impact Summary'!C$27</f>
        <v>50282.107153748264</v>
      </c>
      <c r="H208" s="319">
        <f>$D208*'MWh Impact Summary'!D$27</f>
        <v>216.21346230736637</v>
      </c>
      <c r="I208" s="319">
        <f>$D208*'MWh Impact Summary'!E$27</f>
        <v>18444.637341472549</v>
      </c>
      <c r="J208" s="104">
        <f t="shared" si="95"/>
        <v>150568.76872324923</v>
      </c>
      <c r="K208" s="298">
        <f t="shared" si="81"/>
        <v>13.483333333333333</v>
      </c>
      <c r="L208" s="300">
        <f t="shared" si="86"/>
        <v>9.491962923853102E-2</v>
      </c>
      <c r="M208" s="297">
        <f t="shared" si="96"/>
        <v>8.3333333333333329E-2</v>
      </c>
      <c r="N208" s="302">
        <f>$L208*'MWh Impact Summary'!F$27</f>
        <v>163491.30444660835</v>
      </c>
      <c r="O208" s="302">
        <f>$L208*'MWh Impact Summary'!G$27</f>
        <v>17513.121660399873</v>
      </c>
      <c r="P208" s="304">
        <f>$M208*'MWh Impact Summary'!H$27</f>
        <v>9386.759703614207</v>
      </c>
      <c r="Q208" s="304">
        <f>$M208*'MWh Impact Summary'!I$27</f>
        <v>1569.3356760152556</v>
      </c>
      <c r="R208" s="304">
        <f>$M208*'MWh Impact Summary'!J$27</f>
        <v>43847.049831561431</v>
      </c>
      <c r="S208" s="304">
        <f>$M208*'MWh Impact Summary'!K$27</f>
        <v>24152.549595186574</v>
      </c>
      <c r="T208" s="304">
        <f>$M208*'MWh Impact Summary'!L$27</f>
        <v>8496.6959299755836</v>
      </c>
      <c r="U208" s="304">
        <f>$M208*'MWh Impact Summary'!M$27</f>
        <v>26550.381637838967</v>
      </c>
      <c r="V208" s="302">
        <f>$L208*'MWh Impact Summary'!O$27</f>
        <v>131342.89004332578</v>
      </c>
      <c r="W208" s="302">
        <f>$L208*'MWh Impact Summary'!P$27</f>
        <v>392480.19040322269</v>
      </c>
      <c r="X208" s="302">
        <f>$L208*'MWh Impact Summary'!Q$27</f>
        <v>139177.94303674434</v>
      </c>
      <c r="Y208" s="85">
        <f t="shared" si="87"/>
        <v>958008.22196449304</v>
      </c>
      <c r="Z208" s="81">
        <f t="shared" si="88"/>
        <v>1108576.9906877424</v>
      </c>
      <c r="AA208" s="81">
        <f>SUM(Z197:Z208)</f>
        <v>17203820.954870339</v>
      </c>
      <c r="AB208" s="262">
        <f>+'MWh by mo-WgtbyActulCDH&amp;Days'!AB208</f>
        <v>5213464.9586801976</v>
      </c>
      <c r="AC208" s="308">
        <f t="shared" si="97"/>
        <v>212.6372766430527</v>
      </c>
      <c r="AD208" s="309">
        <f t="shared" si="89"/>
        <v>28.880748200399548</v>
      </c>
      <c r="AE208" s="107">
        <f t="shared" si="90"/>
        <v>2.1419590754313631E-3</v>
      </c>
      <c r="AF208" s="309">
        <f t="shared" si="98"/>
        <v>183.75652844265312</v>
      </c>
      <c r="AG208" s="107">
        <f t="shared" si="91"/>
        <v>1.3628419909220257E-2</v>
      </c>
      <c r="AH208" s="119">
        <f t="shared" si="99"/>
        <v>1.5770378984651619E-2</v>
      </c>
      <c r="AI208" s="122">
        <f t="shared" si="92"/>
        <v>1.5770378984651622E-2</v>
      </c>
      <c r="AJ208" s="87" t="b">
        <f t="shared" si="100"/>
        <v>1</v>
      </c>
      <c r="AK208" s="88">
        <f t="shared" si="82"/>
        <v>8.6676741416009083E-4</v>
      </c>
      <c r="AM208" s="89">
        <f t="shared" si="93"/>
        <v>392480.19040322269</v>
      </c>
      <c r="AN208" s="90">
        <f>SUM(AM197:AM208)</f>
        <v>4134868.5572393904</v>
      </c>
      <c r="AO208" s="96">
        <f t="shared" si="84"/>
        <v>75.282023282761273</v>
      </c>
      <c r="AP208" s="92">
        <f t="shared" si="83"/>
        <v>5.5833391804272891E-3</v>
      </c>
      <c r="AR208" s="94">
        <f t="shared" si="94"/>
        <v>1.5770378984651622E-2</v>
      </c>
      <c r="AS208" s="95">
        <v>831922.77553708537</v>
      </c>
      <c r="AU208" s="141">
        <v>212.6372766430527</v>
      </c>
    </row>
    <row r="209" spans="1:47">
      <c r="A209" s="78">
        <v>2022</v>
      </c>
      <c r="B209" s="78">
        <v>1</v>
      </c>
      <c r="C209" s="317">
        <f t="shared" si="80"/>
        <v>26.112829868525239</v>
      </c>
      <c r="D209" s="324">
        <f t="shared" si="85"/>
        <v>1.3280829182176284E-2</v>
      </c>
      <c r="E209" s="321">
        <f>$D209*'MWh Impact Summary'!B$28</f>
        <v>46912.764999662541</v>
      </c>
      <c r="F209" s="319">
        <f>$D209*'MWh Impact Summary'!N$28</f>
        <v>6492.9541850745845</v>
      </c>
      <c r="G209" s="319">
        <f>$D209*'MWh Impact Summary'!C$28</f>
        <v>31557.004854110204</v>
      </c>
      <c r="H209" s="319">
        <f>$D209*'MWh Impact Summary'!D$28</f>
        <v>143.57322383035734</v>
      </c>
      <c r="I209" s="319">
        <f>$D209*'MWh Impact Summary'!E$28</f>
        <v>11443.127962023815</v>
      </c>
      <c r="J209" s="104">
        <f t="shared" si="95"/>
        <v>96549.42522470151</v>
      </c>
      <c r="K209" s="298">
        <f t="shared" si="81"/>
        <v>13.3</v>
      </c>
      <c r="L209" s="300">
        <f t="shared" si="86"/>
        <v>9.3629003871876101E-2</v>
      </c>
      <c r="M209" s="297">
        <f t="shared" si="96"/>
        <v>8.3333333333333329E-2</v>
      </c>
      <c r="N209" s="302">
        <f>$L209*'MWh Impact Summary'!F$28</f>
        <v>173115.76551675919</v>
      </c>
      <c r="O209" s="302">
        <f>$L209*'MWh Impact Summary'!G$28</f>
        <v>21916.523533018295</v>
      </c>
      <c r="P209" s="304">
        <f>$M209*'MWh Impact Summary'!H$28</f>
        <v>9934.1326206751</v>
      </c>
      <c r="Q209" s="304">
        <f>$M209*'MWh Impact Summary'!I$28</f>
        <v>1660.191156343275</v>
      </c>
      <c r="R209" s="304">
        <f>$M209*'MWh Impact Summary'!J$28</f>
        <v>45227.187880751677</v>
      </c>
      <c r="S209" s="304">
        <f>$M209*'MWh Impact Summary'!K$28</f>
        <v>27259.09223142737</v>
      </c>
      <c r="T209" s="304">
        <f>$M209*'MWh Impact Summary'!L$28</f>
        <v>9740.1424522969664</v>
      </c>
      <c r="U209" s="304">
        <f>$M209*'MWh Impact Summary'!M$28</f>
        <v>30253.307058636405</v>
      </c>
      <c r="V209" s="302">
        <f>$L209*'MWh Impact Summary'!O$28</f>
        <v>184504.44248582513</v>
      </c>
      <c r="W209" s="302">
        <f>$L209*'MWh Impact Summary'!P$28</f>
        <v>392017.18907826813</v>
      </c>
      <c r="X209" s="302">
        <f>$L209*'MWh Impact Summary'!Q$28</f>
        <v>137285.53590027441</v>
      </c>
      <c r="Y209" s="85">
        <f t="shared" si="87"/>
        <v>1032913.509914276</v>
      </c>
      <c r="Z209" s="81">
        <f t="shared" si="88"/>
        <v>1129462.9351389774</v>
      </c>
      <c r="AA209" s="81"/>
      <c r="AB209" s="262">
        <f>+'MWh by mo-WgtbyActulCDH&amp;Days'!AB209</f>
        <v>5218681.4177877083</v>
      </c>
      <c r="AC209" s="308">
        <f t="shared" si="97"/>
        <v>216.42687964995125</v>
      </c>
      <c r="AD209" s="309">
        <f t="shared" si="89"/>
        <v>18.500731793210424</v>
      </c>
      <c r="AE209" s="107">
        <f t="shared" si="90"/>
        <v>1.3910324656549189E-3</v>
      </c>
      <c r="AF209" s="309">
        <f t="shared" si="98"/>
        <v>197.92614785674087</v>
      </c>
      <c r="AG209" s="107">
        <f t="shared" si="91"/>
        <v>1.4881665252386531E-2</v>
      </c>
      <c r="AH209" s="119">
        <f t="shared" si="99"/>
        <v>1.6272697718041448E-2</v>
      </c>
      <c r="AI209" s="122">
        <f t="shared" si="92"/>
        <v>1.6272697718041445E-2</v>
      </c>
      <c r="AJ209" s="87" t="b">
        <f t="shared" si="100"/>
        <v>1</v>
      </c>
      <c r="AK209" s="88">
        <f t="shared" si="82"/>
        <v>1.1285193324991304E-3</v>
      </c>
      <c r="AM209" s="89">
        <f t="shared" si="93"/>
        <v>392017.18907826813</v>
      </c>
      <c r="AN209" s="93"/>
      <c r="AO209" s="96">
        <f t="shared" si="84"/>
        <v>75.118053334715952</v>
      </c>
      <c r="AP209" s="92">
        <f t="shared" si="83"/>
        <v>5.6479739349410488E-3</v>
      </c>
      <c r="AR209" s="94">
        <f t="shared" si="94"/>
        <v>1.6272697718041445E-2</v>
      </c>
      <c r="AS209" s="95">
        <v>840001.90652615612</v>
      </c>
      <c r="AU209" s="141">
        <v>216.42687964995125</v>
      </c>
    </row>
    <row r="210" spans="1:47">
      <c r="A210" s="78">
        <v>2022</v>
      </c>
      <c r="B210" s="78">
        <v>2</v>
      </c>
      <c r="C210" s="317">
        <f t="shared" ref="C210:C267" si="101">+C198</f>
        <v>35.042184420393127</v>
      </c>
      <c r="D210" s="324">
        <f t="shared" si="85"/>
        <v>1.7822245532205266E-2</v>
      </c>
      <c r="E210" s="321">
        <f>$D210*'MWh Impact Summary'!B$28</f>
        <v>62954.715021914322</v>
      </c>
      <c r="F210" s="319">
        <f>$D210*'MWh Impact Summary'!N$28</f>
        <v>8713.2378655288539</v>
      </c>
      <c r="G210" s="319">
        <f>$D210*'MWh Impact Summary'!C$28</f>
        <v>42348.010132209543</v>
      </c>
      <c r="H210" s="319">
        <f>$D210*'MWh Impact Summary'!D$28</f>
        <v>192.66848566872324</v>
      </c>
      <c r="I210" s="319">
        <f>$D210*'MWh Impact Summary'!E$28</f>
        <v>15356.137286167006</v>
      </c>
      <c r="J210" s="104">
        <f t="shared" si="95"/>
        <v>129564.76879148844</v>
      </c>
      <c r="K210" s="298">
        <f t="shared" ref="K210:K268" si="102">+K198</f>
        <v>12.733333333333333</v>
      </c>
      <c r="L210" s="300">
        <f t="shared" si="86"/>
        <v>8.9639798193124468E-2</v>
      </c>
      <c r="M210" s="297">
        <f t="shared" si="96"/>
        <v>8.3333333333333329E-2</v>
      </c>
      <c r="N210" s="302">
        <f>$L210*'MWh Impact Summary'!F$28</f>
        <v>165739.90583308769</v>
      </c>
      <c r="O210" s="302">
        <f>$L210*'MWh Impact Summary'!G$28</f>
        <v>20982.736816072647</v>
      </c>
      <c r="P210" s="304">
        <f>$M210*'MWh Impact Summary'!H$28</f>
        <v>9934.1326206751</v>
      </c>
      <c r="Q210" s="304">
        <f>$M210*'MWh Impact Summary'!I$28</f>
        <v>1660.191156343275</v>
      </c>
      <c r="R210" s="304">
        <f>$M210*'MWh Impact Summary'!J$28</f>
        <v>45227.187880751677</v>
      </c>
      <c r="S210" s="304">
        <f>$M210*'MWh Impact Summary'!K$28</f>
        <v>27259.09223142737</v>
      </c>
      <c r="T210" s="304">
        <f>$M210*'MWh Impact Summary'!L$28</f>
        <v>9740.1424522969664</v>
      </c>
      <c r="U210" s="304">
        <f>$M210*'MWh Impact Summary'!M$28</f>
        <v>30253.307058636405</v>
      </c>
      <c r="V210" s="302">
        <f>$L210*'MWh Impact Summary'!O$28</f>
        <v>176643.35095134133</v>
      </c>
      <c r="W210" s="302">
        <f>$L210*'MWh Impact Summary'!P$28</f>
        <v>375314.70232555986</v>
      </c>
      <c r="X210" s="302">
        <f>$L210*'MWh Impact Summary'!Q$28</f>
        <v>131436.27747845819</v>
      </c>
      <c r="Y210" s="85">
        <f t="shared" si="87"/>
        <v>994191.02680465044</v>
      </c>
      <c r="Z210" s="81">
        <f t="shared" si="88"/>
        <v>1123755.7955961388</v>
      </c>
      <c r="AA210" s="81"/>
      <c r="AB210" s="262">
        <f>+'MWh by mo-WgtbyActulCDH&amp;Days'!AB210</f>
        <v>5223815.6567590404</v>
      </c>
      <c r="AC210" s="308">
        <f t="shared" si="97"/>
        <v>215.12164085310377</v>
      </c>
      <c r="AD210" s="309">
        <f t="shared" si="89"/>
        <v>24.802706930104996</v>
      </c>
      <c r="AE210" s="107">
        <f t="shared" si="90"/>
        <v>1.9478565651914921E-3</v>
      </c>
      <c r="AF210" s="309">
        <f t="shared" si="98"/>
        <v>190.31893392299881</v>
      </c>
      <c r="AG210" s="107">
        <f t="shared" si="91"/>
        <v>1.4946513135314045E-2</v>
      </c>
      <c r="AH210" s="119">
        <f t="shared" si="99"/>
        <v>1.6894369700505535E-2</v>
      </c>
      <c r="AI210" s="122">
        <f t="shared" si="92"/>
        <v>1.6894369700505531E-2</v>
      </c>
      <c r="AJ210" s="87" t="b">
        <f t="shared" si="100"/>
        <v>1</v>
      </c>
      <c r="AK210" s="88">
        <f t="shared" si="82"/>
        <v>1.1517131527412489E-3</v>
      </c>
      <c r="AM210" s="89">
        <f t="shared" si="93"/>
        <v>375314.70232555986</v>
      </c>
      <c r="AN210" s="93"/>
      <c r="AO210" s="96">
        <f t="shared" si="84"/>
        <v>71.846850460724838</v>
      </c>
      <c r="AP210" s="92">
        <f t="shared" si="83"/>
        <v>5.6424228110516896E-3</v>
      </c>
      <c r="AR210" s="94">
        <f t="shared" si="94"/>
        <v>1.6894369700505531E-2</v>
      </c>
      <c r="AS210" s="95">
        <v>775729.3207495173</v>
      </c>
      <c r="AU210" s="141">
        <v>215.12164085310377</v>
      </c>
    </row>
    <row r="211" spans="1:47">
      <c r="A211" s="78">
        <v>2022</v>
      </c>
      <c r="B211" s="78">
        <v>3</v>
      </c>
      <c r="C211" s="317">
        <f t="shared" si="101"/>
        <v>64.582270600115152</v>
      </c>
      <c r="D211" s="324">
        <f t="shared" si="85"/>
        <v>3.2846156787895278E-2</v>
      </c>
      <c r="E211" s="321">
        <f>$D211*'MWh Impact Summary'!B$28</f>
        <v>116024.68591348144</v>
      </c>
      <c r="F211" s="319">
        <f>$D211*'MWh Impact Summary'!N$28</f>
        <v>16058.379206156842</v>
      </c>
      <c r="G211" s="319">
        <f>$D211*'MWh Impact Summary'!C$28</f>
        <v>78046.808296093455</v>
      </c>
      <c r="H211" s="319">
        <f>$D211*'MWh Impact Summary'!D$28</f>
        <v>355.08540587243164</v>
      </c>
      <c r="I211" s="319">
        <f>$D211*'MWh Impact Summary'!E$28</f>
        <v>28301.152738943027</v>
      </c>
      <c r="J211" s="104">
        <f t="shared" si="95"/>
        <v>238786.1115605472</v>
      </c>
      <c r="K211" s="298">
        <f t="shared" si="102"/>
        <v>12</v>
      </c>
      <c r="L211" s="300">
        <f t="shared" si="86"/>
        <v>8.4477296726504739E-2</v>
      </c>
      <c r="M211" s="297">
        <f t="shared" si="96"/>
        <v>8.3333333333333329E-2</v>
      </c>
      <c r="N211" s="302">
        <f>$L211*'MWh Impact Summary'!F$28</f>
        <v>156194.67565421879</v>
      </c>
      <c r="O211" s="302">
        <f>$L211*'MWh Impact Summary'!G$28</f>
        <v>19774.306947084173</v>
      </c>
      <c r="P211" s="304">
        <f>$M211*'MWh Impact Summary'!H$28</f>
        <v>9934.1326206751</v>
      </c>
      <c r="Q211" s="304">
        <f>$M211*'MWh Impact Summary'!I$28</f>
        <v>1660.191156343275</v>
      </c>
      <c r="R211" s="304">
        <f>$M211*'MWh Impact Summary'!J$28</f>
        <v>45227.187880751677</v>
      </c>
      <c r="S211" s="304">
        <f>$M211*'MWh Impact Summary'!K$28</f>
        <v>27259.09223142737</v>
      </c>
      <c r="T211" s="304">
        <f>$M211*'MWh Impact Summary'!L$28</f>
        <v>9740.1424522969664</v>
      </c>
      <c r="U211" s="304">
        <f>$M211*'MWh Impact Summary'!M$28</f>
        <v>30253.307058636405</v>
      </c>
      <c r="V211" s="302">
        <f>$L211*'MWh Impact Summary'!O$28</f>
        <v>166470.17367142116</v>
      </c>
      <c r="W211" s="302">
        <f>$L211*'MWh Impact Summary'!P$28</f>
        <v>353699.71946911403</v>
      </c>
      <c r="X211" s="302">
        <f>$L211*'MWh Impact Summary'!Q$28</f>
        <v>123866.64893257839</v>
      </c>
      <c r="Y211" s="85">
        <f t="shared" si="87"/>
        <v>944079.57807454735</v>
      </c>
      <c r="Z211" s="81">
        <f t="shared" si="88"/>
        <v>1182865.6896350945</v>
      </c>
      <c r="AA211" s="81"/>
      <c r="AB211" s="262">
        <f>+'MWh by mo-WgtbyActulCDH&amp;Days'!AB211</f>
        <v>5229019.600151482</v>
      </c>
      <c r="AC211" s="308">
        <f t="shared" si="97"/>
        <v>226.21175288783147</v>
      </c>
      <c r="AD211" s="309">
        <f t="shared" si="89"/>
        <v>45.665560625098763</v>
      </c>
      <c r="AE211" s="107">
        <f t="shared" si="90"/>
        <v>3.8054633854248971E-3</v>
      </c>
      <c r="AF211" s="309">
        <f t="shared" si="98"/>
        <v>180.54619226273272</v>
      </c>
      <c r="AG211" s="107">
        <f t="shared" si="91"/>
        <v>1.5045516021894393E-2</v>
      </c>
      <c r="AH211" s="119">
        <f t="shared" si="99"/>
        <v>1.885097940731929E-2</v>
      </c>
      <c r="AI211" s="122">
        <f t="shared" si="92"/>
        <v>1.885097940731929E-2</v>
      </c>
      <c r="AJ211" s="87" t="b">
        <f t="shared" si="100"/>
        <v>1</v>
      </c>
      <c r="AK211" s="88">
        <f t="shared" si="82"/>
        <v>1.2209216309508192E-3</v>
      </c>
      <c r="AM211" s="89">
        <f t="shared" si="93"/>
        <v>353699.71946911403</v>
      </c>
      <c r="AN211" s="93"/>
      <c r="AO211" s="96">
        <f t="shared" si="84"/>
        <v>67.641689363502763</v>
      </c>
      <c r="AP211" s="92">
        <f t="shared" si="83"/>
        <v>5.6368074469585637E-3</v>
      </c>
      <c r="AR211" s="94">
        <f t="shared" si="94"/>
        <v>1.885097940731929E-2</v>
      </c>
      <c r="AS211" s="95">
        <v>922588.25556952658</v>
      </c>
      <c r="AU211" s="141">
        <v>226.21175288783147</v>
      </c>
    </row>
    <row r="212" spans="1:47">
      <c r="A212" s="78">
        <v>2022</v>
      </c>
      <c r="B212" s="78">
        <v>4</v>
      </c>
      <c r="C212" s="317">
        <f t="shared" si="101"/>
        <v>114.03392869270741</v>
      </c>
      <c r="D212" s="324">
        <f t="shared" si="85"/>
        <v>5.7996974497419709E-2</v>
      </c>
      <c r="E212" s="321">
        <f>$D212*'MWh Impact Summary'!B$28</f>
        <v>204866.60870093538</v>
      </c>
      <c r="F212" s="319">
        <f>$D212*'MWh Impact Summary'!N$28</f>
        <v>28354.532169577815</v>
      </c>
      <c r="G212" s="319">
        <f>$D212*'MWh Impact Summary'!C$28</f>
        <v>137808.47420242697</v>
      </c>
      <c r="H212" s="319">
        <f>$D212*'MWh Impact Summary'!D$28</f>
        <v>626.97987352903215</v>
      </c>
      <c r="I212" s="319">
        <f>$D212*'MWh Impact Summary'!E$28</f>
        <v>49971.789523118678</v>
      </c>
      <c r="J212" s="104">
        <f t="shared" si="95"/>
        <v>421628.38446958788</v>
      </c>
      <c r="K212" s="298">
        <f t="shared" si="102"/>
        <v>11.2</v>
      </c>
      <c r="L212" s="300">
        <f t="shared" si="86"/>
        <v>7.8845476944737758E-2</v>
      </c>
      <c r="M212" s="297">
        <f t="shared" si="96"/>
        <v>8.3333333333333329E-2</v>
      </c>
      <c r="N212" s="302">
        <f>$L212*'MWh Impact Summary'!F$28</f>
        <v>145781.69727727087</v>
      </c>
      <c r="O212" s="302">
        <f>$L212*'MWh Impact Summary'!G$28</f>
        <v>18456.01981727856</v>
      </c>
      <c r="P212" s="304">
        <f>$M212*'MWh Impact Summary'!H$28</f>
        <v>9934.1326206751</v>
      </c>
      <c r="Q212" s="304">
        <f>$M212*'MWh Impact Summary'!I$28</f>
        <v>1660.191156343275</v>
      </c>
      <c r="R212" s="304">
        <f>$M212*'MWh Impact Summary'!J$28</f>
        <v>45227.187880751677</v>
      </c>
      <c r="S212" s="304">
        <f>$M212*'MWh Impact Summary'!K$28</f>
        <v>27259.09223142737</v>
      </c>
      <c r="T212" s="304">
        <f>$M212*'MWh Impact Summary'!L$28</f>
        <v>9740.1424522969664</v>
      </c>
      <c r="U212" s="304">
        <f>$M212*'MWh Impact Summary'!M$28</f>
        <v>30253.307058636405</v>
      </c>
      <c r="V212" s="302">
        <f>$L212*'MWh Impact Summary'!O$28</f>
        <v>155372.16209332642</v>
      </c>
      <c r="W212" s="302">
        <f>$L212*'MWh Impact Summary'!P$28</f>
        <v>330119.73817117308</v>
      </c>
      <c r="X212" s="302">
        <f>$L212*'MWh Impact Summary'!Q$28</f>
        <v>115608.87233707318</v>
      </c>
      <c r="Y212" s="85">
        <f t="shared" si="87"/>
        <v>889412.54309625307</v>
      </c>
      <c r="Z212" s="81">
        <f t="shared" si="88"/>
        <v>1311040.927565841</v>
      </c>
      <c r="AA212" s="81"/>
      <c r="AB212" s="262">
        <f>+'MWh by mo-WgtbyActulCDH&amp;Days'!AB212</f>
        <v>5234136.2560332026</v>
      </c>
      <c r="AC212" s="308">
        <f t="shared" si="97"/>
        <v>250.47894503217236</v>
      </c>
      <c r="AD212" s="309">
        <f t="shared" si="89"/>
        <v>80.553574428558647</v>
      </c>
      <c r="AE212" s="107">
        <f t="shared" si="90"/>
        <v>7.1922834311213078E-3</v>
      </c>
      <c r="AF212" s="309">
        <f t="shared" si="98"/>
        <v>169.92537060361369</v>
      </c>
      <c r="AG212" s="107">
        <f t="shared" si="91"/>
        <v>1.5171908089608365E-2</v>
      </c>
      <c r="AH212" s="119">
        <f t="shared" si="99"/>
        <v>2.2364191520729673E-2</v>
      </c>
      <c r="AI212" s="122">
        <f t="shared" si="92"/>
        <v>2.2364191520729677E-2</v>
      </c>
      <c r="AJ212" s="87" t="b">
        <f t="shared" si="100"/>
        <v>1</v>
      </c>
      <c r="AK212" s="88">
        <f t="shared" si="82"/>
        <v>1.343086316879457E-3</v>
      </c>
      <c r="AM212" s="89">
        <f t="shared" si="93"/>
        <v>330119.73817117308</v>
      </c>
      <c r="AN212" s="93"/>
      <c r="AO212" s="96">
        <f t="shared" si="84"/>
        <v>63.070528167977251</v>
      </c>
      <c r="AP212" s="92">
        <f t="shared" si="83"/>
        <v>5.6312971578551122E-3</v>
      </c>
      <c r="AR212" s="94">
        <f t="shared" si="94"/>
        <v>2.2364191520729677E-2</v>
      </c>
      <c r="AS212" s="95">
        <v>1052631.7288214653</v>
      </c>
      <c r="AU212" s="141">
        <v>250.47894503217236</v>
      </c>
    </row>
    <row r="213" spans="1:47">
      <c r="A213" s="78">
        <v>2022</v>
      </c>
      <c r="B213" s="78">
        <v>5</v>
      </c>
      <c r="C213" s="317">
        <f t="shared" si="101"/>
        <v>208.47875842628665</v>
      </c>
      <c r="D213" s="324">
        <f t="shared" si="85"/>
        <v>0.10603105035770212</v>
      </c>
      <c r="E213" s="321">
        <f>$D213*'MWh Impact Summary'!B$28</f>
        <v>374540.60133338434</v>
      </c>
      <c r="F213" s="319">
        <f>$D213*'MWh Impact Summary'!N$28</f>
        <v>51838.235604433947</v>
      </c>
      <c r="G213" s="319">
        <f>$D213*'MWh Impact Summary'!C$28</f>
        <v>251943.78490425763</v>
      </c>
      <c r="H213" s="319">
        <f>$D213*'MWh Impact Summary'!D$28</f>
        <v>1146.2552162333948</v>
      </c>
      <c r="I213" s="319">
        <f>$D213*'MWh Impact Summary'!E$28</f>
        <v>91359.271363819527</v>
      </c>
      <c r="J213" s="104">
        <f t="shared" si="95"/>
        <v>770828.14842212875</v>
      </c>
      <c r="K213" s="298">
        <f t="shared" si="102"/>
        <v>10.533333333333333</v>
      </c>
      <c r="L213" s="300">
        <f t="shared" si="86"/>
        <v>7.4152293793265281E-2</v>
      </c>
      <c r="M213" s="297">
        <f t="shared" si="96"/>
        <v>8.3333333333333329E-2</v>
      </c>
      <c r="N213" s="302">
        <f>$L213*'MWh Impact Summary'!F$28</f>
        <v>137104.21529648095</v>
      </c>
      <c r="O213" s="302">
        <f>$L213*'MWh Impact Summary'!G$28</f>
        <v>17357.44720910722</v>
      </c>
      <c r="P213" s="304">
        <f>$M213*'MWh Impact Summary'!H$28</f>
        <v>9934.1326206751</v>
      </c>
      <c r="Q213" s="304">
        <f>$M213*'MWh Impact Summary'!I$28</f>
        <v>1660.191156343275</v>
      </c>
      <c r="R213" s="304">
        <f>$M213*'MWh Impact Summary'!J$28</f>
        <v>45227.187880751677</v>
      </c>
      <c r="S213" s="304">
        <f>$M213*'MWh Impact Summary'!K$28</f>
        <v>27259.09223142737</v>
      </c>
      <c r="T213" s="304">
        <f>$M213*'MWh Impact Summary'!L$28</f>
        <v>9740.1424522969664</v>
      </c>
      <c r="U213" s="304">
        <f>$M213*'MWh Impact Summary'!M$28</f>
        <v>30253.307058636405</v>
      </c>
      <c r="V213" s="302">
        <f>$L213*'MWh Impact Summary'!O$28</f>
        <v>146123.81911158081</v>
      </c>
      <c r="W213" s="302">
        <f>$L213*'MWh Impact Summary'!P$28</f>
        <v>310469.75375622237</v>
      </c>
      <c r="X213" s="302">
        <f>$L213*'MWh Impact Summary'!Q$28</f>
        <v>108727.39184081883</v>
      </c>
      <c r="Y213" s="85">
        <f t="shared" si="87"/>
        <v>843856.68061434105</v>
      </c>
      <c r="Z213" s="81">
        <f t="shared" si="88"/>
        <v>1614684.8290364698</v>
      </c>
      <c r="AA213" s="81"/>
      <c r="AB213" s="262">
        <f>+'MWh by mo-WgtbyActulCDH&amp;Days'!AB213</f>
        <v>5239238.1846235972</v>
      </c>
      <c r="AC213" s="308">
        <f t="shared" si="97"/>
        <v>308.19076593527188</v>
      </c>
      <c r="AD213" s="309">
        <f t="shared" si="89"/>
        <v>147.12599833395578</v>
      </c>
      <c r="AE213" s="107">
        <f t="shared" si="90"/>
        <v>1.3967658069679346E-2</v>
      </c>
      <c r="AF213" s="309">
        <f t="shared" si="98"/>
        <v>161.06476760131611</v>
      </c>
      <c r="AG213" s="107">
        <f t="shared" si="91"/>
        <v>1.5290958949492036E-2</v>
      </c>
      <c r="AH213" s="119">
        <f t="shared" si="99"/>
        <v>2.925861701917138E-2</v>
      </c>
      <c r="AI213" s="122">
        <f t="shared" si="92"/>
        <v>2.925861701917138E-2</v>
      </c>
      <c r="AJ213" s="87" t="b">
        <f t="shared" si="100"/>
        <v>1</v>
      </c>
      <c r="AK213" s="88">
        <f t="shared" si="82"/>
        <v>1.5779046087827896E-3</v>
      </c>
      <c r="AM213" s="89">
        <f t="shared" si="93"/>
        <v>310469.75375622237</v>
      </c>
      <c r="AN213" s="93"/>
      <c r="AO213" s="96">
        <f t="shared" si="84"/>
        <v>59.258568290979021</v>
      </c>
      <c r="AP213" s="92">
        <f t="shared" si="83"/>
        <v>5.6258134453461093E-3</v>
      </c>
      <c r="AR213" s="94">
        <f t="shared" si="94"/>
        <v>2.925861701917138E-2</v>
      </c>
      <c r="AS213" s="95">
        <v>1223803.9997503732</v>
      </c>
      <c r="AU213" s="141">
        <v>308.19076593527188</v>
      </c>
    </row>
    <row r="214" spans="1:47">
      <c r="A214" s="78">
        <v>2022</v>
      </c>
      <c r="B214" s="78">
        <v>6</v>
      </c>
      <c r="C214" s="317">
        <f t="shared" si="101"/>
        <v>271.66325293295364</v>
      </c>
      <c r="D214" s="324">
        <f t="shared" si="85"/>
        <v>0.13816630657965029</v>
      </c>
      <c r="E214" s="321">
        <f>$D214*'MWh Impact Summary'!B$28</f>
        <v>488054.12542624981</v>
      </c>
      <c r="F214" s="319">
        <f>$D214*'MWh Impact Summary'!N$28</f>
        <v>67549.05783643492</v>
      </c>
      <c r="G214" s="319">
        <f>$D214*'MWh Impact Summary'!C$28</f>
        <v>328301.39952858165</v>
      </c>
      <c r="H214" s="319">
        <f>$D214*'MWh Impact Summary'!D$28</f>
        <v>1493.6553876467588</v>
      </c>
      <c r="I214" s="319">
        <f>$D214*'MWh Impact Summary'!E$28</f>
        <v>119047.8926084696</v>
      </c>
      <c r="J214" s="104">
        <f t="shared" si="95"/>
        <v>1004446.1307873827</v>
      </c>
      <c r="K214" s="298">
        <f t="shared" si="102"/>
        <v>10.199999999999999</v>
      </c>
      <c r="L214" s="300">
        <f t="shared" si="86"/>
        <v>7.1805702217529022E-2</v>
      </c>
      <c r="M214" s="297">
        <f t="shared" si="96"/>
        <v>8.3333333333333329E-2</v>
      </c>
      <c r="N214" s="302">
        <f>$L214*'MWh Impact Summary'!F$28</f>
        <v>132765.47430608596</v>
      </c>
      <c r="O214" s="302">
        <f>$L214*'MWh Impact Summary'!G$28</f>
        <v>16808.160905021545</v>
      </c>
      <c r="P214" s="304">
        <f>$M214*'MWh Impact Summary'!H$28</f>
        <v>9934.1326206751</v>
      </c>
      <c r="Q214" s="304">
        <f>$M214*'MWh Impact Summary'!I$28</f>
        <v>1660.191156343275</v>
      </c>
      <c r="R214" s="304">
        <f>$M214*'MWh Impact Summary'!J$28</f>
        <v>45227.187880751677</v>
      </c>
      <c r="S214" s="304">
        <f>$M214*'MWh Impact Summary'!K$28</f>
        <v>27259.09223142737</v>
      </c>
      <c r="T214" s="304">
        <f>$M214*'MWh Impact Summary'!L$28</f>
        <v>9740.1424522969664</v>
      </c>
      <c r="U214" s="304">
        <f>$M214*'MWh Impact Summary'!M$28</f>
        <v>30253.307058636405</v>
      </c>
      <c r="V214" s="302">
        <f>$L214*'MWh Impact Summary'!O$28</f>
        <v>141499.64762070795</v>
      </c>
      <c r="W214" s="302">
        <f>$L214*'MWh Impact Summary'!P$28</f>
        <v>300644.7615487469</v>
      </c>
      <c r="X214" s="302">
        <f>$L214*'MWh Impact Summary'!Q$28</f>
        <v>105286.65159269163</v>
      </c>
      <c r="Y214" s="85">
        <f t="shared" si="87"/>
        <v>821078.74937338475</v>
      </c>
      <c r="Z214" s="81">
        <f t="shared" si="88"/>
        <v>1825524.8801607676</v>
      </c>
      <c r="AA214" s="81"/>
      <c r="AB214" s="262">
        <f>+'MWh by mo-WgtbyActulCDH&amp;Days'!AB214</f>
        <v>5244340.260228348</v>
      </c>
      <c r="AC214" s="308">
        <f t="shared" si="97"/>
        <v>348.09428633093324</v>
      </c>
      <c r="AD214" s="309">
        <f t="shared" si="89"/>
        <v>191.52955013327974</v>
      </c>
      <c r="AE214" s="107">
        <f t="shared" si="90"/>
        <v>1.8777406875811743E-2</v>
      </c>
      <c r="AF214" s="309">
        <f t="shared" si="98"/>
        <v>156.56473619765347</v>
      </c>
      <c r="AG214" s="107">
        <f t="shared" si="91"/>
        <v>1.534948394094642E-2</v>
      </c>
      <c r="AH214" s="119">
        <f t="shared" si="99"/>
        <v>3.4126890816758161E-2</v>
      </c>
      <c r="AI214" s="122">
        <f t="shared" si="92"/>
        <v>3.4126890816758161E-2</v>
      </c>
      <c r="AJ214" s="87" t="b">
        <f t="shared" si="100"/>
        <v>1</v>
      </c>
      <c r="AK214" s="88">
        <f t="shared" ref="AK214:AK220" si="103">AI214-AI202</f>
        <v>1.7426844167273067E-3</v>
      </c>
      <c r="AM214" s="89">
        <f t="shared" si="93"/>
        <v>300644.7615487469</v>
      </c>
      <c r="AN214" s="93"/>
      <c r="AO214" s="96">
        <f t="shared" si="84"/>
        <v>57.32747049781554</v>
      </c>
      <c r="AP214" s="92">
        <f t="shared" si="83"/>
        <v>5.6203402448838768E-3</v>
      </c>
      <c r="AR214" s="94">
        <f t="shared" si="94"/>
        <v>3.4126890816758161E-2</v>
      </c>
      <c r="AS214" s="95">
        <v>1461578.3906399433</v>
      </c>
      <c r="AU214" s="141">
        <v>348.09428633093324</v>
      </c>
    </row>
    <row r="215" spans="1:47">
      <c r="A215" s="78">
        <v>2022</v>
      </c>
      <c r="B215" s="78">
        <v>7</v>
      </c>
      <c r="C215" s="317">
        <f t="shared" si="101"/>
        <v>322.31916585708109</v>
      </c>
      <c r="D215" s="324">
        <f t="shared" si="85"/>
        <v>0.16392960109808263</v>
      </c>
      <c r="E215" s="321">
        <f>$D215*'MWh Impact Summary'!B$28</f>
        <v>579059.54118616076</v>
      </c>
      <c r="F215" s="319">
        <f>$D215*'MWh Impact Summary'!N$28</f>
        <v>80144.648719364472</v>
      </c>
      <c r="G215" s="319">
        <f>$D215*'MWh Impact Summary'!C$28</f>
        <v>389518.39125581167</v>
      </c>
      <c r="H215" s="319">
        <f>$D215*'MWh Impact Summary'!D$28</f>
        <v>1772.1710736602865</v>
      </c>
      <c r="I215" s="319">
        <f>$D215*'MWh Impact Summary'!E$28</f>
        <v>141246.25626887911</v>
      </c>
      <c r="J215" s="104">
        <f t="shared" si="95"/>
        <v>1191741.0085038764</v>
      </c>
      <c r="K215" s="298">
        <f t="shared" si="102"/>
        <v>10.366666666666667</v>
      </c>
      <c r="L215" s="300">
        <f t="shared" si="86"/>
        <v>7.2978998005397158E-2</v>
      </c>
      <c r="M215" s="297">
        <f t="shared" si="96"/>
        <v>8.3333333333333329E-2</v>
      </c>
      <c r="N215" s="302">
        <f>$L215*'MWh Impact Summary'!F$28</f>
        <v>134934.84480128347</v>
      </c>
      <c r="O215" s="302">
        <f>$L215*'MWh Impact Summary'!G$28</f>
        <v>17082.804057064383</v>
      </c>
      <c r="P215" s="304">
        <f>$M215*'MWh Impact Summary'!H$28</f>
        <v>9934.1326206751</v>
      </c>
      <c r="Q215" s="304">
        <f>$M215*'MWh Impact Summary'!I$28</f>
        <v>1660.191156343275</v>
      </c>
      <c r="R215" s="304">
        <f>$M215*'MWh Impact Summary'!J$28</f>
        <v>45227.187880751677</v>
      </c>
      <c r="S215" s="304">
        <f>$M215*'MWh Impact Summary'!K$28</f>
        <v>27259.09223142737</v>
      </c>
      <c r="T215" s="304">
        <f>$M215*'MWh Impact Summary'!L$28</f>
        <v>9740.1424522969664</v>
      </c>
      <c r="U215" s="304">
        <f>$M215*'MWh Impact Summary'!M$28</f>
        <v>30253.307058636405</v>
      </c>
      <c r="V215" s="302">
        <f>$L215*'MWh Impact Summary'!O$28</f>
        <v>143811.73336614441</v>
      </c>
      <c r="W215" s="302">
        <f>$L215*'MWh Impact Summary'!P$28</f>
        <v>305557.25765248464</v>
      </c>
      <c r="X215" s="302">
        <f>$L215*'MWh Impact Summary'!Q$28</f>
        <v>107007.02171675525</v>
      </c>
      <c r="Y215" s="85">
        <f t="shared" si="87"/>
        <v>832467.71499386302</v>
      </c>
      <c r="Z215" s="81">
        <f t="shared" si="88"/>
        <v>2024208.7234977395</v>
      </c>
      <c r="AA215" s="81"/>
      <c r="AB215" s="262">
        <f>+'MWh by mo-WgtbyActulCDH&amp;Days'!AB215</f>
        <v>5249596.8518007202</v>
      </c>
      <c r="AC215" s="308">
        <f t="shared" si="97"/>
        <v>385.59317613187653</v>
      </c>
      <c r="AD215" s="309">
        <f t="shared" si="89"/>
        <v>227.01571990144055</v>
      </c>
      <c r="AE215" s="107">
        <f t="shared" si="90"/>
        <v>2.1898622498531244E-2</v>
      </c>
      <c r="AF215" s="309">
        <f t="shared" si="98"/>
        <v>158.57745623043593</v>
      </c>
      <c r="AG215" s="107">
        <f t="shared" si="91"/>
        <v>1.5296860729624044E-2</v>
      </c>
      <c r="AH215" s="119">
        <f t="shared" si="99"/>
        <v>3.7195483228155288E-2</v>
      </c>
      <c r="AI215" s="122">
        <f t="shared" si="92"/>
        <v>3.7195483228155288E-2</v>
      </c>
      <c r="AJ215" s="87" t="b">
        <f t="shared" si="100"/>
        <v>1</v>
      </c>
      <c r="AK215" s="88">
        <f t="shared" si="103"/>
        <v>1.8436631972419126E-3</v>
      </c>
      <c r="AM215" s="89">
        <f t="shared" si="93"/>
        <v>305557.25765248464</v>
      </c>
      <c r="AN215" s="93"/>
      <c r="AO215" s="96">
        <f t="shared" si="84"/>
        <v>58.205852045128417</v>
      </c>
      <c r="AP215" s="92">
        <f t="shared" si="83"/>
        <v>5.6147124159287853E-3</v>
      </c>
      <c r="AR215" s="94">
        <f t="shared" si="94"/>
        <v>3.7195483228155288E-2</v>
      </c>
      <c r="AS215" s="95">
        <v>1522372.7740701623</v>
      </c>
      <c r="AU215" s="141">
        <v>385.59317613187653</v>
      </c>
    </row>
    <row r="216" spans="1:47">
      <c r="A216" s="78">
        <v>2022</v>
      </c>
      <c r="B216" s="78">
        <v>8</v>
      </c>
      <c r="C216" s="317">
        <f t="shared" si="101"/>
        <v>326.45437890907908</v>
      </c>
      <c r="D216" s="324">
        <f t="shared" si="85"/>
        <v>0.16603274573816959</v>
      </c>
      <c r="E216" s="321">
        <f>$D216*'MWh Impact Summary'!B$28</f>
        <v>586488.62026754173</v>
      </c>
      <c r="F216" s="319">
        <f>$D216*'MWh Impact Summary'!N$28</f>
        <v>81172.869292444084</v>
      </c>
      <c r="G216" s="319">
        <f>$D216*'MWh Impact Summary'!C$28</f>
        <v>394515.74079669663</v>
      </c>
      <c r="H216" s="319">
        <f>$D216*'MWh Impact Summary'!D$28</f>
        <v>1794.9072486397874</v>
      </c>
      <c r="I216" s="319">
        <f>$D216*'MWh Impact Summary'!E$28</f>
        <v>143058.38357727474</v>
      </c>
      <c r="J216" s="104">
        <f t="shared" si="95"/>
        <v>1207030.5211825971</v>
      </c>
      <c r="K216" s="298">
        <f t="shared" si="102"/>
        <v>10.933333333333334</v>
      </c>
      <c r="L216" s="300">
        <f t="shared" si="86"/>
        <v>7.6968203684148764E-2</v>
      </c>
      <c r="M216" s="297">
        <f t="shared" si="96"/>
        <v>8.3333333333333329E-2</v>
      </c>
      <c r="N216" s="302">
        <f>$L216*'MWh Impact Summary'!F$28</f>
        <v>142310.70448495488</v>
      </c>
      <c r="O216" s="302">
        <f>$L216*'MWh Impact Summary'!G$28</f>
        <v>18016.590774010023</v>
      </c>
      <c r="P216" s="304">
        <f>$M216*'MWh Impact Summary'!H$28</f>
        <v>9934.1326206751</v>
      </c>
      <c r="Q216" s="304">
        <f>$M216*'MWh Impact Summary'!I$28</f>
        <v>1660.191156343275</v>
      </c>
      <c r="R216" s="304">
        <f>$M216*'MWh Impact Summary'!J$28</f>
        <v>45227.187880751677</v>
      </c>
      <c r="S216" s="304">
        <f>$M216*'MWh Impact Summary'!K$28</f>
        <v>27259.09223142737</v>
      </c>
      <c r="T216" s="304">
        <f>$M216*'MWh Impact Summary'!L$28</f>
        <v>9740.1424522969664</v>
      </c>
      <c r="U216" s="304">
        <f>$M216*'MWh Impact Summary'!M$28</f>
        <v>30253.307058636405</v>
      </c>
      <c r="V216" s="302">
        <f>$L216*'MWh Impact Summary'!O$28</f>
        <v>151672.82490062815</v>
      </c>
      <c r="W216" s="302">
        <f>$L216*'MWh Impact Summary'!P$28</f>
        <v>322259.74440519279</v>
      </c>
      <c r="X216" s="302">
        <f>$L216*'MWh Impact Summary'!Q$28</f>
        <v>112856.28013857143</v>
      </c>
      <c r="Y216" s="85">
        <f t="shared" si="87"/>
        <v>871190.19810348807</v>
      </c>
      <c r="Z216" s="81">
        <f t="shared" si="88"/>
        <v>2078220.7192860851</v>
      </c>
      <c r="AA216" s="81"/>
      <c r="AB216" s="262">
        <f>+'MWh by mo-WgtbyActulCDH&amp;Days'!AB216</f>
        <v>5254931.9503803095</v>
      </c>
      <c r="AC216" s="308">
        <f t="shared" si="97"/>
        <v>395.4800440633071</v>
      </c>
      <c r="AD216" s="309">
        <f t="shared" si="89"/>
        <v>229.69479578041768</v>
      </c>
      <c r="AE216" s="107">
        <f t="shared" si="90"/>
        <v>2.1008670345769909E-2</v>
      </c>
      <c r="AF216" s="309">
        <f t="shared" si="98"/>
        <v>165.78524828288946</v>
      </c>
      <c r="AG216" s="107">
        <f t="shared" si="91"/>
        <v>1.5163284903922814E-2</v>
      </c>
      <c r="AH216" s="119">
        <f t="shared" si="99"/>
        <v>3.6171955249692724E-2</v>
      </c>
      <c r="AI216" s="122">
        <f t="shared" si="92"/>
        <v>3.6171955249692724E-2</v>
      </c>
      <c r="AJ216" s="87" t="b">
        <f t="shared" si="100"/>
        <v>1</v>
      </c>
      <c r="AK216" s="88">
        <f t="shared" si="103"/>
        <v>1.8050581427531132E-3</v>
      </c>
      <c r="AM216" s="89">
        <f t="shared" si="93"/>
        <v>322259.74440519279</v>
      </c>
      <c r="AN216" s="93"/>
      <c r="AO216" s="96">
        <f t="shared" si="84"/>
        <v>61.325198394219022</v>
      </c>
      <c r="AP216" s="92">
        <f t="shared" si="83"/>
        <v>5.6090120482517394E-3</v>
      </c>
      <c r="AR216" s="94">
        <f t="shared" si="94"/>
        <v>3.6171955249692724E-2</v>
      </c>
      <c r="AS216" s="95">
        <v>1581642.9044645752</v>
      </c>
      <c r="AU216" s="141">
        <v>395.4800440633071</v>
      </c>
    </row>
    <row r="217" spans="1:47">
      <c r="A217" s="78">
        <v>2022</v>
      </c>
      <c r="B217" s="78">
        <v>9</v>
      </c>
      <c r="C217" s="317">
        <f t="shared" si="101"/>
        <v>277.87653293728147</v>
      </c>
      <c r="D217" s="324">
        <f>D205</f>
        <v>0.14132634365008559</v>
      </c>
      <c r="E217" s="321">
        <f>$D217*'MWh Impact Summary'!B$28</f>
        <v>499216.53663130535</v>
      </c>
      <c r="F217" s="319">
        <f>$D217*'MWh Impact Summary'!N$28</f>
        <v>69093.989680676255</v>
      </c>
      <c r="G217" s="319">
        <f>$D217*'MWh Impact Summary'!C$28</f>
        <v>335810.06512490811</v>
      </c>
      <c r="H217" s="319">
        <f>$D217*'MWh Impact Summary'!D$28</f>
        <v>1527.8171634969237</v>
      </c>
      <c r="I217" s="319">
        <f>$D217*'MWh Impact Summary'!E$28</f>
        <v>121770.66752453131</v>
      </c>
      <c r="J217" s="104">
        <f t="shared" si="95"/>
        <v>1027419.0761249179</v>
      </c>
      <c r="K217" s="298">
        <f t="shared" si="102"/>
        <v>11.683333333333334</v>
      </c>
      <c r="L217" s="300">
        <f>L205</f>
        <v>8.2248034729555317E-2</v>
      </c>
      <c r="M217" s="297">
        <f t="shared" si="96"/>
        <v>8.3333333333333329E-2</v>
      </c>
      <c r="N217" s="302">
        <f>$L217*'MWh Impact Summary'!F$28</f>
        <v>152072.87171334357</v>
      </c>
      <c r="O217" s="302">
        <f>$L217*'MWh Impact Summary'!G$28</f>
        <v>19252.484958202785</v>
      </c>
      <c r="P217" s="304">
        <f>$M217*'MWh Impact Summary'!H$28</f>
        <v>9934.1326206751</v>
      </c>
      <c r="Q217" s="304">
        <f>$M217*'MWh Impact Summary'!I$28</f>
        <v>1660.191156343275</v>
      </c>
      <c r="R217" s="304">
        <f>$M217*'MWh Impact Summary'!J$28</f>
        <v>45227.187880751677</v>
      </c>
      <c r="S217" s="304">
        <f>$M217*'MWh Impact Summary'!K$28</f>
        <v>27259.09223142737</v>
      </c>
      <c r="T217" s="304">
        <f>$M217*'MWh Impact Summary'!L$28</f>
        <v>9740.1424522969664</v>
      </c>
      <c r="U217" s="304">
        <f>$M217*'MWh Impact Summary'!M$28</f>
        <v>30253.307058636405</v>
      </c>
      <c r="V217" s="302">
        <f>$L217*'MWh Impact Summary'!O$28</f>
        <v>162077.210755092</v>
      </c>
      <c r="W217" s="302">
        <f>$L217*'MWh Impact Summary'!P$28</f>
        <v>344365.97687201243</v>
      </c>
      <c r="X217" s="302">
        <f>$L217*'MWh Impact Summary'!Q$28</f>
        <v>120597.9456968576</v>
      </c>
      <c r="Y217" s="85">
        <f t="shared" si="87"/>
        <v>922440.54339563928</v>
      </c>
      <c r="Z217" s="81">
        <f t="shared" si="88"/>
        <v>1949859.6195205571</v>
      </c>
      <c r="AA217" s="81"/>
      <c r="AB217" s="262">
        <f>+'MWh by mo-WgtbyActulCDH&amp;Days'!AB217</f>
        <v>5259983.1400663005</v>
      </c>
      <c r="AC217" s="308">
        <f t="shared" si="97"/>
        <v>370.69693335480537</v>
      </c>
      <c r="AD217" s="309">
        <f t="shared" si="89"/>
        <v>195.32744664120113</v>
      </c>
      <c r="AE217" s="107">
        <f t="shared" si="90"/>
        <v>1.6718469042042893E-2</v>
      </c>
      <c r="AF217" s="309">
        <f t="shared" si="98"/>
        <v>175.36948671360423</v>
      </c>
      <c r="AG217" s="107">
        <f t="shared" si="91"/>
        <v>1.5010227108154427E-2</v>
      </c>
      <c r="AH217" s="119">
        <f t="shared" si="99"/>
        <v>3.1728696150197321E-2</v>
      </c>
      <c r="AI217" s="122">
        <f t="shared" si="92"/>
        <v>3.1728696150197321E-2</v>
      </c>
      <c r="AJ217" s="87" t="b">
        <f t="shared" si="100"/>
        <v>1</v>
      </c>
      <c r="AK217" s="88">
        <f t="shared" si="103"/>
        <v>1.650389826334836E-3</v>
      </c>
      <c r="AM217" s="89">
        <f t="shared" si="93"/>
        <v>344365.97687201243</v>
      </c>
      <c r="AN217" s="93"/>
      <c r="AO217" s="96">
        <f t="shared" si="84"/>
        <v>65.46902674438455</v>
      </c>
      <c r="AP217" s="92">
        <f t="shared" si="83"/>
        <v>5.6036256842554536E-3</v>
      </c>
      <c r="AR217" s="94">
        <f t="shared" si="94"/>
        <v>3.1728696150197321E-2</v>
      </c>
      <c r="AS217" s="95">
        <v>1503847.2272812007</v>
      </c>
      <c r="AU217" s="141">
        <v>370.69693335480537</v>
      </c>
    </row>
    <row r="218" spans="1:47">
      <c r="A218" s="78">
        <v>2022</v>
      </c>
      <c r="B218" s="78">
        <v>10</v>
      </c>
      <c r="C218" s="317">
        <f t="shared" si="101"/>
        <v>198.89039579254836</v>
      </c>
      <c r="D218" s="324">
        <f>D206</f>
        <v>0.10115446643644242</v>
      </c>
      <c r="E218" s="321">
        <f>$D218*'MWh Impact Summary'!B$28</f>
        <v>357314.71638591297</v>
      </c>
      <c r="F218" s="319">
        <f>$D218*'MWh Impact Summary'!N$28</f>
        <v>49454.089588693838</v>
      </c>
      <c r="G218" s="319">
        <f>$D218*'MWh Impact Summary'!C$28</f>
        <v>240356.37719320907</v>
      </c>
      <c r="H218" s="319">
        <f>$D218*'MWh Impact Summary'!D$28</f>
        <v>1093.5366046730428</v>
      </c>
      <c r="I218" s="319">
        <f>$D218*'MWh Impact Summary'!E$28</f>
        <v>87157.472435224438</v>
      </c>
      <c r="J218" s="104">
        <f t="shared" si="95"/>
        <v>735376.19220771338</v>
      </c>
      <c r="K218" s="298">
        <f t="shared" si="102"/>
        <v>12.466666666666667</v>
      </c>
      <c r="L218" s="300">
        <f>L206</f>
        <v>8.7762524932535488E-2</v>
      </c>
      <c r="M218" s="297">
        <f t="shared" si="96"/>
        <v>8.3333333333333329E-2</v>
      </c>
      <c r="N218" s="302">
        <f>$L218*'MWh Impact Summary'!F$28</f>
        <v>162268.91304077176</v>
      </c>
      <c r="O218" s="302">
        <f>$L218*'MWh Impact Summary'!G$28</f>
        <v>20543.307772804113</v>
      </c>
      <c r="P218" s="304">
        <f>$M218*'MWh Impact Summary'!H$28</f>
        <v>9934.1326206751</v>
      </c>
      <c r="Q218" s="304">
        <f>$M218*'MWh Impact Summary'!I$28</f>
        <v>1660.191156343275</v>
      </c>
      <c r="R218" s="304">
        <f>$M218*'MWh Impact Summary'!J$28</f>
        <v>45227.187880751677</v>
      </c>
      <c r="S218" s="304">
        <f>$M218*'MWh Impact Summary'!K$28</f>
        <v>27259.09223142737</v>
      </c>
      <c r="T218" s="304">
        <f>$M218*'MWh Impact Summary'!L$28</f>
        <v>9740.1424522969664</v>
      </c>
      <c r="U218" s="304">
        <f>$M218*'MWh Impact Summary'!M$28</f>
        <v>30253.307058636405</v>
      </c>
      <c r="V218" s="302">
        <f>$L218*'MWh Impact Summary'!O$28</f>
        <v>172944.01375864309</v>
      </c>
      <c r="W218" s="302">
        <f>$L218*'MWh Impact Summary'!P$28</f>
        <v>367454.70855957962</v>
      </c>
      <c r="X218" s="302">
        <f>$L218*'MWh Impact Summary'!Q$28</f>
        <v>128683.68527995647</v>
      </c>
      <c r="Y218" s="85">
        <f t="shared" si="87"/>
        <v>975968.68181188579</v>
      </c>
      <c r="Z218" s="81">
        <f t="shared" si="88"/>
        <v>1711344.8740195991</v>
      </c>
      <c r="AA218" s="81"/>
      <c r="AB218" s="262">
        <f>+'MWh by mo-WgtbyActulCDH&amp;Days'!AB218</f>
        <v>5265129.0517696831</v>
      </c>
      <c r="AC218" s="308">
        <f t="shared" si="97"/>
        <v>325.03379446025014</v>
      </c>
      <c r="AD218" s="309">
        <f t="shared" si="89"/>
        <v>139.66916764567114</v>
      </c>
      <c r="AE218" s="107">
        <f t="shared" si="90"/>
        <v>1.1203409169438861E-2</v>
      </c>
      <c r="AF218" s="309">
        <f t="shared" si="98"/>
        <v>185.36462681457905</v>
      </c>
      <c r="AG218" s="107">
        <f t="shared" si="91"/>
        <v>1.4868820332720245E-2</v>
      </c>
      <c r="AH218" s="119">
        <f t="shared" si="99"/>
        <v>2.6072229502159108E-2</v>
      </c>
      <c r="AI218" s="122">
        <f t="shared" si="92"/>
        <v>2.6072229502159101E-2</v>
      </c>
      <c r="AJ218" s="87" t="b">
        <f t="shared" si="100"/>
        <v>1</v>
      </c>
      <c r="AK218" s="88">
        <f t="shared" si="103"/>
        <v>1.4558709270575815E-3</v>
      </c>
      <c r="AM218" s="89">
        <f t="shared" si="93"/>
        <v>367454.70855957962</v>
      </c>
      <c r="AN218" s="93"/>
      <c r="AO218" s="96">
        <f t="shared" si="84"/>
        <v>69.790256790775715</v>
      </c>
      <c r="AP218" s="92">
        <f t="shared" si="83"/>
        <v>5.5981489404365549E-3</v>
      </c>
      <c r="AR218" s="94">
        <f t="shared" si="94"/>
        <v>2.6072229502159101E-2</v>
      </c>
      <c r="AS218" s="95">
        <v>1240064.5715416537</v>
      </c>
      <c r="AU218" s="141">
        <v>325.03379446025014</v>
      </c>
    </row>
    <row r="219" spans="1:47">
      <c r="A219" s="78">
        <v>2022</v>
      </c>
      <c r="B219" s="78">
        <v>11</v>
      </c>
      <c r="C219" s="317">
        <f t="shared" si="101"/>
        <v>78.117279066674627</v>
      </c>
      <c r="D219" s="324">
        <f>D207</f>
        <v>3.9729981188725644E-2</v>
      </c>
      <c r="E219" s="321">
        <f>$D219*'MWh Impact Summary'!B$28</f>
        <v>140340.88123421508</v>
      </c>
      <c r="F219" s="319">
        <f>$D219*'MWh Impact Summary'!N$28</f>
        <v>19423.858562873171</v>
      </c>
      <c r="G219" s="319">
        <f>$D219*'MWh Impact Summary'!C$28</f>
        <v>94403.684591391837</v>
      </c>
      <c r="H219" s="319">
        <f>$D219*'MWh Impact Summary'!D$28</f>
        <v>429.50341456391448</v>
      </c>
      <c r="I219" s="319">
        <f>$D219*'MWh Impact Summary'!E$28</f>
        <v>34232.445311587624</v>
      </c>
      <c r="J219" s="104">
        <f t="shared" si="95"/>
        <v>288830.37311463163</v>
      </c>
      <c r="K219" s="298">
        <f t="shared" si="102"/>
        <v>13.15</v>
      </c>
      <c r="L219" s="300">
        <f>L207</f>
        <v>9.2573037662794788E-2</v>
      </c>
      <c r="M219" s="297">
        <f t="shared" si="96"/>
        <v>8.3333333333333329E-2</v>
      </c>
      <c r="N219" s="302">
        <f>$L219*'MWh Impact Summary'!F$28</f>
        <v>171163.33207108144</v>
      </c>
      <c r="O219" s="302">
        <f>$L219*'MWh Impact Summary'!G$28</f>
        <v>21669.344696179742</v>
      </c>
      <c r="P219" s="304">
        <f>$M219*'MWh Impact Summary'!H$28</f>
        <v>9934.1326206751</v>
      </c>
      <c r="Q219" s="304">
        <f>$M219*'MWh Impact Summary'!I$28</f>
        <v>1660.191156343275</v>
      </c>
      <c r="R219" s="304">
        <f>$M219*'MWh Impact Summary'!J$28</f>
        <v>45227.187880751677</v>
      </c>
      <c r="S219" s="304">
        <f>$M219*'MWh Impact Summary'!K$28</f>
        <v>27259.09223142737</v>
      </c>
      <c r="T219" s="304">
        <f>$M219*'MWh Impact Summary'!L$28</f>
        <v>9740.1424522969664</v>
      </c>
      <c r="U219" s="304">
        <f>$M219*'MWh Impact Summary'!M$28</f>
        <v>30253.307058636405</v>
      </c>
      <c r="V219" s="302">
        <f>$L219*'MWh Impact Summary'!O$28</f>
        <v>182423.56531493238</v>
      </c>
      <c r="W219" s="302">
        <f>$L219*'MWh Impact Summary'!P$28</f>
        <v>387595.9425849042</v>
      </c>
      <c r="X219" s="302">
        <f>$L219*'MWh Impact Summary'!Q$28</f>
        <v>135737.20278861717</v>
      </c>
      <c r="Y219" s="85">
        <f t="shared" si="87"/>
        <v>1022663.4408558458</v>
      </c>
      <c r="Z219" s="81">
        <f t="shared" si="88"/>
        <v>1311493.8139704773</v>
      </c>
      <c r="AA219" s="81"/>
      <c r="AB219" s="262">
        <f>+'MWh by mo-WgtbyActulCDH&amp;Days'!AB219</f>
        <v>5270297.39460182</v>
      </c>
      <c r="AC219" s="308">
        <f t="shared" si="97"/>
        <v>248.84626346015963</v>
      </c>
      <c r="AD219" s="309">
        <f t="shared" si="89"/>
        <v>54.803429766690286</v>
      </c>
      <c r="AE219" s="107">
        <f t="shared" si="90"/>
        <v>4.167561198987855E-3</v>
      </c>
      <c r="AF219" s="309">
        <f t="shared" si="98"/>
        <v>194.04283369346936</v>
      </c>
      <c r="AG219" s="107">
        <f t="shared" si="91"/>
        <v>1.4756109026119343E-2</v>
      </c>
      <c r="AH219" s="119">
        <f t="shared" si="99"/>
        <v>1.8923670225107197E-2</v>
      </c>
      <c r="AI219" s="122">
        <f t="shared" si="92"/>
        <v>1.8923670225107193E-2</v>
      </c>
      <c r="AJ219" s="87" t="b">
        <f t="shared" si="100"/>
        <v>1</v>
      </c>
      <c r="AK219" s="88">
        <f t="shared" si="103"/>
        <v>1.2125381170342286E-3</v>
      </c>
      <c r="AM219" s="89">
        <f t="shared" si="93"/>
        <v>387595.9425849042</v>
      </c>
      <c r="AN219" s="93"/>
      <c r="AO219" s="96">
        <f t="shared" si="84"/>
        <v>73.543467012298976</v>
      </c>
      <c r="AP219" s="92">
        <f t="shared" si="83"/>
        <v>5.5926590883877544E-3</v>
      </c>
      <c r="AR219" s="94">
        <f t="shared" si="94"/>
        <v>1.8923670225107193E-2</v>
      </c>
      <c r="AS219" s="95">
        <v>1001509.8882787043</v>
      </c>
      <c r="AU219" s="141">
        <v>248.84626346015963</v>
      </c>
    </row>
    <row r="220" spans="1:47">
      <c r="A220" s="78">
        <v>2022</v>
      </c>
      <c r="B220" s="78">
        <v>12</v>
      </c>
      <c r="C220" s="317">
        <f t="shared" si="101"/>
        <v>42.633806123140985</v>
      </c>
      <c r="D220" s="324">
        <f>D208</f>
        <v>2.1683298951445065E-2</v>
      </c>
      <c r="E220" s="321">
        <f>$D220*'MWh Impact Summary'!B$28</f>
        <v>76593.373363445571</v>
      </c>
      <c r="F220" s="319">
        <f>$D220*'MWh Impact Summary'!N$28</f>
        <v>10600.894322318061</v>
      </c>
      <c r="G220" s="319">
        <f>$D220*'MWh Impact Summary'!C$28</f>
        <v>51522.383194431488</v>
      </c>
      <c r="H220" s="319">
        <f>$D220*'MWh Impact Summary'!D$28</f>
        <v>234.40864203828539</v>
      </c>
      <c r="I220" s="319">
        <f>$D220*'MWh Impact Summary'!E$28</f>
        <v>18682.927182980555</v>
      </c>
      <c r="J220" s="104">
        <f t="shared" si="95"/>
        <v>157633.98670521396</v>
      </c>
      <c r="K220" s="298">
        <f t="shared" si="102"/>
        <v>13.483333333333333</v>
      </c>
      <c r="L220" s="300">
        <f>L208</f>
        <v>9.491962923853102E-2</v>
      </c>
      <c r="M220" s="297">
        <f t="shared" si="96"/>
        <v>8.3333333333333329E-2</v>
      </c>
      <c r="N220" s="302">
        <f>$L220*'MWh Impact Summary'!F$28</f>
        <v>175502.07306147637</v>
      </c>
      <c r="O220" s="302">
        <f>$L220*'MWh Impact Summary'!G$28</f>
        <v>22218.63100026541</v>
      </c>
      <c r="P220" s="304">
        <f>$M220*'MWh Impact Summary'!H$28</f>
        <v>9934.1326206751</v>
      </c>
      <c r="Q220" s="304">
        <f>$M220*'MWh Impact Summary'!I$28</f>
        <v>1660.191156343275</v>
      </c>
      <c r="R220" s="304">
        <f>$M220*'MWh Impact Summary'!J$28</f>
        <v>45227.187880751677</v>
      </c>
      <c r="S220" s="304">
        <f>$M220*'MWh Impact Summary'!K$28</f>
        <v>27259.09223142737</v>
      </c>
      <c r="T220" s="304">
        <f>$M220*'MWh Impact Summary'!L$28</f>
        <v>9740.1424522969664</v>
      </c>
      <c r="U220" s="304">
        <f>$M220*'MWh Impact Summary'!M$28</f>
        <v>30253.307058636405</v>
      </c>
      <c r="V220" s="302">
        <f>$L220*'MWh Impact Summary'!O$28</f>
        <v>187047.73680580515</v>
      </c>
      <c r="W220" s="302">
        <f>$L220*'MWh Impact Summary'!P$28</f>
        <v>397420.9347923795</v>
      </c>
      <c r="X220" s="302">
        <f>$L220*'MWh Impact Summary'!Q$28</f>
        <v>139177.94303674434</v>
      </c>
      <c r="Y220" s="85">
        <f t="shared" si="87"/>
        <v>1045441.3720968016</v>
      </c>
      <c r="Z220" s="81">
        <f t="shared" si="88"/>
        <v>1203075.3588020157</v>
      </c>
      <c r="AA220" s="81">
        <f>SUM(Z209:Z220)</f>
        <v>18465538.166229762</v>
      </c>
      <c r="AB220" s="262">
        <f>+'MWh by mo-WgtbyActulCDH&amp;Days'!AB220</f>
        <v>5275479.2526890254</v>
      </c>
      <c r="AC220" s="308">
        <f t="shared" si="97"/>
        <v>228.05043886558403</v>
      </c>
      <c r="AD220" s="309">
        <f t="shared" si="89"/>
        <v>29.880505477272898</v>
      </c>
      <c r="AE220" s="107">
        <f t="shared" si="90"/>
        <v>2.2161067103045411E-3</v>
      </c>
      <c r="AF220" s="309">
        <f t="shared" si="98"/>
        <v>198.16993338831114</v>
      </c>
      <c r="AG220" s="107">
        <f t="shared" si="91"/>
        <v>1.4697399262421099E-2</v>
      </c>
      <c r="AH220" s="119">
        <f t="shared" si="99"/>
        <v>1.6913505972725638E-2</v>
      </c>
      <c r="AI220" s="122">
        <f t="shared" si="92"/>
        <v>1.6913505972725642E-2</v>
      </c>
      <c r="AJ220" s="87" t="b">
        <f t="shared" si="100"/>
        <v>1</v>
      </c>
      <c r="AK220" s="88">
        <f t="shared" si="103"/>
        <v>1.1431269880740197E-3</v>
      </c>
      <c r="AM220" s="89">
        <f t="shared" si="93"/>
        <v>397420.9347923795</v>
      </c>
      <c r="AN220" s="90">
        <f>SUM(AM209:AM220)</f>
        <v>4186920.4292156375</v>
      </c>
      <c r="AO220" s="96">
        <f t="shared" si="84"/>
        <v>75.333617242415556</v>
      </c>
      <c r="AP220" s="92">
        <f t="shared" si="83"/>
        <v>5.5871656792891638E-3</v>
      </c>
      <c r="AR220" s="94">
        <f t="shared" si="94"/>
        <v>1.6913505972725642E-2</v>
      </c>
      <c r="AS220" s="95">
        <v>851106.54648590065</v>
      </c>
      <c r="AU220" s="141">
        <v>228.05043886558403</v>
      </c>
    </row>
    <row r="221" spans="1:47">
      <c r="A221" s="78">
        <f>+A209+1</f>
        <v>2023</v>
      </c>
      <c r="B221" s="78">
        <f>+B209</f>
        <v>1</v>
      </c>
      <c r="C221" s="317">
        <f t="shared" si="101"/>
        <v>26.112829868525239</v>
      </c>
      <c r="D221" s="324">
        <f t="shared" ref="D221:D267" si="104">D209</f>
        <v>1.3280829182176284E-2</v>
      </c>
      <c r="E221" s="321">
        <f>$D221*'MWh Impact Summary'!B$29</f>
        <v>46714.042521394251</v>
      </c>
      <c r="F221" s="321">
        <f>$D221*'MWh Impact Summary'!N$29</f>
        <v>7114.624379730466</v>
      </c>
      <c r="G221" s="321">
        <f>$D221*'MWh Impact Summary'!C$29</f>
        <v>32311.371632316273</v>
      </c>
      <c r="H221" s="321">
        <f>$D221*'MWh Impact Summary'!D$29</f>
        <v>154.6906938309711</v>
      </c>
      <c r="I221" s="321">
        <f>$D221*'MWh Impact Summary'!E$29</f>
        <v>11587.195804044048</v>
      </c>
      <c r="J221" s="104">
        <f t="shared" si="95"/>
        <v>97881.925031316016</v>
      </c>
      <c r="K221" s="298">
        <f t="shared" si="102"/>
        <v>13.3</v>
      </c>
      <c r="L221" s="300">
        <f t="shared" ref="L221:L267" si="105">L209</f>
        <v>9.3629003871876101E-2</v>
      </c>
      <c r="M221" s="297">
        <f t="shared" si="96"/>
        <v>8.3333333333333329E-2</v>
      </c>
      <c r="N221" s="302">
        <f>$L221*'MWh Impact Summary'!F$29</f>
        <v>184919.98189215304</v>
      </c>
      <c r="O221" s="302">
        <f>$L221*'MWh Impact Summary'!G$29</f>
        <v>26975.187838299982</v>
      </c>
      <c r="P221" s="304">
        <f>$M221*'MWh Impact Summary'!H$29</f>
        <v>10490.243445628477</v>
      </c>
      <c r="Q221" s="304">
        <f>$M221*'MWh Impact Summary'!I$29</f>
        <v>1751.0466366712944</v>
      </c>
      <c r="R221" s="304">
        <f>$M221*'MWh Impact Summary'!J$29</f>
        <v>46648.374216746306</v>
      </c>
      <c r="S221" s="304">
        <f>$M221*'MWh Impact Summary'!K$29</f>
        <v>30624.12074815527</v>
      </c>
      <c r="T221" s="304">
        <f>$M221*'MWh Impact Summary'!L$29</f>
        <v>10981.173767381648</v>
      </c>
      <c r="U221" s="304">
        <f>$M221*'MWh Impact Summary'!M$29</f>
        <v>33988.602744659911</v>
      </c>
      <c r="V221" s="302">
        <f>$L221*'MWh Impact Summary'!O$29</f>
        <v>230581.53083928628</v>
      </c>
      <c r="W221" s="302">
        <f>$L221*'MWh Impact Summary'!P$29</f>
        <v>395531.10957101069</v>
      </c>
      <c r="X221" s="302">
        <f>$L221*'MWh Impact Summary'!Q$29</f>
        <v>137285.53590027441</v>
      </c>
      <c r="Y221" s="85">
        <f t="shared" si="87"/>
        <v>1109776.9076002673</v>
      </c>
      <c r="Z221" s="81">
        <f t="shared" si="88"/>
        <v>1207658.8326315833</v>
      </c>
      <c r="AA221" s="81"/>
      <c r="AB221" s="262">
        <f>+'MWh by mo-WgtbyActulCDH&amp;Days'!AB221</f>
        <v>5280717.4207708379</v>
      </c>
      <c r="AC221" s="308">
        <f t="shared" ref="AC221:AC268" si="106">+Z221*1000/AB221</f>
        <v>228.69219017125491</v>
      </c>
      <c r="AD221" s="309">
        <f t="shared" si="89"/>
        <v>18.535724832825455</v>
      </c>
      <c r="AE221" s="107">
        <f t="shared" si="90"/>
        <v>1.3936635212650718E-3</v>
      </c>
      <c r="AF221" s="309">
        <f t="shared" ref="AF221:AF268" si="107">+Y221*1000/AB221</f>
        <v>210.15646533842948</v>
      </c>
      <c r="AG221" s="107">
        <f t="shared" si="91"/>
        <v>1.5801237995370639E-2</v>
      </c>
      <c r="AH221" s="119">
        <f t="shared" ref="AH221:AH268" si="108">AE221+AG221</f>
        <v>1.7194901516635712E-2</v>
      </c>
      <c r="AI221" s="122">
        <f t="shared" si="92"/>
        <v>1.7194901516635705E-2</v>
      </c>
      <c r="AJ221" s="87" t="b">
        <f t="shared" ref="AJ221:AJ268" si="109">AH221=AI221</f>
        <v>1</v>
      </c>
      <c r="AK221" s="88">
        <f t="shared" ref="AK221:AK268" si="110">AI221-AI209</f>
        <v>9.2220379859426008E-4</v>
      </c>
      <c r="AM221" s="89">
        <f t="shared" si="93"/>
        <v>395531.10957101069</v>
      </c>
      <c r="AN221" s="90"/>
      <c r="AO221" s="96">
        <f t="shared" ref="AO221:AO268" si="111">+AM221*1000/AB221</f>
        <v>74.901017807780022</v>
      </c>
      <c r="AP221" s="92">
        <f t="shared" si="83"/>
        <v>5.6316554742691744E-3</v>
      </c>
      <c r="AR221" s="94">
        <f t="shared" si="94"/>
        <v>1.7194901516635705E-2</v>
      </c>
      <c r="AS221" s="95"/>
    </row>
    <row r="222" spans="1:47">
      <c r="A222" s="78">
        <f t="shared" ref="A222:A268" si="112">+A210+1</f>
        <v>2023</v>
      </c>
      <c r="B222" s="78">
        <f t="shared" ref="B222:B268" si="113">+B210</f>
        <v>2</v>
      </c>
      <c r="C222" s="317">
        <f t="shared" si="101"/>
        <v>35.042184420393127</v>
      </c>
      <c r="D222" s="324">
        <f t="shared" si="104"/>
        <v>1.7822245532205266E-2</v>
      </c>
      <c r="E222" s="321">
        <f>$D222*'MWh Impact Summary'!B$29</f>
        <v>62688.038841392474</v>
      </c>
      <c r="F222" s="321">
        <f>$D222*'MWh Impact Summary'!N$29</f>
        <v>9547.4899063638077</v>
      </c>
      <c r="G222" s="321">
        <f>$D222*'MWh Impact Summary'!C$29</f>
        <v>43360.334721141888</v>
      </c>
      <c r="H222" s="321">
        <f>$D222*'MWh Impact Summary'!D$29</f>
        <v>207.58760535093248</v>
      </c>
      <c r="I222" s="321">
        <f>$D222*'MWh Impact Summary'!E$29</f>
        <v>15549.469526086594</v>
      </c>
      <c r="J222" s="104">
        <f t="shared" si="95"/>
        <v>131352.9206003357</v>
      </c>
      <c r="K222" s="298">
        <f t="shared" si="102"/>
        <v>12.733333333333333</v>
      </c>
      <c r="L222" s="300">
        <f t="shared" si="105"/>
        <v>8.9639798193124468E-2</v>
      </c>
      <c r="M222" s="297">
        <f t="shared" si="96"/>
        <v>8.3333333333333329E-2</v>
      </c>
      <c r="N222" s="302">
        <f>$L222*'MWh Impact Summary'!F$29</f>
        <v>177041.18567118407</v>
      </c>
      <c r="O222" s="302">
        <f>$L222*'MWh Impact Summary'!G$29</f>
        <v>25825.86905822203</v>
      </c>
      <c r="P222" s="304">
        <f>$M222*'MWh Impact Summary'!H$29</f>
        <v>10490.243445628477</v>
      </c>
      <c r="Q222" s="304">
        <f>$M222*'MWh Impact Summary'!I$29</f>
        <v>1751.0466366712944</v>
      </c>
      <c r="R222" s="304">
        <f>$M222*'MWh Impact Summary'!J$29</f>
        <v>46648.374216746306</v>
      </c>
      <c r="S222" s="304">
        <f>$M222*'MWh Impact Summary'!K$29</f>
        <v>30624.12074815527</v>
      </c>
      <c r="T222" s="304">
        <f>$M222*'MWh Impact Summary'!L$29</f>
        <v>10981.173767381648</v>
      </c>
      <c r="U222" s="304">
        <f>$M222*'MWh Impact Summary'!M$29</f>
        <v>33988.602744659911</v>
      </c>
      <c r="V222" s="302">
        <f>$L222*'MWh Impact Summary'!O$29</f>
        <v>220757.25508924143</v>
      </c>
      <c r="W222" s="302">
        <f>$L222*'MWh Impact Summary'!P$29</f>
        <v>378678.90690758405</v>
      </c>
      <c r="X222" s="302">
        <f>$L222*'MWh Impact Summary'!Q$29</f>
        <v>131436.27747845819</v>
      </c>
      <c r="Y222" s="85">
        <f t="shared" si="87"/>
        <v>1068223.0557639326</v>
      </c>
      <c r="Z222" s="81">
        <f t="shared" si="88"/>
        <v>1199575.9763642685</v>
      </c>
      <c r="AA222" s="81"/>
      <c r="AB222" s="262">
        <f>+'MWh by mo-WgtbyActulCDH&amp;Days'!AB222</f>
        <v>5285898.8015586017</v>
      </c>
      <c r="AC222" s="308">
        <f t="shared" si="106"/>
        <v>226.93888426516247</v>
      </c>
      <c r="AD222" s="309">
        <f t="shared" si="89"/>
        <v>24.849685083188678</v>
      </c>
      <c r="AE222" s="107">
        <f t="shared" si="90"/>
        <v>1.9515459489415194E-3</v>
      </c>
      <c r="AF222" s="309">
        <f t="shared" si="107"/>
        <v>202.08919918197375</v>
      </c>
      <c r="AG222" s="107">
        <f t="shared" si="91"/>
        <v>1.5870879516908933E-2</v>
      </c>
      <c r="AH222" s="119">
        <f t="shared" si="108"/>
        <v>1.7822425465850451E-2</v>
      </c>
      <c r="AI222" s="122">
        <f t="shared" si="92"/>
        <v>1.7822425465850458E-2</v>
      </c>
      <c r="AJ222" s="87" t="b">
        <f t="shared" si="109"/>
        <v>1</v>
      </c>
      <c r="AK222" s="88">
        <f t="shared" si="110"/>
        <v>9.2805576534492687E-4</v>
      </c>
      <c r="AM222" s="89">
        <f t="shared" si="93"/>
        <v>378678.90690758405</v>
      </c>
      <c r="AN222" s="90"/>
      <c r="AO222" s="96">
        <f t="shared" si="111"/>
        <v>71.639454541945966</v>
      </c>
      <c r="AP222" s="92">
        <f t="shared" si="83"/>
        <v>5.6261351734512542E-3</v>
      </c>
      <c r="AR222" s="94">
        <f t="shared" si="94"/>
        <v>1.7822425465850458E-2</v>
      </c>
      <c r="AS222" s="95"/>
    </row>
    <row r="223" spans="1:47">
      <c r="A223" s="78">
        <f t="shared" si="112"/>
        <v>2023</v>
      </c>
      <c r="B223" s="78">
        <f t="shared" si="113"/>
        <v>3</v>
      </c>
      <c r="C223" s="317">
        <f t="shared" si="101"/>
        <v>64.582270600115152</v>
      </c>
      <c r="D223" s="324">
        <f t="shared" si="104"/>
        <v>3.2846156787895278E-2</v>
      </c>
      <c r="E223" s="321">
        <f>$D223*'MWh Impact Summary'!B$29</f>
        <v>115533.20532978118</v>
      </c>
      <c r="F223" s="321">
        <f>$D223*'MWh Impact Summary'!N$29</f>
        <v>17595.89440222854</v>
      </c>
      <c r="G223" s="321">
        <f>$D223*'MWh Impact Summary'!C$29</f>
        <v>79912.50878306228</v>
      </c>
      <c r="H223" s="321">
        <f>$D223*'MWh Impact Summary'!D$29</f>
        <v>382.58114109466896</v>
      </c>
      <c r="I223" s="321">
        <f>$D223*'MWh Impact Summary'!E$29</f>
        <v>28657.461434897119</v>
      </c>
      <c r="J223" s="104">
        <f t="shared" si="95"/>
        <v>242081.6510910638</v>
      </c>
      <c r="K223" s="298">
        <f t="shared" si="102"/>
        <v>12</v>
      </c>
      <c r="L223" s="300">
        <f t="shared" si="105"/>
        <v>8.4477296726504739E-2</v>
      </c>
      <c r="M223" s="297">
        <f t="shared" si="96"/>
        <v>8.3333333333333329E-2</v>
      </c>
      <c r="N223" s="302">
        <f>$L223*'MWh Impact Summary'!F$29</f>
        <v>166845.09644404784</v>
      </c>
      <c r="O223" s="302">
        <f>$L223*'MWh Impact Summary'!G$29</f>
        <v>24338.515342827046</v>
      </c>
      <c r="P223" s="304">
        <f>$M223*'MWh Impact Summary'!H$29</f>
        <v>10490.243445628477</v>
      </c>
      <c r="Q223" s="304">
        <f>$M223*'MWh Impact Summary'!I$29</f>
        <v>1751.0466366712944</v>
      </c>
      <c r="R223" s="304">
        <f>$M223*'MWh Impact Summary'!J$29</f>
        <v>46648.374216746306</v>
      </c>
      <c r="S223" s="304">
        <f>$M223*'MWh Impact Summary'!K$29</f>
        <v>30624.12074815527</v>
      </c>
      <c r="T223" s="304">
        <f>$M223*'MWh Impact Summary'!L$29</f>
        <v>10981.173767381648</v>
      </c>
      <c r="U223" s="304">
        <f>$M223*'MWh Impact Summary'!M$29</f>
        <v>33988.602744659911</v>
      </c>
      <c r="V223" s="302">
        <f>$L223*'MWh Impact Summary'!O$29</f>
        <v>208043.48647153645</v>
      </c>
      <c r="W223" s="302">
        <f>$L223*'MWh Impact Summary'!P$29</f>
        <v>356870.17404903215</v>
      </c>
      <c r="X223" s="302">
        <f>$L223*'MWh Impact Summary'!Q$29</f>
        <v>123866.64893257839</v>
      </c>
      <c r="Y223" s="85">
        <f t="shared" si="87"/>
        <v>1014447.4827992647</v>
      </c>
      <c r="Z223" s="81">
        <f t="shared" si="88"/>
        <v>1256529.1338903285</v>
      </c>
      <c r="AA223" s="81"/>
      <c r="AB223" s="262">
        <f>+'MWh by mo-WgtbyActulCDH&amp;Days'!AB223</f>
        <v>5291129.8776962366</v>
      </c>
      <c r="AC223" s="308">
        <f t="shared" si="106"/>
        <v>237.47841442845521</v>
      </c>
      <c r="AD223" s="309">
        <f t="shared" si="89"/>
        <v>45.752354730794551</v>
      </c>
      <c r="AE223" s="107">
        <f t="shared" si="90"/>
        <v>3.8126962275662124E-3</v>
      </c>
      <c r="AF223" s="309">
        <f t="shared" si="107"/>
        <v>191.72605969766067</v>
      </c>
      <c r="AG223" s="107">
        <f t="shared" si="91"/>
        <v>1.5977171641471721E-2</v>
      </c>
      <c r="AH223" s="119">
        <f t="shared" si="108"/>
        <v>1.9789867869037935E-2</v>
      </c>
      <c r="AI223" s="122">
        <f t="shared" si="92"/>
        <v>1.9789867869037935E-2</v>
      </c>
      <c r="AJ223" s="87" t="b">
        <f t="shared" si="109"/>
        <v>1</v>
      </c>
      <c r="AK223" s="88">
        <f t="shared" si="110"/>
        <v>9.3888846171864479E-4</v>
      </c>
      <c r="AM223" s="89">
        <f t="shared" si="93"/>
        <v>356870.17404903215</v>
      </c>
      <c r="AN223" s="90"/>
      <c r="AO223" s="96">
        <f t="shared" si="111"/>
        <v>67.446874731491903</v>
      </c>
      <c r="AP223" s="92">
        <f t="shared" si="83"/>
        <v>5.6205728942909918E-3</v>
      </c>
      <c r="AR223" s="94">
        <f t="shared" si="94"/>
        <v>1.9789867869037935E-2</v>
      </c>
      <c r="AS223" s="95"/>
    </row>
    <row r="224" spans="1:47">
      <c r="A224" s="78">
        <f t="shared" si="112"/>
        <v>2023</v>
      </c>
      <c r="B224" s="78">
        <f t="shared" si="113"/>
        <v>4</v>
      </c>
      <c r="C224" s="317">
        <f t="shared" si="101"/>
        <v>114.03392869270741</v>
      </c>
      <c r="D224" s="324">
        <f t="shared" si="104"/>
        <v>5.7996974497419709E-2</v>
      </c>
      <c r="E224" s="321">
        <f>$D224*'MWh Impact Summary'!B$29</f>
        <v>203998.79372145672</v>
      </c>
      <c r="F224" s="321">
        <f>$D224*'MWh Impact Summary'!N$29</f>
        <v>31069.346879614986</v>
      </c>
      <c r="G224" s="321">
        <f>$D224*'MWh Impact Summary'!C$29</f>
        <v>141102.77083083589</v>
      </c>
      <c r="H224" s="321">
        <f>$D224*'MWh Impact Summary'!D$29</f>
        <v>675.5295247034303</v>
      </c>
      <c r="I224" s="321">
        <f>$D224*'MWh Impact Summary'!E$29</f>
        <v>50600.929379142079</v>
      </c>
      <c r="J224" s="104">
        <f t="shared" si="95"/>
        <v>427447.37033575308</v>
      </c>
      <c r="K224" s="298">
        <f t="shared" si="102"/>
        <v>11.2</v>
      </c>
      <c r="L224" s="300">
        <f t="shared" si="105"/>
        <v>7.8845476944737758E-2</v>
      </c>
      <c r="M224" s="297">
        <f t="shared" si="96"/>
        <v>8.3333333333333329E-2</v>
      </c>
      <c r="N224" s="302">
        <f>$L224*'MWh Impact Summary'!F$29</f>
        <v>155722.09001444464</v>
      </c>
      <c r="O224" s="302">
        <f>$L224*'MWh Impact Summary'!G$29</f>
        <v>22715.947653305244</v>
      </c>
      <c r="P224" s="304">
        <f>$M224*'MWh Impact Summary'!H$29</f>
        <v>10490.243445628477</v>
      </c>
      <c r="Q224" s="304">
        <f>$M224*'MWh Impact Summary'!I$29</f>
        <v>1751.0466366712944</v>
      </c>
      <c r="R224" s="304">
        <f>$M224*'MWh Impact Summary'!J$29</f>
        <v>46648.374216746306</v>
      </c>
      <c r="S224" s="304">
        <f>$M224*'MWh Impact Summary'!K$29</f>
        <v>30624.12074815527</v>
      </c>
      <c r="T224" s="304">
        <f>$M224*'MWh Impact Summary'!L$29</f>
        <v>10981.173767381648</v>
      </c>
      <c r="U224" s="304">
        <f>$M224*'MWh Impact Summary'!M$29</f>
        <v>33988.602744659911</v>
      </c>
      <c r="V224" s="302">
        <f>$L224*'MWh Impact Summary'!O$29</f>
        <v>194173.92070676736</v>
      </c>
      <c r="W224" s="302">
        <f>$L224*'MWh Impact Summary'!P$29</f>
        <v>333078.82911242999</v>
      </c>
      <c r="X224" s="302">
        <f>$L224*'MWh Impact Summary'!Q$29</f>
        <v>115608.87233707318</v>
      </c>
      <c r="Y224" s="85">
        <f t="shared" si="87"/>
        <v>955783.22138326336</v>
      </c>
      <c r="Z224" s="81">
        <f t="shared" si="88"/>
        <v>1383230.5917190164</v>
      </c>
      <c r="AA224" s="81"/>
      <c r="AB224" s="262">
        <f>+'MWh by mo-WgtbyActulCDH&amp;Days'!AB224</f>
        <v>5296301.965313198</v>
      </c>
      <c r="AC224" s="308">
        <f t="shared" si="106"/>
        <v>261.1691328738691</v>
      </c>
      <c r="AD224" s="309">
        <f t="shared" si="89"/>
        <v>80.706759760907232</v>
      </c>
      <c r="AE224" s="107">
        <f t="shared" si="90"/>
        <v>7.2059606929381461E-3</v>
      </c>
      <c r="AF224" s="309">
        <f t="shared" si="107"/>
        <v>180.46237311296181</v>
      </c>
      <c r="AG224" s="107">
        <f t="shared" si="91"/>
        <v>1.6112711885085874E-2</v>
      </c>
      <c r="AH224" s="119">
        <f t="shared" si="108"/>
        <v>2.331867257802402E-2</v>
      </c>
      <c r="AI224" s="122">
        <f t="shared" si="92"/>
        <v>2.3318672578024027E-2</v>
      </c>
      <c r="AJ224" s="87" t="b">
        <f t="shared" si="109"/>
        <v>1</v>
      </c>
      <c r="AK224" s="88">
        <f t="shared" si="110"/>
        <v>9.544810572943499E-4</v>
      </c>
      <c r="AM224" s="89">
        <f t="shared" si="93"/>
        <v>333078.82911242999</v>
      </c>
      <c r="AN224" s="90"/>
      <c r="AO224" s="96">
        <f t="shared" si="111"/>
        <v>62.888942377879182</v>
      </c>
      <c r="AP224" s="92">
        <f t="shared" si="83"/>
        <v>5.6150841408820701E-3</v>
      </c>
      <c r="AR224" s="94">
        <f t="shared" si="94"/>
        <v>2.3318672578024027E-2</v>
      </c>
      <c r="AS224" s="95"/>
    </row>
    <row r="225" spans="1:45">
      <c r="A225" s="78">
        <f t="shared" si="112"/>
        <v>2023</v>
      </c>
      <c r="B225" s="78">
        <f t="shared" si="113"/>
        <v>5</v>
      </c>
      <c r="C225" s="317">
        <f t="shared" si="101"/>
        <v>208.47875842628665</v>
      </c>
      <c r="D225" s="324">
        <f t="shared" si="104"/>
        <v>0.10603105035770212</v>
      </c>
      <c r="E225" s="321">
        <f>$D225*'MWh Impact Summary'!B$29</f>
        <v>372954.04730039136</v>
      </c>
      <c r="F225" s="321">
        <f>$D225*'MWh Impact Summary'!N$29</f>
        <v>56801.505804754284</v>
      </c>
      <c r="G225" s="321">
        <f>$D225*'MWh Impact Summary'!C$29</f>
        <v>257966.47375530406</v>
      </c>
      <c r="H225" s="321">
        <f>$D225*'MWh Impact Summary'!D$29</f>
        <v>1235.0145101988155</v>
      </c>
      <c r="I225" s="321">
        <f>$D225*'MWh Impact Summary'!E$29</f>
        <v>92509.475496606174</v>
      </c>
      <c r="J225" s="104">
        <f t="shared" si="95"/>
        <v>781466.51686725474</v>
      </c>
      <c r="K225" s="298">
        <f t="shared" si="102"/>
        <v>10.533333333333333</v>
      </c>
      <c r="L225" s="300">
        <f t="shared" si="105"/>
        <v>7.4152293793265281E-2</v>
      </c>
      <c r="M225" s="297">
        <f t="shared" si="96"/>
        <v>8.3333333333333329E-2</v>
      </c>
      <c r="N225" s="302">
        <f>$L225*'MWh Impact Summary'!F$29</f>
        <v>146452.91798977533</v>
      </c>
      <c r="O225" s="302">
        <f>$L225*'MWh Impact Summary'!G$29</f>
        <v>21363.807912037078</v>
      </c>
      <c r="P225" s="304">
        <f>$M225*'MWh Impact Summary'!H$29</f>
        <v>10490.243445628477</v>
      </c>
      <c r="Q225" s="304">
        <f>$M225*'MWh Impact Summary'!I$29</f>
        <v>1751.0466366712944</v>
      </c>
      <c r="R225" s="304">
        <f>$M225*'MWh Impact Summary'!J$29</f>
        <v>46648.374216746306</v>
      </c>
      <c r="S225" s="304">
        <f>$M225*'MWh Impact Summary'!K$29</f>
        <v>30624.12074815527</v>
      </c>
      <c r="T225" s="304">
        <f>$M225*'MWh Impact Summary'!L$29</f>
        <v>10981.173767381648</v>
      </c>
      <c r="U225" s="304">
        <f>$M225*'MWh Impact Summary'!M$29</f>
        <v>33988.602744659911</v>
      </c>
      <c r="V225" s="302">
        <f>$L225*'MWh Impact Summary'!O$29</f>
        <v>182615.94923612647</v>
      </c>
      <c r="W225" s="302">
        <f>$L225*'MWh Impact Summary'!P$29</f>
        <v>313252.70833192824</v>
      </c>
      <c r="X225" s="302">
        <f>$L225*'MWh Impact Summary'!Q$29</f>
        <v>108727.39184081883</v>
      </c>
      <c r="Y225" s="85">
        <f t="shared" si="87"/>
        <v>906896.33686992887</v>
      </c>
      <c r="Z225" s="81">
        <f t="shared" si="88"/>
        <v>1688362.8537371836</v>
      </c>
      <c r="AA225" s="81"/>
      <c r="AB225" s="262">
        <f>+'MWh by mo-WgtbyActulCDH&amp;Days'!AB225</f>
        <v>5301485.111214349</v>
      </c>
      <c r="AC225" s="308">
        <f t="shared" si="106"/>
        <v>318.46979069426266</v>
      </c>
      <c r="AD225" s="309">
        <f t="shared" si="89"/>
        <v>147.40520825272174</v>
      </c>
      <c r="AE225" s="107">
        <f t="shared" si="90"/>
        <v>1.3994165340448266E-2</v>
      </c>
      <c r="AF225" s="309">
        <f t="shared" si="107"/>
        <v>171.06458244154095</v>
      </c>
      <c r="AG225" s="107">
        <f t="shared" si="91"/>
        <v>1.6240308459639963E-2</v>
      </c>
      <c r="AH225" s="119">
        <f t="shared" si="108"/>
        <v>3.023447380008823E-2</v>
      </c>
      <c r="AI225" s="122">
        <f t="shared" si="92"/>
        <v>3.023447380008823E-2</v>
      </c>
      <c r="AJ225" s="87" t="b">
        <f t="shared" si="109"/>
        <v>1</v>
      </c>
      <c r="AK225" s="88">
        <f t="shared" si="110"/>
        <v>9.7585678091684919E-4</v>
      </c>
      <c r="AM225" s="89">
        <f t="shared" si="93"/>
        <v>313252.70833192824</v>
      </c>
      <c r="AN225" s="90"/>
      <c r="AO225" s="96">
        <f t="shared" si="111"/>
        <v>59.087727638675787</v>
      </c>
      <c r="AP225" s="92">
        <f t="shared" si="83"/>
        <v>5.6095943960768153E-3</v>
      </c>
      <c r="AR225" s="94">
        <f t="shared" si="94"/>
        <v>3.023447380008823E-2</v>
      </c>
      <c r="AS225" s="95"/>
    </row>
    <row r="226" spans="1:45">
      <c r="A226" s="78">
        <f t="shared" si="112"/>
        <v>2023</v>
      </c>
      <c r="B226" s="78">
        <f t="shared" si="113"/>
        <v>6</v>
      </c>
      <c r="C226" s="317">
        <f t="shared" si="101"/>
        <v>271.66325293295364</v>
      </c>
      <c r="D226" s="324">
        <f t="shared" si="104"/>
        <v>0.13816630657965029</v>
      </c>
      <c r="E226" s="321">
        <f>$D226*'MWh Impact Summary'!B$29</f>
        <v>485986.72809133539</v>
      </c>
      <c r="F226" s="321">
        <f>$D226*'MWh Impact Summary'!N$29</f>
        <v>74016.566267424336</v>
      </c>
      <c r="G226" s="321">
        <f>$D226*'MWh Impact Summary'!C$29</f>
        <v>336149.40887509176</v>
      </c>
      <c r="H226" s="321">
        <f>$D226*'MWh Impact Summary'!D$29</f>
        <v>1609.3153172659393</v>
      </c>
      <c r="I226" s="321">
        <f>$D226*'MWh Impact Summary'!E$29</f>
        <v>120546.69372666712</v>
      </c>
      <c r="J226" s="104">
        <f t="shared" si="95"/>
        <v>1018308.7122777846</v>
      </c>
      <c r="K226" s="298">
        <f t="shared" si="102"/>
        <v>10.199999999999999</v>
      </c>
      <c r="L226" s="300">
        <f t="shared" si="105"/>
        <v>7.1805702217529022E-2</v>
      </c>
      <c r="M226" s="297">
        <f t="shared" si="96"/>
        <v>8.3333333333333329E-2</v>
      </c>
      <c r="N226" s="302">
        <f>$L226*'MWh Impact Summary'!F$29</f>
        <v>141818.33197744066</v>
      </c>
      <c r="O226" s="302">
        <f>$L226*'MWh Impact Summary'!G$29</f>
        <v>20687.738041402987</v>
      </c>
      <c r="P226" s="304">
        <f>$M226*'MWh Impact Summary'!H$29</f>
        <v>10490.243445628477</v>
      </c>
      <c r="Q226" s="304">
        <f>$M226*'MWh Impact Summary'!I$29</f>
        <v>1751.0466366712944</v>
      </c>
      <c r="R226" s="304">
        <f>$M226*'MWh Impact Summary'!J$29</f>
        <v>46648.374216746306</v>
      </c>
      <c r="S226" s="304">
        <f>$M226*'MWh Impact Summary'!K$29</f>
        <v>30624.12074815527</v>
      </c>
      <c r="T226" s="304">
        <f>$M226*'MWh Impact Summary'!L$29</f>
        <v>10981.173767381648</v>
      </c>
      <c r="U226" s="304">
        <f>$M226*'MWh Impact Summary'!M$29</f>
        <v>33988.602744659911</v>
      </c>
      <c r="V226" s="302">
        <f>$L226*'MWh Impact Summary'!O$29</f>
        <v>176836.96350080596</v>
      </c>
      <c r="W226" s="302">
        <f>$L226*'MWh Impact Summary'!P$29</f>
        <v>303339.64794167731</v>
      </c>
      <c r="X226" s="302">
        <f>$L226*'MWh Impact Summary'!Q$29</f>
        <v>105286.65159269163</v>
      </c>
      <c r="Y226" s="85">
        <f t="shared" si="87"/>
        <v>882452.89461326145</v>
      </c>
      <c r="Z226" s="81">
        <f t="shared" si="88"/>
        <v>1900761.606891046</v>
      </c>
      <c r="AA226" s="81"/>
      <c r="AB226" s="262">
        <f>+'MWh by mo-WgtbyActulCDH&amp;Days'!AB226</f>
        <v>5306665.8266493091</v>
      </c>
      <c r="AC226" s="308">
        <f t="shared" si="106"/>
        <v>358.18377659013231</v>
      </c>
      <c r="AD226" s="309">
        <f t="shared" si="89"/>
        <v>191.89237565402843</v>
      </c>
      <c r="AE226" s="107">
        <f t="shared" si="90"/>
        <v>1.8812978005296906E-2</v>
      </c>
      <c r="AF226" s="309">
        <f t="shared" si="107"/>
        <v>166.29140093610388</v>
      </c>
      <c r="AG226" s="107">
        <f t="shared" si="91"/>
        <v>1.6303078523147441E-2</v>
      </c>
      <c r="AH226" s="119">
        <f t="shared" si="108"/>
        <v>3.511605652844435E-2</v>
      </c>
      <c r="AI226" s="122">
        <f t="shared" si="92"/>
        <v>3.5116056528444343E-2</v>
      </c>
      <c r="AJ226" s="87" t="b">
        <f t="shared" si="109"/>
        <v>0</v>
      </c>
      <c r="AK226" s="88">
        <f t="shared" si="110"/>
        <v>9.8916571168618239E-4</v>
      </c>
      <c r="AM226" s="89">
        <f t="shared" si="93"/>
        <v>303339.64794167731</v>
      </c>
      <c r="AN226" s="90"/>
      <c r="AO226" s="96">
        <f t="shared" si="111"/>
        <v>57.162003007302523</v>
      </c>
      <c r="AP226" s="92">
        <f t="shared" si="83"/>
        <v>5.6041179418924048E-3</v>
      </c>
      <c r="AR226" s="94">
        <f t="shared" si="94"/>
        <v>3.5116056528444343E-2</v>
      </c>
      <c r="AS226" s="95"/>
    </row>
    <row r="227" spans="1:45">
      <c r="A227" s="78">
        <f t="shared" si="112"/>
        <v>2023</v>
      </c>
      <c r="B227" s="78">
        <f t="shared" si="113"/>
        <v>7</v>
      </c>
      <c r="C227" s="317">
        <f t="shared" si="101"/>
        <v>322.31916585708109</v>
      </c>
      <c r="D227" s="324">
        <f t="shared" si="104"/>
        <v>0.16392960109808263</v>
      </c>
      <c r="E227" s="321">
        <f>$D227*'MWh Impact Summary'!B$29</f>
        <v>576606.64489897236</v>
      </c>
      <c r="F227" s="321">
        <f>$D227*'MWh Impact Summary'!N$29</f>
        <v>87818.126453817677</v>
      </c>
      <c r="G227" s="321">
        <f>$D227*'MWh Impact Summary'!C$29</f>
        <v>398829.78614965844</v>
      </c>
      <c r="H227" s="321">
        <f>$D227*'MWh Impact Summary'!D$29</f>
        <v>1909.3976276217218</v>
      </c>
      <c r="I227" s="321">
        <f>$D227*'MWh Impact Summary'!E$29</f>
        <v>143024.53257598903</v>
      </c>
      <c r="J227" s="104">
        <f t="shared" si="95"/>
        <v>1208188.4877060591</v>
      </c>
      <c r="K227" s="298">
        <f t="shared" si="102"/>
        <v>10.366666666666667</v>
      </c>
      <c r="L227" s="300">
        <f t="shared" si="105"/>
        <v>7.2978998005397158E-2</v>
      </c>
      <c r="M227" s="297">
        <f t="shared" si="96"/>
        <v>8.3333333333333329E-2</v>
      </c>
      <c r="N227" s="302">
        <f>$L227*'MWh Impact Summary'!F$29</f>
        <v>144135.624983608</v>
      </c>
      <c r="O227" s="302">
        <f>$L227*'MWh Impact Summary'!G$29</f>
        <v>21025.772976720036</v>
      </c>
      <c r="P227" s="304">
        <f>$M227*'MWh Impact Summary'!H$29</f>
        <v>10490.243445628477</v>
      </c>
      <c r="Q227" s="304">
        <f>$M227*'MWh Impact Summary'!I$29</f>
        <v>1751.0466366712944</v>
      </c>
      <c r="R227" s="304">
        <f>$M227*'MWh Impact Summary'!J$29</f>
        <v>46648.374216746306</v>
      </c>
      <c r="S227" s="304">
        <f>$M227*'MWh Impact Summary'!K$29</f>
        <v>30624.12074815527</v>
      </c>
      <c r="T227" s="304">
        <f>$M227*'MWh Impact Summary'!L$29</f>
        <v>10981.173767381648</v>
      </c>
      <c r="U227" s="304">
        <f>$M227*'MWh Impact Summary'!M$29</f>
        <v>33988.602744659911</v>
      </c>
      <c r="V227" s="302">
        <f>$L227*'MWh Impact Summary'!O$29</f>
        <v>179726.45636846623</v>
      </c>
      <c r="W227" s="302">
        <f>$L227*'MWh Impact Summary'!P$29</f>
        <v>308296.1781368028</v>
      </c>
      <c r="X227" s="302">
        <f>$L227*'MWh Impact Summary'!Q$29</f>
        <v>107007.02171675525</v>
      </c>
      <c r="Y227" s="85">
        <f t="shared" si="87"/>
        <v>894674.61574159528</v>
      </c>
      <c r="Z227" s="81">
        <f t="shared" si="88"/>
        <v>2102863.1034476543</v>
      </c>
      <c r="AA227" s="81"/>
      <c r="AB227" s="262">
        <f>+'MWh by mo-WgtbyActulCDH&amp;Days'!AB227</f>
        <v>5311951.1835386856</v>
      </c>
      <c r="AC227" s="308">
        <f t="shared" si="106"/>
        <v>395.87395116963046</v>
      </c>
      <c r="AD227" s="309">
        <f t="shared" si="89"/>
        <v>227.44721213744194</v>
      </c>
      <c r="AE227" s="107">
        <f t="shared" si="90"/>
        <v>2.1940245543804686E-2</v>
      </c>
      <c r="AF227" s="309">
        <f t="shared" si="107"/>
        <v>168.42673903218855</v>
      </c>
      <c r="AG227" s="107">
        <f t="shared" si="91"/>
        <v>1.6246952318217545E-2</v>
      </c>
      <c r="AH227" s="119">
        <f t="shared" si="108"/>
        <v>3.818719786202223E-2</v>
      </c>
      <c r="AI227" s="122">
        <f t="shared" si="92"/>
        <v>3.818719786202223E-2</v>
      </c>
      <c r="AJ227" s="87" t="b">
        <f t="shared" si="109"/>
        <v>1</v>
      </c>
      <c r="AK227" s="88">
        <f t="shared" si="110"/>
        <v>9.9171463386694275E-4</v>
      </c>
      <c r="AM227" s="89">
        <f t="shared" si="93"/>
        <v>308296.1781368028</v>
      </c>
      <c r="AN227" s="90"/>
      <c r="AO227" s="96">
        <f t="shared" si="111"/>
        <v>58.038217499473291</v>
      </c>
      <c r="AP227" s="92">
        <f t="shared" si="83"/>
        <v>5.5985418809781301E-3</v>
      </c>
      <c r="AR227" s="94">
        <f t="shared" si="94"/>
        <v>3.818719786202223E-2</v>
      </c>
      <c r="AS227" s="95"/>
    </row>
    <row r="228" spans="1:45">
      <c r="A228" s="78">
        <f t="shared" si="112"/>
        <v>2023</v>
      </c>
      <c r="B228" s="78">
        <f t="shared" si="113"/>
        <v>8</v>
      </c>
      <c r="C228" s="317">
        <f t="shared" si="101"/>
        <v>326.45437890907908</v>
      </c>
      <c r="D228" s="324">
        <f t="shared" si="104"/>
        <v>0.16603274573816959</v>
      </c>
      <c r="E228" s="321">
        <f>$D228*'MWh Impact Summary'!B$29</f>
        <v>584004.25440045726</v>
      </c>
      <c r="F228" s="321">
        <f>$D228*'MWh Impact Summary'!N$29</f>
        <v>88944.794369292678</v>
      </c>
      <c r="G228" s="321">
        <f>$D228*'MWh Impact Summary'!C$29</f>
        <v>403946.59678928053</v>
      </c>
      <c r="H228" s="321">
        <f>$D228*'MWh Impact Summary'!D$29</f>
        <v>1933.894358898001</v>
      </c>
      <c r="I228" s="321">
        <f>$D228*'MWh Impact Summary'!E$29</f>
        <v>144859.47438682258</v>
      </c>
      <c r="J228" s="104">
        <f t="shared" si="95"/>
        <v>1223689.0143047513</v>
      </c>
      <c r="K228" s="298">
        <f t="shared" si="102"/>
        <v>10.933333333333334</v>
      </c>
      <c r="L228" s="300">
        <f t="shared" si="105"/>
        <v>7.6968203684148764E-2</v>
      </c>
      <c r="M228" s="297">
        <f t="shared" si="96"/>
        <v>8.3333333333333329E-2</v>
      </c>
      <c r="N228" s="302">
        <f>$L228*'MWh Impact Summary'!F$29</f>
        <v>152014.42120457691</v>
      </c>
      <c r="O228" s="302">
        <f>$L228*'MWh Impact Summary'!G$29</f>
        <v>22175.091756797978</v>
      </c>
      <c r="P228" s="304">
        <f>$M228*'MWh Impact Summary'!H$29</f>
        <v>10490.243445628477</v>
      </c>
      <c r="Q228" s="304">
        <f>$M228*'MWh Impact Summary'!I$29</f>
        <v>1751.0466366712944</v>
      </c>
      <c r="R228" s="304">
        <f>$M228*'MWh Impact Summary'!J$29</f>
        <v>46648.374216746306</v>
      </c>
      <c r="S228" s="304">
        <f>$M228*'MWh Impact Summary'!K$29</f>
        <v>30624.12074815527</v>
      </c>
      <c r="T228" s="304">
        <f>$M228*'MWh Impact Summary'!L$29</f>
        <v>10981.173767381648</v>
      </c>
      <c r="U228" s="304">
        <f>$M228*'MWh Impact Summary'!M$29</f>
        <v>33988.602744659911</v>
      </c>
      <c r="V228" s="302">
        <f>$L228*'MWh Impact Summary'!O$29</f>
        <v>189550.73211851099</v>
      </c>
      <c r="W228" s="302">
        <f>$L228*'MWh Impact Summary'!P$29</f>
        <v>325148.38080022926</v>
      </c>
      <c r="X228" s="302">
        <f>$L228*'MWh Impact Summary'!Q$29</f>
        <v>112856.28013857143</v>
      </c>
      <c r="Y228" s="85">
        <f t="shared" si="87"/>
        <v>936228.46757792949</v>
      </c>
      <c r="Z228" s="81">
        <f t="shared" si="88"/>
        <v>2159917.4818826807</v>
      </c>
      <c r="AA228" s="81"/>
      <c r="AB228" s="262">
        <f>+'MWh by mo-WgtbyActulCDH&amp;Days'!AB228</f>
        <v>5317288.920798488</v>
      </c>
      <c r="AC228" s="308">
        <f t="shared" si="106"/>
        <v>406.20653006726781</v>
      </c>
      <c r="AD228" s="309">
        <f t="shared" si="89"/>
        <v>230.13400861448622</v>
      </c>
      <c r="AE228" s="107">
        <f t="shared" si="90"/>
        <v>2.1048842251324959E-2</v>
      </c>
      <c r="AF228" s="309">
        <f t="shared" si="107"/>
        <v>176.07252145278156</v>
      </c>
      <c r="AG228" s="107">
        <f t="shared" si="91"/>
        <v>1.6104194035315388E-2</v>
      </c>
      <c r="AH228" s="119">
        <f t="shared" si="108"/>
        <v>3.7153036286640351E-2</v>
      </c>
      <c r="AI228" s="122">
        <f t="shared" si="92"/>
        <v>3.7153036286640351E-2</v>
      </c>
      <c r="AJ228" s="87" t="b">
        <f t="shared" si="109"/>
        <v>1</v>
      </c>
      <c r="AK228" s="88">
        <f t="shared" si="110"/>
        <v>9.8108103694762722E-4</v>
      </c>
      <c r="AM228" s="89">
        <f t="shared" si="93"/>
        <v>325148.38080022926</v>
      </c>
      <c r="AN228" s="90"/>
      <c r="AO228" s="96">
        <f t="shared" si="111"/>
        <v>61.149278446844733</v>
      </c>
      <c r="AP228" s="92">
        <f t="shared" si="83"/>
        <v>5.5929218091626282E-3</v>
      </c>
      <c r="AR228" s="94">
        <f t="shared" si="94"/>
        <v>3.7153036286640351E-2</v>
      </c>
      <c r="AS228" s="95"/>
    </row>
    <row r="229" spans="1:45">
      <c r="A229" s="78">
        <f t="shared" si="112"/>
        <v>2023</v>
      </c>
      <c r="B229" s="78">
        <f t="shared" si="113"/>
        <v>9</v>
      </c>
      <c r="C229" s="317">
        <f t="shared" si="101"/>
        <v>277.87653293728147</v>
      </c>
      <c r="D229" s="324">
        <f t="shared" si="104"/>
        <v>0.14132634365008559</v>
      </c>
      <c r="E229" s="321">
        <f>$D229*'MWh Impact Summary'!B$29</f>
        <v>497101.85532116302</v>
      </c>
      <c r="F229" s="321">
        <f>$D229*'MWh Impact Summary'!N$29</f>
        <v>75709.418157451204</v>
      </c>
      <c r="G229" s="321">
        <f>$D229*'MWh Impact Summary'!C$29</f>
        <v>343837.56830807071</v>
      </c>
      <c r="H229" s="321">
        <f>$D229*'MWh Impact Summary'!D$29</f>
        <v>1646.1223810608162</v>
      </c>
      <c r="I229" s="321">
        <f>$D229*'MWh Impact Summary'!E$29</f>
        <v>123303.74810790354</v>
      </c>
      <c r="J229" s="104">
        <f t="shared" si="95"/>
        <v>1041598.7122756493</v>
      </c>
      <c r="K229" s="298">
        <f t="shared" si="102"/>
        <v>11.683333333333334</v>
      </c>
      <c r="L229" s="300">
        <f t="shared" si="105"/>
        <v>8.2248034729555317E-2</v>
      </c>
      <c r="M229" s="297">
        <f t="shared" si="96"/>
        <v>8.3333333333333329E-2</v>
      </c>
      <c r="N229" s="302">
        <f>$L229*'MWh Impact Summary'!F$29</f>
        <v>162442.23973232991</v>
      </c>
      <c r="O229" s="302">
        <f>$L229*'MWh Impact Summary'!G$29</f>
        <v>23696.24896572467</v>
      </c>
      <c r="P229" s="304">
        <f>$M229*'MWh Impact Summary'!H$29</f>
        <v>10490.243445628477</v>
      </c>
      <c r="Q229" s="304">
        <f>$M229*'MWh Impact Summary'!I$29</f>
        <v>1751.0466366712944</v>
      </c>
      <c r="R229" s="304">
        <f>$M229*'MWh Impact Summary'!J$29</f>
        <v>46648.374216746306</v>
      </c>
      <c r="S229" s="304">
        <f>$M229*'MWh Impact Summary'!K$29</f>
        <v>30624.12074815527</v>
      </c>
      <c r="T229" s="304">
        <f>$M229*'MWh Impact Summary'!L$29</f>
        <v>10981.173767381648</v>
      </c>
      <c r="U229" s="304">
        <f>$M229*'MWh Impact Summary'!M$29</f>
        <v>33988.602744659911</v>
      </c>
      <c r="V229" s="302">
        <f>$L229*'MWh Impact Summary'!O$29</f>
        <v>202553.45002298203</v>
      </c>
      <c r="W229" s="302">
        <f>$L229*'MWh Impact Summary'!P$29</f>
        <v>347452.76667829382</v>
      </c>
      <c r="X229" s="302">
        <f>$L229*'MWh Impact Summary'!Q$29</f>
        <v>120597.9456968576</v>
      </c>
      <c r="Y229" s="85">
        <f t="shared" si="87"/>
        <v>991226.21265543101</v>
      </c>
      <c r="Z229" s="81">
        <f t="shared" si="88"/>
        <v>2032824.9249310803</v>
      </c>
      <c r="AA229" s="81"/>
      <c r="AB229" s="262">
        <f>+'MWh by mo-WgtbyActulCDH&amp;Days'!AB229</f>
        <v>5322436.1862808531</v>
      </c>
      <c r="AC229" s="308">
        <f t="shared" si="106"/>
        <v>381.93504887309001</v>
      </c>
      <c r="AD229" s="309">
        <f t="shared" si="89"/>
        <v>195.69961495461064</v>
      </c>
      <c r="AE229" s="107">
        <f t="shared" si="90"/>
        <v>1.6750323676571522E-2</v>
      </c>
      <c r="AF229" s="309">
        <f t="shared" si="107"/>
        <v>186.23543391847934</v>
      </c>
      <c r="AG229" s="107">
        <f t="shared" si="91"/>
        <v>1.5940265385319202E-2</v>
      </c>
      <c r="AH229" s="119">
        <f t="shared" si="108"/>
        <v>3.2690589061890721E-2</v>
      </c>
      <c r="AI229" s="122">
        <f t="shared" si="92"/>
        <v>3.2690589061890728E-2</v>
      </c>
      <c r="AJ229" s="87" t="b">
        <f t="shared" si="109"/>
        <v>1</v>
      </c>
      <c r="AK229" s="88">
        <f t="shared" si="110"/>
        <v>9.6189291169340718E-4</v>
      </c>
      <c r="AM229" s="89">
        <f t="shared" si="93"/>
        <v>347452.76667829382</v>
      </c>
      <c r="AN229" s="90"/>
      <c r="AO229" s="96">
        <f t="shared" si="111"/>
        <v>65.280776418492422</v>
      </c>
      <c r="AP229" s="92">
        <f t="shared" si="83"/>
        <v>5.5875129602133309E-3</v>
      </c>
      <c r="AR229" s="94">
        <f t="shared" si="94"/>
        <v>3.2690589061890728E-2</v>
      </c>
      <c r="AS229" s="95"/>
    </row>
    <row r="230" spans="1:45">
      <c r="A230" s="78">
        <f t="shared" si="112"/>
        <v>2023</v>
      </c>
      <c r="B230" s="78">
        <f t="shared" si="113"/>
        <v>10</v>
      </c>
      <c r="C230" s="317">
        <f t="shared" si="101"/>
        <v>198.89039579254836</v>
      </c>
      <c r="D230" s="324">
        <f t="shared" si="104"/>
        <v>0.10115446643644242</v>
      </c>
      <c r="E230" s="321">
        <f>$D230*'MWh Impact Summary'!B$29</f>
        <v>355801.13120366138</v>
      </c>
      <c r="F230" s="321">
        <f>$D230*'MWh Impact Summary'!N$29</f>
        <v>54189.088885593934</v>
      </c>
      <c r="G230" s="321">
        <f>$D230*'MWh Impact Summary'!C$29</f>
        <v>246102.07031975142</v>
      </c>
      <c r="H230" s="321">
        <f>$D230*'MWh Impact Summary'!D$29</f>
        <v>1178.2136779648597</v>
      </c>
      <c r="I230" s="321">
        <f>$D230*'MWh Impact Summary'!E$29</f>
        <v>88254.77633773713</v>
      </c>
      <c r="J230" s="104">
        <f t="shared" si="95"/>
        <v>745525.28042470873</v>
      </c>
      <c r="K230" s="298">
        <f t="shared" si="102"/>
        <v>12.466666666666667</v>
      </c>
      <c r="L230" s="300">
        <f t="shared" si="105"/>
        <v>8.7762524932535488E-2</v>
      </c>
      <c r="M230" s="297">
        <f t="shared" si="96"/>
        <v>8.3333333333333329E-2</v>
      </c>
      <c r="N230" s="302">
        <f>$L230*'MWh Impact Summary'!F$29</f>
        <v>173333.51686131637</v>
      </c>
      <c r="O230" s="302">
        <f>$L230*'MWh Impact Summary'!G$29</f>
        <v>25285.013161714767</v>
      </c>
      <c r="P230" s="304">
        <f>$M230*'MWh Impact Summary'!H$29</f>
        <v>10490.243445628477</v>
      </c>
      <c r="Q230" s="304">
        <f>$M230*'MWh Impact Summary'!I$29</f>
        <v>1751.0466366712944</v>
      </c>
      <c r="R230" s="304">
        <f>$M230*'MWh Impact Summary'!J$29</f>
        <v>46648.374216746306</v>
      </c>
      <c r="S230" s="304">
        <f>$M230*'MWh Impact Summary'!K$29</f>
        <v>30624.12074815527</v>
      </c>
      <c r="T230" s="304">
        <f>$M230*'MWh Impact Summary'!L$29</f>
        <v>10981.173767381648</v>
      </c>
      <c r="U230" s="304">
        <f>$M230*'MWh Impact Summary'!M$29</f>
        <v>33988.602744659911</v>
      </c>
      <c r="V230" s="302">
        <f>$L230*'MWh Impact Summary'!O$29</f>
        <v>216134.06650098512</v>
      </c>
      <c r="W230" s="302">
        <f>$L230*'MWh Impact Summary'!P$29</f>
        <v>370748.45859538339</v>
      </c>
      <c r="X230" s="302">
        <f>$L230*'MWh Impact Summary'!Q$29</f>
        <v>128683.68527995647</v>
      </c>
      <c r="Y230" s="85">
        <f t="shared" si="87"/>
        <v>1048668.3019585991</v>
      </c>
      <c r="Z230" s="81">
        <f t="shared" si="88"/>
        <v>1794193.5823833079</v>
      </c>
      <c r="AA230" s="81"/>
      <c r="AB230" s="262">
        <f>+'MWh by mo-WgtbyActulCDH&amp;Days'!AB230</f>
        <v>5327648.4322968516</v>
      </c>
      <c r="AC230" s="308">
        <f t="shared" si="106"/>
        <v>336.7702665038272</v>
      </c>
      <c r="AD230" s="309">
        <f t="shared" si="89"/>
        <v>139.93514960657762</v>
      </c>
      <c r="AE230" s="107">
        <f t="shared" si="90"/>
        <v>1.1224744620848472E-2</v>
      </c>
      <c r="AF230" s="309">
        <f t="shared" si="107"/>
        <v>196.83511689724955</v>
      </c>
      <c r="AG230" s="107">
        <f t="shared" si="91"/>
        <v>1.578891312010023E-2</v>
      </c>
      <c r="AH230" s="119">
        <f t="shared" si="108"/>
        <v>2.7013657740948702E-2</v>
      </c>
      <c r="AI230" s="122">
        <f t="shared" si="92"/>
        <v>2.7013657740948705E-2</v>
      </c>
      <c r="AJ230" s="87" t="b">
        <f t="shared" si="109"/>
        <v>1</v>
      </c>
      <c r="AK230" s="88">
        <f t="shared" si="110"/>
        <v>9.4142823878960377E-4</v>
      </c>
      <c r="AM230" s="89">
        <f t="shared" si="93"/>
        <v>370748.45859538339</v>
      </c>
      <c r="AN230" s="90"/>
      <c r="AO230" s="96">
        <f t="shared" si="111"/>
        <v>69.589512766619734</v>
      </c>
      <c r="AP230" s="92">
        <f t="shared" si="83"/>
        <v>5.5820464786058609E-3</v>
      </c>
      <c r="AR230" s="94">
        <f t="shared" si="94"/>
        <v>2.7013657740948705E-2</v>
      </c>
      <c r="AS230" s="95"/>
    </row>
    <row r="231" spans="1:45">
      <c r="A231" s="78">
        <f t="shared" si="112"/>
        <v>2023</v>
      </c>
      <c r="B231" s="78">
        <f t="shared" si="113"/>
        <v>11</v>
      </c>
      <c r="C231" s="317">
        <f t="shared" si="101"/>
        <v>78.117279066674627</v>
      </c>
      <c r="D231" s="324">
        <f t="shared" si="104"/>
        <v>3.9729981188725644E-2</v>
      </c>
      <c r="E231" s="321">
        <f>$D231*'MWh Impact Summary'!B$29</f>
        <v>139746.39724416632</v>
      </c>
      <c r="F231" s="321">
        <f>$D231*'MWh Impact Summary'!N$29</f>
        <v>21283.602770141279</v>
      </c>
      <c r="G231" s="321">
        <f>$D231*'MWh Impact Summary'!C$29</f>
        <v>96660.3944320507</v>
      </c>
      <c r="H231" s="321">
        <f>$D231*'MWh Impact Summary'!D$29</f>
        <v>462.76164474907426</v>
      </c>
      <c r="I231" s="321">
        <f>$D231*'MWh Impact Summary'!E$29</f>
        <v>34663.428390644607</v>
      </c>
      <c r="J231" s="104">
        <f t="shared" si="95"/>
        <v>292816.58448175201</v>
      </c>
      <c r="K231" s="298">
        <f t="shared" si="102"/>
        <v>13.15</v>
      </c>
      <c r="L231" s="300">
        <f t="shared" si="105"/>
        <v>9.2573037662794788E-2</v>
      </c>
      <c r="M231" s="297">
        <f t="shared" si="96"/>
        <v>8.3333333333333329E-2</v>
      </c>
      <c r="N231" s="302">
        <f>$L231*'MWh Impact Summary'!F$29</f>
        <v>182834.41818660244</v>
      </c>
      <c r="O231" s="302">
        <f>$L231*'MWh Impact Summary'!G$29</f>
        <v>26670.956396514641</v>
      </c>
      <c r="P231" s="304">
        <f>$M231*'MWh Impact Summary'!H$29</f>
        <v>10490.243445628477</v>
      </c>
      <c r="Q231" s="304">
        <f>$M231*'MWh Impact Summary'!I$29</f>
        <v>1751.0466366712944</v>
      </c>
      <c r="R231" s="304">
        <f>$M231*'MWh Impact Summary'!J$29</f>
        <v>46648.374216746306</v>
      </c>
      <c r="S231" s="304">
        <f>$M231*'MWh Impact Summary'!K$29</f>
        <v>30624.12074815527</v>
      </c>
      <c r="T231" s="304">
        <f>$M231*'MWh Impact Summary'!L$29</f>
        <v>10981.173767381648</v>
      </c>
      <c r="U231" s="304">
        <f>$M231*'MWh Impact Summary'!M$29</f>
        <v>33988.602744659911</v>
      </c>
      <c r="V231" s="302">
        <f>$L231*'MWh Impact Summary'!O$29</f>
        <v>227980.98725839207</v>
      </c>
      <c r="W231" s="302">
        <f>$L231*'MWh Impact Summary'!P$29</f>
        <v>391070.23239539773</v>
      </c>
      <c r="X231" s="302">
        <f>$L231*'MWh Impact Summary'!Q$29</f>
        <v>135737.20278861717</v>
      </c>
      <c r="Y231" s="85">
        <f t="shared" si="87"/>
        <v>1098777.358584767</v>
      </c>
      <c r="Z231" s="81">
        <f t="shared" si="88"/>
        <v>1391593.943066519</v>
      </c>
      <c r="AA231" s="81"/>
      <c r="AB231" s="262">
        <f>+'MWh by mo-WgtbyActulCDH&amp;Days'!AB231</f>
        <v>5332876.5569538418</v>
      </c>
      <c r="AC231" s="308">
        <f t="shared" si="106"/>
        <v>260.94621321244352</v>
      </c>
      <c r="AD231" s="309">
        <f t="shared" si="89"/>
        <v>54.907812201265337</v>
      </c>
      <c r="AE231" s="107">
        <f t="shared" si="90"/>
        <v>4.1754990267121924E-3</v>
      </c>
      <c r="AF231" s="309">
        <f t="shared" si="107"/>
        <v>206.03840101117819</v>
      </c>
      <c r="AG231" s="107">
        <f t="shared" si="91"/>
        <v>1.5668319468530659E-2</v>
      </c>
      <c r="AH231" s="119">
        <f t="shared" si="108"/>
        <v>1.9843818495242853E-2</v>
      </c>
      <c r="AI231" s="122">
        <f t="shared" si="92"/>
        <v>1.9843818495242853E-2</v>
      </c>
      <c r="AJ231" s="87" t="b">
        <f t="shared" si="109"/>
        <v>1</v>
      </c>
      <c r="AK231" s="88">
        <f t="shared" si="110"/>
        <v>9.2014827013565947E-4</v>
      </c>
      <c r="AM231" s="89">
        <f t="shared" si="93"/>
        <v>391070.23239539773</v>
      </c>
      <c r="AN231" s="90"/>
      <c r="AO231" s="96">
        <f t="shared" si="111"/>
        <v>73.331949130804261</v>
      </c>
      <c r="AP231" s="92">
        <f t="shared" si="83"/>
        <v>5.5765740783881561E-3</v>
      </c>
      <c r="AR231" s="94">
        <f t="shared" si="94"/>
        <v>1.9843818495242853E-2</v>
      </c>
      <c r="AS231" s="95"/>
    </row>
    <row r="232" spans="1:45">
      <c r="A232" s="78">
        <f t="shared" si="112"/>
        <v>2023</v>
      </c>
      <c r="B232" s="78">
        <f t="shared" si="113"/>
        <v>12</v>
      </c>
      <c r="C232" s="317">
        <f t="shared" si="101"/>
        <v>42.633806123140985</v>
      </c>
      <c r="D232" s="324">
        <f t="shared" si="104"/>
        <v>2.1683298951445065E-2</v>
      </c>
      <c r="E232" s="321">
        <f>$D232*'MWh Impact Summary'!B$29</f>
        <v>76268.923824523226</v>
      </c>
      <c r="F232" s="321">
        <f>$D232*'MWh Impact Summary'!N$29</f>
        <v>11615.880698170056</v>
      </c>
      <c r="G232" s="321">
        <f>$D232*'MWh Impact Summary'!C$29</f>
        <v>52754.020176317608</v>
      </c>
      <c r="H232" s="321">
        <f>$D232*'MWh Impact Summary'!D$29</f>
        <v>252.55987509010063</v>
      </c>
      <c r="I232" s="321">
        <f>$D232*'MWh Impact Summary'!E$29</f>
        <v>18918.143376560296</v>
      </c>
      <c r="J232" s="104">
        <f t="shared" si="95"/>
        <v>159809.52795066132</v>
      </c>
      <c r="K232" s="298">
        <f t="shared" si="102"/>
        <v>13.483333333333333</v>
      </c>
      <c r="L232" s="300">
        <f t="shared" si="105"/>
        <v>9.491962923853102E-2</v>
      </c>
      <c r="M232" s="297">
        <f t="shared" si="96"/>
        <v>8.3333333333333329E-2</v>
      </c>
      <c r="N232" s="302">
        <f>$L232*'MWh Impact Summary'!F$29</f>
        <v>187469.00419893707</v>
      </c>
      <c r="O232" s="302">
        <f>$L232*'MWh Impact Summary'!G$29</f>
        <v>27347.026267148722</v>
      </c>
      <c r="P232" s="304">
        <f>$M232*'MWh Impact Summary'!H$29</f>
        <v>10490.243445628477</v>
      </c>
      <c r="Q232" s="304">
        <f>$M232*'MWh Impact Summary'!I$29</f>
        <v>1751.0466366712944</v>
      </c>
      <c r="R232" s="304">
        <f>$M232*'MWh Impact Summary'!J$29</f>
        <v>46648.374216746306</v>
      </c>
      <c r="S232" s="304">
        <f>$M232*'MWh Impact Summary'!K$29</f>
        <v>30624.12074815527</v>
      </c>
      <c r="T232" s="304">
        <f>$M232*'MWh Impact Summary'!L$29</f>
        <v>10981.173767381648</v>
      </c>
      <c r="U232" s="304">
        <f>$M232*'MWh Impact Summary'!M$29</f>
        <v>33988.602744659911</v>
      </c>
      <c r="V232" s="302">
        <f>$L232*'MWh Impact Summary'!O$29</f>
        <v>233759.97299371249</v>
      </c>
      <c r="W232" s="302">
        <f>$L232*'MWh Impact Summary'!P$29</f>
        <v>400983.29278564861</v>
      </c>
      <c r="X232" s="302">
        <f>$L232*'MWh Impact Summary'!Q$29</f>
        <v>139177.94303674434</v>
      </c>
      <c r="Y232" s="85">
        <f t="shared" si="87"/>
        <v>1123220.8008414342</v>
      </c>
      <c r="Z232" s="81">
        <f t="shared" si="88"/>
        <v>1283030.3287920954</v>
      </c>
      <c r="AA232" s="81">
        <f>SUM(Z221:Z232)</f>
        <v>19400542.359736767</v>
      </c>
      <c r="AB232" s="262">
        <f>+'MWh by mo-WgtbyActulCDH&amp;Days'!AB232</f>
        <v>5338112.0890329443</v>
      </c>
      <c r="AC232" s="308">
        <f t="shared" si="106"/>
        <v>240.35282650359821</v>
      </c>
      <c r="AD232" s="309">
        <f t="shared" si="89"/>
        <v>29.937462025008262</v>
      </c>
      <c r="AE232" s="107">
        <f t="shared" si="90"/>
        <v>2.220330928925211E-3</v>
      </c>
      <c r="AF232" s="309">
        <f t="shared" si="107"/>
        <v>210.41536447858996</v>
      </c>
      <c r="AG232" s="107">
        <f t="shared" si="91"/>
        <v>1.5605589454530777E-2</v>
      </c>
      <c r="AH232" s="119">
        <f t="shared" si="108"/>
        <v>1.7825920383455988E-2</v>
      </c>
      <c r="AI232" s="122">
        <f t="shared" si="92"/>
        <v>1.7825920383455988E-2</v>
      </c>
      <c r="AJ232" s="87" t="b">
        <f t="shared" si="109"/>
        <v>1</v>
      </c>
      <c r="AK232" s="88">
        <f t="shared" si="110"/>
        <v>9.1241441073034585E-4</v>
      </c>
      <c r="AM232" s="89">
        <f t="shared" si="93"/>
        <v>400983.29278564861</v>
      </c>
      <c r="AN232" s="90">
        <f>SUM(AM221:AM232)</f>
        <v>4224450.6853054175</v>
      </c>
      <c r="AO232" s="96">
        <f t="shared" si="111"/>
        <v>75.117061256443378</v>
      </c>
      <c r="AP232" s="92">
        <f t="shared" si="83"/>
        <v>5.5711046667325124E-3</v>
      </c>
      <c r="AR232" s="94">
        <f t="shared" si="94"/>
        <v>1.7825920383455988E-2</v>
      </c>
      <c r="AS232" s="95"/>
    </row>
    <row r="233" spans="1:45">
      <c r="A233" s="78">
        <f t="shared" si="112"/>
        <v>2024</v>
      </c>
      <c r="B233" s="78">
        <f t="shared" si="113"/>
        <v>1</v>
      </c>
      <c r="C233" s="317">
        <f t="shared" si="101"/>
        <v>26.112829868525239</v>
      </c>
      <c r="D233" s="324">
        <f t="shared" si="104"/>
        <v>1.3280829182176284E-2</v>
      </c>
      <c r="E233" s="321">
        <f>$D233*'MWh Impact Summary'!B$30</f>
        <v>45678.362760088756</v>
      </c>
      <c r="F233" s="321">
        <f>$D233*'MWh Impact Summary'!N$30</f>
        <v>7880.1602204984219</v>
      </c>
      <c r="G233" s="321">
        <f>$D233*'MWh Impact Summary'!C$30</f>
        <v>32966.356367204404</v>
      </c>
      <c r="H233" s="321">
        <f>$D233*'MWh Impact Summary'!D$30</f>
        <v>165.77538377994071</v>
      </c>
      <c r="I233" s="321">
        <f>$D233*'MWh Impact Summary'!E$30</f>
        <v>11728.936603951188</v>
      </c>
      <c r="J233" s="104">
        <f t="shared" si="95"/>
        <v>98419.591335522709</v>
      </c>
      <c r="K233" s="298">
        <f t="shared" si="102"/>
        <v>13.3</v>
      </c>
      <c r="L233" s="300">
        <f t="shared" si="105"/>
        <v>9.3629003871876101E-2</v>
      </c>
      <c r="M233" s="297">
        <f t="shared" si="96"/>
        <v>8.3333333333333329E-2</v>
      </c>
      <c r="N233" s="302">
        <f>$L233*'MWh Impact Summary'!F$30</f>
        <v>196670.74795922043</v>
      </c>
      <c r="O233" s="302">
        <f>$L233*'MWh Impact Summary'!G$30</f>
        <v>32443.057436937041</v>
      </c>
      <c r="P233" s="304">
        <f>$M233*'MWh Impact Summary'!H$30</f>
        <v>11074.681597169398</v>
      </c>
      <c r="Q233" s="304">
        <f>$M233*'MWh Impact Summary'!I$30</f>
        <v>1841.9021169993132</v>
      </c>
      <c r="R233" s="304">
        <f>$M233*'MWh Impact Summary'!J$30</f>
        <v>48053.861152608362</v>
      </c>
      <c r="S233" s="304">
        <f>$M233*'MWh Impact Summary'!K$30</f>
        <v>34019.220179997079</v>
      </c>
      <c r="T233" s="304">
        <f>$M233*'MWh Impact Summary'!L$30</f>
        <v>12219.219667599087</v>
      </c>
      <c r="U233" s="304">
        <f>$M233*'MWh Impact Summary'!M$30</f>
        <v>37762.108296556209</v>
      </c>
      <c r="V233" s="302">
        <f>$L233*'MWh Impact Summary'!O$30</f>
        <v>269701.67498081631</v>
      </c>
      <c r="W233" s="302">
        <f>$L233*'MWh Impact Summary'!P$30</f>
        <v>397882.32121429662</v>
      </c>
      <c r="X233" s="302">
        <f>$L233*'MWh Impact Summary'!Q$30</f>
        <v>137285.53590027441</v>
      </c>
      <c r="Y233" s="85">
        <f t="shared" si="87"/>
        <v>1178954.3305024742</v>
      </c>
      <c r="Z233" s="81">
        <f t="shared" si="88"/>
        <v>1277373.9218379969</v>
      </c>
      <c r="AA233" s="81"/>
      <c r="AB233" s="262">
        <f>+'MWh by mo-WgtbyActulCDH&amp;Days'!AB233</f>
        <v>5343385.5298156925</v>
      </c>
      <c r="AC233" s="308">
        <f t="shared" si="106"/>
        <v>239.05703878380959</v>
      </c>
      <c r="AD233" s="309">
        <f t="shared" si="89"/>
        <v>18.418957566574363</v>
      </c>
      <c r="AE233" s="107">
        <f t="shared" si="90"/>
        <v>1.3848840275619821E-3</v>
      </c>
      <c r="AF233" s="309">
        <f t="shared" si="107"/>
        <v>220.63808121723525</v>
      </c>
      <c r="AG233" s="107">
        <f t="shared" si="91"/>
        <v>1.6589329414829716E-2</v>
      </c>
      <c r="AH233" s="119">
        <f t="shared" si="108"/>
        <v>1.7974213442391699E-2</v>
      </c>
      <c r="AI233" s="122">
        <f t="shared" si="92"/>
        <v>1.7974213442391699E-2</v>
      </c>
      <c r="AJ233" s="87" t="b">
        <f t="shared" si="109"/>
        <v>1</v>
      </c>
      <c r="AK233" s="88">
        <f t="shared" si="110"/>
        <v>7.7931192575599398E-4</v>
      </c>
      <c r="AM233" s="89">
        <f t="shared" si="93"/>
        <v>397882.32121429662</v>
      </c>
      <c r="AN233" s="93"/>
      <c r="AO233" s="96">
        <f t="shared" si="111"/>
        <v>74.462589119602725</v>
      </c>
      <c r="AP233" s="92">
        <f t="shared" ref="AP233:AP268" si="114">+AO233/K233/1000</f>
        <v>5.598690911248325E-3</v>
      </c>
      <c r="AR233" s="94">
        <f t="shared" si="94"/>
        <v>1.7974213442391699E-2</v>
      </c>
      <c r="AS233" s="95"/>
    </row>
    <row r="234" spans="1:45">
      <c r="A234" s="78">
        <f t="shared" si="112"/>
        <v>2024</v>
      </c>
      <c r="B234" s="78">
        <f t="shared" si="113"/>
        <v>2</v>
      </c>
      <c r="C234" s="317">
        <f t="shared" si="101"/>
        <v>35.042184420393127</v>
      </c>
      <c r="D234" s="324">
        <f t="shared" si="104"/>
        <v>1.7822245532205266E-2</v>
      </c>
      <c r="E234" s="321">
        <f>$D234*'MWh Impact Summary'!B$30</f>
        <v>61298.205515059635</v>
      </c>
      <c r="F234" s="321">
        <f>$D234*'MWh Impact Summary'!N$30</f>
        <v>10574.802849758957</v>
      </c>
      <c r="G234" s="321">
        <f>$D234*'MWh Impact Summary'!C$30</f>
        <v>44239.293301581194</v>
      </c>
      <c r="H234" s="321">
        <f>$D234*'MWh Impact Summary'!D$30</f>
        <v>222.46273575197958</v>
      </c>
      <c r="I234" s="321">
        <f>$D234*'MWh Impact Summary'!E$30</f>
        <v>15739.678985392527</v>
      </c>
      <c r="J234" s="104">
        <f t="shared" si="95"/>
        <v>132074.44338754428</v>
      </c>
      <c r="K234" s="298">
        <f t="shared" si="102"/>
        <v>12.733333333333333</v>
      </c>
      <c r="L234" s="300">
        <f t="shared" si="105"/>
        <v>8.9639798193124468E-2</v>
      </c>
      <c r="M234" s="297">
        <f t="shared" si="96"/>
        <v>8.3333333333333329E-2</v>
      </c>
      <c r="N234" s="302">
        <f>$L234*'MWh Impact Summary'!F$30</f>
        <v>188291.29253238643</v>
      </c>
      <c r="O234" s="302">
        <f>$L234*'MWh Impact Summary'!G$30</f>
        <v>31060.771781729192</v>
      </c>
      <c r="P234" s="304">
        <f>$M234*'MWh Impact Summary'!H$30</f>
        <v>11074.681597169398</v>
      </c>
      <c r="Q234" s="304">
        <f>$M234*'MWh Impact Summary'!I$30</f>
        <v>1841.9021169993132</v>
      </c>
      <c r="R234" s="304">
        <f>$M234*'MWh Impact Summary'!J$30</f>
        <v>48053.861152608362</v>
      </c>
      <c r="S234" s="304">
        <f>$M234*'MWh Impact Summary'!K$30</f>
        <v>34019.220179997079</v>
      </c>
      <c r="T234" s="304">
        <f>$M234*'MWh Impact Summary'!L$30</f>
        <v>12219.219667599087</v>
      </c>
      <c r="U234" s="304">
        <f>$M234*'MWh Impact Summary'!M$30</f>
        <v>37762.108296556209</v>
      </c>
      <c r="V234" s="302">
        <f>$L234*'MWh Impact Summary'!O$30</f>
        <v>258210.6261721098</v>
      </c>
      <c r="W234" s="302">
        <f>$L234*'MWh Impact Summary'!P$30</f>
        <v>380929.94161368744</v>
      </c>
      <c r="X234" s="302">
        <f>$L234*'MWh Impact Summary'!Q$30</f>
        <v>131436.27747845819</v>
      </c>
      <c r="Y234" s="85">
        <f t="shared" si="87"/>
        <v>1134899.9025893004</v>
      </c>
      <c r="Z234" s="81">
        <f t="shared" si="88"/>
        <v>1266974.3459768447</v>
      </c>
      <c r="AA234" s="81"/>
      <c r="AB234" s="262">
        <f>+'MWh by mo-WgtbyActulCDH&amp;Days'!AB234</f>
        <v>5348619.574030689</v>
      </c>
      <c r="AC234" s="308">
        <f t="shared" si="106"/>
        <v>236.87875505830002</v>
      </c>
      <c r="AD234" s="309">
        <f t="shared" si="89"/>
        <v>24.693183270840429</v>
      </c>
      <c r="AE234" s="107">
        <f t="shared" si="90"/>
        <v>1.9392552306942744E-3</v>
      </c>
      <c r="AF234" s="309">
        <f t="shared" si="107"/>
        <v>212.18557178745962</v>
      </c>
      <c r="AG234" s="107">
        <f t="shared" si="91"/>
        <v>1.66637883602717E-2</v>
      </c>
      <c r="AH234" s="119">
        <f t="shared" si="108"/>
        <v>1.8603043590965974E-2</v>
      </c>
      <c r="AI234" s="122">
        <f t="shared" si="92"/>
        <v>1.860304359096597E-2</v>
      </c>
      <c r="AJ234" s="87" t="b">
        <f t="shared" si="109"/>
        <v>1</v>
      </c>
      <c r="AK234" s="88">
        <f t="shared" si="110"/>
        <v>7.8061812511551198E-4</v>
      </c>
      <c r="AM234" s="89">
        <f t="shared" si="93"/>
        <v>380929.94161368744</v>
      </c>
      <c r="AN234" s="93"/>
      <c r="AO234" s="96">
        <f t="shared" si="111"/>
        <v>71.220234743040592</v>
      </c>
      <c r="AP234" s="92">
        <f t="shared" si="114"/>
        <v>5.5932121525948111E-3</v>
      </c>
      <c r="AR234" s="94">
        <f t="shared" si="94"/>
        <v>1.860304359096597E-2</v>
      </c>
      <c r="AS234" s="95"/>
    </row>
    <row r="235" spans="1:45">
      <c r="A235" s="78">
        <f t="shared" si="112"/>
        <v>2024</v>
      </c>
      <c r="B235" s="78">
        <f t="shared" si="113"/>
        <v>3</v>
      </c>
      <c r="C235" s="317">
        <f t="shared" si="101"/>
        <v>64.582270600115152</v>
      </c>
      <c r="D235" s="324">
        <f t="shared" si="104"/>
        <v>3.2846156787895278E-2</v>
      </c>
      <c r="E235" s="321">
        <f>$D235*'MWh Impact Summary'!B$30</f>
        <v>112971.76136003683</v>
      </c>
      <c r="F235" s="321">
        <f>$D235*'MWh Impact Summary'!N$30</f>
        <v>19489.218223181193</v>
      </c>
      <c r="G235" s="321">
        <f>$D235*'MWh Impact Summary'!C$30</f>
        <v>81532.417525257857</v>
      </c>
      <c r="H235" s="321">
        <f>$D235*'MWh Impact Summary'!D$30</f>
        <v>409.99580466836312</v>
      </c>
      <c r="I235" s="321">
        <f>$D235*'MWh Impact Summary'!E$30</f>
        <v>29008.014888535374</v>
      </c>
      <c r="J235" s="104">
        <f t="shared" si="95"/>
        <v>243411.40780167963</v>
      </c>
      <c r="K235" s="298">
        <f t="shared" si="102"/>
        <v>12</v>
      </c>
      <c r="L235" s="300">
        <f t="shared" si="105"/>
        <v>8.4477296726504739E-2</v>
      </c>
      <c r="M235" s="297">
        <f t="shared" si="96"/>
        <v>8.3333333333333329E-2</v>
      </c>
      <c r="N235" s="302">
        <f>$L235*'MWh Impact Summary'!F$30</f>
        <v>177447.29139177781</v>
      </c>
      <c r="O235" s="302">
        <f>$L235*'MWh Impact Summary'!G$30</f>
        <v>29271.931522048453</v>
      </c>
      <c r="P235" s="304">
        <f>$M235*'MWh Impact Summary'!H$30</f>
        <v>11074.681597169398</v>
      </c>
      <c r="Q235" s="304">
        <f>$M235*'MWh Impact Summary'!I$30</f>
        <v>1841.9021169993132</v>
      </c>
      <c r="R235" s="304">
        <f>$M235*'MWh Impact Summary'!J$30</f>
        <v>48053.861152608362</v>
      </c>
      <c r="S235" s="304">
        <f>$M235*'MWh Impact Summary'!K$30</f>
        <v>34019.220179997079</v>
      </c>
      <c r="T235" s="304">
        <f>$M235*'MWh Impact Summary'!L$30</f>
        <v>12219.219667599087</v>
      </c>
      <c r="U235" s="304">
        <f>$M235*'MWh Impact Summary'!M$30</f>
        <v>37762.108296556209</v>
      </c>
      <c r="V235" s="302">
        <f>$L235*'MWh Impact Summary'!O$30</f>
        <v>243339.85712554853</v>
      </c>
      <c r="W235" s="302">
        <f>$L235*'MWh Impact Summary'!P$30</f>
        <v>358991.56801289914</v>
      </c>
      <c r="X235" s="302">
        <f>$L235*'MWh Impact Summary'!Q$30</f>
        <v>123866.64893257839</v>
      </c>
      <c r="Y235" s="85">
        <f t="shared" si="87"/>
        <v>1077888.2899957818</v>
      </c>
      <c r="Z235" s="81">
        <f t="shared" si="88"/>
        <v>1321299.6977974614</v>
      </c>
      <c r="AA235" s="81"/>
      <c r="AB235" s="262">
        <f>+'MWh by mo-WgtbyActulCDH&amp;Days'!AB235</f>
        <v>5353889.4374803631</v>
      </c>
      <c r="AC235" s="308">
        <f t="shared" si="106"/>
        <v>246.792488568701</v>
      </c>
      <c r="AD235" s="309">
        <f t="shared" si="89"/>
        <v>45.464406884770007</v>
      </c>
      <c r="AE235" s="107">
        <f t="shared" si="90"/>
        <v>3.788700573730834E-3</v>
      </c>
      <c r="AF235" s="309">
        <f t="shared" si="107"/>
        <v>201.328081683931</v>
      </c>
      <c r="AG235" s="107">
        <f t="shared" si="91"/>
        <v>1.6777340140327585E-2</v>
      </c>
      <c r="AH235" s="119">
        <f t="shared" si="108"/>
        <v>2.0566040714058417E-2</v>
      </c>
      <c r="AI235" s="122">
        <f t="shared" si="92"/>
        <v>2.0566040714058417E-2</v>
      </c>
      <c r="AJ235" s="87" t="b">
        <f t="shared" si="109"/>
        <v>1</v>
      </c>
      <c r="AK235" s="88">
        <f t="shared" si="110"/>
        <v>7.7617284502048273E-4</v>
      </c>
      <c r="AM235" s="89">
        <f t="shared" si="93"/>
        <v>358991.56801289914</v>
      </c>
      <c r="AN235" s="93"/>
      <c r="AO235" s="96">
        <f t="shared" si="111"/>
        <v>67.052480669426572</v>
      </c>
      <c r="AP235" s="92">
        <f t="shared" si="114"/>
        <v>5.5877067224522139E-3</v>
      </c>
      <c r="AR235" s="94">
        <f t="shared" si="94"/>
        <v>2.0566040714058417E-2</v>
      </c>
      <c r="AS235" s="95"/>
    </row>
    <row r="236" spans="1:45">
      <c r="A236" s="78">
        <f t="shared" si="112"/>
        <v>2024</v>
      </c>
      <c r="B236" s="78">
        <f t="shared" si="113"/>
        <v>4</v>
      </c>
      <c r="C236" s="317">
        <f t="shared" si="101"/>
        <v>114.03392869270741</v>
      </c>
      <c r="D236" s="324">
        <f t="shared" si="104"/>
        <v>5.7996974497419709E-2</v>
      </c>
      <c r="E236" s="321">
        <f>$D236*'MWh Impact Summary'!B$30</f>
        <v>199476.01190715996</v>
      </c>
      <c r="F236" s="321">
        <f>$D236*'MWh Impact Summary'!N$30</f>
        <v>34412.41846233407</v>
      </c>
      <c r="G236" s="321">
        <f>$D236*'MWh Impact Summary'!C$30</f>
        <v>143963.06911827164</v>
      </c>
      <c r="H236" s="321">
        <f>$D236*'MWh Impact Summary'!D$30</f>
        <v>723.9360263957326</v>
      </c>
      <c r="I236" s="321">
        <f>$D236*'MWh Impact Summary'!E$30</f>
        <v>51219.907113490983</v>
      </c>
      <c r="J236" s="104">
        <f t="shared" si="95"/>
        <v>429795.34262765234</v>
      </c>
      <c r="K236" s="298">
        <f t="shared" si="102"/>
        <v>11.2</v>
      </c>
      <c r="L236" s="300">
        <f t="shared" si="105"/>
        <v>7.8845476944737758E-2</v>
      </c>
      <c r="M236" s="297">
        <f t="shared" si="96"/>
        <v>8.3333333333333329E-2</v>
      </c>
      <c r="N236" s="302">
        <f>$L236*'MWh Impact Summary'!F$30</f>
        <v>165617.47196565929</v>
      </c>
      <c r="O236" s="302">
        <f>$L236*'MWh Impact Summary'!G$30</f>
        <v>27320.469420578556</v>
      </c>
      <c r="P236" s="304">
        <f>$M236*'MWh Impact Summary'!H$30</f>
        <v>11074.681597169398</v>
      </c>
      <c r="Q236" s="304">
        <f>$M236*'MWh Impact Summary'!I$30</f>
        <v>1841.9021169993132</v>
      </c>
      <c r="R236" s="304">
        <f>$M236*'MWh Impact Summary'!J$30</f>
        <v>48053.861152608362</v>
      </c>
      <c r="S236" s="304">
        <f>$M236*'MWh Impact Summary'!K$30</f>
        <v>34019.220179997079</v>
      </c>
      <c r="T236" s="304">
        <f>$M236*'MWh Impact Summary'!L$30</f>
        <v>12219.219667599087</v>
      </c>
      <c r="U236" s="304">
        <f>$M236*'MWh Impact Summary'!M$30</f>
        <v>37762.108296556209</v>
      </c>
      <c r="V236" s="302">
        <f>$L236*'MWh Impact Summary'!O$30</f>
        <v>227117.19998384529</v>
      </c>
      <c r="W236" s="302">
        <f>$L236*'MWh Impact Summary'!P$30</f>
        <v>335058.79681203922</v>
      </c>
      <c r="X236" s="302">
        <f>$L236*'MWh Impact Summary'!Q$30</f>
        <v>115608.87233707318</v>
      </c>
      <c r="Y236" s="85">
        <f t="shared" si="87"/>
        <v>1015693.8035301249</v>
      </c>
      <c r="Z236" s="81">
        <f t="shared" si="88"/>
        <v>1445489.1461577774</v>
      </c>
      <c r="AA236" s="81"/>
      <c r="AB236" s="262">
        <f>+'MWh by mo-WgtbyActulCDH&amp;Days'!AB236</f>
        <v>5359119.6367630055</v>
      </c>
      <c r="AC236" s="308">
        <f t="shared" si="106"/>
        <v>269.72511235649068</v>
      </c>
      <c r="AD236" s="309">
        <f t="shared" si="89"/>
        <v>80.198870665118363</v>
      </c>
      <c r="AE236" s="107">
        <f t="shared" si="90"/>
        <v>7.1606134522427117E-3</v>
      </c>
      <c r="AF236" s="309">
        <f t="shared" si="107"/>
        <v>189.52624169137235</v>
      </c>
      <c r="AG236" s="107">
        <f t="shared" si="91"/>
        <v>1.6921985865301102E-2</v>
      </c>
      <c r="AH236" s="119">
        <f t="shared" si="108"/>
        <v>2.4082599317543814E-2</v>
      </c>
      <c r="AI236" s="122">
        <f t="shared" si="92"/>
        <v>2.4082599317543814E-2</v>
      </c>
      <c r="AJ236" s="87" t="b">
        <f t="shared" si="109"/>
        <v>1</v>
      </c>
      <c r="AK236" s="88">
        <f t="shared" si="110"/>
        <v>7.6392673951978726E-4</v>
      </c>
      <c r="AM236" s="89">
        <f t="shared" si="93"/>
        <v>335058.79681203922</v>
      </c>
      <c r="AN236" s="93"/>
      <c r="AO236" s="96">
        <f t="shared" si="111"/>
        <v>62.52123847237344</v>
      </c>
      <c r="AP236" s="92">
        <f t="shared" si="114"/>
        <v>5.5822534350333432E-3</v>
      </c>
      <c r="AR236" s="94">
        <f t="shared" si="94"/>
        <v>2.4082599317543814E-2</v>
      </c>
      <c r="AS236" s="95"/>
    </row>
    <row r="237" spans="1:45">
      <c r="A237" s="78">
        <f t="shared" si="112"/>
        <v>2024</v>
      </c>
      <c r="B237" s="78">
        <f t="shared" si="113"/>
        <v>5</v>
      </c>
      <c r="C237" s="317">
        <f t="shared" si="101"/>
        <v>208.47875842628665</v>
      </c>
      <c r="D237" s="324">
        <f t="shared" si="104"/>
        <v>0.10603105035770212</v>
      </c>
      <c r="E237" s="321">
        <f>$D237*'MWh Impact Summary'!B$30</f>
        <v>364685.42104075896</v>
      </c>
      <c r="F237" s="321">
        <f>$D237*'MWh Impact Summary'!N$30</f>
        <v>62913.365852772149</v>
      </c>
      <c r="G237" s="321">
        <f>$D237*'MWh Impact Summary'!C$30</f>
        <v>263195.71949409076</v>
      </c>
      <c r="H237" s="321">
        <f>$D237*'MWh Impact Summary'!D$30</f>
        <v>1323.5120958583061</v>
      </c>
      <c r="I237" s="321">
        <f>$D237*'MWh Impact Summary'!E$30</f>
        <v>93641.101066556643</v>
      </c>
      <c r="J237" s="104">
        <f t="shared" si="95"/>
        <v>785759.11955003685</v>
      </c>
      <c r="K237" s="298">
        <f t="shared" si="102"/>
        <v>10.533333333333333</v>
      </c>
      <c r="L237" s="300">
        <f t="shared" si="105"/>
        <v>7.4152293793265281E-2</v>
      </c>
      <c r="M237" s="297">
        <f t="shared" si="96"/>
        <v>8.3333333333333329E-2</v>
      </c>
      <c r="N237" s="302">
        <f>$L237*'MWh Impact Summary'!F$30</f>
        <v>155759.28911056055</v>
      </c>
      <c r="O237" s="302">
        <f>$L237*'MWh Impact Summary'!G$30</f>
        <v>25694.251002686979</v>
      </c>
      <c r="P237" s="304">
        <f>$M237*'MWh Impact Summary'!H$30</f>
        <v>11074.681597169398</v>
      </c>
      <c r="Q237" s="304">
        <f>$M237*'MWh Impact Summary'!I$30</f>
        <v>1841.9021169993132</v>
      </c>
      <c r="R237" s="304">
        <f>$M237*'MWh Impact Summary'!J$30</f>
        <v>48053.861152608362</v>
      </c>
      <c r="S237" s="304">
        <f>$M237*'MWh Impact Summary'!K$30</f>
        <v>34019.220179997079</v>
      </c>
      <c r="T237" s="304">
        <f>$M237*'MWh Impact Summary'!L$30</f>
        <v>12219.219667599087</v>
      </c>
      <c r="U237" s="304">
        <f>$M237*'MWh Impact Summary'!M$30</f>
        <v>37762.108296556209</v>
      </c>
      <c r="V237" s="302">
        <f>$L237*'MWh Impact Summary'!O$30</f>
        <v>213598.31903242596</v>
      </c>
      <c r="W237" s="302">
        <f>$L237*'MWh Impact Summary'!P$30</f>
        <v>315114.82081132266</v>
      </c>
      <c r="X237" s="302">
        <f>$L237*'MWh Impact Summary'!Q$30</f>
        <v>108727.39184081883</v>
      </c>
      <c r="Y237" s="85">
        <f t="shared" si="87"/>
        <v>963865.06480874436</v>
      </c>
      <c r="Z237" s="81">
        <f t="shared" si="88"/>
        <v>1749624.1843587812</v>
      </c>
      <c r="AA237" s="81"/>
      <c r="AB237" s="262">
        <f>+'MWh by mo-WgtbyActulCDH&amp;Days'!AB237</f>
        <v>5364378.1867245836</v>
      </c>
      <c r="AC237" s="308">
        <f t="shared" si="106"/>
        <v>326.15600978481308</v>
      </c>
      <c r="AD237" s="309">
        <f t="shared" si="89"/>
        <v>146.47720429081284</v>
      </c>
      <c r="AE237" s="107">
        <f t="shared" si="90"/>
        <v>1.390606369849489E-2</v>
      </c>
      <c r="AF237" s="309">
        <f t="shared" si="107"/>
        <v>179.67880549400027</v>
      </c>
      <c r="AG237" s="107">
        <f t="shared" si="91"/>
        <v>1.7058114445632939E-2</v>
      </c>
      <c r="AH237" s="119">
        <f t="shared" si="108"/>
        <v>3.096417814412783E-2</v>
      </c>
      <c r="AI237" s="122">
        <f t="shared" si="92"/>
        <v>3.0964178144127826E-2</v>
      </c>
      <c r="AJ237" s="87" t="b">
        <f t="shared" si="109"/>
        <v>1</v>
      </c>
      <c r="AK237" s="88">
        <f t="shared" si="110"/>
        <v>7.2970434403959658E-4</v>
      </c>
      <c r="AM237" s="89">
        <f t="shared" si="93"/>
        <v>315114.82081132266</v>
      </c>
      <c r="AN237" s="93"/>
      <c r="AO237" s="96">
        <f t="shared" si="111"/>
        <v>58.742096444868189</v>
      </c>
      <c r="AP237" s="92">
        <f t="shared" si="114"/>
        <v>5.5767813080571061E-3</v>
      </c>
      <c r="AR237" s="94">
        <f t="shared" si="94"/>
        <v>3.0964178144127826E-2</v>
      </c>
      <c r="AS237" s="95"/>
    </row>
    <row r="238" spans="1:45">
      <c r="A238" s="78">
        <f t="shared" si="112"/>
        <v>2024</v>
      </c>
      <c r="B238" s="78">
        <f t="shared" si="113"/>
        <v>6</v>
      </c>
      <c r="C238" s="317">
        <f t="shared" si="101"/>
        <v>271.66325293295364</v>
      </c>
      <c r="D238" s="324">
        <f t="shared" si="104"/>
        <v>0.13816630657965029</v>
      </c>
      <c r="E238" s="321">
        <f>$D238*'MWh Impact Summary'!B$30</f>
        <v>475212.09606678394</v>
      </c>
      <c r="F238" s="321">
        <f>$D238*'MWh Impact Summary'!N$30</f>
        <v>81980.772283657687</v>
      </c>
      <c r="G238" s="321">
        <f>$D238*'MWh Impact Summary'!C$30</f>
        <v>342963.50311907136</v>
      </c>
      <c r="H238" s="321">
        <f>$D238*'MWh Impact Summary'!D$30</f>
        <v>1724.6342215919669</v>
      </c>
      <c r="I238" s="321">
        <f>$D238*'MWh Impact Summary'!E$30</f>
        <v>122021.28560238355</v>
      </c>
      <c r="J238" s="104">
        <f t="shared" si="95"/>
        <v>1023902.2912934885</v>
      </c>
      <c r="K238" s="298">
        <f t="shared" si="102"/>
        <v>10.199999999999999</v>
      </c>
      <c r="L238" s="300">
        <f t="shared" si="105"/>
        <v>7.1805702217529022E-2</v>
      </c>
      <c r="M238" s="297">
        <f t="shared" si="96"/>
        <v>8.3333333333333329E-2</v>
      </c>
      <c r="N238" s="302">
        <f>$L238*'MWh Impact Summary'!F$30</f>
        <v>150830.19768301112</v>
      </c>
      <c r="O238" s="302">
        <f>$L238*'MWh Impact Summary'!G$30</f>
        <v>24881.141793741182</v>
      </c>
      <c r="P238" s="304">
        <f>$M238*'MWh Impact Summary'!H$30</f>
        <v>11074.681597169398</v>
      </c>
      <c r="Q238" s="304">
        <f>$M238*'MWh Impact Summary'!I$30</f>
        <v>1841.9021169993132</v>
      </c>
      <c r="R238" s="304">
        <f>$M238*'MWh Impact Summary'!J$30</f>
        <v>48053.861152608362</v>
      </c>
      <c r="S238" s="304">
        <f>$M238*'MWh Impact Summary'!K$30</f>
        <v>34019.220179997079</v>
      </c>
      <c r="T238" s="304">
        <f>$M238*'MWh Impact Summary'!L$30</f>
        <v>12219.219667599087</v>
      </c>
      <c r="U238" s="304">
        <f>$M238*'MWh Impact Summary'!M$30</f>
        <v>37762.108296556209</v>
      </c>
      <c r="V238" s="302">
        <f>$L238*'MWh Impact Summary'!O$30</f>
        <v>206838.87855671623</v>
      </c>
      <c r="W238" s="302">
        <f>$L238*'MWh Impact Summary'!P$30</f>
        <v>305142.83281096426</v>
      </c>
      <c r="X238" s="302">
        <f>$L238*'MWh Impact Summary'!Q$30</f>
        <v>105286.65159269163</v>
      </c>
      <c r="Y238" s="85">
        <f t="shared" si="87"/>
        <v>937950.695448054</v>
      </c>
      <c r="Z238" s="81">
        <f t="shared" si="88"/>
        <v>1961852.9867415424</v>
      </c>
      <c r="AA238" s="81"/>
      <c r="AB238" s="262">
        <f>+'MWh by mo-WgtbyActulCDH&amp;Days'!AB238</f>
        <v>5369633.722238888</v>
      </c>
      <c r="AC238" s="308">
        <f t="shared" si="106"/>
        <v>365.36067229619914</v>
      </c>
      <c r="AD238" s="309">
        <f t="shared" si="89"/>
        <v>190.68382393623838</v>
      </c>
      <c r="AE238" s="107">
        <f t="shared" si="90"/>
        <v>1.8694492542768469E-2</v>
      </c>
      <c r="AF238" s="309">
        <f t="shared" si="107"/>
        <v>174.67684835996076</v>
      </c>
      <c r="AG238" s="107">
        <f t="shared" si="91"/>
        <v>1.7125181211760862E-2</v>
      </c>
      <c r="AH238" s="119">
        <f t="shared" si="108"/>
        <v>3.5819673754529331E-2</v>
      </c>
      <c r="AI238" s="122">
        <f t="shared" si="92"/>
        <v>3.5819673754529331E-2</v>
      </c>
      <c r="AJ238" s="87" t="b">
        <f t="shared" si="109"/>
        <v>1</v>
      </c>
      <c r="AK238" s="88">
        <f t="shared" si="110"/>
        <v>7.0361722608498767E-4</v>
      </c>
      <c r="AM238" s="89">
        <f t="shared" si="93"/>
        <v>305142.83281096426</v>
      </c>
      <c r="AN238" s="93"/>
      <c r="AO238" s="96">
        <f t="shared" si="111"/>
        <v>56.827494871239352</v>
      </c>
      <c r="AP238" s="92">
        <f t="shared" si="114"/>
        <v>5.5713230265920935E-3</v>
      </c>
      <c r="AR238" s="94">
        <f t="shared" si="94"/>
        <v>3.5819673754529331E-2</v>
      </c>
      <c r="AS238" s="95"/>
    </row>
    <row r="239" spans="1:45">
      <c r="A239" s="78">
        <f t="shared" si="112"/>
        <v>2024</v>
      </c>
      <c r="B239" s="78">
        <f t="shared" si="113"/>
        <v>7</v>
      </c>
      <c r="C239" s="317">
        <f t="shared" si="101"/>
        <v>322.31916585708109</v>
      </c>
      <c r="D239" s="324">
        <f t="shared" si="104"/>
        <v>0.16392960109808263</v>
      </c>
      <c r="E239" s="321">
        <f>$D239*'MWh Impact Summary'!B$30</f>
        <v>563822.91221125575</v>
      </c>
      <c r="F239" s="321">
        <f>$D239*'MWh Impact Summary'!N$30</f>
        <v>97267.384725416952</v>
      </c>
      <c r="G239" s="321">
        <f>$D239*'MWh Impact Summary'!C$30</f>
        <v>406914.47610709292</v>
      </c>
      <c r="H239" s="321">
        <f>$D239*'MWh Impact Summary'!D$30</f>
        <v>2046.2195667269386</v>
      </c>
      <c r="I239" s="321">
        <f>$D239*'MWh Impact Summary'!E$30</f>
        <v>144774.08544421539</v>
      </c>
      <c r="J239" s="104">
        <f t="shared" si="95"/>
        <v>1214825.078054708</v>
      </c>
      <c r="K239" s="298">
        <f t="shared" si="102"/>
        <v>10.366666666666667</v>
      </c>
      <c r="L239" s="300">
        <f t="shared" si="105"/>
        <v>7.2978998005397158E-2</v>
      </c>
      <c r="M239" s="297">
        <f t="shared" si="96"/>
        <v>8.3333333333333329E-2</v>
      </c>
      <c r="N239" s="302">
        <f>$L239*'MWh Impact Summary'!F$30</f>
        <v>153294.74339678584</v>
      </c>
      <c r="O239" s="302">
        <f>$L239*'MWh Impact Summary'!G$30</f>
        <v>25287.696398214084</v>
      </c>
      <c r="P239" s="304">
        <f>$M239*'MWh Impact Summary'!H$30</f>
        <v>11074.681597169398</v>
      </c>
      <c r="Q239" s="304">
        <f>$M239*'MWh Impact Summary'!I$30</f>
        <v>1841.9021169993132</v>
      </c>
      <c r="R239" s="304">
        <f>$M239*'MWh Impact Summary'!J$30</f>
        <v>48053.861152608362</v>
      </c>
      <c r="S239" s="304">
        <f>$M239*'MWh Impact Summary'!K$30</f>
        <v>34019.220179997079</v>
      </c>
      <c r="T239" s="304">
        <f>$M239*'MWh Impact Summary'!L$30</f>
        <v>12219.219667599087</v>
      </c>
      <c r="U239" s="304">
        <f>$M239*'MWh Impact Summary'!M$30</f>
        <v>37762.108296556209</v>
      </c>
      <c r="V239" s="302">
        <f>$L239*'MWh Impact Summary'!O$30</f>
        <v>210218.59879457112</v>
      </c>
      <c r="W239" s="302">
        <f>$L239*'MWh Impact Summary'!P$30</f>
        <v>310128.82681114349</v>
      </c>
      <c r="X239" s="302">
        <f>$L239*'MWh Impact Summary'!Q$30</f>
        <v>107007.02171675525</v>
      </c>
      <c r="Y239" s="85">
        <f t="shared" si="87"/>
        <v>950907.88012839912</v>
      </c>
      <c r="Z239" s="81">
        <f t="shared" si="88"/>
        <v>2165732.958183107</v>
      </c>
      <c r="AA239" s="81"/>
      <c r="AB239" s="262">
        <f>+'MWh by mo-WgtbyActulCDH&amp;Days'!AB239</f>
        <v>5374960.0944571337</v>
      </c>
      <c r="AC239" s="308">
        <f t="shared" si="106"/>
        <v>402.93005345593065</v>
      </c>
      <c r="AD239" s="309">
        <f t="shared" si="89"/>
        <v>226.01564601521088</v>
      </c>
      <c r="AE239" s="107">
        <f t="shared" si="90"/>
        <v>2.1802152348734168E-2</v>
      </c>
      <c r="AF239" s="309">
        <f t="shared" si="107"/>
        <v>176.9144074407198</v>
      </c>
      <c r="AG239" s="107">
        <f t="shared" si="91"/>
        <v>1.7065698466950462E-2</v>
      </c>
      <c r="AH239" s="119">
        <f t="shared" si="108"/>
        <v>3.8867850815684626E-2</v>
      </c>
      <c r="AI239" s="122">
        <f t="shared" si="92"/>
        <v>3.8867850815684626E-2</v>
      </c>
      <c r="AJ239" s="87" t="b">
        <f t="shared" si="109"/>
        <v>1</v>
      </c>
      <c r="AK239" s="88">
        <f t="shared" si="110"/>
        <v>6.8065295366239592E-4</v>
      </c>
      <c r="AM239" s="89">
        <f t="shared" si="93"/>
        <v>310128.82681114349</v>
      </c>
      <c r="AN239" s="93"/>
      <c r="AO239" s="96">
        <f t="shared" si="111"/>
        <v>57.69881475603146</v>
      </c>
      <c r="AP239" s="92">
        <f t="shared" si="114"/>
        <v>5.5658020664982114E-3</v>
      </c>
      <c r="AR239" s="94">
        <f t="shared" si="94"/>
        <v>3.8867850815684626E-2</v>
      </c>
      <c r="AS239" s="95"/>
    </row>
    <row r="240" spans="1:45">
      <c r="A240" s="78">
        <f t="shared" si="112"/>
        <v>2024</v>
      </c>
      <c r="B240" s="78">
        <f t="shared" si="113"/>
        <v>8</v>
      </c>
      <c r="C240" s="317">
        <f t="shared" si="101"/>
        <v>326.45437890907908</v>
      </c>
      <c r="D240" s="324">
        <f t="shared" si="104"/>
        <v>0.16603274573816959</v>
      </c>
      <c r="E240" s="321">
        <f>$D240*'MWh Impact Summary'!B$30</f>
        <v>571056.51204821153</v>
      </c>
      <c r="F240" s="321">
        <f>$D240*'MWh Impact Summary'!N$30</f>
        <v>98515.282466094926</v>
      </c>
      <c r="G240" s="321">
        <f>$D240*'MWh Impact Summary'!C$30</f>
        <v>412135.00976096536</v>
      </c>
      <c r="H240" s="321">
        <f>$D240*'MWh Impact Summary'!D$30</f>
        <v>2072.4716632694535</v>
      </c>
      <c r="I240" s="321">
        <f>$D240*'MWh Impact Summary'!E$30</f>
        <v>146631.47324840649</v>
      </c>
      <c r="J240" s="104">
        <f t="shared" si="95"/>
        <v>1230410.7491869479</v>
      </c>
      <c r="K240" s="298">
        <f t="shared" si="102"/>
        <v>10.933333333333334</v>
      </c>
      <c r="L240" s="300">
        <f t="shared" si="105"/>
        <v>7.6968203684148764E-2</v>
      </c>
      <c r="M240" s="297">
        <f t="shared" si="96"/>
        <v>8.3333333333333329E-2</v>
      </c>
      <c r="N240" s="302">
        <f>$L240*'MWh Impact Summary'!F$30</f>
        <v>161674.19882361978</v>
      </c>
      <c r="O240" s="302">
        <f>$L240*'MWh Impact Summary'!G$30</f>
        <v>26669.982053421925</v>
      </c>
      <c r="P240" s="304">
        <f>$M240*'MWh Impact Summary'!H$30</f>
        <v>11074.681597169398</v>
      </c>
      <c r="Q240" s="304">
        <f>$M240*'MWh Impact Summary'!I$30</f>
        <v>1841.9021169993132</v>
      </c>
      <c r="R240" s="304">
        <f>$M240*'MWh Impact Summary'!J$30</f>
        <v>48053.861152608362</v>
      </c>
      <c r="S240" s="304">
        <f>$M240*'MWh Impact Summary'!K$30</f>
        <v>34019.220179997079</v>
      </c>
      <c r="T240" s="304">
        <f>$M240*'MWh Impact Summary'!L$30</f>
        <v>12219.219667599087</v>
      </c>
      <c r="U240" s="304">
        <f>$M240*'MWh Impact Summary'!M$30</f>
        <v>37762.108296556209</v>
      </c>
      <c r="V240" s="302">
        <f>$L240*'MWh Impact Summary'!O$30</f>
        <v>221709.64760327755</v>
      </c>
      <c r="W240" s="302">
        <f>$L240*'MWh Impact Summary'!P$30</f>
        <v>327081.20641175256</v>
      </c>
      <c r="X240" s="302">
        <f>$L240*'MWh Impact Summary'!Q$30</f>
        <v>112856.28013857143</v>
      </c>
      <c r="Y240" s="85">
        <f t="shared" si="87"/>
        <v>994962.30804157269</v>
      </c>
      <c r="Z240" s="81">
        <f t="shared" si="88"/>
        <v>2225373.0572285205</v>
      </c>
      <c r="AA240" s="81"/>
      <c r="AB240" s="262">
        <f>+'MWh by mo-WgtbyActulCDH&amp;Days'!AB240</f>
        <v>5380321.6496443385</v>
      </c>
      <c r="AC240" s="308">
        <f t="shared" si="106"/>
        <v>413.61338636243556</v>
      </c>
      <c r="AD240" s="309">
        <f t="shared" si="89"/>
        <v>228.68721041395045</v>
      </c>
      <c r="AE240" s="107">
        <f t="shared" si="90"/>
        <v>2.0916513147617419E-2</v>
      </c>
      <c r="AF240" s="309">
        <f t="shared" si="107"/>
        <v>184.92617594848514</v>
      </c>
      <c r="AG240" s="107">
        <f t="shared" si="91"/>
        <v>1.6913979507483398E-2</v>
      </c>
      <c r="AH240" s="119">
        <f t="shared" si="108"/>
        <v>3.7830492655100814E-2</v>
      </c>
      <c r="AI240" s="122">
        <f t="shared" si="92"/>
        <v>3.7830492655100814E-2</v>
      </c>
      <c r="AJ240" s="87" t="b">
        <f t="shared" si="109"/>
        <v>1</v>
      </c>
      <c r="AK240" s="88">
        <f t="shared" si="110"/>
        <v>6.7745636846046342E-4</v>
      </c>
      <c r="AM240" s="89">
        <f t="shared" si="93"/>
        <v>327081.20641175256</v>
      </c>
      <c r="AN240" s="93"/>
      <c r="AO240" s="96">
        <f t="shared" si="111"/>
        <v>60.792128744454153</v>
      </c>
      <c r="AP240" s="92">
        <f t="shared" si="114"/>
        <v>5.5602556778464162E-3</v>
      </c>
      <c r="AR240" s="94">
        <f t="shared" si="94"/>
        <v>3.7830492655100814E-2</v>
      </c>
      <c r="AS240" s="95"/>
    </row>
    <row r="241" spans="1:45">
      <c r="A241" s="78">
        <f t="shared" si="112"/>
        <v>2024</v>
      </c>
      <c r="B241" s="78">
        <f t="shared" si="113"/>
        <v>9</v>
      </c>
      <c r="C241" s="317">
        <f t="shared" si="101"/>
        <v>277.87653293728147</v>
      </c>
      <c r="D241" s="324">
        <f t="shared" si="104"/>
        <v>0.14132634365008559</v>
      </c>
      <c r="E241" s="321">
        <f>$D241*'MWh Impact Summary'!B$30</f>
        <v>486080.79392131191</v>
      </c>
      <c r="F241" s="321">
        <f>$D241*'MWh Impact Summary'!N$30</f>
        <v>83855.775574202533</v>
      </c>
      <c r="G241" s="321">
        <f>$D241*'MWh Impact Summary'!C$30</f>
        <v>350807.50945094676</v>
      </c>
      <c r="H241" s="321">
        <f>$D241*'MWh Impact Summary'!D$30</f>
        <v>1764.0787736545219</v>
      </c>
      <c r="I241" s="321">
        <f>$D241*'MWh Impact Summary'!E$30</f>
        <v>124812.06575299443</v>
      </c>
      <c r="J241" s="104">
        <f t="shared" si="95"/>
        <v>1047320.2234731101</v>
      </c>
      <c r="K241" s="298">
        <f t="shared" si="102"/>
        <v>11.683333333333334</v>
      </c>
      <c r="L241" s="300">
        <f t="shared" si="105"/>
        <v>8.2248034729555317E-2</v>
      </c>
      <c r="M241" s="297">
        <f t="shared" si="96"/>
        <v>8.3333333333333329E-2</v>
      </c>
      <c r="N241" s="302">
        <f>$L241*'MWh Impact Summary'!F$30</f>
        <v>172764.65453560592</v>
      </c>
      <c r="O241" s="302">
        <f>$L241*'MWh Impact Summary'!G$30</f>
        <v>28499.477773549956</v>
      </c>
      <c r="P241" s="304">
        <f>$M241*'MWh Impact Summary'!H$30</f>
        <v>11074.681597169398</v>
      </c>
      <c r="Q241" s="304">
        <f>$M241*'MWh Impact Summary'!I$30</f>
        <v>1841.9021169993132</v>
      </c>
      <c r="R241" s="304">
        <f>$M241*'MWh Impact Summary'!J$30</f>
        <v>48053.861152608362</v>
      </c>
      <c r="S241" s="304">
        <f>$M241*'MWh Impact Summary'!K$30</f>
        <v>34019.220179997079</v>
      </c>
      <c r="T241" s="304">
        <f>$M241*'MWh Impact Summary'!L$30</f>
        <v>12219.219667599087</v>
      </c>
      <c r="U241" s="304">
        <f>$M241*'MWh Impact Summary'!M$30</f>
        <v>37762.108296556209</v>
      </c>
      <c r="V241" s="302">
        <f>$L241*'MWh Impact Summary'!O$30</f>
        <v>236918.38867362434</v>
      </c>
      <c r="W241" s="302">
        <f>$L241*'MWh Impact Summary'!P$30</f>
        <v>349518.17941255879</v>
      </c>
      <c r="X241" s="302">
        <f>$L241*'MWh Impact Summary'!Q$30</f>
        <v>120597.9456968576</v>
      </c>
      <c r="Y241" s="85">
        <f t="shared" si="87"/>
        <v>1053269.639103126</v>
      </c>
      <c r="Z241" s="81">
        <f t="shared" si="88"/>
        <v>2100589.862576236</v>
      </c>
      <c r="AA241" s="81"/>
      <c r="AB241" s="262">
        <f>+'MWh by mo-WgtbyActulCDH&amp;Days'!AB241</f>
        <v>5385554.9074087441</v>
      </c>
      <c r="AC241" s="308">
        <f t="shared" si="106"/>
        <v>390.04149037391085</v>
      </c>
      <c r="AD241" s="309">
        <f t="shared" si="89"/>
        <v>194.46839582534818</v>
      </c>
      <c r="AE241" s="107">
        <f t="shared" si="90"/>
        <v>1.6644941154808687E-2</v>
      </c>
      <c r="AF241" s="309">
        <f t="shared" si="107"/>
        <v>195.57309454856269</v>
      </c>
      <c r="AG241" s="107">
        <f t="shared" si="91"/>
        <v>1.6739494540533185E-2</v>
      </c>
      <c r="AH241" s="119">
        <f t="shared" si="108"/>
        <v>3.3384435695341871E-2</v>
      </c>
      <c r="AI241" s="122">
        <f t="shared" si="92"/>
        <v>3.3384435695341871E-2</v>
      </c>
      <c r="AJ241" s="87" t="b">
        <f t="shared" si="109"/>
        <v>1</v>
      </c>
      <c r="AK241" s="88">
        <f t="shared" si="110"/>
        <v>6.9384663345114367E-4</v>
      </c>
      <c r="AM241" s="89">
        <f t="shared" si="93"/>
        <v>349518.17941255879</v>
      </c>
      <c r="AN241" s="93"/>
      <c r="AO241" s="96">
        <f t="shared" si="111"/>
        <v>64.899195240166847</v>
      </c>
      <c r="AP241" s="92">
        <f t="shared" si="114"/>
        <v>5.5548526596433823E-3</v>
      </c>
      <c r="AR241" s="94">
        <f t="shared" si="94"/>
        <v>3.3384435695341871E-2</v>
      </c>
      <c r="AS241" s="95"/>
    </row>
    <row r="242" spans="1:45">
      <c r="A242" s="78">
        <f t="shared" si="112"/>
        <v>2024</v>
      </c>
      <c r="B242" s="78">
        <f t="shared" si="113"/>
        <v>10</v>
      </c>
      <c r="C242" s="317">
        <f t="shared" si="101"/>
        <v>198.89039579254836</v>
      </c>
      <c r="D242" s="324">
        <f t="shared" si="104"/>
        <v>0.10115446643644242</v>
      </c>
      <c r="E242" s="321">
        <f>$D242*'MWh Impact Summary'!B$30</f>
        <v>347912.79590344697</v>
      </c>
      <c r="F242" s="321">
        <f>$D242*'MWh Impact Summary'!N$30</f>
        <v>60019.852044176063</v>
      </c>
      <c r="G242" s="321">
        <f>$D242*'MWh Impact Summary'!C$30</f>
        <v>251090.81239848706</v>
      </c>
      <c r="H242" s="321">
        <f>$D242*'MWh Impact Summary'!D$30</f>
        <v>1262.6410794486635</v>
      </c>
      <c r="I242" s="321">
        <f>$D242*'MWh Impact Summary'!E$30</f>
        <v>89334.356143350728</v>
      </c>
      <c r="J242" s="104">
        <f t="shared" si="95"/>
        <v>749620.45756890951</v>
      </c>
      <c r="K242" s="298">
        <f t="shared" si="102"/>
        <v>12.466666666666667</v>
      </c>
      <c r="L242" s="300">
        <f t="shared" si="105"/>
        <v>8.7762524932535488E-2</v>
      </c>
      <c r="M242" s="297">
        <f t="shared" si="96"/>
        <v>8.3333333333333329E-2</v>
      </c>
      <c r="N242" s="302">
        <f>$L242*'MWh Impact Summary'!F$30</f>
        <v>184348.01939034698</v>
      </c>
      <c r="O242" s="302">
        <f>$L242*'MWh Impact Summary'!G$30</f>
        <v>30410.284414572565</v>
      </c>
      <c r="P242" s="304">
        <f>$M242*'MWh Impact Summary'!H$30</f>
        <v>11074.681597169398</v>
      </c>
      <c r="Q242" s="304">
        <f>$M242*'MWh Impact Summary'!I$30</f>
        <v>1841.9021169993132</v>
      </c>
      <c r="R242" s="304">
        <f>$M242*'MWh Impact Summary'!J$30</f>
        <v>48053.861152608362</v>
      </c>
      <c r="S242" s="304">
        <f>$M242*'MWh Impact Summary'!K$30</f>
        <v>34019.220179997079</v>
      </c>
      <c r="T242" s="304">
        <f>$M242*'MWh Impact Summary'!L$30</f>
        <v>12219.219667599087</v>
      </c>
      <c r="U242" s="304">
        <f>$M242*'MWh Impact Summary'!M$30</f>
        <v>37762.108296556209</v>
      </c>
      <c r="V242" s="302">
        <f>$L242*'MWh Impact Summary'!O$30</f>
        <v>252803.07379154212</v>
      </c>
      <c r="W242" s="302">
        <f>$L242*'MWh Impact Summary'!P$30</f>
        <v>372952.35121340083</v>
      </c>
      <c r="X242" s="302">
        <f>$L242*'MWh Impact Summary'!Q$30</f>
        <v>128683.68527995647</v>
      </c>
      <c r="Y242" s="85">
        <f t="shared" si="87"/>
        <v>1114168.4071007485</v>
      </c>
      <c r="Z242" s="81">
        <f t="shared" si="88"/>
        <v>1863788.864669658</v>
      </c>
      <c r="AA242" s="81"/>
      <c r="AB242" s="262">
        <f>+'MWh by mo-WgtbyActulCDH&amp;Days'!AB242</f>
        <v>5390832.5836841511</v>
      </c>
      <c r="AC242" s="308">
        <f t="shared" si="106"/>
        <v>345.73302652925742</v>
      </c>
      <c r="AD242" s="309">
        <f t="shared" si="89"/>
        <v>139.05467215541148</v>
      </c>
      <c r="AE242" s="107">
        <f t="shared" si="90"/>
        <v>1.1154118087332472E-2</v>
      </c>
      <c r="AF242" s="309">
        <f t="shared" si="107"/>
        <v>206.67835437384596</v>
      </c>
      <c r="AG242" s="107">
        <f t="shared" si="91"/>
        <v>1.6578477623570533E-2</v>
      </c>
      <c r="AH242" s="119">
        <f t="shared" si="108"/>
        <v>2.7732595710903005E-2</v>
      </c>
      <c r="AI242" s="122">
        <f t="shared" si="92"/>
        <v>2.7732595710903002E-2</v>
      </c>
      <c r="AJ242" s="87" t="b">
        <f t="shared" si="109"/>
        <v>1</v>
      </c>
      <c r="AK242" s="88">
        <f t="shared" si="110"/>
        <v>7.1893796995429679E-4</v>
      </c>
      <c r="AM242" s="89">
        <f t="shared" si="93"/>
        <v>372952.35121340083</v>
      </c>
      <c r="AN242" s="93"/>
      <c r="AO242" s="96">
        <f t="shared" si="111"/>
        <v>69.18269959675159</v>
      </c>
      <c r="AP242" s="92">
        <f t="shared" si="114"/>
        <v>5.5494144061565441E-3</v>
      </c>
      <c r="AR242" s="94">
        <f t="shared" si="94"/>
        <v>2.7732595710903002E-2</v>
      </c>
      <c r="AS242" s="95"/>
    </row>
    <row r="243" spans="1:45">
      <c r="A243" s="78">
        <f t="shared" si="112"/>
        <v>2024</v>
      </c>
      <c r="B243" s="78">
        <f t="shared" si="113"/>
        <v>11</v>
      </c>
      <c r="C243" s="317">
        <f t="shared" si="101"/>
        <v>78.117279066674627</v>
      </c>
      <c r="D243" s="324">
        <f t="shared" si="104"/>
        <v>3.9729981188725644E-2</v>
      </c>
      <c r="E243" s="321">
        <f>$D243*'MWh Impact Summary'!B$30</f>
        <v>136648.1315508289</v>
      </c>
      <c r="F243" s="321">
        <f>$D243*'MWh Impact Summary'!N$30</f>
        <v>23573.725181611237</v>
      </c>
      <c r="G243" s="321">
        <f>$D243*'MWh Impact Summary'!C$30</f>
        <v>98619.800041373019</v>
      </c>
      <c r="H243" s="321">
        <f>$D243*'MWh Impact Summary'!D$30</f>
        <v>495.92181247011206</v>
      </c>
      <c r="I243" s="321">
        <f>$D243*'MWh Impact Summary'!E$30</f>
        <v>35087.450056516434</v>
      </c>
      <c r="J243" s="104">
        <f t="shared" si="95"/>
        <v>294425.02864279965</v>
      </c>
      <c r="K243" s="298">
        <f t="shared" si="102"/>
        <v>13.15</v>
      </c>
      <c r="L243" s="300">
        <f t="shared" si="105"/>
        <v>9.2573037662794788E-2</v>
      </c>
      <c r="M243" s="297">
        <f t="shared" si="96"/>
        <v>8.3333333333333329E-2</v>
      </c>
      <c r="N243" s="302">
        <f>$L243*'MWh Impact Summary'!F$30</f>
        <v>194452.6568168232</v>
      </c>
      <c r="O243" s="302">
        <f>$L243*'MWh Impact Summary'!G$30</f>
        <v>32077.158292911434</v>
      </c>
      <c r="P243" s="304">
        <f>$M243*'MWh Impact Summary'!H$30</f>
        <v>11074.681597169398</v>
      </c>
      <c r="Q243" s="304">
        <f>$M243*'MWh Impact Summary'!I$30</f>
        <v>1841.9021169993132</v>
      </c>
      <c r="R243" s="304">
        <f>$M243*'MWh Impact Summary'!J$30</f>
        <v>48053.861152608362</v>
      </c>
      <c r="S243" s="304">
        <f>$M243*'MWh Impact Summary'!K$30</f>
        <v>34019.220179997079</v>
      </c>
      <c r="T243" s="304">
        <f>$M243*'MWh Impact Summary'!L$30</f>
        <v>12219.219667599087</v>
      </c>
      <c r="U243" s="304">
        <f>$M243*'MWh Impact Summary'!M$30</f>
        <v>37762.108296556209</v>
      </c>
      <c r="V243" s="302">
        <f>$L243*'MWh Impact Summary'!O$30</f>
        <v>266659.92676674697</v>
      </c>
      <c r="W243" s="302">
        <f>$L243*'MWh Impact Summary'!P$30</f>
        <v>393394.92661413539</v>
      </c>
      <c r="X243" s="302">
        <f>$L243*'MWh Impact Summary'!Q$30</f>
        <v>135737.20278861717</v>
      </c>
      <c r="Y243" s="85">
        <f t="shared" si="87"/>
        <v>1167292.8642901636</v>
      </c>
      <c r="Z243" s="81">
        <f t="shared" si="88"/>
        <v>1461717.8929329633</v>
      </c>
      <c r="AA243" s="81"/>
      <c r="AB243" s="262">
        <f>+'MWh by mo-WgtbyActulCDH&amp;Days'!AB243</f>
        <v>5396121.651252266</v>
      </c>
      <c r="AC243" s="308">
        <f t="shared" si="106"/>
        <v>270.88305034667735</v>
      </c>
      <c r="AD243" s="309">
        <f t="shared" si="89"/>
        <v>54.562340820183898</v>
      </c>
      <c r="AE243" s="107">
        <f t="shared" si="90"/>
        <v>4.1492274387972547E-3</v>
      </c>
      <c r="AF243" s="309">
        <f t="shared" si="107"/>
        <v>216.32070952649343</v>
      </c>
      <c r="AG243" s="107">
        <f t="shared" si="91"/>
        <v>1.6450244070455776E-2</v>
      </c>
      <c r="AH243" s="119">
        <f t="shared" si="108"/>
        <v>2.059947150925303E-2</v>
      </c>
      <c r="AI243" s="122">
        <f t="shared" si="92"/>
        <v>2.059947150925303E-2</v>
      </c>
      <c r="AJ243" s="87" t="b">
        <f t="shared" si="109"/>
        <v>1</v>
      </c>
      <c r="AK243" s="88">
        <f t="shared" si="110"/>
        <v>7.5565301401017693E-4</v>
      </c>
      <c r="AM243" s="89">
        <f t="shared" si="93"/>
        <v>393394.92661413539</v>
      </c>
      <c r="AN243" s="93"/>
      <c r="AO243" s="96">
        <f t="shared" si="111"/>
        <v>72.903272394320666</v>
      </c>
      <c r="AP243" s="92">
        <f t="shared" si="114"/>
        <v>5.5439750870205822E-3</v>
      </c>
      <c r="AR243" s="94">
        <f t="shared" si="94"/>
        <v>2.059947150925303E-2</v>
      </c>
      <c r="AS243" s="95"/>
    </row>
    <row r="244" spans="1:45">
      <c r="A244" s="78">
        <f t="shared" si="112"/>
        <v>2024</v>
      </c>
      <c r="B244" s="78">
        <f t="shared" si="113"/>
        <v>12</v>
      </c>
      <c r="C244" s="317">
        <f t="shared" si="101"/>
        <v>42.633806123140985</v>
      </c>
      <c r="D244" s="324">
        <f t="shared" si="104"/>
        <v>2.1683298951445065E-2</v>
      </c>
      <c r="E244" s="321">
        <f>$D244*'MWh Impact Summary'!B$30</f>
        <v>74577.993719610284</v>
      </c>
      <c r="F244" s="321">
        <f>$D244*'MWh Impact Summary'!N$30</f>
        <v>12865.753147075191</v>
      </c>
      <c r="G244" s="321">
        <f>$D244*'MWh Impact Summary'!C$30</f>
        <v>53823.398422238613</v>
      </c>
      <c r="H244" s="321">
        <f>$D244*'MWh Impact Summary'!D$30</f>
        <v>270.65758891885423</v>
      </c>
      <c r="I244" s="321">
        <f>$D244*'MWh Impact Summary'!E$30</f>
        <v>19149.560262949304</v>
      </c>
      <c r="J244" s="104">
        <f t="shared" si="95"/>
        <v>160687.36314079224</v>
      </c>
      <c r="K244" s="298">
        <f t="shared" si="102"/>
        <v>13.483333333333333</v>
      </c>
      <c r="L244" s="300">
        <f t="shared" si="105"/>
        <v>9.491962923853102E-2</v>
      </c>
      <c r="M244" s="297">
        <f t="shared" si="96"/>
        <v>8.3333333333333329E-2</v>
      </c>
      <c r="N244" s="302">
        <f>$L244*'MWh Impact Summary'!F$30</f>
        <v>199381.74824437257</v>
      </c>
      <c r="O244" s="302">
        <f>$L244*'MWh Impact Summary'!G$30</f>
        <v>32890.267501857219</v>
      </c>
      <c r="P244" s="304">
        <f>$M244*'MWh Impact Summary'!H$30</f>
        <v>11074.681597169398</v>
      </c>
      <c r="Q244" s="304">
        <f>$M244*'MWh Impact Summary'!I$30</f>
        <v>1841.9021169993132</v>
      </c>
      <c r="R244" s="304">
        <f>$M244*'MWh Impact Summary'!J$30</f>
        <v>48053.861152608362</v>
      </c>
      <c r="S244" s="304">
        <f>$M244*'MWh Impact Summary'!K$30</f>
        <v>34019.220179997079</v>
      </c>
      <c r="T244" s="304">
        <f>$M244*'MWh Impact Summary'!L$30</f>
        <v>12219.219667599087</v>
      </c>
      <c r="U244" s="304">
        <f>$M244*'MWh Impact Summary'!M$30</f>
        <v>37762.108296556209</v>
      </c>
      <c r="V244" s="302">
        <f>$L244*'MWh Impact Summary'!O$30</f>
        <v>273419.36724245659</v>
      </c>
      <c r="W244" s="302">
        <f>$L244*'MWh Impact Summary'!P$30</f>
        <v>403366.91461449361</v>
      </c>
      <c r="X244" s="302">
        <f>$L244*'MWh Impact Summary'!Q$30</f>
        <v>139177.94303674434</v>
      </c>
      <c r="Y244" s="85">
        <f t="shared" si="87"/>
        <v>1193207.2336508539</v>
      </c>
      <c r="Z244" s="81">
        <f t="shared" si="88"/>
        <v>1353894.596791646</v>
      </c>
      <c r="AA244" s="81">
        <f>SUM(Z233:Z244)</f>
        <v>20193711.515252534</v>
      </c>
      <c r="AB244" s="262">
        <f>+'MWh by mo-WgtbyActulCDH&amp;Days'!AB244</f>
        <v>5401414.1942394003</v>
      </c>
      <c r="AC244" s="308">
        <f t="shared" si="106"/>
        <v>250.65557798466418</v>
      </c>
      <c r="AD244" s="309">
        <f t="shared" si="89"/>
        <v>29.749128165761675</v>
      </c>
      <c r="AE244" s="107">
        <f>+AD244/K244/1000</f>
        <v>2.2063630283630418E-3</v>
      </c>
      <c r="AF244" s="309">
        <f t="shared" si="107"/>
        <v>220.90644981890253</v>
      </c>
      <c r="AG244" s="107">
        <f t="shared" si="91"/>
        <v>1.6383667477298088E-2</v>
      </c>
      <c r="AH244" s="119">
        <f t="shared" si="108"/>
        <v>1.8590030505661128E-2</v>
      </c>
      <c r="AI244" s="122">
        <f t="shared" si="92"/>
        <v>1.8590030505661125E-2</v>
      </c>
      <c r="AJ244" s="87" t="b">
        <f t="shared" si="109"/>
        <v>1</v>
      </c>
      <c r="AK244" s="88">
        <f t="shared" si="110"/>
        <v>7.6411012220513677E-4</v>
      </c>
      <c r="AM244" s="89">
        <f t="shared" si="93"/>
        <v>403366.91461449361</v>
      </c>
      <c r="AN244" s="90">
        <f>SUM(AM233:AM244)</f>
        <v>4249562.6863526944</v>
      </c>
      <c r="AO244" s="96">
        <f t="shared" si="111"/>
        <v>74.678019516571013</v>
      </c>
      <c r="AP244" s="92">
        <f t="shared" si="114"/>
        <v>5.5385428566060088E-3</v>
      </c>
      <c r="AR244" s="94">
        <f t="shared" si="94"/>
        <v>1.8590030505661125E-2</v>
      </c>
      <c r="AS244" s="95"/>
    </row>
    <row r="245" spans="1:45">
      <c r="A245" s="78">
        <f t="shared" si="112"/>
        <v>2025</v>
      </c>
      <c r="B245" s="78">
        <f t="shared" si="113"/>
        <v>1</v>
      </c>
      <c r="C245" s="317">
        <f t="shared" si="101"/>
        <v>26.112829868525239</v>
      </c>
      <c r="D245" s="324">
        <f t="shared" si="104"/>
        <v>1.3280829182176284E-2</v>
      </c>
      <c r="E245" s="321">
        <f>$D245*'MWh Impact Summary'!B$31</f>
        <v>45880.70599071886</v>
      </c>
      <c r="F245" s="321">
        <f>$D245*'MWh Impact Summary'!N$31</f>
        <v>8581.3403914239079</v>
      </c>
      <c r="G245" s="321">
        <f>$D245*'MWh Impact Summary'!C$31</f>
        <v>33375.198466663809</v>
      </c>
      <c r="H245" s="321">
        <f>$D245*'MWh Impact Summary'!D$31</f>
        <v>167.83119937659242</v>
      </c>
      <c r="I245" s="321">
        <f>$D245*'MWh Impact Summary'!E$31</f>
        <v>11874.396508957732</v>
      </c>
      <c r="J245" s="104">
        <f t="shared" si="95"/>
        <v>99879.472557140922</v>
      </c>
      <c r="K245" s="298">
        <f t="shared" si="102"/>
        <v>13.3</v>
      </c>
      <c r="L245" s="300">
        <f t="shared" si="105"/>
        <v>9.3629003871876101E-2</v>
      </c>
      <c r="M245" s="297">
        <f t="shared" si="96"/>
        <v>8.3333333333333329E-2</v>
      </c>
      <c r="N245" s="302">
        <f>$L245*'MWh Impact Summary'!F$31</f>
        <v>208506.93891530964</v>
      </c>
      <c r="O245" s="302">
        <f>$L245*'MWh Impact Summary'!G$31</f>
        <v>38385.929574999442</v>
      </c>
      <c r="P245" s="304">
        <f>$M245*'MWh Impact Summary'!H$31</f>
        <v>11693.896637775168</v>
      </c>
      <c r="Q245" s="304">
        <f>$M245*'MWh Impact Summary'!I$31</f>
        <v>1932.7575973273326</v>
      </c>
      <c r="R245" s="304">
        <f>$M245*'MWh Impact Summary'!J$31</f>
        <v>49500.506240141178</v>
      </c>
      <c r="S245" s="304">
        <f>$M245*'MWh Impact Summary'!K$31</f>
        <v>37424.968535265747</v>
      </c>
      <c r="T245" s="304">
        <f>$M245*'MWh Impact Summary'!L$31</f>
        <v>13462.03689171911</v>
      </c>
      <c r="U245" s="304">
        <f>$M245*'MWh Impact Summary'!M$31</f>
        <v>41713.880513651558</v>
      </c>
      <c r="V245" s="302">
        <f>$L245*'MWh Impact Summary'!O$31</f>
        <v>303400.63752996974</v>
      </c>
      <c r="W245" s="302">
        <f>$L245*'MWh Impact Summary'!P$31</f>
        <v>399211.96050916897</v>
      </c>
      <c r="X245" s="302">
        <f>$L245*'MWh Impact Summary'!Q$31</f>
        <v>137285.53590027441</v>
      </c>
      <c r="Y245" s="85">
        <f t="shared" si="87"/>
        <v>1242519.0488456022</v>
      </c>
      <c r="Z245" s="81">
        <f t="shared" si="88"/>
        <v>1342398.5214027432</v>
      </c>
      <c r="AA245" s="81"/>
      <c r="AB245" s="262">
        <f>+'MWh by mo-WgtbyActulCDH&amp;Days'!AB245</f>
        <v>5406732.2632630393</v>
      </c>
      <c r="AC245" s="308">
        <f t="shared" si="106"/>
        <v>248.28278080716109</v>
      </c>
      <c r="AD245" s="309">
        <f t="shared" si="89"/>
        <v>18.473167838509216</v>
      </c>
      <c r="AE245" s="107">
        <f t="shared" si="90"/>
        <v>1.3889599878578358E-3</v>
      </c>
      <c r="AF245" s="309">
        <f t="shared" si="107"/>
        <v>229.80961296865189</v>
      </c>
      <c r="AG245" s="107">
        <f t="shared" si="91"/>
        <v>1.727891826831969E-2</v>
      </c>
      <c r="AH245" s="119">
        <f t="shared" si="108"/>
        <v>1.8667878256177526E-2</v>
      </c>
      <c r="AI245" s="122">
        <f t="shared" si="92"/>
        <v>1.8667878256177523E-2</v>
      </c>
      <c r="AJ245" s="87" t="b">
        <f t="shared" si="109"/>
        <v>1</v>
      </c>
      <c r="AK245" s="88">
        <f t="shared" si="110"/>
        <v>6.9366481378582354E-4</v>
      </c>
      <c r="AM245" s="89">
        <f t="shared" si="93"/>
        <v>399211.96050916897</v>
      </c>
      <c r="AN245" s="90"/>
      <c r="AO245" s="96">
        <f t="shared" si="111"/>
        <v>73.836088245331183</v>
      </c>
      <c r="AP245" s="92">
        <f t="shared" si="114"/>
        <v>5.5515855823557274E-3</v>
      </c>
      <c r="AR245" s="94">
        <f t="shared" si="94"/>
        <v>1.8667878256177523E-2</v>
      </c>
      <c r="AS245" s="95"/>
    </row>
    <row r="246" spans="1:45">
      <c r="A246" s="78">
        <f t="shared" si="112"/>
        <v>2025</v>
      </c>
      <c r="B246" s="78">
        <f t="shared" si="113"/>
        <v>2</v>
      </c>
      <c r="C246" s="317">
        <f t="shared" si="101"/>
        <v>35.042184420393127</v>
      </c>
      <c r="D246" s="324">
        <f t="shared" si="104"/>
        <v>1.7822245532205266E-2</v>
      </c>
      <c r="E246" s="321">
        <f>$D246*'MWh Impact Summary'!B$31</f>
        <v>61569.740574249241</v>
      </c>
      <c r="F246" s="321">
        <f>$D246*'MWh Impact Summary'!N$31</f>
        <v>11515.753523630954</v>
      </c>
      <c r="G246" s="321">
        <f>$D246*'MWh Impact Summary'!C$31</f>
        <v>44787.940090160235</v>
      </c>
      <c r="H246" s="321">
        <f>$D246*'MWh Impact Summary'!D$31</f>
        <v>225.22154319012026</v>
      </c>
      <c r="I246" s="321">
        <f>$D246*'MWh Impact Summary'!E$31</f>
        <v>15934.879308095051</v>
      </c>
      <c r="J246" s="104">
        <f t="shared" si="95"/>
        <v>134033.53503932559</v>
      </c>
      <c r="K246" s="298">
        <f t="shared" si="102"/>
        <v>12.733333333333333</v>
      </c>
      <c r="L246" s="300">
        <f t="shared" si="105"/>
        <v>8.9639798193124468E-2</v>
      </c>
      <c r="M246" s="297">
        <f t="shared" si="96"/>
        <v>8.3333333333333329E-2</v>
      </c>
      <c r="N246" s="302">
        <f>$L246*'MWh Impact Summary'!F$31</f>
        <v>199623.18462568487</v>
      </c>
      <c r="O246" s="302">
        <f>$L246*'MWh Impact Summary'!G$31</f>
        <v>36750.438841227529</v>
      </c>
      <c r="P246" s="304">
        <f>$M246*'MWh Impact Summary'!H$31</f>
        <v>11693.896637775168</v>
      </c>
      <c r="Q246" s="304">
        <f>$M246*'MWh Impact Summary'!I$31</f>
        <v>1932.7575973273326</v>
      </c>
      <c r="R246" s="304">
        <f>$M246*'MWh Impact Summary'!J$31</f>
        <v>49500.506240141178</v>
      </c>
      <c r="S246" s="304">
        <f>$M246*'MWh Impact Summary'!K$31</f>
        <v>37424.968535265747</v>
      </c>
      <c r="T246" s="304">
        <f>$M246*'MWh Impact Summary'!L$31</f>
        <v>13462.03689171911</v>
      </c>
      <c r="U246" s="304">
        <f>$M246*'MWh Impact Summary'!M$31</f>
        <v>41713.880513651558</v>
      </c>
      <c r="V246" s="302">
        <f>$L246*'MWh Impact Summary'!O$31</f>
        <v>290473.7933244321</v>
      </c>
      <c r="W246" s="302">
        <f>$L246*'MWh Impact Summary'!P$31</f>
        <v>382202.92961028201</v>
      </c>
      <c r="X246" s="302">
        <f>$L246*'MWh Impact Summary'!Q$31</f>
        <v>131436.27747845819</v>
      </c>
      <c r="Y246" s="85">
        <f t="shared" si="87"/>
        <v>1196214.6702959647</v>
      </c>
      <c r="Z246" s="81">
        <f t="shared" si="88"/>
        <v>1330248.2053352902</v>
      </c>
      <c r="AA246" s="81"/>
      <c r="AB246" s="262">
        <f>+'MWh by mo-WgtbyActulCDH&amp;Days'!AB246</f>
        <v>5412022.880566325</v>
      </c>
      <c r="AC246" s="308">
        <f t="shared" si="106"/>
        <v>245.79500765083432</v>
      </c>
      <c r="AD246" s="309">
        <f t="shared" si="89"/>
        <v>24.765884771222559</v>
      </c>
      <c r="AE246" s="107">
        <f t="shared" si="90"/>
        <v>1.9449647726091017E-3</v>
      </c>
      <c r="AF246" s="309">
        <f t="shared" si="107"/>
        <v>221.02912287961178</v>
      </c>
      <c r="AG246" s="107">
        <f t="shared" si="91"/>
        <v>1.7358308079550664E-2</v>
      </c>
      <c r="AH246" s="119">
        <f t="shared" si="108"/>
        <v>1.9303272852159766E-2</v>
      </c>
      <c r="AI246" s="122">
        <f t="shared" si="92"/>
        <v>1.9303272852159766E-2</v>
      </c>
      <c r="AJ246" s="87" t="b">
        <f t="shared" si="109"/>
        <v>1</v>
      </c>
      <c r="AK246" s="88">
        <f t="shared" si="110"/>
        <v>7.0022926119379589E-4</v>
      </c>
      <c r="AM246" s="89">
        <f t="shared" si="93"/>
        <v>382202.92961028201</v>
      </c>
      <c r="AN246" s="90"/>
      <c r="AO246" s="96">
        <f t="shared" si="111"/>
        <v>70.621085321481033</v>
      </c>
      <c r="AP246" s="92">
        <f t="shared" si="114"/>
        <v>5.5461585331006043E-3</v>
      </c>
      <c r="AR246" s="94">
        <f t="shared" si="94"/>
        <v>1.9303272852159766E-2</v>
      </c>
      <c r="AS246" s="95"/>
    </row>
    <row r="247" spans="1:45">
      <c r="A247" s="78">
        <f t="shared" si="112"/>
        <v>2025</v>
      </c>
      <c r="B247" s="78">
        <f t="shared" si="113"/>
        <v>3</v>
      </c>
      <c r="C247" s="317">
        <f t="shared" si="101"/>
        <v>64.582270600115152</v>
      </c>
      <c r="D247" s="324">
        <f t="shared" si="104"/>
        <v>3.2846156787895278E-2</v>
      </c>
      <c r="E247" s="321">
        <f>$D247*'MWh Impact Summary'!B$31</f>
        <v>113472.19679121948</v>
      </c>
      <c r="F247" s="321">
        <f>$D247*'MWh Impact Summary'!N$31</f>
        <v>21223.377552757611</v>
      </c>
      <c r="G247" s="321">
        <f>$D247*'MWh Impact Summary'!C$31</f>
        <v>82543.566115163558</v>
      </c>
      <c r="H247" s="321">
        <f>$D247*'MWh Impact Summary'!D$31</f>
        <v>415.08024935840143</v>
      </c>
      <c r="I247" s="321">
        <f>$D247*'MWh Impact Summary'!E$31</f>
        <v>29367.766435721103</v>
      </c>
      <c r="J247" s="104">
        <f t="shared" si="95"/>
        <v>247021.98714422015</v>
      </c>
      <c r="K247" s="298">
        <f t="shared" si="102"/>
        <v>12</v>
      </c>
      <c r="L247" s="300">
        <f t="shared" si="105"/>
        <v>8.4477296726504739E-2</v>
      </c>
      <c r="M247" s="297">
        <f t="shared" si="96"/>
        <v>8.3333333333333329E-2</v>
      </c>
      <c r="N247" s="302">
        <f>$L247*'MWh Impact Summary'!F$31</f>
        <v>188126.56142734701</v>
      </c>
      <c r="O247" s="302">
        <f>$L247*'MWh Impact Summary'!G$31</f>
        <v>34633.921421052124</v>
      </c>
      <c r="P247" s="304">
        <f>$M247*'MWh Impact Summary'!H$31</f>
        <v>11693.896637775168</v>
      </c>
      <c r="Q247" s="304">
        <f>$M247*'MWh Impact Summary'!I$31</f>
        <v>1932.7575973273326</v>
      </c>
      <c r="R247" s="304">
        <f>$M247*'MWh Impact Summary'!J$31</f>
        <v>49500.506240141178</v>
      </c>
      <c r="S247" s="304">
        <f>$M247*'MWh Impact Summary'!K$31</f>
        <v>37424.968535265747</v>
      </c>
      <c r="T247" s="304">
        <f>$M247*'MWh Impact Summary'!L$31</f>
        <v>13462.03689171911</v>
      </c>
      <c r="U247" s="304">
        <f>$M247*'MWh Impact Summary'!M$31</f>
        <v>41713.880513651558</v>
      </c>
      <c r="V247" s="302">
        <f>$L247*'MWh Impact Summary'!O$31</f>
        <v>273744.9361172659</v>
      </c>
      <c r="W247" s="302">
        <f>$L247*'MWh Impact Summary'!P$31</f>
        <v>360191.2425646637</v>
      </c>
      <c r="X247" s="302">
        <f>$L247*'MWh Impact Summary'!Q$31</f>
        <v>123866.64893257839</v>
      </c>
      <c r="Y247" s="85">
        <f t="shared" si="87"/>
        <v>1136291.3568787873</v>
      </c>
      <c r="Z247" s="81">
        <f t="shared" si="88"/>
        <v>1383313.3440230074</v>
      </c>
      <c r="AA247" s="81"/>
      <c r="AB247" s="262">
        <f>+'MWh by mo-WgtbyActulCDH&amp;Days'!AB247</f>
        <v>5417339.5801715693</v>
      </c>
      <c r="AC247" s="308">
        <f t="shared" si="106"/>
        <v>255.34920297154369</v>
      </c>
      <c r="AD247" s="309">
        <f t="shared" si="89"/>
        <v>45.598394468082589</v>
      </c>
      <c r="AE247" s="107">
        <f t="shared" si="90"/>
        <v>3.7998662056735492E-3</v>
      </c>
      <c r="AF247" s="309">
        <f t="shared" si="107"/>
        <v>209.75080850346112</v>
      </c>
      <c r="AG247" s="107">
        <f t="shared" si="91"/>
        <v>1.7479234041955092E-2</v>
      </c>
      <c r="AH247" s="119">
        <f t="shared" si="108"/>
        <v>2.1279100247628642E-2</v>
      </c>
      <c r="AI247" s="122">
        <f t="shared" si="92"/>
        <v>2.1279100247628642E-2</v>
      </c>
      <c r="AJ247" s="87" t="b">
        <f t="shared" si="109"/>
        <v>1</v>
      </c>
      <c r="AK247" s="88">
        <f t="shared" si="110"/>
        <v>7.1305953357022472E-4</v>
      </c>
      <c r="AM247" s="89">
        <f t="shared" si="93"/>
        <v>360191.2425646637</v>
      </c>
      <c r="AN247" s="90"/>
      <c r="AO247" s="96">
        <f t="shared" si="111"/>
        <v>66.488584891932561</v>
      </c>
      <c r="AP247" s="92">
        <f t="shared" si="114"/>
        <v>5.5407154076610472E-3</v>
      </c>
      <c r="AR247" s="94">
        <f t="shared" si="94"/>
        <v>2.1279100247628642E-2</v>
      </c>
      <c r="AS247" s="95"/>
    </row>
    <row r="248" spans="1:45">
      <c r="A248" s="78">
        <f t="shared" si="112"/>
        <v>2025</v>
      </c>
      <c r="B248" s="78">
        <f t="shared" si="113"/>
        <v>4</v>
      </c>
      <c r="C248" s="317">
        <f t="shared" si="101"/>
        <v>114.03392869270741</v>
      </c>
      <c r="D248" s="324">
        <f t="shared" si="104"/>
        <v>5.7996974497419709E-2</v>
      </c>
      <c r="E248" s="321">
        <f>$D248*'MWh Impact Summary'!B$31</f>
        <v>200359.63860136733</v>
      </c>
      <c r="F248" s="321">
        <f>$D248*'MWh Impact Summary'!N$31</f>
        <v>37474.450804850654</v>
      </c>
      <c r="G248" s="321">
        <f>$D248*'MWh Impact Summary'!C$31</f>
        <v>145748.47005149361</v>
      </c>
      <c r="H248" s="321">
        <f>$D248*'MWh Impact Summary'!D$31</f>
        <v>732.91371017547897</v>
      </c>
      <c r="I248" s="321">
        <f>$D248*'MWh Impact Summary'!E$31</f>
        <v>51855.126065962984</v>
      </c>
      <c r="J248" s="104">
        <f t="shared" si="95"/>
        <v>436170.59923385008</v>
      </c>
      <c r="K248" s="298">
        <f t="shared" si="102"/>
        <v>11.2</v>
      </c>
      <c r="L248" s="300">
        <f t="shared" si="105"/>
        <v>7.8845476944737758E-2</v>
      </c>
      <c r="M248" s="297">
        <f t="shared" si="96"/>
        <v>8.3333333333333329E-2</v>
      </c>
      <c r="N248" s="302">
        <f>$L248*'MWh Impact Summary'!F$31</f>
        <v>175584.79066552388</v>
      </c>
      <c r="O248" s="302">
        <f>$L248*'MWh Impact Summary'!G$31</f>
        <v>32324.993326315314</v>
      </c>
      <c r="P248" s="304">
        <f>$M248*'MWh Impact Summary'!H$31</f>
        <v>11693.896637775168</v>
      </c>
      <c r="Q248" s="304">
        <f>$M248*'MWh Impact Summary'!I$31</f>
        <v>1932.7575973273326</v>
      </c>
      <c r="R248" s="304">
        <f>$M248*'MWh Impact Summary'!J$31</f>
        <v>49500.506240141178</v>
      </c>
      <c r="S248" s="304">
        <f>$M248*'MWh Impact Summary'!K$31</f>
        <v>37424.968535265747</v>
      </c>
      <c r="T248" s="304">
        <f>$M248*'MWh Impact Summary'!L$31</f>
        <v>13462.03689171911</v>
      </c>
      <c r="U248" s="304">
        <f>$M248*'MWh Impact Summary'!M$31</f>
        <v>41713.880513651558</v>
      </c>
      <c r="V248" s="302">
        <f>$L248*'MWh Impact Summary'!O$31</f>
        <v>255495.27370944814</v>
      </c>
      <c r="W248" s="302">
        <f>$L248*'MWh Impact Summary'!P$31</f>
        <v>336178.4930603528</v>
      </c>
      <c r="X248" s="302">
        <f>$L248*'MWh Impact Summary'!Q$31</f>
        <v>115608.87233707318</v>
      </c>
      <c r="Y248" s="85">
        <f t="shared" si="87"/>
        <v>1070920.4695145932</v>
      </c>
      <c r="Z248" s="81">
        <f t="shared" si="88"/>
        <v>1507091.0687484434</v>
      </c>
      <c r="AA248" s="81"/>
      <c r="AB248" s="262">
        <f>+'MWh by mo-WgtbyActulCDH&amp;Days'!AB248</f>
        <v>5422629.6092505148</v>
      </c>
      <c r="AC248" s="308">
        <f t="shared" si="106"/>
        <v>277.92624194311236</v>
      </c>
      <c r="AD248" s="309">
        <f t="shared" si="89"/>
        <v>80.435255708740002</v>
      </c>
      <c r="AE248" s="107">
        <f t="shared" si="90"/>
        <v>7.1817192597089293E-3</v>
      </c>
      <c r="AF248" s="309">
        <f t="shared" si="107"/>
        <v>197.49098623437234</v>
      </c>
      <c r="AG248" s="107">
        <f t="shared" si="91"/>
        <v>1.7633123770926105E-2</v>
      </c>
      <c r="AH248" s="119">
        <f t="shared" si="108"/>
        <v>2.4814843030635032E-2</v>
      </c>
      <c r="AI248" s="122">
        <f t="shared" si="92"/>
        <v>2.4814843030635032E-2</v>
      </c>
      <c r="AJ248" s="87" t="b">
        <f t="shared" si="109"/>
        <v>1</v>
      </c>
      <c r="AK248" s="88">
        <f t="shared" si="110"/>
        <v>7.322437130912185E-4</v>
      </c>
      <c r="AM248" s="89">
        <f t="shared" si="93"/>
        <v>336178.4930603528</v>
      </c>
      <c r="AN248" s="90"/>
      <c r="AO248" s="96">
        <f t="shared" si="111"/>
        <v>61.995474019996266</v>
      </c>
      <c r="AP248" s="92">
        <f t="shared" si="114"/>
        <v>5.5353101803568092E-3</v>
      </c>
      <c r="AR248" s="94">
        <f t="shared" si="94"/>
        <v>2.4814843030635032E-2</v>
      </c>
      <c r="AS248" s="95"/>
    </row>
    <row r="249" spans="1:45">
      <c r="A249" s="78">
        <f t="shared" si="112"/>
        <v>2025</v>
      </c>
      <c r="B249" s="78">
        <f t="shared" si="113"/>
        <v>5</v>
      </c>
      <c r="C249" s="317">
        <f t="shared" si="101"/>
        <v>208.47875842628665</v>
      </c>
      <c r="D249" s="324">
        <f t="shared" si="104"/>
        <v>0.10603105035770212</v>
      </c>
      <c r="E249" s="321">
        <f>$D249*'MWh Impact Summary'!B$31</f>
        <v>366300.88231822749</v>
      </c>
      <c r="F249" s="321">
        <f>$D249*'MWh Impact Summary'!N$31</f>
        <v>68511.425205346357</v>
      </c>
      <c r="G249" s="321">
        <f>$D249*'MWh Impact Summary'!C$31</f>
        <v>266459.81969758612</v>
      </c>
      <c r="H249" s="321">
        <f>$D249*'MWh Impact Summary'!D$31</f>
        <v>1339.9252492890625</v>
      </c>
      <c r="I249" s="321">
        <f>$D249*'MWh Impact Summary'!E$31</f>
        <v>94802.419106357542</v>
      </c>
      <c r="J249" s="104">
        <f t="shared" si="95"/>
        <v>797414.47157680651</v>
      </c>
      <c r="K249" s="298">
        <f t="shared" si="102"/>
        <v>10.533333333333333</v>
      </c>
      <c r="L249" s="300">
        <f t="shared" si="105"/>
        <v>7.4152293793265281E-2</v>
      </c>
      <c r="M249" s="297">
        <f t="shared" si="96"/>
        <v>8.3333333333333329E-2</v>
      </c>
      <c r="N249" s="302">
        <f>$L249*'MWh Impact Summary'!F$31</f>
        <v>165133.31503067128</v>
      </c>
      <c r="O249" s="302">
        <f>$L249*'MWh Impact Summary'!G$31</f>
        <v>30400.886580701314</v>
      </c>
      <c r="P249" s="304">
        <f>$M249*'MWh Impact Summary'!H$31</f>
        <v>11693.896637775168</v>
      </c>
      <c r="Q249" s="304">
        <f>$M249*'MWh Impact Summary'!I$31</f>
        <v>1932.7575973273326</v>
      </c>
      <c r="R249" s="304">
        <f>$M249*'MWh Impact Summary'!J$31</f>
        <v>49500.506240141178</v>
      </c>
      <c r="S249" s="304">
        <f>$M249*'MWh Impact Summary'!K$31</f>
        <v>37424.968535265747</v>
      </c>
      <c r="T249" s="304">
        <f>$M249*'MWh Impact Summary'!L$31</f>
        <v>13462.03689171911</v>
      </c>
      <c r="U249" s="304">
        <f>$M249*'MWh Impact Summary'!M$31</f>
        <v>41713.880513651558</v>
      </c>
      <c r="V249" s="302">
        <f>$L249*'MWh Impact Summary'!O$31</f>
        <v>240287.2217029334</v>
      </c>
      <c r="W249" s="302">
        <f>$L249*'MWh Impact Summary'!P$31</f>
        <v>316167.86847342708</v>
      </c>
      <c r="X249" s="302">
        <f>$L249*'MWh Impact Summary'!Q$31</f>
        <v>108727.39184081883</v>
      </c>
      <c r="Y249" s="85">
        <f t="shared" si="87"/>
        <v>1016444.730044432</v>
      </c>
      <c r="Z249" s="81">
        <f t="shared" si="88"/>
        <v>1813859.2016212386</v>
      </c>
      <c r="AA249" s="81"/>
      <c r="AB249" s="262">
        <f>+'MWh by mo-WgtbyActulCDH&amp;Days'!AB249</f>
        <v>5427176.8441906935</v>
      </c>
      <c r="AC249" s="308">
        <f t="shared" si="106"/>
        <v>334.21781778915357</v>
      </c>
      <c r="AD249" s="309">
        <f t="shared" si="89"/>
        <v>146.92988536578963</v>
      </c>
      <c r="AE249" s="107">
        <f t="shared" si="90"/>
        <v>1.3949039749916738E-2</v>
      </c>
      <c r="AF249" s="309">
        <f t="shared" si="107"/>
        <v>187.28793242336388</v>
      </c>
      <c r="AG249" s="107">
        <f t="shared" si="91"/>
        <v>1.7780499913610495E-2</v>
      </c>
      <c r="AH249" s="119">
        <f t="shared" si="108"/>
        <v>3.1729539663527234E-2</v>
      </c>
      <c r="AI249" s="122">
        <f t="shared" si="92"/>
        <v>3.1729539663527234E-2</v>
      </c>
      <c r="AJ249" s="87" t="b">
        <f t="shared" si="109"/>
        <v>1</v>
      </c>
      <c r="AK249" s="88">
        <f t="shared" si="110"/>
        <v>7.6536151939940802E-4</v>
      </c>
      <c r="AM249" s="89">
        <f t="shared" si="93"/>
        <v>316167.86847342708</v>
      </c>
      <c r="AN249" s="90"/>
      <c r="AO249" s="96">
        <f t="shared" si="111"/>
        <v>58.25641536112029</v>
      </c>
      <c r="AP249" s="92">
        <f t="shared" si="114"/>
        <v>5.5306723444101535E-3</v>
      </c>
      <c r="AR249" s="94">
        <f t="shared" si="94"/>
        <v>3.1729539663527234E-2</v>
      </c>
      <c r="AS249" s="95"/>
    </row>
    <row r="250" spans="1:45">
      <c r="A250" s="78">
        <f t="shared" si="112"/>
        <v>2025</v>
      </c>
      <c r="B250" s="78">
        <f t="shared" si="113"/>
        <v>6</v>
      </c>
      <c r="C250" s="317">
        <f t="shared" si="101"/>
        <v>271.66325293295364</v>
      </c>
      <c r="D250" s="324">
        <f t="shared" si="104"/>
        <v>0.13816630657965029</v>
      </c>
      <c r="E250" s="321">
        <f>$D250*'MWh Impact Summary'!B$31</f>
        <v>477317.16168084031</v>
      </c>
      <c r="F250" s="321">
        <f>$D250*'MWh Impact Summary'!N$31</f>
        <v>89275.457964404239</v>
      </c>
      <c r="G250" s="321">
        <f>$D250*'MWh Impact Summary'!C$31</f>
        <v>347216.8672789227</v>
      </c>
      <c r="H250" s="321">
        <f>$D250*'MWh Impact Summary'!D$31</f>
        <v>1746.0217753434608</v>
      </c>
      <c r="I250" s="321">
        <f>$D250*'MWh Impact Summary'!E$31</f>
        <v>123534.56896402435</v>
      </c>
      <c r="J250" s="104">
        <f t="shared" si="95"/>
        <v>1039090.077663535</v>
      </c>
      <c r="K250" s="298">
        <f t="shared" si="102"/>
        <v>10.199999999999999</v>
      </c>
      <c r="L250" s="300">
        <f t="shared" si="105"/>
        <v>7.1805702217529022E-2</v>
      </c>
      <c r="M250" s="297">
        <f t="shared" si="96"/>
        <v>8.3333333333333329E-2</v>
      </c>
      <c r="N250" s="302">
        <f>$L250*'MWh Impact Summary'!F$31</f>
        <v>159907.57721324495</v>
      </c>
      <c r="O250" s="302">
        <f>$L250*'MWh Impact Summary'!G$31</f>
        <v>29438.833207894302</v>
      </c>
      <c r="P250" s="304">
        <f>$M250*'MWh Impact Summary'!H$31</f>
        <v>11693.896637775168</v>
      </c>
      <c r="Q250" s="304">
        <f>$M250*'MWh Impact Summary'!I$31</f>
        <v>1932.7575973273326</v>
      </c>
      <c r="R250" s="304">
        <f>$M250*'MWh Impact Summary'!J$31</f>
        <v>49500.506240141178</v>
      </c>
      <c r="S250" s="304">
        <f>$M250*'MWh Impact Summary'!K$31</f>
        <v>37424.968535265747</v>
      </c>
      <c r="T250" s="304">
        <f>$M250*'MWh Impact Summary'!L$31</f>
        <v>13462.03689171911</v>
      </c>
      <c r="U250" s="304">
        <f>$M250*'MWh Impact Summary'!M$31</f>
        <v>41713.880513651558</v>
      </c>
      <c r="V250" s="302">
        <f>$L250*'MWh Impact Summary'!O$31</f>
        <v>232683.19569967597</v>
      </c>
      <c r="W250" s="302">
        <f>$L250*'MWh Impact Summary'!P$31</f>
        <v>306162.5561799641</v>
      </c>
      <c r="X250" s="302">
        <f>$L250*'MWh Impact Summary'!Q$31</f>
        <v>105286.65159269163</v>
      </c>
      <c r="Y250" s="85">
        <f t="shared" si="87"/>
        <v>989206.860309351</v>
      </c>
      <c r="Z250" s="81">
        <f t="shared" si="88"/>
        <v>2028296.937972886</v>
      </c>
      <c r="AA250" s="81"/>
      <c r="AB250" s="262">
        <f>+'MWh by mo-WgtbyActulCDH&amp;Days'!AB250</f>
        <v>5431720.3103298927</v>
      </c>
      <c r="AC250" s="308">
        <f t="shared" si="106"/>
        <v>373.41704323684121</v>
      </c>
      <c r="AD250" s="309">
        <f t="shared" si="89"/>
        <v>191.30036494836133</v>
      </c>
      <c r="AE250" s="107">
        <f t="shared" si="90"/>
        <v>1.8754937740035428E-2</v>
      </c>
      <c r="AF250" s="309">
        <f t="shared" si="107"/>
        <v>182.11667828847985</v>
      </c>
      <c r="AG250" s="107">
        <f t="shared" si="91"/>
        <v>1.7854576302792143E-2</v>
      </c>
      <c r="AH250" s="119">
        <f t="shared" si="108"/>
        <v>3.6609514042827571E-2</v>
      </c>
      <c r="AI250" s="122">
        <f t="shared" si="92"/>
        <v>3.6609514042827571E-2</v>
      </c>
      <c r="AJ250" s="87" t="b">
        <f t="shared" si="109"/>
        <v>1</v>
      </c>
      <c r="AK250" s="88">
        <f t="shared" si="110"/>
        <v>7.8984028829823943E-4</v>
      </c>
      <c r="AM250" s="89">
        <f t="shared" si="93"/>
        <v>306162.5561799641</v>
      </c>
      <c r="AN250" s="90"/>
      <c r="AO250" s="96">
        <f t="shared" si="111"/>
        <v>56.365670301122243</v>
      </c>
      <c r="AP250" s="92">
        <f t="shared" si="114"/>
        <v>5.5260461079531609E-3</v>
      </c>
      <c r="AR250" s="94">
        <f t="shared" si="94"/>
        <v>3.6609514042827571E-2</v>
      </c>
      <c r="AS250" s="95"/>
    </row>
    <row r="251" spans="1:45">
      <c r="A251" s="78">
        <f t="shared" si="112"/>
        <v>2025</v>
      </c>
      <c r="B251" s="78">
        <f t="shared" si="113"/>
        <v>7</v>
      </c>
      <c r="C251" s="317">
        <f t="shared" si="101"/>
        <v>322.31916585708109</v>
      </c>
      <c r="D251" s="324">
        <f t="shared" si="104"/>
        <v>0.16392960109808263</v>
      </c>
      <c r="E251" s="321">
        <f>$D251*'MWh Impact Summary'!B$31</f>
        <v>566320.50062438031</v>
      </c>
      <c r="F251" s="321">
        <f>$D251*'MWh Impact Summary'!N$31</f>
        <v>105922.27999897132</v>
      </c>
      <c r="G251" s="321">
        <f>$D251*'MWh Impact Summary'!C$31</f>
        <v>411960.9473294192</v>
      </c>
      <c r="H251" s="321">
        <f>$D251*'MWh Impact Summary'!D$31</f>
        <v>2071.5951683605035</v>
      </c>
      <c r="I251" s="321">
        <f>$D251*'MWh Impact Summary'!E$31</f>
        <v>146569.54443825842</v>
      </c>
      <c r="J251" s="104">
        <f t="shared" si="95"/>
        <v>1232844.8675593899</v>
      </c>
      <c r="K251" s="298">
        <f t="shared" si="102"/>
        <v>10.366666666666667</v>
      </c>
      <c r="L251" s="300">
        <f t="shared" si="105"/>
        <v>7.2978998005397158E-2</v>
      </c>
      <c r="M251" s="297">
        <f t="shared" si="96"/>
        <v>8.3333333333333329E-2</v>
      </c>
      <c r="N251" s="302">
        <f>$L251*'MWh Impact Summary'!F$31</f>
        <v>162520.44612195811</v>
      </c>
      <c r="O251" s="302">
        <f>$L251*'MWh Impact Summary'!G$31</f>
        <v>29919.85989429781</v>
      </c>
      <c r="P251" s="304">
        <f>$M251*'MWh Impact Summary'!H$31</f>
        <v>11693.896637775168</v>
      </c>
      <c r="Q251" s="304">
        <f>$M251*'MWh Impact Summary'!I$31</f>
        <v>1932.7575973273326</v>
      </c>
      <c r="R251" s="304">
        <f>$M251*'MWh Impact Summary'!J$31</f>
        <v>49500.506240141178</v>
      </c>
      <c r="S251" s="304">
        <f>$M251*'MWh Impact Summary'!K$31</f>
        <v>37424.968535265747</v>
      </c>
      <c r="T251" s="304">
        <f>$M251*'MWh Impact Summary'!L$31</f>
        <v>13462.03689171911</v>
      </c>
      <c r="U251" s="304">
        <f>$M251*'MWh Impact Summary'!M$31</f>
        <v>41713.880513651558</v>
      </c>
      <c r="V251" s="302">
        <f>$L251*'MWh Impact Summary'!O$31</f>
        <v>236485.20870130471</v>
      </c>
      <c r="W251" s="302">
        <f>$L251*'MWh Impact Summary'!P$31</f>
        <v>311165.21232669562</v>
      </c>
      <c r="X251" s="302">
        <f>$L251*'MWh Impact Summary'!Q$31</f>
        <v>107007.02171675525</v>
      </c>
      <c r="Y251" s="85">
        <f t="shared" si="87"/>
        <v>1002825.7951768915</v>
      </c>
      <c r="Z251" s="81">
        <f t="shared" si="88"/>
        <v>2235670.6627362813</v>
      </c>
      <c r="AA251" s="81"/>
      <c r="AB251" s="262">
        <f>+'MWh by mo-WgtbyActulCDH&amp;Days'!AB251</f>
        <v>5436311.5981648155</v>
      </c>
      <c r="AC251" s="308">
        <f t="shared" si="106"/>
        <v>411.24770395629952</v>
      </c>
      <c r="AD251" s="309">
        <f t="shared" si="89"/>
        <v>226.77965478939294</v>
      </c>
      <c r="AE251" s="107">
        <f t="shared" si="90"/>
        <v>2.1875850944314428E-2</v>
      </c>
      <c r="AF251" s="309">
        <f t="shared" si="107"/>
        <v>184.46804916690655</v>
      </c>
      <c r="AG251" s="107">
        <f t="shared" si="91"/>
        <v>1.7794345578801274E-2</v>
      </c>
      <c r="AH251" s="119">
        <f t="shared" si="108"/>
        <v>3.9670196523115701E-2</v>
      </c>
      <c r="AI251" s="122">
        <f t="shared" si="92"/>
        <v>3.9670196523115708E-2</v>
      </c>
      <c r="AJ251" s="87" t="b">
        <f t="shared" si="109"/>
        <v>1</v>
      </c>
      <c r="AK251" s="88">
        <f t="shared" si="110"/>
        <v>8.0234570743108191E-4</v>
      </c>
      <c r="AM251" s="89">
        <f t="shared" si="93"/>
        <v>311165.21232669562</v>
      </c>
      <c r="AN251" s="90"/>
      <c r="AO251" s="96">
        <f t="shared" si="111"/>
        <v>57.238295985781697</v>
      </c>
      <c r="AP251" s="92">
        <f t="shared" si="114"/>
        <v>5.5213790339982338E-3</v>
      </c>
      <c r="AR251" s="94">
        <f t="shared" si="94"/>
        <v>3.9670196523115708E-2</v>
      </c>
      <c r="AS251" s="95"/>
    </row>
    <row r="252" spans="1:45">
      <c r="A252" s="78">
        <f t="shared" si="112"/>
        <v>2025</v>
      </c>
      <c r="B252" s="78">
        <f t="shared" si="113"/>
        <v>8</v>
      </c>
      <c r="C252" s="317">
        <f t="shared" si="101"/>
        <v>326.45437890907908</v>
      </c>
      <c r="D252" s="324">
        <f t="shared" si="104"/>
        <v>0.16603274573816959</v>
      </c>
      <c r="E252" s="321">
        <f>$D252*'MWh Impact Summary'!B$31</f>
        <v>573586.14342153992</v>
      </c>
      <c r="F252" s="321">
        <f>$D252*'MWh Impact Summary'!N$31</f>
        <v>107281.21623716992</v>
      </c>
      <c r="G252" s="321">
        <f>$D252*'MWh Impact Summary'!C$31</f>
        <v>417246.22498822724</v>
      </c>
      <c r="H252" s="321">
        <f>$D252*'MWh Impact Summary'!D$31</f>
        <v>2098.1728227047038</v>
      </c>
      <c r="I252" s="321">
        <f>$D252*'MWh Impact Summary'!E$31</f>
        <v>148449.96719119902</v>
      </c>
      <c r="J252" s="104">
        <f t="shared" si="95"/>
        <v>1248661.7246608408</v>
      </c>
      <c r="K252" s="298">
        <f t="shared" si="102"/>
        <v>10.933333333333334</v>
      </c>
      <c r="L252" s="300">
        <f t="shared" si="105"/>
        <v>7.6968203684148764E-2</v>
      </c>
      <c r="M252" s="297">
        <f t="shared" si="96"/>
        <v>8.3333333333333329E-2</v>
      </c>
      <c r="N252" s="302">
        <f>$L252*'MWh Impact Summary'!F$31</f>
        <v>171404.20041158283</v>
      </c>
      <c r="O252" s="302">
        <f>$L252*'MWh Impact Summary'!G$31</f>
        <v>31555.350628069711</v>
      </c>
      <c r="P252" s="304">
        <f>$M252*'MWh Impact Summary'!H$31</f>
        <v>11693.896637775168</v>
      </c>
      <c r="Q252" s="304">
        <f>$M252*'MWh Impact Summary'!I$31</f>
        <v>1932.7575973273326</v>
      </c>
      <c r="R252" s="304">
        <f>$M252*'MWh Impact Summary'!J$31</f>
        <v>49500.506240141178</v>
      </c>
      <c r="S252" s="304">
        <f>$M252*'MWh Impact Summary'!K$31</f>
        <v>37424.968535265747</v>
      </c>
      <c r="T252" s="304">
        <f>$M252*'MWh Impact Summary'!L$31</f>
        <v>13462.03689171911</v>
      </c>
      <c r="U252" s="304">
        <f>$M252*'MWh Impact Summary'!M$31</f>
        <v>41713.880513651558</v>
      </c>
      <c r="V252" s="302">
        <f>$L252*'MWh Impact Summary'!O$31</f>
        <v>249412.05290684223</v>
      </c>
      <c r="W252" s="302">
        <f>$L252*'MWh Impact Summary'!P$31</f>
        <v>328174.24322558247</v>
      </c>
      <c r="X252" s="302">
        <f>$L252*'MWh Impact Summary'!Q$31</f>
        <v>112856.28013857143</v>
      </c>
      <c r="Y252" s="85">
        <f t="shared" si="87"/>
        <v>1049130.1737265289</v>
      </c>
      <c r="Z252" s="81">
        <f t="shared" si="88"/>
        <v>2297791.8983873697</v>
      </c>
      <c r="AA252" s="81"/>
      <c r="AB252" s="262">
        <f>+'MWh by mo-WgtbyActulCDH&amp;Days'!AB252</f>
        <v>5440926.2620600108</v>
      </c>
      <c r="AC252" s="308">
        <f t="shared" si="106"/>
        <v>422.31630934057051</v>
      </c>
      <c r="AD252" s="309">
        <f t="shared" si="89"/>
        <v>229.49432955338011</v>
      </c>
      <c r="AE252" s="107">
        <f t="shared" si="90"/>
        <v>2.0990335020126229E-2</v>
      </c>
      <c r="AF252" s="309">
        <f t="shared" si="107"/>
        <v>192.8219797871904</v>
      </c>
      <c r="AG252" s="107">
        <f t="shared" si="91"/>
        <v>1.7636156687852778E-2</v>
      </c>
      <c r="AH252" s="119">
        <f t="shared" si="108"/>
        <v>3.8626491707979008E-2</v>
      </c>
      <c r="AI252" s="122">
        <f t="shared" si="92"/>
        <v>3.8626491707979008E-2</v>
      </c>
      <c r="AJ252" s="87" t="b">
        <f t="shared" si="109"/>
        <v>1</v>
      </c>
      <c r="AK252" s="88">
        <f t="shared" si="110"/>
        <v>7.959990528781935E-4</v>
      </c>
      <c r="AM252" s="89">
        <f t="shared" si="93"/>
        <v>328174.24322558247</v>
      </c>
      <c r="AN252" s="90"/>
      <c r="AO252" s="96">
        <f t="shared" si="111"/>
        <v>60.315877741987833</v>
      </c>
      <c r="AP252" s="92">
        <f t="shared" si="114"/>
        <v>5.5166961349379113E-3</v>
      </c>
      <c r="AR252" s="94">
        <f t="shared" si="94"/>
        <v>3.8626491707979008E-2</v>
      </c>
      <c r="AS252" s="95"/>
    </row>
    <row r="253" spans="1:45">
      <c r="A253" s="78">
        <f t="shared" si="112"/>
        <v>2025</v>
      </c>
      <c r="B253" s="78">
        <f t="shared" si="113"/>
        <v>9</v>
      </c>
      <c r="C253" s="317">
        <f t="shared" si="101"/>
        <v>277.87653293728147</v>
      </c>
      <c r="D253" s="324">
        <f t="shared" si="104"/>
        <v>0.14132634365008559</v>
      </c>
      <c r="E253" s="321">
        <f>$D253*'MWh Impact Summary'!B$31</f>
        <v>488234.00503147935</v>
      </c>
      <c r="F253" s="321">
        <f>$D253*'MWh Impact Summary'!N$31</f>
        <v>91317.299883982312</v>
      </c>
      <c r="G253" s="321">
        <f>$D253*'MWh Impact Summary'!C$31</f>
        <v>355158.15339450171</v>
      </c>
      <c r="H253" s="321">
        <f>$D253*'MWh Impact Summary'!D$31</f>
        <v>1785.9554876388813</v>
      </c>
      <c r="I253" s="321">
        <f>$D253*'MWh Impact Summary'!E$31</f>
        <v>126359.95980691788</v>
      </c>
      <c r="J253" s="104">
        <f t="shared" si="95"/>
        <v>1062855.37360452</v>
      </c>
      <c r="K253" s="298">
        <f t="shared" si="102"/>
        <v>11.683333333333334</v>
      </c>
      <c r="L253" s="300">
        <f t="shared" si="105"/>
        <v>8.2248034729555317E-2</v>
      </c>
      <c r="M253" s="297">
        <f t="shared" si="96"/>
        <v>8.3333333333333329E-2</v>
      </c>
      <c r="N253" s="302">
        <f>$L253*'MWh Impact Summary'!F$31</f>
        <v>183162.11050079204</v>
      </c>
      <c r="O253" s="302">
        <f>$L253*'MWh Impact Summary'!G$31</f>
        <v>33719.970716885473</v>
      </c>
      <c r="P253" s="304">
        <f>$M253*'MWh Impact Summary'!H$31</f>
        <v>11693.896637775168</v>
      </c>
      <c r="Q253" s="304">
        <f>$M253*'MWh Impact Summary'!I$31</f>
        <v>1932.7575973273326</v>
      </c>
      <c r="R253" s="304">
        <f>$M253*'MWh Impact Summary'!J$31</f>
        <v>49500.506240141178</v>
      </c>
      <c r="S253" s="304">
        <f>$M253*'MWh Impact Summary'!K$31</f>
        <v>37424.968535265747</v>
      </c>
      <c r="T253" s="304">
        <f>$M253*'MWh Impact Summary'!L$31</f>
        <v>13462.03689171911</v>
      </c>
      <c r="U253" s="304">
        <f>$M253*'MWh Impact Summary'!M$31</f>
        <v>41713.880513651558</v>
      </c>
      <c r="V253" s="302">
        <f>$L253*'MWh Impact Summary'!O$31</f>
        <v>266521.11141417141</v>
      </c>
      <c r="W253" s="302">
        <f>$L253*'MWh Impact Summary'!P$31</f>
        <v>350686.19588587398</v>
      </c>
      <c r="X253" s="302">
        <f>$L253*'MWh Impact Summary'!Q$31</f>
        <v>120597.9456968576</v>
      </c>
      <c r="Y253" s="85">
        <f t="shared" si="87"/>
        <v>1110415.3806304606</v>
      </c>
      <c r="Z253" s="81">
        <f t="shared" si="88"/>
        <v>2173270.7542349808</v>
      </c>
      <c r="AA253" s="81"/>
      <c r="AB253" s="262">
        <f>+'MWh by mo-WgtbyActulCDH&amp;Days'!AB253</f>
        <v>5445455.1194933662</v>
      </c>
      <c r="AC253" s="308">
        <f t="shared" si="106"/>
        <v>399.09809309697829</v>
      </c>
      <c r="AD253" s="309">
        <f t="shared" si="89"/>
        <v>195.18210145553562</v>
      </c>
      <c r="AE253" s="107">
        <f t="shared" si="90"/>
        <v>1.670602865525269E-2</v>
      </c>
      <c r="AF253" s="309">
        <f t="shared" si="107"/>
        <v>203.91599164144267</v>
      </c>
      <c r="AG253" s="107">
        <f t="shared" si="91"/>
        <v>1.7453579883718345E-2</v>
      </c>
      <c r="AH253" s="119">
        <f t="shared" si="108"/>
        <v>3.4159608538971035E-2</v>
      </c>
      <c r="AI253" s="122">
        <f t="shared" si="92"/>
        <v>3.4159608538971035E-2</v>
      </c>
      <c r="AJ253" s="87" t="b">
        <f t="shared" si="109"/>
        <v>1</v>
      </c>
      <c r="AK253" s="88">
        <f t="shared" si="110"/>
        <v>7.7517284362916411E-4</v>
      </c>
      <c r="AM253" s="89">
        <f t="shared" si="93"/>
        <v>350686.19588587398</v>
      </c>
      <c r="AN253" s="90"/>
      <c r="AO253" s="96">
        <f t="shared" si="111"/>
        <v>64.3997954607146</v>
      </c>
      <c r="AP253" s="92">
        <f t="shared" si="114"/>
        <v>5.5121080280212216E-3</v>
      </c>
      <c r="AR253" s="94">
        <f t="shared" si="94"/>
        <v>3.4159608538971035E-2</v>
      </c>
      <c r="AS253" s="95"/>
    </row>
    <row r="254" spans="1:45">
      <c r="A254" s="78">
        <f t="shared" si="112"/>
        <v>2025</v>
      </c>
      <c r="B254" s="78">
        <f t="shared" si="113"/>
        <v>10</v>
      </c>
      <c r="C254" s="317">
        <f t="shared" si="101"/>
        <v>198.89039579254836</v>
      </c>
      <c r="D254" s="324">
        <f t="shared" si="104"/>
        <v>0.10115446643644242</v>
      </c>
      <c r="E254" s="321">
        <f>$D254*'MWh Impact Summary'!B$31</f>
        <v>349453.95882713568</v>
      </c>
      <c r="F254" s="321">
        <f>$D254*'MWh Impact Summary'!N$31</f>
        <v>65360.4452475711</v>
      </c>
      <c r="G254" s="321">
        <f>$D254*'MWh Impact Summary'!C$31</f>
        <v>254204.78998680465</v>
      </c>
      <c r="H254" s="321">
        <f>$D254*'MWh Impact Summary'!D$31</f>
        <v>1278.2993585303723</v>
      </c>
      <c r="I254" s="321">
        <f>$D254*'MWh Impact Summary'!E$31</f>
        <v>90442.262801662364</v>
      </c>
      <c r="J254" s="104">
        <f t="shared" si="95"/>
        <v>760739.75622170407</v>
      </c>
      <c r="K254" s="298">
        <f t="shared" si="102"/>
        <v>12.466666666666667</v>
      </c>
      <c r="L254" s="300">
        <f t="shared" si="105"/>
        <v>8.7762524932535488E-2</v>
      </c>
      <c r="M254" s="297">
        <f t="shared" si="96"/>
        <v>8.3333333333333329E-2</v>
      </c>
      <c r="N254" s="302">
        <f>$L254*'MWh Impact Summary'!F$31</f>
        <v>195442.59437174385</v>
      </c>
      <c r="O254" s="302">
        <f>$L254*'MWh Impact Summary'!G$31</f>
        <v>35980.796142981933</v>
      </c>
      <c r="P254" s="304">
        <f>$M254*'MWh Impact Summary'!H$31</f>
        <v>11693.896637775168</v>
      </c>
      <c r="Q254" s="304">
        <f>$M254*'MWh Impact Summary'!I$31</f>
        <v>1932.7575973273326</v>
      </c>
      <c r="R254" s="304">
        <f>$M254*'MWh Impact Summary'!J$31</f>
        <v>49500.506240141178</v>
      </c>
      <c r="S254" s="304">
        <f>$M254*'MWh Impact Summary'!K$31</f>
        <v>37424.968535265747</v>
      </c>
      <c r="T254" s="304">
        <f>$M254*'MWh Impact Summary'!L$31</f>
        <v>13462.03689171911</v>
      </c>
      <c r="U254" s="304">
        <f>$M254*'MWh Impact Summary'!M$31</f>
        <v>41713.880513651558</v>
      </c>
      <c r="V254" s="302">
        <f>$L254*'MWh Impact Summary'!O$31</f>
        <v>284390.57252182625</v>
      </c>
      <c r="W254" s="302">
        <f>$L254*'MWh Impact Summary'!P$31</f>
        <v>374198.67977551179</v>
      </c>
      <c r="X254" s="302">
        <f>$L254*'MWh Impact Summary'!Q$31</f>
        <v>128683.68527995647</v>
      </c>
      <c r="Y254" s="85">
        <f t="shared" si="87"/>
        <v>1174424.3745079006</v>
      </c>
      <c r="Z254" s="81">
        <f t="shared" si="88"/>
        <v>1935164.1307296045</v>
      </c>
      <c r="AA254" s="81"/>
      <c r="AB254" s="262">
        <f>+'MWh by mo-WgtbyActulCDH&amp;Days'!AB254</f>
        <v>5450014.5728547378</v>
      </c>
      <c r="AC254" s="308">
        <f t="shared" si="106"/>
        <v>355.07503784819392</v>
      </c>
      <c r="AD254" s="309">
        <f t="shared" si="89"/>
        <v>139.58490313232792</v>
      </c>
      <c r="AE254" s="107">
        <f t="shared" si="90"/>
        <v>1.1196649983876572E-2</v>
      </c>
      <c r="AF254" s="309">
        <f t="shared" si="107"/>
        <v>215.49013471586602</v>
      </c>
      <c r="AG254" s="107">
        <f t="shared" si="91"/>
        <v>1.7285304923732567E-2</v>
      </c>
      <c r="AH254" s="119">
        <f t="shared" si="108"/>
        <v>2.8481954907609137E-2</v>
      </c>
      <c r="AI254" s="122">
        <f t="shared" si="92"/>
        <v>2.8481954907609137E-2</v>
      </c>
      <c r="AJ254" s="87" t="b">
        <f t="shared" si="109"/>
        <v>1</v>
      </c>
      <c r="AK254" s="88">
        <f t="shared" si="110"/>
        <v>7.4935919670613554E-4</v>
      </c>
      <c r="AM254" s="89">
        <f t="shared" si="93"/>
        <v>374198.67977551179</v>
      </c>
      <c r="AN254" s="90"/>
      <c r="AO254" s="96">
        <f t="shared" si="111"/>
        <v>68.660124624126496</v>
      </c>
      <c r="AP254" s="92">
        <f t="shared" si="114"/>
        <v>5.50749662760373E-3</v>
      </c>
      <c r="AR254" s="94">
        <f t="shared" si="94"/>
        <v>2.8481954907609137E-2</v>
      </c>
      <c r="AS254" s="95"/>
    </row>
    <row r="255" spans="1:45">
      <c r="A255" s="78">
        <f t="shared" si="112"/>
        <v>2025</v>
      </c>
      <c r="B255" s="78">
        <f t="shared" si="113"/>
        <v>11</v>
      </c>
      <c r="C255" s="317">
        <f t="shared" si="101"/>
        <v>78.117279066674627</v>
      </c>
      <c r="D255" s="324">
        <f t="shared" si="104"/>
        <v>3.9729981188725644E-2</v>
      </c>
      <c r="E255" s="321">
        <f>$D255*'MWh Impact Summary'!B$31</f>
        <v>137253.4471253556</v>
      </c>
      <c r="F255" s="321">
        <f>$D255*'MWh Impact Summary'!N$31</f>
        <v>25671.325762015062</v>
      </c>
      <c r="G255" s="321">
        <f>$D255*'MWh Impact Summary'!C$31</f>
        <v>99842.862901219225</v>
      </c>
      <c r="H255" s="321">
        <f>$D255*'MWh Impact Summary'!D$31</f>
        <v>502.07184375671858</v>
      </c>
      <c r="I255" s="321">
        <f>$D255*'MWh Impact Summary'!E$31</f>
        <v>35522.597531899955</v>
      </c>
      <c r="J255" s="104">
        <f t="shared" si="95"/>
        <v>298792.30516424659</v>
      </c>
      <c r="K255" s="298">
        <f t="shared" si="102"/>
        <v>13.15</v>
      </c>
      <c r="L255" s="300">
        <f t="shared" si="105"/>
        <v>9.2573037662794788E-2</v>
      </c>
      <c r="M255" s="297">
        <f t="shared" si="96"/>
        <v>8.3333333333333329E-2</v>
      </c>
      <c r="N255" s="302">
        <f>$L255*'MWh Impact Summary'!F$31</f>
        <v>206155.35689746778</v>
      </c>
      <c r="O255" s="302">
        <f>$L255*'MWh Impact Summary'!G$31</f>
        <v>37953.005557236291</v>
      </c>
      <c r="P255" s="304">
        <f>$M255*'MWh Impact Summary'!H$31</f>
        <v>11693.896637775168</v>
      </c>
      <c r="Q255" s="304">
        <f>$M255*'MWh Impact Summary'!I$31</f>
        <v>1932.7575973273326</v>
      </c>
      <c r="R255" s="304">
        <f>$M255*'MWh Impact Summary'!J$31</f>
        <v>49500.506240141178</v>
      </c>
      <c r="S255" s="304">
        <f>$M255*'MWh Impact Summary'!K$31</f>
        <v>37424.968535265747</v>
      </c>
      <c r="T255" s="304">
        <f>$M255*'MWh Impact Summary'!L$31</f>
        <v>13462.03689171911</v>
      </c>
      <c r="U255" s="304">
        <f>$M255*'MWh Impact Summary'!M$31</f>
        <v>41713.880513651558</v>
      </c>
      <c r="V255" s="302">
        <f>$L255*'MWh Impact Summary'!O$31</f>
        <v>299978.82582850388</v>
      </c>
      <c r="W255" s="302">
        <f>$L255*'MWh Impact Summary'!P$31</f>
        <v>394709.56997711066</v>
      </c>
      <c r="X255" s="302">
        <f>$L255*'MWh Impact Summary'!Q$31</f>
        <v>135737.20278861717</v>
      </c>
      <c r="Y255" s="85">
        <f t="shared" si="87"/>
        <v>1230262.0074648161</v>
      </c>
      <c r="Z255" s="81">
        <f t="shared" si="88"/>
        <v>1529054.3126290627</v>
      </c>
      <c r="AA255" s="81"/>
      <c r="AB255" s="262">
        <f>+'MWh by mo-WgtbyActulCDH&amp;Days'!AB255</f>
        <v>5454581.94816502</v>
      </c>
      <c r="AC255" s="308">
        <f t="shared" si="106"/>
        <v>280.3247484701285</v>
      </c>
      <c r="AD255" s="309">
        <f t="shared" si="89"/>
        <v>54.778222786581011</v>
      </c>
      <c r="AE255" s="107">
        <f t="shared" si="90"/>
        <v>4.1656443183711797E-3</v>
      </c>
      <c r="AF255" s="309">
        <f t="shared" si="107"/>
        <v>225.54652568354749</v>
      </c>
      <c r="AG255" s="107">
        <f t="shared" si="91"/>
        <v>1.7151827048178515E-2</v>
      </c>
      <c r="AH255" s="119">
        <f t="shared" si="108"/>
        <v>2.1317471366549694E-2</v>
      </c>
      <c r="AI255" s="122">
        <f t="shared" si="92"/>
        <v>2.1317471366549698E-2</v>
      </c>
      <c r="AJ255" s="87" t="b">
        <f t="shared" si="109"/>
        <v>1</v>
      </c>
      <c r="AK255" s="88">
        <f t="shared" si="110"/>
        <v>7.179998572966681E-4</v>
      </c>
      <c r="AM255" s="89">
        <f t="shared" si="93"/>
        <v>394709.56997711066</v>
      </c>
      <c r="AN255" s="90"/>
      <c r="AO255" s="96">
        <f t="shared" si="111"/>
        <v>72.362937018463029</v>
      </c>
      <c r="AP255" s="92">
        <f t="shared" si="114"/>
        <v>5.5028849443698119E-3</v>
      </c>
      <c r="AR255" s="94">
        <f t="shared" si="94"/>
        <v>2.1317471366549698E-2</v>
      </c>
      <c r="AS255" s="95"/>
    </row>
    <row r="256" spans="1:45">
      <c r="A256" s="78">
        <f t="shared" si="112"/>
        <v>2025</v>
      </c>
      <c r="B256" s="78">
        <f t="shared" si="113"/>
        <v>12</v>
      </c>
      <c r="C256" s="317">
        <f t="shared" si="101"/>
        <v>42.633806123140985</v>
      </c>
      <c r="D256" s="324">
        <f t="shared" si="104"/>
        <v>2.1683298951445065E-2</v>
      </c>
      <c r="E256" s="321">
        <f>$D256*'MWh Impact Summary'!B$31</f>
        <v>74908.354776165535</v>
      </c>
      <c r="F256" s="321">
        <f>$D256*'MWh Impact Summary'!N$31</f>
        <v>14010.553600152869</v>
      </c>
      <c r="G256" s="321">
        <f>$D256*'MWh Impact Summary'!C$31</f>
        <v>54490.905348569104</v>
      </c>
      <c r="H256" s="321">
        <f>$D256*'MWh Impact Summary'!D$31</f>
        <v>274.01407092459129</v>
      </c>
      <c r="I256" s="321">
        <f>$D256*'MWh Impact Summary'!E$31</f>
        <v>19387.049245183833</v>
      </c>
      <c r="J256" s="104">
        <f t="shared" si="95"/>
        <v>163070.87704099593</v>
      </c>
      <c r="K256" s="298">
        <f t="shared" si="102"/>
        <v>13.483333333333333</v>
      </c>
      <c r="L256" s="300">
        <f t="shared" si="105"/>
        <v>9.491962923853102E-2</v>
      </c>
      <c r="M256" s="297">
        <f t="shared" si="96"/>
        <v>8.3333333333333329E-2</v>
      </c>
      <c r="N256" s="302">
        <f>$L256*'MWh Impact Summary'!F$31</f>
        <v>211381.09471489408</v>
      </c>
      <c r="O256" s="302">
        <f>$L256*'MWh Impact Summary'!G$31</f>
        <v>38915.058930043291</v>
      </c>
      <c r="P256" s="304">
        <f>$M256*'MWh Impact Summary'!H$31</f>
        <v>11693.896637775168</v>
      </c>
      <c r="Q256" s="304">
        <f>$M256*'MWh Impact Summary'!I$31</f>
        <v>1932.7575973273326</v>
      </c>
      <c r="R256" s="304">
        <f>$M256*'MWh Impact Summary'!J$31</f>
        <v>49500.506240141178</v>
      </c>
      <c r="S256" s="304">
        <f>$M256*'MWh Impact Summary'!K$31</f>
        <v>37424.968535265747</v>
      </c>
      <c r="T256" s="304">
        <f>$M256*'MWh Impact Summary'!L$31</f>
        <v>13462.03689171911</v>
      </c>
      <c r="U256" s="304">
        <f>$M256*'MWh Impact Summary'!M$31</f>
        <v>41713.880513651558</v>
      </c>
      <c r="V256" s="302">
        <f>$L256*'MWh Impact Summary'!O$31</f>
        <v>307582.85183176125</v>
      </c>
      <c r="W256" s="302">
        <f>$L256*'MWh Impact Summary'!P$31</f>
        <v>404714.88227057352</v>
      </c>
      <c r="X256" s="302">
        <f>$L256*'MWh Impact Summary'!Q$31</f>
        <v>139177.94303674434</v>
      </c>
      <c r="Y256" s="85">
        <f t="shared" si="87"/>
        <v>1257499.8771998966</v>
      </c>
      <c r="Z256" s="81">
        <f t="shared" si="88"/>
        <v>1420570.7542408926</v>
      </c>
      <c r="AA256" s="81">
        <f>SUM(Z245:Z256)</f>
        <v>20996729.792061802</v>
      </c>
      <c r="AB256" s="262">
        <f>+'MWh by mo-WgtbyActulCDH&amp;Days'!AB256</f>
        <v>5459151.0861720592</v>
      </c>
      <c r="AC256" s="308">
        <f t="shared" si="106"/>
        <v>260.21825221858671</v>
      </c>
      <c r="AD256" s="309">
        <f t="shared" si="89"/>
        <v>29.871105317830789</v>
      </c>
      <c r="AE256" s="107">
        <f t="shared" si="90"/>
        <v>2.215409541495485E-3</v>
      </c>
      <c r="AF256" s="309">
        <f t="shared" si="107"/>
        <v>230.34714690075592</v>
      </c>
      <c r="AG256" s="107">
        <f t="shared" si="91"/>
        <v>1.7083842786211809E-2</v>
      </c>
      <c r="AH256" s="119">
        <f t="shared" si="108"/>
        <v>1.9299252327707295E-2</v>
      </c>
      <c r="AI256" s="122">
        <f t="shared" si="92"/>
        <v>1.9299252327707298E-2</v>
      </c>
      <c r="AJ256" s="87" t="b">
        <f t="shared" si="109"/>
        <v>1</v>
      </c>
      <c r="AK256" s="88">
        <f t="shared" si="110"/>
        <v>7.0922182204617365E-4</v>
      </c>
      <c r="AM256" s="89">
        <f t="shared" si="93"/>
        <v>404714.88227057352</v>
      </c>
      <c r="AN256" s="90">
        <f>SUM(AM245:AM256)</f>
        <v>4263763.8338592062</v>
      </c>
      <c r="AO256" s="96">
        <f t="shared" si="111"/>
        <v>74.13513124700097</v>
      </c>
      <c r="AP256" s="92">
        <f t="shared" si="114"/>
        <v>5.4982792024969819E-3</v>
      </c>
      <c r="AR256" s="94">
        <f t="shared" si="94"/>
        <v>1.9299252327707298E-2</v>
      </c>
      <c r="AS256" s="95"/>
    </row>
    <row r="257" spans="1:45">
      <c r="A257" s="78">
        <f t="shared" si="112"/>
        <v>2026</v>
      </c>
      <c r="B257" s="78">
        <f t="shared" si="113"/>
        <v>1</v>
      </c>
      <c r="C257" s="317">
        <f t="shared" si="101"/>
        <v>26.112829868525239</v>
      </c>
      <c r="D257" s="324">
        <f t="shared" si="104"/>
        <v>1.3280829182176284E-2</v>
      </c>
      <c r="E257" s="321">
        <f>$D257*'MWh Impact Summary'!B$32</f>
        <v>46129.807655694538</v>
      </c>
      <c r="F257" s="321">
        <f>$D257*'MWh Impact Summary'!N$32</f>
        <v>9198.3575070110764</v>
      </c>
      <c r="G257" s="321">
        <f>$D257*'MWh Impact Summary'!C$32</f>
        <v>33793.111949938575</v>
      </c>
      <c r="H257" s="321">
        <f>$D257*'MWh Impact Summary'!D$32</f>
        <v>169.93312024913459</v>
      </c>
      <c r="I257" s="321">
        <f>$D257*'MWh Impact Summary'!E$32</f>
        <v>12023.083876668879</v>
      </c>
      <c r="J257" s="104">
        <f t="shared" si="95"/>
        <v>101314.29410956221</v>
      </c>
      <c r="K257" s="298">
        <f t="shared" si="102"/>
        <v>13.3</v>
      </c>
      <c r="L257" s="300">
        <f t="shared" si="105"/>
        <v>9.3629003871876101E-2</v>
      </c>
      <c r="M257" s="297">
        <f t="shared" si="96"/>
        <v>8.3333333333333329E-2</v>
      </c>
      <c r="N257" s="302">
        <f>$L257*'MWh Impact Summary'!F$32</f>
        <v>220417.26212525796</v>
      </c>
      <c r="O257" s="302">
        <f>$L257*'MWh Impact Summary'!G$32</f>
        <v>44804.001695700841</v>
      </c>
      <c r="P257" s="304">
        <f>$M257*'MWh Impact Summary'!H$32</f>
        <v>12282.208216448696</v>
      </c>
      <c r="Q257" s="304">
        <f>$M257*'MWh Impact Summary'!I$32</f>
        <v>2023.6130776553518</v>
      </c>
      <c r="R257" s="304">
        <f>$M257*'MWh Impact Summary'!J$32</f>
        <v>51032.530102140889</v>
      </c>
      <c r="S257" s="304">
        <f>$M257*'MWh Impact Summary'!K$32</f>
        <v>40953.142512826613</v>
      </c>
      <c r="T257" s="304">
        <f>$M257*'MWh Impact Summary'!L$32</f>
        <v>14708.994700612997</v>
      </c>
      <c r="U257" s="304">
        <f>$M257*'MWh Impact Summary'!M$32</f>
        <v>45766.183014364775</v>
      </c>
      <c r="V257" s="302">
        <f>$L257*'MWh Impact Summary'!O$32</f>
        <v>332600.09409378044</v>
      </c>
      <c r="W257" s="302">
        <f>$L257*'MWh Impact Summary'!P$32</f>
        <v>400183.91907976964</v>
      </c>
      <c r="X257" s="302">
        <f>$L257*'MWh Impact Summary'!Q$32</f>
        <v>137285.53590027441</v>
      </c>
      <c r="Y257" s="85">
        <f t="shared" si="87"/>
        <v>1302057.4845188325</v>
      </c>
      <c r="Z257" s="81">
        <f t="shared" si="88"/>
        <v>1403371.7786283947</v>
      </c>
      <c r="AA257" s="81"/>
      <c r="AB257" s="262">
        <f>+'MWh by mo-WgtbyActulCDH&amp;Days'!AB257</f>
        <v>5463737.3974974714</v>
      </c>
      <c r="AC257" s="308">
        <f t="shared" si="106"/>
        <v>256.85198180849136</v>
      </c>
      <c r="AD257" s="309">
        <f t="shared" si="89"/>
        <v>18.54303871850918</v>
      </c>
      <c r="AE257" s="107">
        <f t="shared" si="90"/>
        <v>1.394213437481893E-3</v>
      </c>
      <c r="AF257" s="309">
        <f t="shared" si="107"/>
        <v>238.30894308998222</v>
      </c>
      <c r="AG257" s="107">
        <f t="shared" si="91"/>
        <v>1.7917965645863322E-2</v>
      </c>
      <c r="AH257" s="119">
        <f t="shared" si="108"/>
        <v>1.9312179083345215E-2</v>
      </c>
      <c r="AI257" s="122">
        <f t="shared" si="92"/>
        <v>1.9312179083345215E-2</v>
      </c>
      <c r="AJ257" s="87" t="b">
        <f t="shared" si="109"/>
        <v>1</v>
      </c>
      <c r="AK257" s="88">
        <f t="shared" si="110"/>
        <v>6.4430082716769241E-4</v>
      </c>
      <c r="AM257" s="89">
        <f t="shared" si="93"/>
        <v>400183.91907976964</v>
      </c>
      <c r="AN257" s="93"/>
      <c r="AO257" s="96">
        <f t="shared" si="111"/>
        <v>73.243622444787306</v>
      </c>
      <c r="AP257" s="92">
        <f t="shared" si="114"/>
        <v>5.5070392815629553E-3</v>
      </c>
      <c r="AR257" s="94">
        <f t="shared" si="94"/>
        <v>1.9312179083345215E-2</v>
      </c>
      <c r="AS257" s="95"/>
    </row>
    <row r="258" spans="1:45">
      <c r="A258" s="78">
        <f t="shared" si="112"/>
        <v>2026</v>
      </c>
      <c r="B258" s="78">
        <f t="shared" si="113"/>
        <v>2</v>
      </c>
      <c r="C258" s="317">
        <f t="shared" si="101"/>
        <v>35.042184420393127</v>
      </c>
      <c r="D258" s="324">
        <f t="shared" si="104"/>
        <v>1.7822245532205266E-2</v>
      </c>
      <c r="E258" s="321">
        <f>$D258*'MWh Impact Summary'!B$32</f>
        <v>61904.023244011754</v>
      </c>
      <c r="F258" s="321">
        <f>$D258*'MWh Impact Summary'!N$32</f>
        <v>12343.761352112459</v>
      </c>
      <c r="G258" s="321">
        <f>$D258*'MWh Impact Summary'!C$32</f>
        <v>45348.760247393933</v>
      </c>
      <c r="H258" s="321">
        <f>$D258*'MWh Impact Summary'!D$32</f>
        <v>228.0422217310346</v>
      </c>
      <c r="I258" s="321">
        <f>$D258*'MWh Impact Summary'!E$32</f>
        <v>16134.410733319744</v>
      </c>
      <c r="J258" s="104">
        <f t="shared" si="95"/>
        <v>135958.99779856892</v>
      </c>
      <c r="K258" s="298">
        <f t="shared" si="102"/>
        <v>12.733333333333333</v>
      </c>
      <c r="L258" s="300">
        <f t="shared" si="105"/>
        <v>8.9639798193124468E-2</v>
      </c>
      <c r="M258" s="297">
        <f t="shared" si="96"/>
        <v>8.3333333333333329E-2</v>
      </c>
      <c r="N258" s="302">
        <f>$L258*'MWh Impact Summary'!F$32</f>
        <v>211026.05045576071</v>
      </c>
      <c r="O258" s="302">
        <f>$L258*'MWh Impact Summary'!G$32</f>
        <v>42895.0592675632</v>
      </c>
      <c r="P258" s="304">
        <f>$M258*'MWh Impact Summary'!H$32</f>
        <v>12282.208216448696</v>
      </c>
      <c r="Q258" s="304">
        <f>$M258*'MWh Impact Summary'!I$32</f>
        <v>2023.6130776553518</v>
      </c>
      <c r="R258" s="304">
        <f>$M258*'MWh Impact Summary'!J$32</f>
        <v>51032.530102140889</v>
      </c>
      <c r="S258" s="304">
        <f>$M258*'MWh Impact Summary'!K$32</f>
        <v>40953.142512826613</v>
      </c>
      <c r="T258" s="304">
        <f>$M258*'MWh Impact Summary'!L$32</f>
        <v>14708.994700612997</v>
      </c>
      <c r="U258" s="304">
        <f>$M258*'MWh Impact Summary'!M$32</f>
        <v>45766.183014364775</v>
      </c>
      <c r="V258" s="302">
        <f>$L258*'MWh Impact Summary'!O$32</f>
        <v>318429.16276647639</v>
      </c>
      <c r="W258" s="302">
        <f>$L258*'MWh Impact Summary'!P$32</f>
        <v>383133.47641221044</v>
      </c>
      <c r="X258" s="302">
        <f>$L258*'MWh Impact Summary'!Q$32</f>
        <v>131436.27747845819</v>
      </c>
      <c r="Y258" s="85">
        <f t="shared" si="87"/>
        <v>1253686.6980045182</v>
      </c>
      <c r="Z258" s="81">
        <f t="shared" si="88"/>
        <v>1389645.6958030872</v>
      </c>
      <c r="AA258" s="81"/>
      <c r="AB258" s="262">
        <f>+'MWh by mo-WgtbyActulCDH&amp;Days'!AB258</f>
        <v>5468304.7475988464</v>
      </c>
      <c r="AC258" s="308">
        <f t="shared" si="106"/>
        <v>254.12733195114737</v>
      </c>
      <c r="AD258" s="309">
        <f t="shared" si="89"/>
        <v>24.863098176499584</v>
      </c>
      <c r="AE258" s="107">
        <f t="shared" si="90"/>
        <v>1.9525993332329516E-3</v>
      </c>
      <c r="AF258" s="309">
        <f t="shared" si="107"/>
        <v>229.26423377464778</v>
      </c>
      <c r="AG258" s="107">
        <f t="shared" si="91"/>
        <v>1.8005044537276003E-2</v>
      </c>
      <c r="AH258" s="119">
        <f t="shared" si="108"/>
        <v>1.9957643870508954E-2</v>
      </c>
      <c r="AI258" s="122">
        <f t="shared" si="92"/>
        <v>1.9957643870508957E-2</v>
      </c>
      <c r="AJ258" s="87" t="b">
        <f t="shared" si="109"/>
        <v>1</v>
      </c>
      <c r="AK258" s="88">
        <f t="shared" si="110"/>
        <v>6.5437101834919104E-4</v>
      </c>
      <c r="AM258" s="89">
        <f t="shared" si="93"/>
        <v>383133.47641221044</v>
      </c>
      <c r="AN258" s="93"/>
      <c r="AO258" s="96">
        <f t="shared" si="111"/>
        <v>70.064397303468837</v>
      </c>
      <c r="AP258" s="92">
        <f t="shared" si="114"/>
        <v>5.5024395788064529E-3</v>
      </c>
      <c r="AR258" s="94">
        <f t="shared" si="94"/>
        <v>1.9957643870508957E-2</v>
      </c>
      <c r="AS258" s="95"/>
    </row>
    <row r="259" spans="1:45">
      <c r="A259" s="78">
        <f t="shared" si="112"/>
        <v>2026</v>
      </c>
      <c r="B259" s="78">
        <f t="shared" si="113"/>
        <v>3</v>
      </c>
      <c r="C259" s="317">
        <f t="shared" si="101"/>
        <v>64.582270600115152</v>
      </c>
      <c r="D259" s="324">
        <f t="shared" si="104"/>
        <v>3.2846156787895278E-2</v>
      </c>
      <c r="E259" s="321">
        <f>$D259*'MWh Impact Summary'!B$32</f>
        <v>114088.27521762509</v>
      </c>
      <c r="F259" s="321">
        <f>$D259*'MWh Impact Summary'!N$32</f>
        <v>22749.384750153848</v>
      </c>
      <c r="G259" s="321">
        <f>$D259*'MWh Impact Summary'!C$32</f>
        <v>83577.150058389074</v>
      </c>
      <c r="H259" s="321">
        <f>$D259*'MWh Impact Summary'!D$32</f>
        <v>420.27872165167707</v>
      </c>
      <c r="I259" s="321">
        <f>$D259*'MWh Impact Summary'!E$32</f>
        <v>29735.500146111277</v>
      </c>
      <c r="J259" s="104">
        <f t="shared" si="95"/>
        <v>250570.58889393095</v>
      </c>
      <c r="K259" s="298">
        <f t="shared" si="102"/>
        <v>12</v>
      </c>
      <c r="L259" s="300">
        <f t="shared" si="105"/>
        <v>8.4477296726504739E-2</v>
      </c>
      <c r="M259" s="297">
        <f t="shared" si="96"/>
        <v>8.3333333333333329E-2</v>
      </c>
      <c r="N259" s="302">
        <f>$L259*'MWh Impact Summary'!F$32</f>
        <v>198872.71770699963</v>
      </c>
      <c r="O259" s="302">
        <f>$L259*'MWh Impact Summary'!G$32</f>
        <v>40424.663184090976</v>
      </c>
      <c r="P259" s="304">
        <f>$M259*'MWh Impact Summary'!H$32</f>
        <v>12282.208216448696</v>
      </c>
      <c r="Q259" s="304">
        <f>$M259*'MWh Impact Summary'!I$32</f>
        <v>2023.6130776553518</v>
      </c>
      <c r="R259" s="304">
        <f>$M259*'MWh Impact Summary'!J$32</f>
        <v>51032.530102140889</v>
      </c>
      <c r="S259" s="304">
        <f>$M259*'MWh Impact Summary'!K$32</f>
        <v>40953.142512826613</v>
      </c>
      <c r="T259" s="304">
        <f>$M259*'MWh Impact Summary'!L$32</f>
        <v>14708.994700612997</v>
      </c>
      <c r="U259" s="304">
        <f>$M259*'MWh Impact Summary'!M$32</f>
        <v>45766.183014364775</v>
      </c>
      <c r="V259" s="302">
        <f>$L259*'MWh Impact Summary'!O$32</f>
        <v>300090.31046055368</v>
      </c>
      <c r="W259" s="302">
        <f>$L259*'MWh Impact Summary'!P$32</f>
        <v>361068.1976659575</v>
      </c>
      <c r="X259" s="302">
        <f>$L259*'MWh Impact Summary'!Q$32</f>
        <v>123866.64893257839</v>
      </c>
      <c r="Y259" s="85">
        <f t="shared" si="87"/>
        <v>1191089.2095742295</v>
      </c>
      <c r="Z259" s="81">
        <f t="shared" si="88"/>
        <v>1441659.7984681604</v>
      </c>
      <c r="AA259" s="81"/>
      <c r="AB259" s="262">
        <f>+'MWh by mo-WgtbyActulCDH&amp;Days'!AB259</f>
        <v>5472890.5962758642</v>
      </c>
      <c r="AC259" s="308">
        <f t="shared" si="106"/>
        <v>263.41834778300995</v>
      </c>
      <c r="AD259" s="309">
        <f t="shared" si="89"/>
        <v>45.783957213476299</v>
      </c>
      <c r="AE259" s="107">
        <f t="shared" si="90"/>
        <v>3.8153297677896917E-3</v>
      </c>
      <c r="AF259" s="309">
        <f t="shared" si="107"/>
        <v>217.63439056953368</v>
      </c>
      <c r="AG259" s="107">
        <f t="shared" si="91"/>
        <v>1.8136199214127808E-2</v>
      </c>
      <c r="AH259" s="119">
        <f t="shared" si="108"/>
        <v>2.19515289819175E-2</v>
      </c>
      <c r="AI259" s="122">
        <f t="shared" si="92"/>
        <v>2.1951528981917493E-2</v>
      </c>
      <c r="AJ259" s="87" t="b">
        <f t="shared" si="109"/>
        <v>1</v>
      </c>
      <c r="AK259" s="88">
        <f t="shared" si="110"/>
        <v>6.7242873428885117E-4</v>
      </c>
      <c r="AM259" s="89">
        <f t="shared" si="93"/>
        <v>361068.1976659575</v>
      </c>
      <c r="AN259" s="93"/>
      <c r="AO259" s="96">
        <f t="shared" si="111"/>
        <v>65.973947645080543</v>
      </c>
      <c r="AP259" s="92">
        <f t="shared" si="114"/>
        <v>5.4978289704233786E-3</v>
      </c>
      <c r="AR259" s="94">
        <f t="shared" si="94"/>
        <v>2.1951528981917493E-2</v>
      </c>
      <c r="AS259" s="95"/>
    </row>
    <row r="260" spans="1:45">
      <c r="A260" s="78">
        <f t="shared" si="112"/>
        <v>2026</v>
      </c>
      <c r="B260" s="78">
        <f t="shared" si="113"/>
        <v>4</v>
      </c>
      <c r="C260" s="317">
        <f t="shared" si="101"/>
        <v>114.03392869270741</v>
      </c>
      <c r="D260" s="324">
        <f t="shared" si="104"/>
        <v>5.7996974497419709E-2</v>
      </c>
      <c r="E260" s="321">
        <f>$D260*'MWh Impact Summary'!B$32</f>
        <v>201447.45794703352</v>
      </c>
      <c r="F260" s="321">
        <f>$D260*'MWh Impact Summary'!N$32</f>
        <v>40168.945661030746</v>
      </c>
      <c r="G260" s="321">
        <f>$D260*'MWh Impact Summary'!C$32</f>
        <v>147573.48544015194</v>
      </c>
      <c r="H260" s="321">
        <f>$D260*'MWh Impact Summary'!D$32</f>
        <v>742.09273428370466</v>
      </c>
      <c r="I260" s="321">
        <f>$D260*'MWh Impact Summary'!E$32</f>
        <v>52504.439249269715</v>
      </c>
      <c r="J260" s="104">
        <f t="shared" si="95"/>
        <v>442436.4210317696</v>
      </c>
      <c r="K260" s="298">
        <f t="shared" si="102"/>
        <v>11.2</v>
      </c>
      <c r="L260" s="300">
        <f t="shared" si="105"/>
        <v>7.8845476944737758E-2</v>
      </c>
      <c r="M260" s="297">
        <f t="shared" si="96"/>
        <v>8.3333333333333329E-2</v>
      </c>
      <c r="N260" s="302">
        <f>$L260*'MWh Impact Summary'!F$32</f>
        <v>185614.53652653299</v>
      </c>
      <c r="O260" s="302">
        <f>$L260*'MWh Impact Summary'!G$32</f>
        <v>37729.685638484909</v>
      </c>
      <c r="P260" s="304">
        <f>$M260*'MWh Impact Summary'!H$32</f>
        <v>12282.208216448696</v>
      </c>
      <c r="Q260" s="304">
        <f>$M260*'MWh Impact Summary'!I$32</f>
        <v>2023.6130776553518</v>
      </c>
      <c r="R260" s="304">
        <f>$M260*'MWh Impact Summary'!J$32</f>
        <v>51032.530102140889</v>
      </c>
      <c r="S260" s="304">
        <f>$M260*'MWh Impact Summary'!K$32</f>
        <v>40953.142512826613</v>
      </c>
      <c r="T260" s="304">
        <f>$M260*'MWh Impact Summary'!L$32</f>
        <v>14708.994700612997</v>
      </c>
      <c r="U260" s="304">
        <f>$M260*'MWh Impact Summary'!M$32</f>
        <v>45766.183014364775</v>
      </c>
      <c r="V260" s="302">
        <f>$L260*'MWh Impact Summary'!O$32</f>
        <v>280084.28976318345</v>
      </c>
      <c r="W260" s="302">
        <f>$L260*'MWh Impact Summary'!P$32</f>
        <v>336996.984488227</v>
      </c>
      <c r="X260" s="302">
        <f>$L260*'MWh Impact Summary'!Q$32</f>
        <v>115608.87233707318</v>
      </c>
      <c r="Y260" s="85">
        <f t="shared" si="87"/>
        <v>1122801.0403775508</v>
      </c>
      <c r="Z260" s="81">
        <f t="shared" si="88"/>
        <v>1565237.4614093204</v>
      </c>
      <c r="AA260" s="81"/>
      <c r="AB260" s="262">
        <f>+'MWh by mo-WgtbyActulCDH&amp;Days'!AB260</f>
        <v>5477458.5188071523</v>
      </c>
      <c r="AC260" s="308">
        <f t="shared" si="106"/>
        <v>285.75980192912317</v>
      </c>
      <c r="AD260" s="309">
        <f t="shared" si="89"/>
        <v>80.774034073035878</v>
      </c>
      <c r="AE260" s="107">
        <f t="shared" si="90"/>
        <v>7.2119673279496324E-3</v>
      </c>
      <c r="AF260" s="309">
        <f t="shared" si="107"/>
        <v>204.98576785608734</v>
      </c>
      <c r="AG260" s="107">
        <f t="shared" si="91"/>
        <v>1.8302300701436368E-2</v>
      </c>
      <c r="AH260" s="119">
        <f t="shared" si="108"/>
        <v>2.5514268029386E-2</v>
      </c>
      <c r="AI260" s="122">
        <f t="shared" si="92"/>
        <v>2.5514268029386E-2</v>
      </c>
      <c r="AJ260" s="87" t="b">
        <f t="shared" si="109"/>
        <v>1</v>
      </c>
      <c r="AK260" s="88">
        <f t="shared" si="110"/>
        <v>6.9942499875096792E-4</v>
      </c>
      <c r="AM260" s="89">
        <f t="shared" si="93"/>
        <v>336996.984488227</v>
      </c>
      <c r="AN260" s="93"/>
      <c r="AO260" s="96">
        <f t="shared" si="111"/>
        <v>61.52433347165104</v>
      </c>
      <c r="AP260" s="92">
        <f t="shared" si="114"/>
        <v>5.4932440599688428E-3</v>
      </c>
      <c r="AR260" s="94">
        <f t="shared" si="94"/>
        <v>2.5514268029386E-2</v>
      </c>
      <c r="AS260" s="95"/>
    </row>
    <row r="261" spans="1:45">
      <c r="A261" s="78">
        <f t="shared" si="112"/>
        <v>2026</v>
      </c>
      <c r="B261" s="78">
        <f t="shared" si="113"/>
        <v>5</v>
      </c>
      <c r="C261" s="317">
        <f t="shared" si="101"/>
        <v>208.47875842628665</v>
      </c>
      <c r="D261" s="324">
        <f t="shared" si="104"/>
        <v>0.10603105035770212</v>
      </c>
      <c r="E261" s="321">
        <f>$D261*'MWh Impact Summary'!B$32</f>
        <v>368289.65205699281</v>
      </c>
      <c r="F261" s="321">
        <f>$D261*'MWh Impact Summary'!N$32</f>
        <v>73437.546304937699</v>
      </c>
      <c r="G261" s="321">
        <f>$D261*'MWh Impact Summary'!C$32</f>
        <v>269796.34371897316</v>
      </c>
      <c r="H261" s="321">
        <f>$D261*'MWh Impact Summary'!D$32</f>
        <v>1356.7064965159698</v>
      </c>
      <c r="I261" s="321">
        <f>$D261*'MWh Impact Summary'!E$32</f>
        <v>95989.504457511139</v>
      </c>
      <c r="J261" s="104">
        <f t="shared" si="95"/>
        <v>808869.75303493079</v>
      </c>
      <c r="K261" s="298">
        <f t="shared" si="102"/>
        <v>10.533333333333333</v>
      </c>
      <c r="L261" s="300">
        <f t="shared" si="105"/>
        <v>7.4152293793265281E-2</v>
      </c>
      <c r="M261" s="297">
        <f t="shared" si="96"/>
        <v>8.3333333333333329E-2</v>
      </c>
      <c r="N261" s="302">
        <f>$L261*'MWh Impact Summary'!F$32</f>
        <v>174566.05220947749</v>
      </c>
      <c r="O261" s="302">
        <f>$L261*'MWh Impact Summary'!G$32</f>
        <v>35483.871017146528</v>
      </c>
      <c r="P261" s="304">
        <f>$M261*'MWh Impact Summary'!H$32</f>
        <v>12282.208216448696</v>
      </c>
      <c r="Q261" s="304">
        <f>$M261*'MWh Impact Summary'!I$32</f>
        <v>2023.6130776553518</v>
      </c>
      <c r="R261" s="304">
        <f>$M261*'MWh Impact Summary'!J$32</f>
        <v>51032.530102140889</v>
      </c>
      <c r="S261" s="304">
        <f>$M261*'MWh Impact Summary'!K$32</f>
        <v>40953.142512826613</v>
      </c>
      <c r="T261" s="304">
        <f>$M261*'MWh Impact Summary'!L$32</f>
        <v>14708.994700612997</v>
      </c>
      <c r="U261" s="304">
        <f>$M261*'MWh Impact Summary'!M$32</f>
        <v>45766.183014364775</v>
      </c>
      <c r="V261" s="302">
        <f>$L261*'MWh Impact Summary'!O$32</f>
        <v>263412.60584870831</v>
      </c>
      <c r="W261" s="302">
        <f>$L261*'MWh Impact Summary'!P$32</f>
        <v>316937.64017345163</v>
      </c>
      <c r="X261" s="302">
        <f>$L261*'MWh Impact Summary'!Q$32</f>
        <v>108727.39184081883</v>
      </c>
      <c r="Y261" s="85">
        <f t="shared" ref="Y261:Y268" si="115">SUM(N261:X261)</f>
        <v>1065894.2327136523</v>
      </c>
      <c r="Z261" s="81">
        <f t="shared" ref="Z261:Z268" si="116">Y261+J261</f>
        <v>1874763.985748583</v>
      </c>
      <c r="AA261" s="81"/>
      <c r="AB261" s="262">
        <f>+'MWh by mo-WgtbyActulCDH&amp;Days'!AB261</f>
        <v>5482057.5816175342</v>
      </c>
      <c r="AC261" s="308">
        <f t="shared" si="106"/>
        <v>341.981812090966</v>
      </c>
      <c r="AD261" s="309">
        <f t="shared" ref="AD261:AD268" si="117">+J261*1000/AB261</f>
        <v>147.54856930858176</v>
      </c>
      <c r="AE261" s="107">
        <f t="shared" ref="AE261:AE268" si="118">+AD261/K261/1000</f>
        <v>1.4007775567270422E-2</v>
      </c>
      <c r="AF261" s="309">
        <f t="shared" si="107"/>
        <v>194.43324278238424</v>
      </c>
      <c r="AG261" s="107">
        <f t="shared" ref="AG261:AG268" si="119">+AF261/K261/1000</f>
        <v>1.8458852162884579E-2</v>
      </c>
      <c r="AH261" s="119">
        <f t="shared" si="108"/>
        <v>3.2466627730155004E-2</v>
      </c>
      <c r="AI261" s="122">
        <f t="shared" ref="AI261:AI268" si="120">+AC261/K261/1000</f>
        <v>3.2466627730155004E-2</v>
      </c>
      <c r="AJ261" s="87" t="b">
        <f t="shared" si="109"/>
        <v>1</v>
      </c>
      <c r="AK261" s="88">
        <f t="shared" si="110"/>
        <v>7.370880666277696E-4</v>
      </c>
      <c r="AM261" s="89">
        <f t="shared" ref="AM261:AM268" si="121">+W261</f>
        <v>316937.64017345163</v>
      </c>
      <c r="AN261" s="93"/>
      <c r="AO261" s="96">
        <f t="shared" si="111"/>
        <v>57.813628451515839</v>
      </c>
      <c r="AP261" s="92">
        <f t="shared" si="114"/>
        <v>5.4886356124856815E-3</v>
      </c>
      <c r="AR261" s="94">
        <f t="shared" ref="AR261:AR268" si="122">AI261</f>
        <v>3.2466627730155004E-2</v>
      </c>
      <c r="AS261" s="95"/>
    </row>
    <row r="262" spans="1:45">
      <c r="A262" s="78">
        <f t="shared" si="112"/>
        <v>2026</v>
      </c>
      <c r="B262" s="78">
        <f t="shared" si="113"/>
        <v>6</v>
      </c>
      <c r="C262" s="317">
        <f t="shared" si="101"/>
        <v>271.66325293295364</v>
      </c>
      <c r="D262" s="324">
        <f t="shared" si="104"/>
        <v>0.13816630657965029</v>
      </c>
      <c r="E262" s="321">
        <f>$D262*'MWh Impact Summary'!B$32</f>
        <v>479908.67585065746</v>
      </c>
      <c r="F262" s="321">
        <f>$D262*'MWh Impact Summary'!N$32</f>
        <v>95694.558367526683</v>
      </c>
      <c r="G262" s="321">
        <f>$D262*'MWh Impact Summary'!C$32</f>
        <v>351564.6050339872</v>
      </c>
      <c r="H262" s="321">
        <f>$D262*'MWh Impact Summary'!D$32</f>
        <v>1767.8889825560636</v>
      </c>
      <c r="I262" s="321">
        <f>$D262*'MWh Impact Summary'!E$32</f>
        <v>125081.4290395436</v>
      </c>
      <c r="J262" s="104">
        <f t="shared" ref="J262:J267" si="123">SUM(E262:I262)</f>
        <v>1054017.1572742709</v>
      </c>
      <c r="K262" s="298">
        <f t="shared" si="102"/>
        <v>10.199999999999999</v>
      </c>
      <c r="L262" s="300">
        <f t="shared" si="105"/>
        <v>7.1805702217529022E-2</v>
      </c>
      <c r="M262" s="297">
        <f t="shared" ref="M262:M268" si="124">1/12</f>
        <v>8.3333333333333329E-2</v>
      </c>
      <c r="N262" s="302">
        <f>$L262*'MWh Impact Summary'!F$32</f>
        <v>169041.81005094969</v>
      </c>
      <c r="O262" s="302">
        <f>$L262*'MWh Impact Summary'!G$32</f>
        <v>34360.963706477327</v>
      </c>
      <c r="P262" s="304">
        <f>$M262*'MWh Impact Summary'!H$32</f>
        <v>12282.208216448696</v>
      </c>
      <c r="Q262" s="304">
        <f>$M262*'MWh Impact Summary'!I$32</f>
        <v>2023.6130776553518</v>
      </c>
      <c r="R262" s="304">
        <f>$M262*'MWh Impact Summary'!J$32</f>
        <v>51032.530102140889</v>
      </c>
      <c r="S262" s="304">
        <f>$M262*'MWh Impact Summary'!K$32</f>
        <v>40953.142512826613</v>
      </c>
      <c r="T262" s="304">
        <f>$M262*'MWh Impact Summary'!L$32</f>
        <v>14708.994700612997</v>
      </c>
      <c r="U262" s="304">
        <f>$M262*'MWh Impact Summary'!M$32</f>
        <v>45766.183014364775</v>
      </c>
      <c r="V262" s="302">
        <f>$L262*'MWh Impact Summary'!O$32</f>
        <v>255076.76389147062</v>
      </c>
      <c r="W262" s="302">
        <f>$L262*'MWh Impact Summary'!P$32</f>
        <v>306907.96801606385</v>
      </c>
      <c r="X262" s="302">
        <f>$L262*'MWh Impact Summary'!Q$32</f>
        <v>105286.65159269163</v>
      </c>
      <c r="Y262" s="85">
        <f t="shared" si="115"/>
        <v>1037440.8288817024</v>
      </c>
      <c r="Z262" s="81">
        <f t="shared" si="116"/>
        <v>2091457.9861559733</v>
      </c>
      <c r="AA262" s="81"/>
      <c r="AB262" s="262">
        <f>+'MWh by mo-WgtbyActulCDH&amp;Days'!AB262</f>
        <v>5486653.8083125623</v>
      </c>
      <c r="AC262" s="308">
        <f t="shared" si="106"/>
        <v>381.190076725327</v>
      </c>
      <c r="AD262" s="309">
        <f t="shared" si="117"/>
        <v>192.10564291069008</v>
      </c>
      <c r="AE262" s="107">
        <f t="shared" si="118"/>
        <v>1.8833886559871577E-2</v>
      </c>
      <c r="AF262" s="309">
        <f t="shared" si="107"/>
        <v>189.08443381463695</v>
      </c>
      <c r="AG262" s="107">
        <f t="shared" si="119"/>
        <v>1.8537689589670291E-2</v>
      </c>
      <c r="AH262" s="119">
        <f t="shared" si="108"/>
        <v>3.7371576149541869E-2</v>
      </c>
      <c r="AI262" s="122">
        <f t="shared" si="120"/>
        <v>3.7371576149541869E-2</v>
      </c>
      <c r="AJ262" s="87" t="b">
        <f t="shared" si="109"/>
        <v>1</v>
      </c>
      <c r="AK262" s="88">
        <f t="shared" si="110"/>
        <v>7.6206210671429797E-4</v>
      </c>
      <c r="AM262" s="89">
        <f t="shared" si="121"/>
        <v>306907.96801606385</v>
      </c>
      <c r="AN262" s="93"/>
      <c r="AO262" s="96">
        <f t="shared" si="111"/>
        <v>55.937184801250361</v>
      </c>
      <c r="AP262" s="92">
        <f t="shared" si="114"/>
        <v>5.4840377256127814E-3</v>
      </c>
      <c r="AR262" s="94">
        <f t="shared" si="122"/>
        <v>3.7371576149541869E-2</v>
      </c>
      <c r="AS262" s="95"/>
    </row>
    <row r="263" spans="1:45">
      <c r="A263" s="78">
        <f t="shared" si="112"/>
        <v>2026</v>
      </c>
      <c r="B263" s="78">
        <f t="shared" si="113"/>
        <v>7</v>
      </c>
      <c r="C263" s="317">
        <f t="shared" si="101"/>
        <v>322.31916585708109</v>
      </c>
      <c r="D263" s="324">
        <f t="shared" si="104"/>
        <v>0.16392960109808263</v>
      </c>
      <c r="E263" s="321">
        <f>$D263*'MWh Impact Summary'!B$32</f>
        <v>569395.24362515134</v>
      </c>
      <c r="F263" s="321">
        <f>$D263*'MWh Impact Summary'!N$32</f>
        <v>113538.32326264345</v>
      </c>
      <c r="G263" s="321">
        <f>$D263*'MWh Impact Summary'!C$32</f>
        <v>417119.38959736773</v>
      </c>
      <c r="H263" s="321">
        <f>$D263*'MWh Impact Summary'!D$32</f>
        <v>2097.5398624341237</v>
      </c>
      <c r="I263" s="321">
        <f>$D263*'MWh Impact Summary'!E$32</f>
        <v>148404.84105587655</v>
      </c>
      <c r="J263" s="104">
        <f t="shared" si="123"/>
        <v>1250555.3374034732</v>
      </c>
      <c r="K263" s="298">
        <f t="shared" si="102"/>
        <v>10.366666666666667</v>
      </c>
      <c r="L263" s="300">
        <f t="shared" si="105"/>
        <v>7.2978998005397158E-2</v>
      </c>
      <c r="M263" s="297">
        <f t="shared" si="124"/>
        <v>8.3333333333333329E-2</v>
      </c>
      <c r="N263" s="302">
        <f>$L263*'MWh Impact Summary'!F$32</f>
        <v>171803.9311302136</v>
      </c>
      <c r="O263" s="302">
        <f>$L263*'MWh Impact Summary'!G$32</f>
        <v>34922.417361811931</v>
      </c>
      <c r="P263" s="304">
        <f>$M263*'MWh Impact Summary'!H$32</f>
        <v>12282.208216448696</v>
      </c>
      <c r="Q263" s="304">
        <f>$M263*'MWh Impact Summary'!I$32</f>
        <v>2023.6130776553518</v>
      </c>
      <c r="R263" s="304">
        <f>$M263*'MWh Impact Summary'!J$32</f>
        <v>51032.530102140889</v>
      </c>
      <c r="S263" s="304">
        <f>$M263*'MWh Impact Summary'!K$32</f>
        <v>40953.142512826613</v>
      </c>
      <c r="T263" s="304">
        <f>$M263*'MWh Impact Summary'!L$32</f>
        <v>14708.994700612997</v>
      </c>
      <c r="U263" s="304">
        <f>$M263*'MWh Impact Summary'!M$32</f>
        <v>45766.183014364775</v>
      </c>
      <c r="V263" s="302">
        <f>$L263*'MWh Impact Summary'!O$32</f>
        <v>259244.68487008949</v>
      </c>
      <c r="W263" s="302">
        <f>$L263*'MWh Impact Summary'!P$32</f>
        <v>311922.80409475777</v>
      </c>
      <c r="X263" s="302">
        <f>$L263*'MWh Impact Summary'!Q$32</f>
        <v>107007.02171675525</v>
      </c>
      <c r="Y263" s="85">
        <f t="shared" si="115"/>
        <v>1051667.5307976773</v>
      </c>
      <c r="Z263" s="81">
        <f t="shared" si="116"/>
        <v>2302222.8682011506</v>
      </c>
      <c r="AA263" s="81"/>
      <c r="AB263" s="262">
        <f>+'MWh by mo-WgtbyActulCDH&amp;Days'!AB263</f>
        <v>5491282.4171985919</v>
      </c>
      <c r="AC263" s="308">
        <f t="shared" si="106"/>
        <v>419.25049438190109</v>
      </c>
      <c r="AD263" s="309">
        <f t="shared" si="117"/>
        <v>227.73466057523424</v>
      </c>
      <c r="AE263" s="107">
        <f t="shared" si="118"/>
        <v>2.1967973688929349E-2</v>
      </c>
      <c r="AF263" s="309">
        <f t="shared" si="107"/>
        <v>191.51583380666685</v>
      </c>
      <c r="AG263" s="107">
        <f t="shared" si="119"/>
        <v>1.8474196187138279E-2</v>
      </c>
      <c r="AH263" s="119">
        <f t="shared" si="108"/>
        <v>4.0442169876067628E-2</v>
      </c>
      <c r="AI263" s="122">
        <f t="shared" si="120"/>
        <v>4.0442169876067628E-2</v>
      </c>
      <c r="AJ263" s="87" t="b">
        <f t="shared" si="109"/>
        <v>1</v>
      </c>
      <c r="AK263" s="88">
        <f t="shared" si="110"/>
        <v>7.7197335295191988E-4</v>
      </c>
      <c r="AM263" s="89">
        <f t="shared" si="121"/>
        <v>311922.80409475777</v>
      </c>
      <c r="AN263" s="93"/>
      <c r="AO263" s="96">
        <f t="shared" si="111"/>
        <v>56.803271148069442</v>
      </c>
      <c r="AP263" s="92">
        <f t="shared" si="114"/>
        <v>5.4794152232864411E-3</v>
      </c>
      <c r="AR263" s="94">
        <f t="shared" si="122"/>
        <v>4.0442169876067628E-2</v>
      </c>
      <c r="AS263" s="95"/>
    </row>
    <row r="264" spans="1:45">
      <c r="A264" s="78">
        <f t="shared" si="112"/>
        <v>2026</v>
      </c>
      <c r="B264" s="78">
        <f t="shared" si="113"/>
        <v>8</v>
      </c>
      <c r="C264" s="317">
        <f t="shared" si="101"/>
        <v>326.45437890907908</v>
      </c>
      <c r="D264" s="324">
        <f t="shared" si="104"/>
        <v>0.16603274573816959</v>
      </c>
      <c r="E264" s="321">
        <f>$D264*'MWh Impact Summary'!B$32</f>
        <v>576700.33402188041</v>
      </c>
      <c r="F264" s="321">
        <f>$D264*'MWh Impact Summary'!N$32</f>
        <v>114994.96998425302</v>
      </c>
      <c r="G264" s="321">
        <f>$D264*'MWh Impact Summary'!C$32</f>
        <v>422470.84780035063</v>
      </c>
      <c r="H264" s="321">
        <f>$D264*'MWh Impact Summary'!D$32</f>
        <v>2124.4503757855691</v>
      </c>
      <c r="I264" s="321">
        <f>$D264*'MWh Impact Summary'!E$32</f>
        <v>150308.80985674539</v>
      </c>
      <c r="J264" s="104">
        <f t="shared" si="123"/>
        <v>1266599.412039015</v>
      </c>
      <c r="K264" s="298">
        <f t="shared" si="102"/>
        <v>10.933333333333334</v>
      </c>
      <c r="L264" s="300">
        <f t="shared" si="105"/>
        <v>7.6968203684148764E-2</v>
      </c>
      <c r="M264" s="297">
        <f t="shared" si="124"/>
        <v>8.3333333333333329E-2</v>
      </c>
      <c r="N264" s="302">
        <f>$L264*'MWh Impact Summary'!F$32</f>
        <v>181195.1427997108</v>
      </c>
      <c r="O264" s="302">
        <f>$L264*'MWh Impact Summary'!G$32</f>
        <v>36831.359789949558</v>
      </c>
      <c r="P264" s="304">
        <f>$M264*'MWh Impact Summary'!H$32</f>
        <v>12282.208216448696</v>
      </c>
      <c r="Q264" s="304">
        <f>$M264*'MWh Impact Summary'!I$32</f>
        <v>2023.6130776553518</v>
      </c>
      <c r="R264" s="304">
        <f>$M264*'MWh Impact Summary'!J$32</f>
        <v>51032.530102140889</v>
      </c>
      <c r="S264" s="304">
        <f>$M264*'MWh Impact Summary'!K$32</f>
        <v>40953.142512826613</v>
      </c>
      <c r="T264" s="304">
        <f>$M264*'MWh Impact Summary'!L$32</f>
        <v>14708.994700612997</v>
      </c>
      <c r="U264" s="304">
        <f>$M264*'MWh Impact Summary'!M$32</f>
        <v>45766.183014364775</v>
      </c>
      <c r="V264" s="302">
        <f>$L264*'MWh Impact Summary'!O$32</f>
        <v>273415.61619739339</v>
      </c>
      <c r="W264" s="302">
        <f>$L264*'MWh Impact Summary'!P$32</f>
        <v>328973.24676231685</v>
      </c>
      <c r="X264" s="302">
        <f>$L264*'MWh Impact Summary'!Q$32</f>
        <v>112856.28013857143</v>
      </c>
      <c r="Y264" s="85">
        <f t="shared" si="115"/>
        <v>1100038.3173119915</v>
      </c>
      <c r="Z264" s="81">
        <f t="shared" si="116"/>
        <v>2366637.7293510064</v>
      </c>
      <c r="AA264" s="81"/>
      <c r="AB264" s="262">
        <f>+'MWh by mo-WgtbyActulCDH&amp;Days'!AB264</f>
        <v>5495927.0258769719</v>
      </c>
      <c r="AC264" s="308">
        <f t="shared" si="106"/>
        <v>430.61665815574906</v>
      </c>
      <c r="AD264" s="309">
        <f t="shared" si="117"/>
        <v>230.46146829740826</v>
      </c>
      <c r="AE264" s="107">
        <f t="shared" si="118"/>
        <v>2.1078792832080022E-2</v>
      </c>
      <c r="AF264" s="309">
        <f t="shared" si="107"/>
        <v>200.15518985834078</v>
      </c>
      <c r="AG264" s="107">
        <f t="shared" si="119"/>
        <v>1.8306877121189703E-2</v>
      </c>
      <c r="AH264" s="119">
        <f t="shared" si="108"/>
        <v>3.9385669953269725E-2</v>
      </c>
      <c r="AI264" s="122">
        <f t="shared" si="120"/>
        <v>3.9385669953269732E-2</v>
      </c>
      <c r="AJ264" s="87" t="b">
        <f t="shared" si="109"/>
        <v>1</v>
      </c>
      <c r="AK264" s="88">
        <f t="shared" si="110"/>
        <v>7.5917824529072447E-4</v>
      </c>
      <c r="AM264" s="89">
        <f t="shared" si="121"/>
        <v>328973.24676231685</v>
      </c>
      <c r="AN264" s="93"/>
      <c r="AO264" s="96">
        <f t="shared" si="111"/>
        <v>59.857644618165821</v>
      </c>
      <c r="AP264" s="92">
        <f t="shared" si="114"/>
        <v>5.4747845687346782E-3</v>
      </c>
      <c r="AR264" s="94">
        <f t="shared" si="122"/>
        <v>3.9385669953269732E-2</v>
      </c>
      <c r="AS264" s="95"/>
    </row>
    <row r="265" spans="1:45">
      <c r="A265" s="78">
        <f t="shared" si="112"/>
        <v>2026</v>
      </c>
      <c r="B265" s="78">
        <f t="shared" si="113"/>
        <v>9</v>
      </c>
      <c r="C265" s="317">
        <f t="shared" si="101"/>
        <v>277.87653293728147</v>
      </c>
      <c r="D265" s="324">
        <f t="shared" si="104"/>
        <v>0.14132634365008559</v>
      </c>
      <c r="E265" s="321">
        <f>$D265*'MWh Impact Summary'!B$32</f>
        <v>490884.79038721666</v>
      </c>
      <c r="F265" s="321">
        <f>$D265*'MWh Impact Summary'!N$32</f>
        <v>97883.213180456718</v>
      </c>
      <c r="G265" s="321">
        <f>$D265*'MWh Impact Summary'!C$32</f>
        <v>359605.32937599532</v>
      </c>
      <c r="H265" s="321">
        <f>$D265*'MWh Impact Summary'!D$32</f>
        <v>1808.3228253618038</v>
      </c>
      <c r="I265" s="321">
        <f>$D265*'MWh Impact Summary'!E$32</f>
        <v>127942.19851636334</v>
      </c>
      <c r="J265" s="104">
        <f t="shared" si="123"/>
        <v>1078123.8542853938</v>
      </c>
      <c r="K265" s="298">
        <f t="shared" si="102"/>
        <v>11.683333333333334</v>
      </c>
      <c r="L265" s="300">
        <f t="shared" si="105"/>
        <v>8.2248034729555317E-2</v>
      </c>
      <c r="M265" s="297">
        <f t="shared" si="124"/>
        <v>8.3333333333333329E-2</v>
      </c>
      <c r="N265" s="302">
        <f>$L265*'MWh Impact Summary'!F$32</f>
        <v>193624.68765639828</v>
      </c>
      <c r="O265" s="302">
        <f>$L265*'MWh Impact Summary'!G$32</f>
        <v>39357.901238955244</v>
      </c>
      <c r="P265" s="304">
        <f>$M265*'MWh Impact Summary'!H$32</f>
        <v>12282.208216448696</v>
      </c>
      <c r="Q265" s="304">
        <f>$M265*'MWh Impact Summary'!I$32</f>
        <v>2023.6130776553518</v>
      </c>
      <c r="R265" s="304">
        <f>$M265*'MWh Impact Summary'!J$32</f>
        <v>51032.530102140889</v>
      </c>
      <c r="S265" s="304">
        <f>$M265*'MWh Impact Summary'!K$32</f>
        <v>40953.142512826613</v>
      </c>
      <c r="T265" s="304">
        <f>$M265*'MWh Impact Summary'!L$32</f>
        <v>14708.994700612997</v>
      </c>
      <c r="U265" s="304">
        <f>$M265*'MWh Impact Summary'!M$32</f>
        <v>45766.183014364775</v>
      </c>
      <c r="V265" s="302">
        <f>$L265*'MWh Impact Summary'!O$32</f>
        <v>292171.26060117799</v>
      </c>
      <c r="W265" s="302">
        <f>$L265*'MWh Impact Summary'!P$32</f>
        <v>351540.00911643921</v>
      </c>
      <c r="X265" s="302">
        <f>$L265*'MWh Impact Summary'!Q$32</f>
        <v>120597.9456968576</v>
      </c>
      <c r="Y265" s="85">
        <f t="shared" si="115"/>
        <v>1164058.4759338775</v>
      </c>
      <c r="Z265" s="81">
        <f t="shared" si="116"/>
        <v>2242182.3302192716</v>
      </c>
      <c r="AA265" s="81"/>
      <c r="AB265" s="262">
        <f>+'MWh by mo-WgtbyActulCDH&amp;Days'!AB265</f>
        <v>5500513.1358683985</v>
      </c>
      <c r="AC265" s="308">
        <f t="shared" si="106"/>
        <v>407.63148361526186</v>
      </c>
      <c r="AD265" s="309">
        <f t="shared" si="117"/>
        <v>196.00423226971972</v>
      </c>
      <c r="AE265" s="107">
        <f t="shared" si="118"/>
        <v>1.6776396485282712E-2</v>
      </c>
      <c r="AF265" s="309">
        <f t="shared" si="107"/>
        <v>211.62725134554208</v>
      </c>
      <c r="AG265" s="107">
        <f t="shared" si="119"/>
        <v>1.8113602112314584E-2</v>
      </c>
      <c r="AH265" s="119">
        <f t="shared" si="108"/>
        <v>3.4889998597597296E-2</v>
      </c>
      <c r="AI265" s="122">
        <f t="shared" si="120"/>
        <v>3.4889998597597303E-2</v>
      </c>
      <c r="AJ265" s="87" t="b">
        <f t="shared" si="109"/>
        <v>1</v>
      </c>
      <c r="AK265" s="88">
        <f t="shared" si="110"/>
        <v>7.3039005862626794E-4</v>
      </c>
      <c r="AM265" s="89">
        <f t="shared" si="121"/>
        <v>351540.00911643921</v>
      </c>
      <c r="AN265" s="93"/>
      <c r="AO265" s="96">
        <f t="shared" si="111"/>
        <v>63.910402617544065</v>
      </c>
      <c r="AP265" s="92">
        <f t="shared" si="114"/>
        <v>5.4702199102034865E-3</v>
      </c>
      <c r="AR265" s="94">
        <f t="shared" si="122"/>
        <v>3.4889998597597303E-2</v>
      </c>
      <c r="AS265" s="95"/>
    </row>
    <row r="266" spans="1:45">
      <c r="A266" s="78">
        <f t="shared" si="112"/>
        <v>2026</v>
      </c>
      <c r="B266" s="78">
        <f t="shared" si="113"/>
        <v>10</v>
      </c>
      <c r="C266" s="317">
        <f t="shared" si="101"/>
        <v>198.89039579254836</v>
      </c>
      <c r="D266" s="324">
        <f t="shared" si="104"/>
        <v>0.10115446643644242</v>
      </c>
      <c r="E266" s="321">
        <f>$D266*'MWh Impact Summary'!B$32</f>
        <v>351351.26099580311</v>
      </c>
      <c r="F266" s="321">
        <f>$D266*'MWh Impact Summary'!N$32</f>
        <v>70060.004006532938</v>
      </c>
      <c r="G266" s="321">
        <f>$D266*'MWh Impact Summary'!C$32</f>
        <v>257387.86047414952</v>
      </c>
      <c r="H266" s="321">
        <f>$D266*'MWh Impact Summary'!D$32</f>
        <v>1294.3088020249829</v>
      </c>
      <c r="I266" s="321">
        <f>$D266*'MWh Impact Summary'!E$32</f>
        <v>91574.75168020658</v>
      </c>
      <c r="J266" s="104">
        <f t="shared" si="123"/>
        <v>771668.18595871713</v>
      </c>
      <c r="K266" s="298">
        <f t="shared" si="102"/>
        <v>12.466666666666667</v>
      </c>
      <c r="L266" s="300">
        <f t="shared" si="105"/>
        <v>8.7762524932535488E-2</v>
      </c>
      <c r="M266" s="297">
        <f t="shared" si="124"/>
        <v>8.3333333333333329E-2</v>
      </c>
      <c r="N266" s="302">
        <f>$L266*'MWh Impact Summary'!F$32</f>
        <v>206606.65672893854</v>
      </c>
      <c r="O266" s="302">
        <f>$L266*'MWh Impact Summary'!G$32</f>
        <v>41996.733419027849</v>
      </c>
      <c r="P266" s="304">
        <f>$M266*'MWh Impact Summary'!H$32</f>
        <v>12282.208216448696</v>
      </c>
      <c r="Q266" s="304">
        <f>$M266*'MWh Impact Summary'!I$32</f>
        <v>2023.6130776553518</v>
      </c>
      <c r="R266" s="304">
        <f>$M266*'MWh Impact Summary'!J$32</f>
        <v>51032.530102140889</v>
      </c>
      <c r="S266" s="304">
        <f>$M266*'MWh Impact Summary'!K$32</f>
        <v>40953.142512826613</v>
      </c>
      <c r="T266" s="304">
        <f>$M266*'MWh Impact Summary'!L$32</f>
        <v>14708.994700612997</v>
      </c>
      <c r="U266" s="304">
        <f>$M266*'MWh Impact Summary'!M$32</f>
        <v>45766.183014364775</v>
      </c>
      <c r="V266" s="302">
        <f>$L266*'MWh Impact Summary'!O$32</f>
        <v>311760.4892006864</v>
      </c>
      <c r="W266" s="302">
        <f>$L266*'MWh Impact Summary'!P$32</f>
        <v>375109.73868630035</v>
      </c>
      <c r="X266" s="302">
        <f>$L266*'MWh Impact Summary'!Q$32</f>
        <v>128683.68527995647</v>
      </c>
      <c r="Y266" s="85">
        <f t="shared" si="115"/>
        <v>1230923.9749389591</v>
      </c>
      <c r="Z266" s="81">
        <f t="shared" si="116"/>
        <v>2002592.1608976764</v>
      </c>
      <c r="AA266" s="81"/>
      <c r="AB266" s="262">
        <f>+'MWh by mo-WgtbyActulCDH&amp;Days'!AB266</f>
        <v>5505120.0001729308</v>
      </c>
      <c r="AC266" s="308">
        <f>+Z266*1000/AB266</f>
        <v>363.76902970957394</v>
      </c>
      <c r="AD266" s="309">
        <f t="shared" si="117"/>
        <v>140.17281838261053</v>
      </c>
      <c r="AE266" s="107">
        <f t="shared" si="118"/>
        <v>1.1243808961171968E-2</v>
      </c>
      <c r="AF266" s="309">
        <f t="shared" si="107"/>
        <v>223.59621132696336</v>
      </c>
      <c r="AG266" s="107">
        <f t="shared" si="119"/>
        <v>1.7935524972751072E-2</v>
      </c>
      <c r="AH266" s="119">
        <f t="shared" si="108"/>
        <v>2.9179333933923038E-2</v>
      </c>
      <c r="AI266" s="122">
        <f t="shared" si="120"/>
        <v>2.9179333933923045E-2</v>
      </c>
      <c r="AJ266" s="87" t="b">
        <f t="shared" si="109"/>
        <v>1</v>
      </c>
      <c r="AK266" s="88">
        <f t="shared" si="110"/>
        <v>6.9737902631390736E-4</v>
      </c>
      <c r="AM266" s="89">
        <f t="shared" si="121"/>
        <v>375109.73868630035</v>
      </c>
      <c r="AN266" s="93"/>
      <c r="AO266" s="96">
        <f t="shared" si="111"/>
        <v>68.138340067885366</v>
      </c>
      <c r="AP266" s="92">
        <f t="shared" si="114"/>
        <v>5.4656422514346549E-3</v>
      </c>
      <c r="AR266" s="94">
        <f t="shared" si="122"/>
        <v>2.9179333933923045E-2</v>
      </c>
      <c r="AS266" s="95"/>
    </row>
    <row r="267" spans="1:45">
      <c r="A267" s="78">
        <f t="shared" si="112"/>
        <v>2026</v>
      </c>
      <c r="B267" s="78">
        <f t="shared" si="113"/>
        <v>11</v>
      </c>
      <c r="C267" s="317">
        <f t="shared" si="101"/>
        <v>78.117279066674627</v>
      </c>
      <c r="D267" s="324">
        <f t="shared" si="104"/>
        <v>3.9729981188725644E-2</v>
      </c>
      <c r="E267" s="321">
        <f>$D267*'MWh Impact Summary'!B$32</f>
        <v>137998.64189654097</v>
      </c>
      <c r="F267" s="321">
        <f>$D267*'MWh Impact Summary'!N$32</f>
        <v>27517.150149870253</v>
      </c>
      <c r="G267" s="321">
        <f>$D267*'MWh Impact Summary'!C$32</f>
        <v>101093.06306577705</v>
      </c>
      <c r="H267" s="321">
        <f>$D267*'MWh Impact Summary'!D$32</f>
        <v>508.35980029774277</v>
      </c>
      <c r="I267" s="321">
        <f>$D267*'MWh Impact Summary'!E$32</f>
        <v>35967.40005447837</v>
      </c>
      <c r="J267" s="104">
        <f t="shared" si="123"/>
        <v>303084.61496696441</v>
      </c>
      <c r="K267" s="298">
        <f t="shared" si="102"/>
        <v>13.15</v>
      </c>
      <c r="L267" s="300">
        <f t="shared" si="105"/>
        <v>9.2573037662794788E-2</v>
      </c>
      <c r="M267" s="297">
        <f t="shared" si="124"/>
        <v>8.3333333333333329E-2</v>
      </c>
      <c r="N267" s="302">
        <f>$L267*'MWh Impact Summary'!F$32</f>
        <v>217931.35315392047</v>
      </c>
      <c r="O267" s="302">
        <f>$L267*'MWh Impact Summary'!G$32</f>
        <v>44298.693405899699</v>
      </c>
      <c r="P267" s="304">
        <f>$M267*'MWh Impact Summary'!H$32</f>
        <v>12282.208216448696</v>
      </c>
      <c r="Q267" s="304">
        <f>$M267*'MWh Impact Summary'!I$32</f>
        <v>2023.6130776553518</v>
      </c>
      <c r="R267" s="304">
        <f>$M267*'MWh Impact Summary'!J$32</f>
        <v>51032.530102140889</v>
      </c>
      <c r="S267" s="304">
        <f>$M267*'MWh Impact Summary'!K$32</f>
        <v>40953.142512826613</v>
      </c>
      <c r="T267" s="304">
        <f>$M267*'MWh Impact Summary'!L$32</f>
        <v>14708.994700612997</v>
      </c>
      <c r="U267" s="304">
        <f>$M267*'MWh Impact Summary'!M$32</f>
        <v>45766.183014364775</v>
      </c>
      <c r="V267" s="302">
        <f>$L267*'MWh Impact Summary'!O$32</f>
        <v>328848.96521302348</v>
      </c>
      <c r="W267" s="302">
        <f>$L267*'MWh Impact Summary'!P$32</f>
        <v>395670.56660894514</v>
      </c>
      <c r="X267" s="302">
        <f>$L267*'MWh Impact Summary'!Q$32</f>
        <v>135737.20278861717</v>
      </c>
      <c r="Y267" s="85">
        <f t="shared" si="115"/>
        <v>1289253.4527944555</v>
      </c>
      <c r="Z267" s="81">
        <f t="shared" si="116"/>
        <v>1592338.0677614198</v>
      </c>
      <c r="AA267" s="81"/>
      <c r="AB267" s="262">
        <f>+'MWh by mo-WgtbyActulCDH&amp;Days'!AB267</f>
        <v>5509732.4814156815</v>
      </c>
      <c r="AC267" s="308">
        <f t="shared" si="106"/>
        <v>289.00460650900447</v>
      </c>
      <c r="AD267" s="309">
        <f t="shared" si="117"/>
        <v>55.008952973536978</v>
      </c>
      <c r="AE267" s="107">
        <f t="shared" si="118"/>
        <v>4.1831903401929257E-3</v>
      </c>
      <c r="AF267" s="309">
        <f t="shared" si="107"/>
        <v>233.99565353546751</v>
      </c>
      <c r="AG267" s="107">
        <f t="shared" si="119"/>
        <v>1.7794346276461408E-2</v>
      </c>
      <c r="AH267" s="119">
        <f t="shared" si="108"/>
        <v>2.1977536616654334E-2</v>
      </c>
      <c r="AI267" s="122">
        <f t="shared" si="120"/>
        <v>2.1977536616654334E-2</v>
      </c>
      <c r="AJ267" s="87" t="b">
        <f t="shared" si="109"/>
        <v>1</v>
      </c>
      <c r="AK267" s="88">
        <f t="shared" si="110"/>
        <v>6.6006525010463626E-4</v>
      </c>
      <c r="AM267" s="89">
        <f t="shared" si="121"/>
        <v>395670.56660894514</v>
      </c>
      <c r="AN267" s="93"/>
      <c r="AO267" s="96">
        <f t="shared" si="111"/>
        <v>71.813026847227391</v>
      </c>
      <c r="AP267" s="92">
        <f t="shared" si="114"/>
        <v>5.4610666803975201E-3</v>
      </c>
      <c r="AR267" s="94">
        <f t="shared" si="122"/>
        <v>2.1977536616654334E-2</v>
      </c>
      <c r="AS267" s="95"/>
    </row>
    <row r="268" spans="1:45">
      <c r="A268" s="78">
        <f t="shared" si="112"/>
        <v>2026</v>
      </c>
      <c r="B268" s="78">
        <f t="shared" si="113"/>
        <v>12</v>
      </c>
      <c r="C268" s="317">
        <f>+C256</f>
        <v>42.633806123140985</v>
      </c>
      <c r="D268" s="324">
        <f>D256</f>
        <v>2.1683298951445065E-2</v>
      </c>
      <c r="E268" s="321">
        <f>$D268*'MWh Impact Summary'!B$32</f>
        <v>75315.057234037624</v>
      </c>
      <c r="F268" s="321">
        <f>$D268*'MWh Impact Summary'!N$32</f>
        <v>15017.943002720467</v>
      </c>
      <c r="G268" s="321">
        <f>$D268*'MWh Impact Summary'!C$32</f>
        <v>55173.222910927929</v>
      </c>
      <c r="H268" s="321">
        <f>$D268*'MWh Impact Summary'!D$32</f>
        <v>277.44582793512348</v>
      </c>
      <c r="I268" s="321">
        <f>$D268*'MWh Impact Summary'!E$32</f>
        <v>19629.807630233398</v>
      </c>
      <c r="J268" s="104">
        <f>SUM(E268:I268)</f>
        <v>165413.47660585455</v>
      </c>
      <c r="K268" s="298">
        <f t="shared" si="102"/>
        <v>13.483333333333333</v>
      </c>
      <c r="L268" s="300">
        <f>L256</f>
        <v>9.491962923853102E-2</v>
      </c>
      <c r="M268" s="297">
        <f t="shared" si="124"/>
        <v>8.3333333333333329E-2</v>
      </c>
      <c r="N268" s="302">
        <f>$L268*'MWh Impact Summary'!F$32</f>
        <v>223455.59531244819</v>
      </c>
      <c r="O268" s="302">
        <f>$L268*'MWh Impact Summary'!G$32</f>
        <v>45421.600716568886</v>
      </c>
      <c r="P268" s="304">
        <f>$M268*'MWh Impact Summary'!H$32</f>
        <v>12282.208216448696</v>
      </c>
      <c r="Q268" s="304">
        <f>$M268*'MWh Impact Summary'!I$32</f>
        <v>2023.6130776553518</v>
      </c>
      <c r="R268" s="304">
        <f>$M268*'MWh Impact Summary'!J$32</f>
        <v>51032.530102140889</v>
      </c>
      <c r="S268" s="304">
        <f>$M268*'MWh Impact Summary'!K$32</f>
        <v>40953.142512826613</v>
      </c>
      <c r="T268" s="304">
        <f>$M268*'MWh Impact Summary'!L$32</f>
        <v>14708.994700612997</v>
      </c>
      <c r="U268" s="304">
        <f>$M268*'MWh Impact Summary'!M$32</f>
        <v>45766.183014364775</v>
      </c>
      <c r="V268" s="302">
        <f>$L268*'MWh Impact Summary'!O$32</f>
        <v>337184.80717026105</v>
      </c>
      <c r="W268" s="302">
        <f>$L268*'MWh Impact Summary'!P$32</f>
        <v>405700.2387663328</v>
      </c>
      <c r="X268" s="302">
        <f>$L268*'MWh Impact Summary'!Q$32</f>
        <v>139177.94303674434</v>
      </c>
      <c r="Y268" s="85">
        <f t="shared" si="115"/>
        <v>1317706.8566264047</v>
      </c>
      <c r="Z268" s="81">
        <f t="shared" si="116"/>
        <v>1483120.3332322591</v>
      </c>
      <c r="AA268" s="81">
        <f>SUM(Z257:Z268)</f>
        <v>21755230.195876304</v>
      </c>
      <c r="AB268" s="262">
        <f>+'MWh by mo-WgtbyActulCDH&amp;Days'!AB268</f>
        <v>5514345.5968124717</v>
      </c>
      <c r="AC268" s="308">
        <f t="shared" si="106"/>
        <v>268.95672518051214</v>
      </c>
      <c r="AD268" s="309">
        <f t="shared" si="117"/>
        <v>29.99693684441371</v>
      </c>
      <c r="AE268" s="107">
        <f t="shared" si="118"/>
        <v>2.2247419167673952E-3</v>
      </c>
      <c r="AF268" s="309">
        <f t="shared" si="107"/>
        <v>238.95978833609846</v>
      </c>
      <c r="AG268" s="107">
        <f t="shared" si="119"/>
        <v>1.7722604820971453E-2</v>
      </c>
      <c r="AH268" s="119">
        <f t="shared" si="108"/>
        <v>1.9947346737738847E-2</v>
      </c>
      <c r="AI268" s="122">
        <f t="shared" si="120"/>
        <v>1.994734673773885E-2</v>
      </c>
      <c r="AJ268" s="87" t="b">
        <f t="shared" si="109"/>
        <v>0</v>
      </c>
      <c r="AK268" s="88">
        <f t="shared" si="110"/>
        <v>6.4809441003155221E-4</v>
      </c>
      <c r="AM268" s="89">
        <f t="shared" si="121"/>
        <v>405700.2387663328</v>
      </c>
      <c r="AN268" s="90">
        <f>SUM(AM257:AM268)</f>
        <v>4274144.7898707725</v>
      </c>
      <c r="AO268" s="96">
        <f t="shared" si="111"/>
        <v>73.571783205036141</v>
      </c>
      <c r="AP268" s="92">
        <f t="shared" si="114"/>
        <v>5.4564981363438431E-3</v>
      </c>
      <c r="AR268" s="94">
        <f t="shared" si="122"/>
        <v>1.994734673773885E-2</v>
      </c>
      <c r="AS268" s="95"/>
    </row>
    <row r="269" spans="1:45">
      <c r="C269" s="325"/>
      <c r="D269" s="324"/>
      <c r="E269" s="321"/>
      <c r="F269" s="319"/>
      <c r="G269" s="319"/>
      <c r="H269" s="319"/>
      <c r="I269" s="319"/>
      <c r="J269" s="104"/>
      <c r="K269" s="83"/>
      <c r="L269" s="84"/>
      <c r="M269" s="84"/>
      <c r="N269" s="85"/>
      <c r="O269" s="85"/>
      <c r="P269" s="85"/>
      <c r="Q269" s="85"/>
      <c r="R269" s="85"/>
      <c r="S269" s="85"/>
      <c r="T269" s="85"/>
      <c r="U269" s="85"/>
      <c r="V269" s="85"/>
      <c r="W269" s="85"/>
      <c r="X269" s="85"/>
      <c r="Y269" s="85"/>
      <c r="Z269" s="81"/>
      <c r="AA269" s="81"/>
      <c r="AB269" s="81"/>
      <c r="AC269" s="140"/>
      <c r="AD269" s="118"/>
      <c r="AE269" s="107"/>
      <c r="AF269" s="118"/>
      <c r="AG269" s="107"/>
      <c r="AH269" s="119"/>
      <c r="AI269" s="122"/>
      <c r="AJ269" s="87"/>
      <c r="AK269" s="88"/>
      <c r="AM269" s="89"/>
      <c r="AN269" s="90"/>
      <c r="AO269" s="96"/>
      <c r="AP269" s="92"/>
      <c r="AR269" s="94"/>
      <c r="AS269" s="95"/>
    </row>
    <row r="270" spans="1:45">
      <c r="C270" s="325"/>
      <c r="D270" s="324"/>
      <c r="E270" s="321"/>
      <c r="F270" s="319"/>
      <c r="G270" s="319"/>
      <c r="H270" s="319"/>
      <c r="I270" s="319"/>
      <c r="J270" s="104"/>
      <c r="K270" s="83"/>
      <c r="L270" s="84"/>
      <c r="M270" s="84"/>
      <c r="N270" s="85"/>
      <c r="O270" s="85"/>
      <c r="P270" s="85"/>
      <c r="Q270" s="85"/>
      <c r="R270" s="85"/>
      <c r="S270" s="85"/>
      <c r="T270" s="85"/>
      <c r="U270" s="85"/>
      <c r="V270" s="85"/>
      <c r="W270" s="85"/>
      <c r="X270" s="85"/>
      <c r="Y270" s="85"/>
      <c r="Z270" s="81"/>
      <c r="AA270" s="81"/>
      <c r="AB270" s="81"/>
      <c r="AC270" s="140"/>
      <c r="AD270" s="118"/>
      <c r="AE270" s="107"/>
      <c r="AF270" s="118"/>
      <c r="AG270" s="107"/>
      <c r="AH270" s="119"/>
      <c r="AI270" s="122"/>
      <c r="AJ270" s="87"/>
      <c r="AK270" s="88"/>
      <c r="AM270" s="89"/>
      <c r="AN270" s="90"/>
      <c r="AO270" s="96"/>
      <c r="AP270" s="92"/>
      <c r="AR270" s="94"/>
      <c r="AS270" s="95"/>
    </row>
    <row r="271" spans="1:45">
      <c r="F271" s="319"/>
      <c r="J271" s="321">
        <f>SUM(J5:J268)</f>
        <v>93951928.573862925</v>
      </c>
      <c r="L271" s="97"/>
      <c r="M271" s="97"/>
      <c r="N271" s="81"/>
      <c r="O271" s="81"/>
      <c r="P271" s="81"/>
      <c r="Q271" s="81"/>
      <c r="R271" s="81"/>
      <c r="S271" s="81"/>
      <c r="T271" s="81"/>
      <c r="U271" s="81"/>
      <c r="V271" s="81"/>
      <c r="W271" s="81"/>
      <c r="X271" s="81"/>
      <c r="Y271" s="81"/>
      <c r="Z271" s="81">
        <f>SUM(Z5:Z268)</f>
        <v>236435929.49524161</v>
      </c>
      <c r="AA271" s="81"/>
      <c r="AB271" s="81"/>
      <c r="AD271" s="102"/>
      <c r="AI271" s="78"/>
      <c r="AJ271" s="78"/>
      <c r="AK271" s="78"/>
      <c r="AL271" s="102"/>
      <c r="AM271" s="102"/>
    </row>
    <row r="272" spans="1:45">
      <c r="F272" s="319"/>
      <c r="L272" s="97"/>
      <c r="M272" s="97"/>
      <c r="N272" s="81"/>
      <c r="O272" s="81"/>
      <c r="P272" s="81"/>
      <c r="Q272" s="81"/>
      <c r="R272" s="81"/>
      <c r="S272" s="81"/>
      <c r="T272" s="81"/>
      <c r="U272" s="81"/>
      <c r="V272" s="81"/>
      <c r="W272" s="81"/>
      <c r="X272" s="81"/>
      <c r="Y272" s="81"/>
      <c r="Z272" s="81">
        <f>SUM('MWh Impact Summary'!R11:R32)</f>
        <v>236435929.49524158</v>
      </c>
      <c r="AA272" s="103"/>
      <c r="AB272" s="103"/>
      <c r="AC272" s="86">
        <f>SUM(AC5:AC271)</f>
        <v>46560.83610125813</v>
      </c>
      <c r="AD272" s="126">
        <f>SUM(AD5:AD271)</f>
        <v>18577.957887137065</v>
      </c>
      <c r="AF272" s="86">
        <f>SUM(AF5:AF271)</f>
        <v>27982.878214121069</v>
      </c>
      <c r="AG272" s="82"/>
      <c r="AI272" s="78"/>
      <c r="AJ272" s="82"/>
      <c r="AK272" s="124">
        <f>SUM(AK5:AK220)</f>
        <v>0.30477328651056285</v>
      </c>
      <c r="AL272" s="104"/>
      <c r="AP272" s="125">
        <f>SUM(AP5:AP220)</f>
        <v>0.82782370799664107</v>
      </c>
    </row>
    <row r="273" spans="1:39">
      <c r="F273" s="319"/>
      <c r="L273" s="97"/>
      <c r="M273" s="97"/>
      <c r="N273" s="81"/>
      <c r="O273" s="81"/>
      <c r="P273" s="81"/>
      <c r="Q273" s="81"/>
      <c r="R273" s="81"/>
      <c r="S273" s="81"/>
      <c r="T273" s="81"/>
      <c r="U273" s="81"/>
      <c r="V273" s="81"/>
      <c r="W273" s="81"/>
      <c r="X273" s="81"/>
      <c r="Y273" s="81"/>
      <c r="Z273" s="81">
        <f>+Z272-Z271</f>
        <v>0</v>
      </c>
      <c r="AA273" s="105"/>
      <c r="AB273" s="105"/>
      <c r="AD273" s="102"/>
      <c r="AI273" s="78"/>
      <c r="AJ273" s="78"/>
      <c r="AK273" s="78"/>
      <c r="AL273" s="102"/>
      <c r="AM273" s="102"/>
    </row>
    <row r="274" spans="1:39" ht="13.8" thickBot="1">
      <c r="L274" s="97"/>
      <c r="M274" s="97"/>
      <c r="AC274" s="86">
        <f>AF272+AD272</f>
        <v>46560.83610125813</v>
      </c>
      <c r="AD274" s="102"/>
      <c r="AI274" s="78"/>
      <c r="AJ274" s="78"/>
      <c r="AK274" s="78"/>
      <c r="AL274" s="102"/>
      <c r="AM274" s="102"/>
    </row>
    <row r="275" spans="1:39" ht="13.8" thickBot="1">
      <c r="A275" s="78">
        <v>2005</v>
      </c>
      <c r="J275" s="319">
        <f>SUM(J5:J16)</f>
        <v>104508.94023145307</v>
      </c>
      <c r="K275" s="81">
        <f>SUM('MWh Impact Summary'!B11:E11,'MWh Impact Summary'!N11)</f>
        <v>104508.94023145307</v>
      </c>
      <c r="L275" s="97"/>
      <c r="M275" s="97"/>
      <c r="W275" s="81"/>
      <c r="X275" s="81"/>
      <c r="Y275" s="81">
        <f>SUM(Y5:Y16)</f>
        <v>0</v>
      </c>
      <c r="Z275" s="81">
        <f>SUM(Z5:Z16)</f>
        <v>104508.94023145307</v>
      </c>
      <c r="AA275" s="81">
        <f>+Z275-'MWh by month- AllWgtbyCDH'!Y275</f>
        <v>0</v>
      </c>
      <c r="AB275" s="81">
        <f>AVERAGE(AB5:AB16)</f>
        <v>4321895.166666667</v>
      </c>
      <c r="AD275" s="102"/>
      <c r="AI275" s="127" t="s">
        <v>251</v>
      </c>
      <c r="AJ275" s="128">
        <f>SUM('MWh Impact Summary'!M11:M28)</f>
        <v>1635736.7688186388</v>
      </c>
      <c r="AK275" s="129"/>
      <c r="AL275" s="130"/>
      <c r="AM275" s="131">
        <f>SUM(AM5:AM271)</f>
        <v>64652532.055073455</v>
      </c>
    </row>
    <row r="276" spans="1:39">
      <c r="A276" s="78">
        <v>2006</v>
      </c>
      <c r="J276" s="319">
        <f>SUM(J17:J28)</f>
        <v>523995.00862670643</v>
      </c>
      <c r="K276" s="81">
        <f>SUM('MWh Impact Summary'!B12:E12,'MWh Impact Summary'!N12)</f>
        <v>523995.00862670649</v>
      </c>
      <c r="L276" s="97"/>
      <c r="M276" s="97"/>
      <c r="W276" s="81"/>
      <c r="X276" s="81"/>
      <c r="Y276" s="81">
        <f>SUM(Y17:Y28)</f>
        <v>1367.8209417769037</v>
      </c>
      <c r="Z276" s="81">
        <f>SUM(Z17:Z28)</f>
        <v>525362.8295684834</v>
      </c>
      <c r="AA276" s="81">
        <f>+Z276-'MWh by month- AllWgtbyCDH'!Y276</f>
        <v>0</v>
      </c>
      <c r="AB276" s="81">
        <f>AVERAGE(AB17:AB28)</f>
        <v>4409562.5</v>
      </c>
      <c r="AC276" s="86"/>
      <c r="AD276" s="102"/>
      <c r="AF276" s="106"/>
      <c r="AI276" s="78"/>
      <c r="AJ276" s="78"/>
      <c r="AK276" s="78"/>
      <c r="AL276" s="102"/>
      <c r="AM276" s="102"/>
    </row>
    <row r="277" spans="1:39">
      <c r="A277" s="78">
        <v>2007</v>
      </c>
      <c r="J277" s="319">
        <f>SUM(J29:J40)</f>
        <v>939574.41399289889</v>
      </c>
      <c r="K277" s="81">
        <f>SUM('MWh Impact Summary'!B13:E13,'MWh Impact Summary'!N13)</f>
        <v>939574.41399289877</v>
      </c>
      <c r="L277" s="97"/>
      <c r="M277" s="97"/>
      <c r="W277" s="81"/>
      <c r="X277" s="81"/>
      <c r="Y277" s="81">
        <f>SUM(Y29:Y40)</f>
        <v>136056.66988666815</v>
      </c>
      <c r="Z277" s="81">
        <f>SUM(Z29:Z40)</f>
        <v>1075631.0838795668</v>
      </c>
      <c r="AA277" s="81">
        <f>+Z277-'MWh by month- AllWgtbyCDH'!Y277</f>
        <v>0</v>
      </c>
      <c r="AB277" s="81">
        <f>AVERAGE(AB29:AB40)</f>
        <v>4496589.333333333</v>
      </c>
      <c r="AD277" s="102"/>
    </row>
    <row r="278" spans="1:39">
      <c r="A278" s="78">
        <v>2008</v>
      </c>
      <c r="J278" s="319">
        <f>SUM(J41:J52)</f>
        <v>1258245.6704983776</v>
      </c>
      <c r="K278" s="81">
        <f>SUM('MWh Impact Summary'!B14:E14,'MWh Impact Summary'!N14)</f>
        <v>1258245.6704983781</v>
      </c>
      <c r="L278" s="97"/>
      <c r="M278" s="97"/>
      <c r="W278" s="81"/>
      <c r="X278" s="81"/>
      <c r="Y278" s="81">
        <f>SUM(Y41:Y52)</f>
        <v>1754902.861468164</v>
      </c>
      <c r="Z278" s="81">
        <f>SUM(Z41:Z52)</f>
        <v>3013148.5319665428</v>
      </c>
      <c r="AA278" s="81">
        <f>+Z278-'MWh by month- AllWgtbyCDH'!Y278</f>
        <v>0</v>
      </c>
      <c r="AB278" s="81">
        <f>AVERAGE(AB41:AB52)</f>
        <v>4509730.166666667</v>
      </c>
    </row>
    <row r="279" spans="1:39">
      <c r="A279" s="78">
        <v>2009</v>
      </c>
      <c r="J279" s="319">
        <f>SUM(J53:J64)</f>
        <v>1548378.2378467501</v>
      </c>
      <c r="K279" s="81">
        <f>SUM('MWh Impact Summary'!B15:E15,'MWh Impact Summary'!N15)</f>
        <v>1548378.2378467503</v>
      </c>
      <c r="L279" s="97"/>
      <c r="M279" s="97"/>
      <c r="W279" s="81"/>
      <c r="X279" s="81"/>
      <c r="Y279" s="81">
        <f>SUM(Y53:Y64)</f>
        <v>2178220.0368855582</v>
      </c>
      <c r="Z279" s="81">
        <f>SUM(Z53:Z64)</f>
        <v>3726598.2747323075</v>
      </c>
      <c r="AA279" s="81">
        <f>+Z279-'MWh by month- AllWgtbyCDH'!Y279</f>
        <v>0</v>
      </c>
      <c r="AB279" s="81">
        <f>AVERAGE(AB53:AB64)</f>
        <v>4499066.75</v>
      </c>
    </row>
    <row r="280" spans="1:39">
      <c r="A280" s="78">
        <v>2010</v>
      </c>
      <c r="J280" s="319">
        <f>SUM(J65:J76)</f>
        <v>1882877.3064484617</v>
      </c>
      <c r="K280" s="81">
        <f>SUM('MWh Impact Summary'!B16:E16,'MWh Impact Summary'!N16)</f>
        <v>1882877.306448462</v>
      </c>
      <c r="L280" s="97"/>
      <c r="M280" s="97"/>
      <c r="W280" s="81"/>
      <c r="X280" s="81"/>
      <c r="Y280" s="81">
        <f>SUM(Y65:Y76)</f>
        <v>2611128.6782838134</v>
      </c>
      <c r="Z280" s="81">
        <f>SUM(Z65:Z76)</f>
        <v>4494005.9847322749</v>
      </c>
      <c r="AA280" s="81">
        <f>+Z280-'MWh by month- AllWgtbyCDH'!Y280</f>
        <v>0</v>
      </c>
      <c r="AB280" s="81">
        <f>AVERAGE(AB65:AB76)</f>
        <v>4520327.666666667</v>
      </c>
    </row>
    <row r="281" spans="1:39">
      <c r="A281" s="78">
        <v>2011</v>
      </c>
      <c r="J281" s="319">
        <f>SUM(J77:J88)</f>
        <v>2255529.351642882</v>
      </c>
      <c r="K281" s="81">
        <f>SUM('MWh Impact Summary'!B17:E17,'MWh Impact Summary'!N17)</f>
        <v>2255529.3516428825</v>
      </c>
      <c r="L281" s="97"/>
      <c r="M281" s="97"/>
      <c r="W281" s="81"/>
      <c r="X281" s="81"/>
      <c r="Y281" s="81">
        <f>SUM(Y77:Y88)</f>
        <v>3035487.0522158351</v>
      </c>
      <c r="Z281" s="81">
        <f>SUM(Z77:Z88)</f>
        <v>5291016.4038587185</v>
      </c>
      <c r="AA281" s="81">
        <f>+Z281-'MWh by month- AllWgtbyCDH'!Y281</f>
        <v>0</v>
      </c>
      <c r="AB281" s="81">
        <f>AVERAGE(AB77:AB88)</f>
        <v>4547050.833333333</v>
      </c>
    </row>
    <row r="282" spans="1:39">
      <c r="A282" s="78">
        <v>2012</v>
      </c>
      <c r="J282" s="319">
        <f>SUM(J89:J100)</f>
        <v>2633605.7732989891</v>
      </c>
      <c r="K282" s="81">
        <f>SUM('MWh Impact Summary'!B18:E18,'MWh Impact Summary'!N18)</f>
        <v>2633605.77329899</v>
      </c>
      <c r="L282" s="97"/>
      <c r="M282" s="97"/>
      <c r="W282" s="81"/>
      <c r="X282" s="81"/>
      <c r="Y282" s="81">
        <f>SUM(Y89:Y100)</f>
        <v>3434526.8863944174</v>
      </c>
      <c r="Z282" s="81">
        <f>SUM(Z89:Z100)</f>
        <v>6068132.6596934078</v>
      </c>
      <c r="AA282" s="81">
        <f>+Z282-'MWh by month- AllWgtbyCDH'!Y282</f>
        <v>0</v>
      </c>
      <c r="AB282" s="81">
        <f>AVERAGE(AB89:AB100)</f>
        <v>4576448.666666667</v>
      </c>
    </row>
    <row r="283" spans="1:39">
      <c r="A283" s="78">
        <v>2013</v>
      </c>
      <c r="J283" s="319">
        <f>SUM(J101:J112)</f>
        <v>3036742.4276550999</v>
      </c>
      <c r="K283" s="81">
        <f>SUM('MWh Impact Summary'!B19:E19,'MWh Impact Summary'!N19)</f>
        <v>3036742.4276550999</v>
      </c>
      <c r="W283" s="81"/>
      <c r="X283" s="81"/>
      <c r="Y283" s="81">
        <f>SUM(Y101:Y112)</f>
        <v>4155744.3509899336</v>
      </c>
      <c r="Z283" s="81">
        <f>SUM(Z101:Z112)</f>
        <v>7192486.7786450339</v>
      </c>
      <c r="AA283" s="81">
        <f>+Z283-'MWh by month- AllWgtbyCDH'!Y283</f>
        <v>0</v>
      </c>
      <c r="AB283" s="81">
        <f>AVERAGE(AB101:AB112)</f>
        <v>4626934.333333333</v>
      </c>
    </row>
    <row r="284" spans="1:39">
      <c r="A284" s="78">
        <v>2014</v>
      </c>
      <c r="J284" s="319">
        <f>SUM(J113:J124)</f>
        <v>3474083.7080153469</v>
      </c>
      <c r="K284" s="81">
        <f>SUM('MWh Impact Summary'!B20:E20,'MWh Impact Summary'!N20)</f>
        <v>3474083.7080153474</v>
      </c>
      <c r="W284" s="81"/>
      <c r="X284" s="81"/>
      <c r="Y284" s="81">
        <f>SUM(Y113:Y124)</f>
        <v>4910864.7329712603</v>
      </c>
      <c r="Z284" s="81">
        <f>SUM(Z113:Z124)</f>
        <v>8384948.4409866072</v>
      </c>
      <c r="AA284" s="81">
        <f>+Z284-'MWh by month- AllWgtbyCDH'!Y284</f>
        <v>0</v>
      </c>
      <c r="AB284" s="81">
        <f>AVERAGE(AB113:AB124)</f>
        <v>4708829.333333333</v>
      </c>
    </row>
    <row r="285" spans="1:39">
      <c r="A285" s="78">
        <v>2015</v>
      </c>
      <c r="J285" s="319">
        <f>SUM(J125:J136)</f>
        <v>4039997.9425893626</v>
      </c>
      <c r="K285" s="81">
        <f>SUM('MWh Impact Summary'!B21:E21,'MWh Impact Summary'!N21)</f>
        <v>4039997.9425893626</v>
      </c>
      <c r="W285" s="81"/>
      <c r="X285" s="81"/>
      <c r="Y285" s="81">
        <f>SUM(Y125:Y136)</f>
        <v>5800287.9445377756</v>
      </c>
      <c r="Z285" s="81">
        <f>SUM(Z125:Z136)</f>
        <v>9840285.8871271387</v>
      </c>
      <c r="AA285" s="81">
        <f>+Z285-'MWh by month- AllWgtbyCDH'!Y285</f>
        <v>0</v>
      </c>
      <c r="AB285" s="81">
        <f>AVERAGE(AB125:AB136)</f>
        <v>4780487.4751066575</v>
      </c>
    </row>
    <row r="286" spans="1:39">
      <c r="A286" s="78">
        <v>2016</v>
      </c>
      <c r="J286" s="319">
        <f>SUM(J137:J148)</f>
        <v>4575939.1961389175</v>
      </c>
      <c r="K286" s="81">
        <f>SUM('MWh Impact Summary'!B22:E22,'MWh Impact Summary'!N22)</f>
        <v>4575939.1961389165</v>
      </c>
      <c r="W286" s="81"/>
      <c r="X286" s="81"/>
      <c r="Y286" s="81">
        <f>SUM(Y137:Y148)</f>
        <v>6619830.477604825</v>
      </c>
      <c r="Z286" s="81">
        <f>SUM(Z137:Z148)</f>
        <v>11195769.673743742</v>
      </c>
      <c r="AA286" s="81">
        <f>+Z286-'MWh by month- AllWgtbyCDH'!Y286</f>
        <v>0</v>
      </c>
      <c r="AB286" s="81">
        <f>AVERAGE(AB137:AB148)</f>
        <v>4852827.4973874111</v>
      </c>
    </row>
    <row r="287" spans="1:39">
      <c r="A287" s="78">
        <v>2017</v>
      </c>
      <c r="J287" s="319">
        <f>SUM(J149:J160)</f>
        <v>5107282.6344742086</v>
      </c>
      <c r="K287" s="81">
        <f>SUM('MWh Impact Summary'!B23:E23,'MWh Impact Summary'!N23)</f>
        <v>5107282.6344742095</v>
      </c>
      <c r="W287" s="81"/>
      <c r="X287" s="81"/>
      <c r="Y287" s="81">
        <f>SUM(Y149:Y160)</f>
        <v>7476087.5976180388</v>
      </c>
      <c r="Z287" s="81">
        <f>SUM(Z149:Z160)</f>
        <v>12583370.232092248</v>
      </c>
      <c r="AA287" s="81">
        <f>+Z287-'MWh by month- AllWgtbyCDH'!Y287</f>
        <v>0</v>
      </c>
      <c r="AB287" s="81">
        <f>AVERAGE(AB149:AB160)</f>
        <v>4922917.6134850439</v>
      </c>
    </row>
    <row r="288" spans="1:39">
      <c r="A288" s="78">
        <v>2018</v>
      </c>
      <c r="J288" s="319">
        <f>SUM(J161:J172)</f>
        <v>5645813.9724402977</v>
      </c>
      <c r="K288" s="81">
        <f>SUM('MWh Impact Summary'!B24:E24,'MWh Impact Summary'!N24)</f>
        <v>5645813.9724402977</v>
      </c>
      <c r="W288" s="81"/>
      <c r="X288" s="81"/>
      <c r="Y288" s="81">
        <f>SUM(Y161:Y172)</f>
        <v>8121182.6862091785</v>
      </c>
      <c r="Z288" s="81">
        <f>SUM(Z161:Z172)</f>
        <v>13766996.658649476</v>
      </c>
      <c r="AA288" s="81">
        <f>+Z288-'MWh by month- AllWgtbyCDH'!Y288</f>
        <v>0</v>
      </c>
      <c r="AB288" s="81">
        <f>AVERAGE(AB161:AB172)</f>
        <v>4991658.9753791485</v>
      </c>
    </row>
    <row r="289" spans="1:28">
      <c r="A289" s="78">
        <v>2019</v>
      </c>
      <c r="J289" s="319">
        <f>SUM(J173:J184)</f>
        <v>6178818.5956216026</v>
      </c>
      <c r="K289" s="81">
        <f>SUM('MWh Impact Summary'!B25:E25,'MWh Impact Summary'!N25)</f>
        <v>6178818.5956216045</v>
      </c>
      <c r="W289" s="81"/>
      <c r="X289" s="81"/>
      <c r="Y289" s="81">
        <f>SUM(Y173:Y184)</f>
        <v>8825351.2505414505</v>
      </c>
      <c r="Z289" s="81">
        <f>SUM(Z173:Z184)</f>
        <v>15004169.846163053</v>
      </c>
      <c r="AA289" s="81">
        <f>+Z289-'MWh by month- AllWgtbyCDH'!Y289</f>
        <v>0</v>
      </c>
      <c r="AB289" s="81">
        <f>AVERAGE(AB173:AB184)</f>
        <v>5058945.3176616272</v>
      </c>
    </row>
    <row r="290" spans="1:28">
      <c r="A290" s="78">
        <v>2020</v>
      </c>
      <c r="J290" s="319">
        <f>SUM(J185:J196)</f>
        <v>6602699.0569757409</v>
      </c>
      <c r="K290" s="81">
        <f>SUM('MWh Impact Summary'!B26:E26,'MWh Impact Summary'!N26)</f>
        <v>6602699.0569757428</v>
      </c>
      <c r="W290" s="81"/>
      <c r="X290" s="81"/>
      <c r="Y290" s="81">
        <f>SUM(Y185:Y196)</f>
        <v>9551225.2281682678</v>
      </c>
      <c r="Z290" s="81">
        <f>SUM(Z185:Z196)</f>
        <v>16153924.285144009</v>
      </c>
      <c r="AA290" s="81">
        <f>+Z290-'MWh by month- AllWgtbyCDH'!Y290</f>
        <v>0</v>
      </c>
      <c r="AB290" s="81">
        <f>AVERAGE(AB185:AB196)</f>
        <v>5123908.5663745506</v>
      </c>
    </row>
    <row r="291" spans="1:28">
      <c r="A291" s="78">
        <v>2021</v>
      </c>
      <c r="J291" s="319">
        <f>SUM(J197:J208)</f>
        <v>6943997.269991735</v>
      </c>
      <c r="K291" s="81">
        <f>SUM('MWh Impact Summary'!B27:E27,'MWh Impact Summary'!N27)</f>
        <v>6943997.2699917359</v>
      </c>
      <c r="W291" s="81"/>
      <c r="X291" s="81"/>
      <c r="Y291" s="81">
        <f>SUM(Y197:Y208)</f>
        <v>10259823.684878606</v>
      </c>
      <c r="Z291" s="81">
        <f>SUM(Z197:Z208)</f>
        <v>17203820.954870339</v>
      </c>
      <c r="AA291" s="81">
        <f>+Z291-'MWh by month- AllWgtbyCDH'!Y291</f>
        <v>0</v>
      </c>
      <c r="AB291" s="81">
        <f>AVERAGE(AB197:AB208)</f>
        <v>5185332.6771582505</v>
      </c>
    </row>
    <row r="292" spans="1:28">
      <c r="A292" s="78">
        <v>2022</v>
      </c>
      <c r="J292" s="319">
        <f>SUM(J209:J220)</f>
        <v>7269834.1270947866</v>
      </c>
      <c r="K292" s="81">
        <f>SUM('MWh Impact Summary'!B28:E28,'MWh Impact Summary'!N28)</f>
        <v>7269834.1270947866</v>
      </c>
      <c r="W292" s="81"/>
      <c r="X292" s="81"/>
      <c r="Y292" s="81">
        <f>SUM(Y209:Y220)</f>
        <v>11195704.039134977</v>
      </c>
      <c r="Z292" s="81">
        <f>SUM(Z209:Z220)</f>
        <v>18465538.166229762</v>
      </c>
      <c r="AA292" s="81">
        <f>+Z292-'MWh by month- AllWgtbyCDH'!Y292</f>
        <v>0</v>
      </c>
      <c r="AB292" s="81">
        <f>AVERAGE(AB209:AB220)</f>
        <v>5247054.0847409368</v>
      </c>
    </row>
    <row r="293" spans="1:28">
      <c r="A293" s="78">
        <v>2023</v>
      </c>
      <c r="J293" s="319">
        <f>SUM(J221:J232)</f>
        <v>7370166.7033470888</v>
      </c>
      <c r="K293" s="81">
        <f>SUM('MWh Impact Summary'!B29:E29,'MWh Impact Summary'!N29)</f>
        <v>7370166.7033470906</v>
      </c>
      <c r="W293" s="81"/>
      <c r="X293" s="81"/>
      <c r="Y293" s="81">
        <f>SUM(Y221:Y232)</f>
        <v>12030375.656389676</v>
      </c>
      <c r="Z293" s="81">
        <f>SUM(Z221:Z232)</f>
        <v>19400542.359736767</v>
      </c>
      <c r="AA293" s="81">
        <f>+Z293-'MWh by month- AllWgtbyCDH'!Y293</f>
        <v>0</v>
      </c>
      <c r="AB293" s="81">
        <f>AVERAGE(AB221:AB232)</f>
        <v>5309376.0310086822</v>
      </c>
    </row>
    <row r="294" spans="1:28">
      <c r="A294" s="78">
        <v>2024</v>
      </c>
      <c r="J294" s="319">
        <f>SUM(J233:J244)</f>
        <v>7410651.096063192</v>
      </c>
      <c r="K294" s="81">
        <f>SUM('MWh Impact Summary'!B30:E30,'MWh Impact Summary'!N30)</f>
        <v>7410651.096063192</v>
      </c>
      <c r="W294" s="81"/>
      <c r="X294" s="81"/>
      <c r="Y294" s="81">
        <f>SUM(Y233:Y244)</f>
        <v>12783060.419189343</v>
      </c>
      <c r="Z294" s="81">
        <f>SUM(Z233:Z244)</f>
        <v>20193711.515252534</v>
      </c>
      <c r="AA294" s="81">
        <f>+Z294-'MWh by month- AllWgtbyCDH'!Y294</f>
        <v>0</v>
      </c>
      <c r="AB294" s="81">
        <f>AVERAGE(AB233:AB244)</f>
        <v>5372352.5973116057</v>
      </c>
    </row>
    <row r="295" spans="1:28" ht="409.6">
      <c r="A295" s="78">
        <v>2025</v>
      </c>
      <c r="J295" s="319">
        <f>SUM(J245:J256)</f>
        <v>7520575.047466577</v>
      </c>
      <c r="K295" s="81">
        <f>SUM('MWh Impact Summary'!B31:E31,'MWh Impact Summary'!N31)</f>
        <v>7520575.0474665752</v>
      </c>
      <c r="W295" s="81"/>
      <c r="X295" s="81"/>
      <c r="Y295" s="81">
        <f>SUM(Y245:Y256)</f>
        <v>13476154.744595226</v>
      </c>
      <c r="Z295" s="81">
        <f>SUM(Z245:Z256)</f>
        <v>20996729.792061802</v>
      </c>
      <c r="AA295" s="81">
        <f>+Z295-'MWh by month- AllWgtbyCDH'!Y295</f>
        <v>0</v>
      </c>
      <c r="AB295" s="81">
        <f>AVERAGE(AB245:AB256)</f>
        <v>5433671.8395568365</v>
      </c>
    </row>
    <row r="296" spans="1:28">
      <c r="A296" s="78">
        <v>2026</v>
      </c>
      <c r="J296" s="319">
        <f>SUM(J257:J268)</f>
        <v>7628612.0934024518</v>
      </c>
      <c r="K296" s="81">
        <f>SUM('MWh Impact Summary'!B32:E32,'MWh Impact Summary'!N32)</f>
        <v>7628612.0934024528</v>
      </c>
      <c r="W296" s="81"/>
      <c r="X296" s="81"/>
      <c r="Y296" s="81">
        <f>SUM(Y257:Y268)</f>
        <v>14126618.102473851</v>
      </c>
      <c r="Z296" s="81">
        <f>SUM(Z257:Z268)</f>
        <v>21755230.195876304</v>
      </c>
      <c r="AA296" s="81">
        <f>+Z296-'MWh by month- AllWgtbyCDH'!Y296</f>
        <v>0</v>
      </c>
      <c r="AB296" s="81">
        <f>AVERAGE(AB257:AB268)</f>
        <v>5489001.9422878725</v>
      </c>
    </row>
    <row r="298" spans="1:28">
      <c r="J298" s="319">
        <f>SUM(J275:J296)</f>
        <v>93951928.57386291</v>
      </c>
      <c r="K298" s="81">
        <f>SUM(K275:K296)</f>
        <v>93951928.57386294</v>
      </c>
      <c r="L298" s="81">
        <f>+K298-J298</f>
        <v>0</v>
      </c>
      <c r="M298" s="81"/>
    </row>
  </sheetData>
  <pageMargins left="0.75" right="0.75" top="1" bottom="1" header="0.5" footer="0.5"/>
  <pageSetup orientation="portrait" r:id="rId1"/>
  <headerFooter alignWithMargins="0"/>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V57"/>
  <sheetViews>
    <sheetView zoomScale="75" zoomScaleNormal="75" workbookViewId="0">
      <pane xSplit="1" ySplit="10" topLeftCell="B11" activePane="bottomRight" state="frozen"/>
      <selection pane="topRight" activeCell="B1" sqref="B1"/>
      <selection pane="bottomLeft" activeCell="A11" sqref="A11"/>
      <selection pane="bottomRight" activeCell="A2" sqref="A1:A2"/>
    </sheetView>
  </sheetViews>
  <sheetFormatPr defaultRowHeight="13.2"/>
  <cols>
    <col min="1" max="1" width="14.109375" style="5" customWidth="1"/>
    <col min="2" max="18" width="20.6640625" style="5" customWidth="1"/>
    <col min="19" max="19" width="12.5546875" style="5" customWidth="1"/>
    <col min="20" max="20" width="12.6640625" style="5" bestFit="1" customWidth="1"/>
    <col min="21" max="21" width="9.109375" style="5"/>
    <col min="22" max="22" width="12" style="5" bestFit="1" customWidth="1"/>
    <col min="23" max="256" width="9.109375" style="5"/>
    <col min="257" max="257" width="14.109375" style="5" customWidth="1"/>
    <col min="258" max="274" width="20.6640625" style="5" customWidth="1"/>
    <col min="275" max="512" width="9.109375" style="5"/>
    <col min="513" max="513" width="14.109375" style="5" customWidth="1"/>
    <col min="514" max="530" width="20.6640625" style="5" customWidth="1"/>
    <col min="531" max="768" width="9.109375" style="5"/>
    <col min="769" max="769" width="14.109375" style="5" customWidth="1"/>
    <col min="770" max="786" width="20.6640625" style="5" customWidth="1"/>
    <col min="787" max="1024" width="9.109375" style="5"/>
    <col min="1025" max="1025" width="14.109375" style="5" customWidth="1"/>
    <col min="1026" max="1042" width="20.6640625" style="5" customWidth="1"/>
    <col min="1043" max="1280" width="9.109375" style="5"/>
    <col min="1281" max="1281" width="14.109375" style="5" customWidth="1"/>
    <col min="1282" max="1298" width="20.6640625" style="5" customWidth="1"/>
    <col min="1299" max="1536" width="9.109375" style="5"/>
    <col min="1537" max="1537" width="14.109375" style="5" customWidth="1"/>
    <col min="1538" max="1554" width="20.6640625" style="5" customWidth="1"/>
    <col min="1555" max="1792" width="9.109375" style="5"/>
    <col min="1793" max="1793" width="14.109375" style="5" customWidth="1"/>
    <col min="1794" max="1810" width="20.6640625" style="5" customWidth="1"/>
    <col min="1811" max="2048" width="9.109375" style="5"/>
    <col min="2049" max="2049" width="14.109375" style="5" customWidth="1"/>
    <col min="2050" max="2066" width="20.6640625" style="5" customWidth="1"/>
    <col min="2067" max="2304" width="9.109375" style="5"/>
    <col min="2305" max="2305" width="14.109375" style="5" customWidth="1"/>
    <col min="2306" max="2322" width="20.6640625" style="5" customWidth="1"/>
    <col min="2323" max="2560" width="9.109375" style="5"/>
    <col min="2561" max="2561" width="14.109375" style="5" customWidth="1"/>
    <col min="2562" max="2578" width="20.6640625" style="5" customWidth="1"/>
    <col min="2579" max="2816" width="9.109375" style="5"/>
    <col min="2817" max="2817" width="14.109375" style="5" customWidth="1"/>
    <col min="2818" max="2834" width="20.6640625" style="5" customWidth="1"/>
    <col min="2835" max="3072" width="9.109375" style="5"/>
    <col min="3073" max="3073" width="14.109375" style="5" customWidth="1"/>
    <col min="3074" max="3090" width="20.6640625" style="5" customWidth="1"/>
    <col min="3091" max="3328" width="9.109375" style="5"/>
    <col min="3329" max="3329" width="14.109375" style="5" customWidth="1"/>
    <col min="3330" max="3346" width="20.6640625" style="5" customWidth="1"/>
    <col min="3347" max="3584" width="9.109375" style="5"/>
    <col min="3585" max="3585" width="14.109375" style="5" customWidth="1"/>
    <col min="3586" max="3602" width="20.6640625" style="5" customWidth="1"/>
    <col min="3603" max="3840" width="9.109375" style="5"/>
    <col min="3841" max="3841" width="14.109375" style="5" customWidth="1"/>
    <col min="3842" max="3858" width="20.6640625" style="5" customWidth="1"/>
    <col min="3859" max="4096" width="9.109375" style="5"/>
    <col min="4097" max="4097" width="14.109375" style="5" customWidth="1"/>
    <col min="4098" max="4114" width="20.6640625" style="5" customWidth="1"/>
    <col min="4115" max="4352" width="9.109375" style="5"/>
    <col min="4353" max="4353" width="14.109375" style="5" customWidth="1"/>
    <col min="4354" max="4370" width="20.6640625" style="5" customWidth="1"/>
    <col min="4371" max="4608" width="9.109375" style="5"/>
    <col min="4609" max="4609" width="14.109375" style="5" customWidth="1"/>
    <col min="4610" max="4626" width="20.6640625" style="5" customWidth="1"/>
    <col min="4627" max="4864" width="9.109375" style="5"/>
    <col min="4865" max="4865" width="14.109375" style="5" customWidth="1"/>
    <col min="4866" max="4882" width="20.6640625" style="5" customWidth="1"/>
    <col min="4883" max="5120" width="9.109375" style="5"/>
    <col min="5121" max="5121" width="14.109375" style="5" customWidth="1"/>
    <col min="5122" max="5138" width="20.6640625" style="5" customWidth="1"/>
    <col min="5139" max="5376" width="9.109375" style="5"/>
    <col min="5377" max="5377" width="14.109375" style="5" customWidth="1"/>
    <col min="5378" max="5394" width="20.6640625" style="5" customWidth="1"/>
    <col min="5395" max="5632" width="9.109375" style="5"/>
    <col min="5633" max="5633" width="14.109375" style="5" customWidth="1"/>
    <col min="5634" max="5650" width="20.6640625" style="5" customWidth="1"/>
    <col min="5651" max="5888" width="9.109375" style="5"/>
    <col min="5889" max="5889" width="14.109375" style="5" customWidth="1"/>
    <col min="5890" max="5906" width="20.6640625" style="5" customWidth="1"/>
    <col min="5907" max="6144" width="9.109375" style="5"/>
    <col min="6145" max="6145" width="14.109375" style="5" customWidth="1"/>
    <col min="6146" max="6162" width="20.6640625" style="5" customWidth="1"/>
    <col min="6163" max="6400" width="9.109375" style="5"/>
    <col min="6401" max="6401" width="14.109375" style="5" customWidth="1"/>
    <col min="6402" max="6418" width="20.6640625" style="5" customWidth="1"/>
    <col min="6419" max="6656" width="9.109375" style="5"/>
    <col min="6657" max="6657" width="14.109375" style="5" customWidth="1"/>
    <col min="6658" max="6674" width="20.6640625" style="5" customWidth="1"/>
    <col min="6675" max="6912" width="9.109375" style="5"/>
    <col min="6913" max="6913" width="14.109375" style="5" customWidth="1"/>
    <col min="6914" max="6930" width="20.6640625" style="5" customWidth="1"/>
    <col min="6931" max="7168" width="9.109375" style="5"/>
    <col min="7169" max="7169" width="14.109375" style="5" customWidth="1"/>
    <col min="7170" max="7186" width="20.6640625" style="5" customWidth="1"/>
    <col min="7187" max="7424" width="9.109375" style="5"/>
    <col min="7425" max="7425" width="14.109375" style="5" customWidth="1"/>
    <col min="7426" max="7442" width="20.6640625" style="5" customWidth="1"/>
    <col min="7443" max="7680" width="9.109375" style="5"/>
    <col min="7681" max="7681" width="14.109375" style="5" customWidth="1"/>
    <col min="7682" max="7698" width="20.6640625" style="5" customWidth="1"/>
    <col min="7699" max="7936" width="9.109375" style="5"/>
    <col min="7937" max="7937" width="14.109375" style="5" customWidth="1"/>
    <col min="7938" max="7954" width="20.6640625" style="5" customWidth="1"/>
    <col min="7955" max="8192" width="9.109375" style="5"/>
    <col min="8193" max="8193" width="14.109375" style="5" customWidth="1"/>
    <col min="8194" max="8210" width="20.6640625" style="5" customWidth="1"/>
    <col min="8211" max="8448" width="9.109375" style="5"/>
    <col min="8449" max="8449" width="14.109375" style="5" customWidth="1"/>
    <col min="8450" max="8466" width="20.6640625" style="5" customWidth="1"/>
    <col min="8467" max="8704" width="9.109375" style="5"/>
    <col min="8705" max="8705" width="14.109375" style="5" customWidth="1"/>
    <col min="8706" max="8722" width="20.6640625" style="5" customWidth="1"/>
    <col min="8723" max="8960" width="9.109375" style="5"/>
    <col min="8961" max="8961" width="14.109375" style="5" customWidth="1"/>
    <col min="8962" max="8978" width="20.6640625" style="5" customWidth="1"/>
    <col min="8979" max="9216" width="9.109375" style="5"/>
    <col min="9217" max="9217" width="14.109375" style="5" customWidth="1"/>
    <col min="9218" max="9234" width="20.6640625" style="5" customWidth="1"/>
    <col min="9235" max="9472" width="9.109375" style="5"/>
    <col min="9473" max="9473" width="14.109375" style="5" customWidth="1"/>
    <col min="9474" max="9490" width="20.6640625" style="5" customWidth="1"/>
    <col min="9491" max="9728" width="9.109375" style="5"/>
    <col min="9729" max="9729" width="14.109375" style="5" customWidth="1"/>
    <col min="9730" max="9746" width="20.6640625" style="5" customWidth="1"/>
    <col min="9747" max="9984" width="9.109375" style="5"/>
    <col min="9985" max="9985" width="14.109375" style="5" customWidth="1"/>
    <col min="9986" max="10002" width="20.6640625" style="5" customWidth="1"/>
    <col min="10003" max="10240" width="9.109375" style="5"/>
    <col min="10241" max="10241" width="14.109375" style="5" customWidth="1"/>
    <col min="10242" max="10258" width="20.6640625" style="5" customWidth="1"/>
    <col min="10259" max="10496" width="9.109375" style="5"/>
    <col min="10497" max="10497" width="14.109375" style="5" customWidth="1"/>
    <col min="10498" max="10514" width="20.6640625" style="5" customWidth="1"/>
    <col min="10515" max="10752" width="9.109375" style="5"/>
    <col min="10753" max="10753" width="14.109375" style="5" customWidth="1"/>
    <col min="10754" max="10770" width="20.6640625" style="5" customWidth="1"/>
    <col min="10771" max="11008" width="9.109375" style="5"/>
    <col min="11009" max="11009" width="14.109375" style="5" customWidth="1"/>
    <col min="11010" max="11026" width="20.6640625" style="5" customWidth="1"/>
    <col min="11027" max="11264" width="9.109375" style="5"/>
    <col min="11265" max="11265" width="14.109375" style="5" customWidth="1"/>
    <col min="11266" max="11282" width="20.6640625" style="5" customWidth="1"/>
    <col min="11283" max="11520" width="9.109375" style="5"/>
    <col min="11521" max="11521" width="14.109375" style="5" customWidth="1"/>
    <col min="11522" max="11538" width="20.6640625" style="5" customWidth="1"/>
    <col min="11539" max="11776" width="9.109375" style="5"/>
    <col min="11777" max="11777" width="14.109375" style="5" customWidth="1"/>
    <col min="11778" max="11794" width="20.6640625" style="5" customWidth="1"/>
    <col min="11795" max="12032" width="9.109375" style="5"/>
    <col min="12033" max="12033" width="14.109375" style="5" customWidth="1"/>
    <col min="12034" max="12050" width="20.6640625" style="5" customWidth="1"/>
    <col min="12051" max="12288" width="9.109375" style="5"/>
    <col min="12289" max="12289" width="14.109375" style="5" customWidth="1"/>
    <col min="12290" max="12306" width="20.6640625" style="5" customWidth="1"/>
    <col min="12307" max="12544" width="9.109375" style="5"/>
    <col min="12545" max="12545" width="14.109375" style="5" customWidth="1"/>
    <col min="12546" max="12562" width="20.6640625" style="5" customWidth="1"/>
    <col min="12563" max="12800" width="9.109375" style="5"/>
    <col min="12801" max="12801" width="14.109375" style="5" customWidth="1"/>
    <col min="12802" max="12818" width="20.6640625" style="5" customWidth="1"/>
    <col min="12819" max="13056" width="9.109375" style="5"/>
    <col min="13057" max="13057" width="14.109375" style="5" customWidth="1"/>
    <col min="13058" max="13074" width="20.6640625" style="5" customWidth="1"/>
    <col min="13075" max="13312" width="9.109375" style="5"/>
    <col min="13313" max="13313" width="14.109375" style="5" customWidth="1"/>
    <col min="13314" max="13330" width="20.6640625" style="5" customWidth="1"/>
    <col min="13331" max="13568" width="9.109375" style="5"/>
    <col min="13569" max="13569" width="14.109375" style="5" customWidth="1"/>
    <col min="13570" max="13586" width="20.6640625" style="5" customWidth="1"/>
    <col min="13587" max="13824" width="9.109375" style="5"/>
    <col min="13825" max="13825" width="14.109375" style="5" customWidth="1"/>
    <col min="13826" max="13842" width="20.6640625" style="5" customWidth="1"/>
    <col min="13843" max="14080" width="9.109375" style="5"/>
    <col min="14081" max="14081" width="14.109375" style="5" customWidth="1"/>
    <col min="14082" max="14098" width="20.6640625" style="5" customWidth="1"/>
    <col min="14099" max="14336" width="9.109375" style="5"/>
    <col min="14337" max="14337" width="14.109375" style="5" customWidth="1"/>
    <col min="14338" max="14354" width="20.6640625" style="5" customWidth="1"/>
    <col min="14355" max="14592" width="9.109375" style="5"/>
    <col min="14593" max="14593" width="14.109375" style="5" customWidth="1"/>
    <col min="14594" max="14610" width="20.6640625" style="5" customWidth="1"/>
    <col min="14611" max="14848" width="9.109375" style="5"/>
    <col min="14849" max="14849" width="14.109375" style="5" customWidth="1"/>
    <col min="14850" max="14866" width="20.6640625" style="5" customWidth="1"/>
    <col min="14867" max="15104" width="9.109375" style="5"/>
    <col min="15105" max="15105" width="14.109375" style="5" customWidth="1"/>
    <col min="15106" max="15122" width="20.6640625" style="5" customWidth="1"/>
    <col min="15123" max="15360" width="9.109375" style="5"/>
    <col min="15361" max="15361" width="14.109375" style="5" customWidth="1"/>
    <col min="15362" max="15378" width="20.6640625" style="5" customWidth="1"/>
    <col min="15379" max="15616" width="9.109375" style="5"/>
    <col min="15617" max="15617" width="14.109375" style="5" customWidth="1"/>
    <col min="15618" max="15634" width="20.6640625" style="5" customWidth="1"/>
    <col min="15635" max="15872" width="9.109375" style="5"/>
    <col min="15873" max="15873" width="14.109375" style="5" customWidth="1"/>
    <col min="15874" max="15890" width="20.6640625" style="5" customWidth="1"/>
    <col min="15891" max="16128" width="9.109375" style="5"/>
    <col min="16129" max="16129" width="14.109375" style="5" customWidth="1"/>
    <col min="16130" max="16146" width="20.6640625" style="5" customWidth="1"/>
    <col min="16147" max="16384" width="9.109375" style="5"/>
  </cols>
  <sheetData>
    <row r="1" spans="1:22" s="2" customFormat="1" ht="15.6">
      <c r="A1" s="416" t="s">
        <v>388</v>
      </c>
      <c r="B1" s="1"/>
      <c r="C1" s="1"/>
      <c r="D1" s="1"/>
      <c r="E1" s="1"/>
      <c r="F1" s="1"/>
      <c r="G1" s="1"/>
      <c r="H1" s="1"/>
      <c r="I1" s="1"/>
      <c r="J1" s="1"/>
      <c r="K1" s="1"/>
      <c r="L1" s="1"/>
      <c r="M1" s="1"/>
      <c r="N1" s="1"/>
      <c r="O1" s="1"/>
      <c r="P1" s="1"/>
      <c r="Q1" s="1"/>
      <c r="R1" s="1"/>
    </row>
    <row r="2" spans="1:22" s="2" customFormat="1" ht="15.6">
      <c r="A2" s="416" t="s">
        <v>380</v>
      </c>
      <c r="B2" s="1"/>
      <c r="C2" s="1"/>
      <c r="D2" s="1"/>
      <c r="E2" s="1"/>
      <c r="F2" s="1"/>
      <c r="G2" s="1"/>
      <c r="H2" s="1"/>
      <c r="I2" s="1"/>
      <c r="J2" s="1"/>
      <c r="K2" s="1"/>
      <c r="L2" s="1"/>
      <c r="M2" s="1"/>
      <c r="N2" s="1"/>
      <c r="O2" s="1"/>
      <c r="P2" s="1"/>
      <c r="Q2" s="1"/>
      <c r="R2" s="1"/>
    </row>
    <row r="3" spans="1:22" s="2" customFormat="1" ht="15.6">
      <c r="A3" s="1" t="s">
        <v>45</v>
      </c>
      <c r="B3" s="1"/>
      <c r="C3" s="1"/>
      <c r="D3" s="1"/>
      <c r="E3" s="1"/>
      <c r="F3" s="1"/>
      <c r="G3" s="1"/>
      <c r="H3" s="1"/>
      <c r="I3" s="1"/>
      <c r="J3" s="1"/>
      <c r="K3" s="1"/>
      <c r="L3" s="1"/>
      <c r="M3" s="1"/>
      <c r="N3" s="1"/>
      <c r="O3" s="1"/>
      <c r="P3" s="1"/>
      <c r="Q3" s="1"/>
      <c r="R3" s="1"/>
    </row>
    <row r="4" spans="1:22" s="2" customFormat="1" ht="15.6">
      <c r="A4" s="1" t="s">
        <v>352</v>
      </c>
      <c r="B4" s="1"/>
      <c r="C4" s="1"/>
      <c r="D4" s="1"/>
      <c r="E4" s="1"/>
      <c r="F4" s="1"/>
      <c r="G4" s="1"/>
      <c r="H4" s="1"/>
      <c r="I4" s="1"/>
      <c r="J4" s="1"/>
      <c r="K4" s="1"/>
      <c r="L4" s="1"/>
      <c r="M4" s="1"/>
      <c r="N4" s="1"/>
      <c r="O4" s="1"/>
      <c r="P4" s="1"/>
      <c r="Q4" s="1"/>
      <c r="R4" s="1"/>
    </row>
    <row r="5" spans="1:22">
      <c r="A5" s="4"/>
      <c r="B5" s="4"/>
      <c r="C5" s="4"/>
      <c r="D5" s="4"/>
      <c r="E5" s="4"/>
      <c r="F5" s="4"/>
      <c r="G5" s="4"/>
      <c r="H5" s="4"/>
      <c r="I5" s="4"/>
      <c r="J5" s="4"/>
      <c r="K5" s="4"/>
      <c r="L5" s="4"/>
      <c r="M5" s="4"/>
      <c r="N5" s="4"/>
      <c r="O5" s="4"/>
      <c r="P5" s="4"/>
      <c r="Q5" s="4"/>
      <c r="R5" s="4"/>
    </row>
    <row r="6" spans="1:22" s="9" customFormat="1" ht="39.6">
      <c r="A6" s="6"/>
      <c r="B6" s="146" t="s">
        <v>23</v>
      </c>
      <c r="C6" s="47" t="s">
        <v>43</v>
      </c>
      <c r="D6" s="47" t="s">
        <v>187</v>
      </c>
      <c r="E6" s="47" t="s">
        <v>95</v>
      </c>
      <c r="F6" s="47" t="s">
        <v>130</v>
      </c>
      <c r="G6" s="47" t="s">
        <v>353</v>
      </c>
      <c r="H6" s="47" t="s">
        <v>131</v>
      </c>
      <c r="I6" s="48" t="s">
        <v>89</v>
      </c>
      <c r="J6" s="48" t="s">
        <v>129</v>
      </c>
      <c r="K6" s="258" t="s">
        <v>327</v>
      </c>
      <c r="L6" s="48" t="s">
        <v>146</v>
      </c>
      <c r="M6" s="48" t="s">
        <v>147</v>
      </c>
      <c r="N6" s="48" t="s">
        <v>169</v>
      </c>
      <c r="O6" s="48" t="s">
        <v>261</v>
      </c>
      <c r="P6" s="48" t="s">
        <v>212</v>
      </c>
      <c r="Q6" s="48" t="s">
        <v>214</v>
      </c>
      <c r="R6" s="48" t="s">
        <v>92</v>
      </c>
    </row>
    <row r="7" spans="1:22" s="9" customFormat="1" ht="26.4">
      <c r="A7" s="10"/>
      <c r="B7" s="54" t="s">
        <v>24</v>
      </c>
      <c r="C7" s="56" t="s">
        <v>24</v>
      </c>
      <c r="D7" s="43" t="s">
        <v>24</v>
      </c>
      <c r="E7" s="43" t="s">
        <v>24</v>
      </c>
      <c r="F7" s="43" t="s">
        <v>24</v>
      </c>
      <c r="G7" s="57" t="s">
        <v>24</v>
      </c>
      <c r="H7" s="43" t="s">
        <v>24</v>
      </c>
      <c r="I7" s="43" t="s">
        <v>24</v>
      </c>
      <c r="J7" s="43" t="s">
        <v>24</v>
      </c>
      <c r="K7" s="259" t="s">
        <v>24</v>
      </c>
      <c r="L7" s="43" t="s">
        <v>24</v>
      </c>
      <c r="M7" s="43" t="s">
        <v>24</v>
      </c>
      <c r="N7" s="43" t="s">
        <v>24</v>
      </c>
      <c r="O7" s="43" t="s">
        <v>24</v>
      </c>
      <c r="P7" s="43" t="s">
        <v>24</v>
      </c>
      <c r="Q7" s="43" t="s">
        <v>24</v>
      </c>
      <c r="R7" s="43" t="s">
        <v>24</v>
      </c>
    </row>
    <row r="8" spans="1:22" s="9" customFormat="1" ht="39.6">
      <c r="A8" s="10"/>
      <c r="B8" s="44" t="s">
        <v>317</v>
      </c>
      <c r="C8" s="55" t="s">
        <v>298</v>
      </c>
      <c r="D8" s="44" t="s">
        <v>119</v>
      </c>
      <c r="E8" s="44" t="s">
        <v>100</v>
      </c>
      <c r="F8" s="44" t="s">
        <v>60</v>
      </c>
      <c r="G8" s="55" t="s">
        <v>279</v>
      </c>
      <c r="H8" s="260" t="s">
        <v>311</v>
      </c>
      <c r="I8" s="45" t="s">
        <v>90</v>
      </c>
      <c r="J8" s="260" t="s">
        <v>303</v>
      </c>
      <c r="K8" s="260" t="s">
        <v>333</v>
      </c>
      <c r="L8" s="45" t="s">
        <v>145</v>
      </c>
      <c r="M8" s="45" t="s">
        <v>145</v>
      </c>
      <c r="N8" s="45" t="s">
        <v>170</v>
      </c>
      <c r="O8" s="45" t="s">
        <v>354</v>
      </c>
      <c r="P8" s="45" t="s">
        <v>213</v>
      </c>
      <c r="Q8" s="45" t="s">
        <v>208</v>
      </c>
      <c r="R8" s="45" t="s">
        <v>110</v>
      </c>
    </row>
    <row r="9" spans="1:22" s="9" customFormat="1" ht="39.6">
      <c r="A9" s="10"/>
      <c r="B9" s="44" t="s">
        <v>25</v>
      </c>
      <c r="C9" s="55" t="s">
        <v>44</v>
      </c>
      <c r="D9" s="44" t="s">
        <v>44</v>
      </c>
      <c r="E9" s="44" t="s">
        <v>44</v>
      </c>
      <c r="F9" s="44" t="s">
        <v>61</v>
      </c>
      <c r="G9" s="55" t="s">
        <v>284</v>
      </c>
      <c r="H9" s="44" t="s">
        <v>71</v>
      </c>
      <c r="I9" s="45" t="s">
        <v>91</v>
      </c>
      <c r="J9" s="44" t="s">
        <v>71</v>
      </c>
      <c r="K9" s="260" t="s">
        <v>339</v>
      </c>
      <c r="L9" s="44" t="s">
        <v>71</v>
      </c>
      <c r="M9" s="44" t="s">
        <v>71</v>
      </c>
      <c r="N9" s="44" t="s">
        <v>171</v>
      </c>
      <c r="O9" s="44" t="s">
        <v>201</v>
      </c>
      <c r="P9" s="44" t="s">
        <v>201</v>
      </c>
      <c r="Q9" s="44" t="s">
        <v>210</v>
      </c>
      <c r="R9" s="45" t="s">
        <v>93</v>
      </c>
      <c r="S9" s="49" t="s">
        <v>257</v>
      </c>
      <c r="T9" s="267" t="s">
        <v>359</v>
      </c>
    </row>
    <row r="10" spans="1:22" s="9" customFormat="1">
      <c r="A10" s="11" t="s">
        <v>17</v>
      </c>
      <c r="B10" s="46" t="s">
        <v>22</v>
      </c>
      <c r="C10" s="58" t="s">
        <v>22</v>
      </c>
      <c r="D10" s="46" t="s">
        <v>22</v>
      </c>
      <c r="E10" s="46" t="s">
        <v>22</v>
      </c>
      <c r="F10" s="46" t="s">
        <v>22</v>
      </c>
      <c r="G10" s="58" t="s">
        <v>22</v>
      </c>
      <c r="H10" s="46" t="s">
        <v>22</v>
      </c>
      <c r="I10" s="50" t="s">
        <v>22</v>
      </c>
      <c r="J10" s="50" t="s">
        <v>22</v>
      </c>
      <c r="K10" s="261" t="s">
        <v>22</v>
      </c>
      <c r="L10" s="50" t="s">
        <v>22</v>
      </c>
      <c r="M10" s="50" t="s">
        <v>22</v>
      </c>
      <c r="N10" s="50" t="s">
        <v>22</v>
      </c>
      <c r="O10" s="50" t="s">
        <v>22</v>
      </c>
      <c r="P10" s="50" t="s">
        <v>22</v>
      </c>
      <c r="Q10" s="50" t="s">
        <v>22</v>
      </c>
      <c r="R10" s="50" t="s">
        <v>22</v>
      </c>
    </row>
    <row r="11" spans="1:22">
      <c r="A11" s="12">
        <v>2005</v>
      </c>
      <c r="B11" s="13">
        <v>0</v>
      </c>
      <c r="C11" s="13">
        <v>15.176408750699466</v>
      </c>
      <c r="D11" s="13">
        <v>0</v>
      </c>
      <c r="E11" s="13">
        <v>10.738928166074857</v>
      </c>
      <c r="F11" s="13">
        <v>0</v>
      </c>
      <c r="G11" s="13">
        <v>0</v>
      </c>
      <c r="H11" s="13">
        <v>0</v>
      </c>
      <c r="I11" s="20">
        <v>0</v>
      </c>
      <c r="J11" s="20">
        <v>0</v>
      </c>
      <c r="K11" s="20">
        <v>0</v>
      </c>
      <c r="L11" s="20">
        <v>0</v>
      </c>
      <c r="M11" s="20">
        <v>0</v>
      </c>
      <c r="N11" s="20">
        <v>0</v>
      </c>
      <c r="O11" s="20"/>
      <c r="P11" s="20"/>
      <c r="Q11" s="20">
        <v>0</v>
      </c>
      <c r="R11" s="20">
        <f>SUM(B11:Q11)</f>
        <v>25.915336916774322</v>
      </c>
      <c r="S11" s="139">
        <f>+R11/T11</f>
        <v>5.9962900342078294E-6</v>
      </c>
      <c r="T11" s="15">
        <f>+'MWh by month-WgtbyCDH&amp;DayLtHrs'!AB275</f>
        <v>4321895.166666667</v>
      </c>
      <c r="V11" s="263"/>
    </row>
    <row r="12" spans="1:22">
      <c r="A12" s="12">
        <v>2006</v>
      </c>
      <c r="B12" s="13">
        <v>108.1533249503218</v>
      </c>
      <c r="C12" s="13">
        <v>51.89165111527609</v>
      </c>
      <c r="D12" s="13">
        <v>0</v>
      </c>
      <c r="E12" s="13">
        <v>24.668888087589721</v>
      </c>
      <c r="F12" s="13">
        <v>0</v>
      </c>
      <c r="G12" s="13">
        <v>0</v>
      </c>
      <c r="H12" s="13">
        <v>0</v>
      </c>
      <c r="I12" s="20">
        <v>0.36931165427976398</v>
      </c>
      <c r="J12" s="20">
        <v>0</v>
      </c>
      <c r="K12" s="20">
        <v>0</v>
      </c>
      <c r="L12" s="20">
        <v>0</v>
      </c>
      <c r="M12" s="20">
        <v>0</v>
      </c>
      <c r="N12" s="20">
        <v>0</v>
      </c>
      <c r="O12" s="20"/>
      <c r="P12" s="20"/>
      <c r="Q12" s="20">
        <v>0</v>
      </c>
      <c r="R12" s="20">
        <f t="shared" ref="R12:R32" si="0">SUM(B12:Q12)</f>
        <v>185.08317580746737</v>
      </c>
      <c r="S12" s="139">
        <f t="shared" ref="S12:S32" si="1">+R12/T12</f>
        <v>4.1973138107798079E-5</v>
      </c>
      <c r="T12" s="15">
        <f>+'MWh by month-WgtbyCDH&amp;DayLtHrs'!AB276</f>
        <v>4409562.5</v>
      </c>
      <c r="V12" s="263"/>
    </row>
    <row r="13" spans="1:22">
      <c r="A13" s="12">
        <v>2007</v>
      </c>
      <c r="B13" s="13">
        <v>209.53033780778605</v>
      </c>
      <c r="C13" s="13">
        <v>90.398860302209414</v>
      </c>
      <c r="D13" s="13">
        <v>0</v>
      </c>
      <c r="E13" s="13">
        <v>39.278729834974229</v>
      </c>
      <c r="F13" s="13">
        <v>26.648749326013785</v>
      </c>
      <c r="G13" s="13">
        <v>0</v>
      </c>
      <c r="H13" s="13">
        <v>0</v>
      </c>
      <c r="I13" s="20">
        <v>0.73862330855952796</v>
      </c>
      <c r="J13" s="20">
        <v>0</v>
      </c>
      <c r="K13" s="20">
        <v>0</v>
      </c>
      <c r="L13" s="20">
        <v>0</v>
      </c>
      <c r="M13" s="20">
        <v>0</v>
      </c>
      <c r="N13" s="20">
        <v>0</v>
      </c>
      <c r="O13" s="20"/>
      <c r="P13" s="20"/>
      <c r="Q13" s="20">
        <v>0</v>
      </c>
      <c r="R13" s="20">
        <f>SUM(B13:Q13)</f>
        <v>366.59530057954299</v>
      </c>
      <c r="S13" s="139">
        <f t="shared" si="1"/>
        <v>8.1527414091823447E-5</v>
      </c>
      <c r="T13" s="15">
        <f>+'MWh by month-WgtbyCDH&amp;DayLtHrs'!AB277</f>
        <v>4496589.333333333</v>
      </c>
      <c r="V13" s="263"/>
    </row>
    <row r="14" spans="1:22">
      <c r="A14" s="12">
        <v>2008</v>
      </c>
      <c r="B14" s="13">
        <v>285.27787233737854</v>
      </c>
      <c r="C14" s="13">
        <v>120.66256033356694</v>
      </c>
      <c r="D14" s="13">
        <v>0</v>
      </c>
      <c r="E14" s="13">
        <v>50.760939984301331</v>
      </c>
      <c r="F14" s="13">
        <v>45.2167070347557</v>
      </c>
      <c r="G14" s="13">
        <v>0</v>
      </c>
      <c r="H14" s="13">
        <v>0</v>
      </c>
      <c r="I14" s="20">
        <v>1.107934962839292</v>
      </c>
      <c r="J14" s="20">
        <v>0</v>
      </c>
      <c r="K14" s="20">
        <v>0</v>
      </c>
      <c r="L14" s="20">
        <v>0</v>
      </c>
      <c r="M14" s="20">
        <v>0</v>
      </c>
      <c r="N14" s="20">
        <v>0</v>
      </c>
      <c r="O14" s="20">
        <v>0</v>
      </c>
      <c r="P14" s="20">
        <v>260.07278384422443</v>
      </c>
      <c r="Q14" s="20">
        <v>0</v>
      </c>
      <c r="R14" s="20">
        <f t="shared" si="0"/>
        <v>763.09879849706624</v>
      </c>
      <c r="S14" s="139">
        <f t="shared" si="1"/>
        <v>1.6921163136044234E-4</v>
      </c>
      <c r="T14" s="15">
        <f>+'MWh by month-WgtbyCDH&amp;DayLtHrs'!AB278</f>
        <v>4509730.166666667</v>
      </c>
      <c r="V14" s="263"/>
    </row>
    <row r="15" spans="1:22">
      <c r="A15" s="12">
        <v>2009</v>
      </c>
      <c r="B15" s="13">
        <v>350.76198431035482</v>
      </c>
      <c r="C15" s="13">
        <v>146.38119006210854</v>
      </c>
      <c r="D15" s="13">
        <v>0</v>
      </c>
      <c r="E15" s="13">
        <v>60.518726077537167</v>
      </c>
      <c r="F15" s="13">
        <v>59.329308983013789</v>
      </c>
      <c r="G15" s="13">
        <v>0</v>
      </c>
      <c r="H15" s="13">
        <v>0</v>
      </c>
      <c r="I15" s="20">
        <v>1.4772466171190559</v>
      </c>
      <c r="J15" s="20">
        <v>4.2436885527058843</v>
      </c>
      <c r="K15" s="20">
        <v>0</v>
      </c>
      <c r="L15" s="20">
        <v>0</v>
      </c>
      <c r="M15" s="20">
        <v>0</v>
      </c>
      <c r="N15" s="20">
        <v>9.1352082282129956</v>
      </c>
      <c r="O15" s="20">
        <v>0</v>
      </c>
      <c r="P15" s="20">
        <v>310.42797056954629</v>
      </c>
      <c r="Q15" s="20">
        <v>0</v>
      </c>
      <c r="R15" s="20">
        <f t="shared" si="0"/>
        <v>942.27532340059838</v>
      </c>
      <c r="S15" s="139">
        <f t="shared" si="1"/>
        <v>2.0943795141527928E-4</v>
      </c>
      <c r="T15" s="15">
        <f>+'MWh by month-WgtbyCDH&amp;DayLtHrs'!AB279</f>
        <v>4499066.75</v>
      </c>
      <c r="V15" s="263"/>
    </row>
    <row r="16" spans="1:22">
      <c r="A16" s="12">
        <v>2010</v>
      </c>
      <c r="B16" s="13">
        <v>419.84022303491747</v>
      </c>
      <c r="C16" s="13">
        <v>181.81601943722217</v>
      </c>
      <c r="D16" s="13">
        <v>0.18927277309958868</v>
      </c>
      <c r="E16" s="13">
        <v>71.684920934633283</v>
      </c>
      <c r="F16" s="13">
        <v>77.08078506841639</v>
      </c>
      <c r="G16" s="13">
        <v>0</v>
      </c>
      <c r="H16" s="13">
        <v>4.183650022856142</v>
      </c>
      <c r="I16" s="20">
        <v>1.84655827139882</v>
      </c>
      <c r="J16" s="20">
        <v>8.6169614026750558</v>
      </c>
      <c r="K16" s="20">
        <v>0</v>
      </c>
      <c r="L16" s="20">
        <v>0</v>
      </c>
      <c r="M16" s="20">
        <v>0</v>
      </c>
      <c r="N16" s="20">
        <v>14.606292884759542</v>
      </c>
      <c r="O16" s="20">
        <v>0</v>
      </c>
      <c r="P16" s="20">
        <v>356.35532890663688</v>
      </c>
      <c r="Q16" s="20">
        <v>0</v>
      </c>
      <c r="R16" s="20">
        <f t="shared" si="0"/>
        <v>1136.2200127366154</v>
      </c>
      <c r="S16" s="139">
        <f t="shared" si="1"/>
        <v>2.5135788741935936E-4</v>
      </c>
      <c r="T16" s="15">
        <f>+'MWh by month-WgtbyCDH&amp;DayLtHrs'!AB280</f>
        <v>4520327.666666667</v>
      </c>
      <c r="V16" s="263"/>
    </row>
    <row r="17" spans="1:22">
      <c r="A17" s="12">
        <v>2011</v>
      </c>
      <c r="B17" s="13">
        <v>500.10614902866837</v>
      </c>
      <c r="C17" s="13">
        <v>220.33217810780843</v>
      </c>
      <c r="D17" s="13">
        <v>0.39436213423353905</v>
      </c>
      <c r="E17" s="13">
        <v>83.82210179445201</v>
      </c>
      <c r="F17" s="13">
        <v>97.340975912988597</v>
      </c>
      <c r="G17" s="13">
        <v>0</v>
      </c>
      <c r="H17" s="13">
        <v>8.7148089046826982</v>
      </c>
      <c r="I17" s="20">
        <v>2.1409300276616028</v>
      </c>
      <c r="J17" s="20">
        <v>13.284721376166051</v>
      </c>
      <c r="K17" s="20">
        <v>0</v>
      </c>
      <c r="L17" s="20">
        <v>0</v>
      </c>
      <c r="M17" s="20">
        <v>0</v>
      </c>
      <c r="N17" s="20">
        <v>19.789405587940252</v>
      </c>
      <c r="O17" s="20">
        <v>0</v>
      </c>
      <c r="P17" s="20">
        <v>397.86127480263656</v>
      </c>
      <c r="Q17" s="20">
        <v>0</v>
      </c>
      <c r="R17" s="20">
        <f t="shared" si="0"/>
        <v>1343.7869076772381</v>
      </c>
      <c r="S17" s="139">
        <f t="shared" si="1"/>
        <v>2.955293347121304E-4</v>
      </c>
      <c r="T17" s="15">
        <f>+'MWh by month-WgtbyCDH&amp;DayLtHrs'!AB281</f>
        <v>4547050.833333333</v>
      </c>
      <c r="V17" s="263"/>
    </row>
    <row r="18" spans="1:22">
      <c r="A18" s="12">
        <v>2012</v>
      </c>
      <c r="B18" s="13">
        <v>581.24537099468671</v>
      </c>
      <c r="C18" s="13">
        <v>258.51214437993167</v>
      </c>
      <c r="D18" s="13">
        <v>0.59772337429003386</v>
      </c>
      <c r="E18" s="13">
        <v>95.853341976781621</v>
      </c>
      <c r="F18" s="13">
        <v>117.32745020503785</v>
      </c>
      <c r="G18" s="13">
        <v>0</v>
      </c>
      <c r="H18" s="13">
        <v>13.219638265302152</v>
      </c>
      <c r="I18" s="20">
        <v>2.4353017839243853</v>
      </c>
      <c r="J18" s="20">
        <v>17.920350953039343</v>
      </c>
      <c r="K18" s="20">
        <v>0</v>
      </c>
      <c r="L18" s="20">
        <v>0</v>
      </c>
      <c r="M18" s="20">
        <v>0</v>
      </c>
      <c r="N18" s="20">
        <v>27.859846001550864</v>
      </c>
      <c r="O18" s="20">
        <v>6.9579944281659908E-2</v>
      </c>
      <c r="P18" s="20">
        <v>434.15915057844649</v>
      </c>
      <c r="Q18" s="20">
        <v>0</v>
      </c>
      <c r="R18" s="20">
        <f t="shared" si="0"/>
        <v>1549.1998984572729</v>
      </c>
      <c r="S18" s="139">
        <f t="shared" si="1"/>
        <v>3.3851573814017204E-4</v>
      </c>
      <c r="T18" s="15">
        <f>+'MWh by month-WgtbyCDH&amp;DayLtHrs'!AB282</f>
        <v>4576448.666666667</v>
      </c>
      <c r="V18" s="263"/>
    </row>
    <row r="19" spans="1:22">
      <c r="A19" s="12">
        <v>2013</v>
      </c>
      <c r="B19" s="13">
        <v>668.04668109915201</v>
      </c>
      <c r="C19" s="13">
        <v>298.2318197141617</v>
      </c>
      <c r="D19" s="13">
        <v>0.80898688936618868</v>
      </c>
      <c r="E19" s="13">
        <v>108.36977403710034</v>
      </c>
      <c r="F19" s="13">
        <v>138.56750387096668</v>
      </c>
      <c r="G19" s="13">
        <v>0.18261910909927792</v>
      </c>
      <c r="H19" s="13">
        <v>17.845052750953755</v>
      </c>
      <c r="I19" s="20">
        <v>2.7296735401871683</v>
      </c>
      <c r="J19" s="20">
        <v>22.703132764964806</v>
      </c>
      <c r="K19" s="20">
        <v>0</v>
      </c>
      <c r="L19" s="20">
        <v>0</v>
      </c>
      <c r="M19" s="20">
        <v>0</v>
      </c>
      <c r="N19" s="20">
        <v>38.92645531226384</v>
      </c>
      <c r="O19" s="20">
        <v>0.75480834564573807</v>
      </c>
      <c r="P19" s="20">
        <v>468.00637693371971</v>
      </c>
      <c r="Q19" s="20">
        <v>34.846486693760333</v>
      </c>
      <c r="R19" s="20">
        <f t="shared" si="0"/>
        <v>1800.0193710613414</v>
      </c>
      <c r="S19" s="139">
        <f t="shared" si="1"/>
        <v>3.8903067158175392E-4</v>
      </c>
      <c r="T19" s="15">
        <f>+'MWh by month-WgtbyCDH&amp;DayLtHrs'!AB283</f>
        <v>4626934.333333333</v>
      </c>
      <c r="V19" s="263"/>
    </row>
    <row r="20" spans="1:22">
      <c r="A20" s="12">
        <v>2014</v>
      </c>
      <c r="B20" s="13">
        <v>759.51953220904579</v>
      </c>
      <c r="C20" s="13">
        <v>342.38595209543519</v>
      </c>
      <c r="D20" s="13">
        <v>1.0430048903315736</v>
      </c>
      <c r="E20" s="13">
        <v>122.28358862601908</v>
      </c>
      <c r="F20" s="13">
        <v>163.41794343728225</v>
      </c>
      <c r="G20" s="13">
        <v>0.71677090618300099</v>
      </c>
      <c r="H20" s="13">
        <v>22.817759832737451</v>
      </c>
      <c r="I20" s="20">
        <v>3.0240452964499513</v>
      </c>
      <c r="J20" s="20">
        <v>27.909722088175673</v>
      </c>
      <c r="K20" s="20">
        <v>0</v>
      </c>
      <c r="L20" s="20">
        <v>0</v>
      </c>
      <c r="M20" s="20">
        <v>0</v>
      </c>
      <c r="N20" s="20">
        <v>50.88852872473835</v>
      </c>
      <c r="O20" s="20">
        <v>2.6369812532907098</v>
      </c>
      <c r="P20" s="20">
        <v>501.76351040633557</v>
      </c>
      <c r="Q20" s="20">
        <v>70.014550180878985</v>
      </c>
      <c r="R20" s="20">
        <f t="shared" si="0"/>
        <v>2068.4218899469033</v>
      </c>
      <c r="S20" s="139">
        <f t="shared" si="1"/>
        <v>4.3926456949814491E-4</v>
      </c>
      <c r="T20" s="15">
        <f>+'MWh by month-WgtbyCDH&amp;DayLtHrs'!AB284</f>
        <v>4708829.333333333</v>
      </c>
      <c r="V20" s="263"/>
    </row>
    <row r="21" spans="1:22">
      <c r="A21" s="12">
        <v>2015</v>
      </c>
      <c r="B21" s="13">
        <v>892.98652804541143</v>
      </c>
      <c r="C21" s="13">
        <v>391.01398465491366</v>
      </c>
      <c r="D21" s="13">
        <v>1.2999860357683275</v>
      </c>
      <c r="E21" s="13">
        <v>137.60721503122113</v>
      </c>
      <c r="F21" s="13">
        <v>191.91088217582319</v>
      </c>
      <c r="G21" s="13">
        <v>1.6966846427285418</v>
      </c>
      <c r="H21" s="13">
        <v>28.14084857145032</v>
      </c>
      <c r="I21" s="20">
        <v>3.3184170527127339</v>
      </c>
      <c r="J21" s="20">
        <v>33.543888560099305</v>
      </c>
      <c r="K21" s="20">
        <v>4.9567720441099254</v>
      </c>
      <c r="L21" s="20">
        <v>1.7776653313393469</v>
      </c>
      <c r="M21" s="20">
        <v>4.3487561622621937</v>
      </c>
      <c r="N21" s="20">
        <v>73.735788424749884</v>
      </c>
      <c r="O21" s="20">
        <v>6.4178779156972077</v>
      </c>
      <c r="P21" s="20">
        <v>535.85107410307364</v>
      </c>
      <c r="Q21" s="20">
        <v>105.01574569479493</v>
      </c>
      <c r="R21" s="20">
        <f t="shared" si="0"/>
        <v>2413.6221144461556</v>
      </c>
      <c r="S21" s="139">
        <f t="shared" si="1"/>
        <v>5.0489037509554515E-4</v>
      </c>
      <c r="T21" s="15">
        <f>+'MWh by month-WgtbyCDH&amp;DayLtHrs'!AB285</f>
        <v>4780487.4751066575</v>
      </c>
      <c r="V21" s="263"/>
    </row>
    <row r="22" spans="1:22">
      <c r="A22" s="12">
        <v>2016</v>
      </c>
      <c r="B22" s="13">
        <v>1022.7304583395171</v>
      </c>
      <c r="C22" s="13">
        <v>434.70266080573447</v>
      </c>
      <c r="D22" s="13">
        <v>1.531623188809732</v>
      </c>
      <c r="E22" s="13">
        <v>151.3743554281557</v>
      </c>
      <c r="F22" s="13">
        <v>216.38236292173588</v>
      </c>
      <c r="G22" s="13">
        <v>4.2635949248706311</v>
      </c>
      <c r="H22" s="13">
        <v>33.077102599129532</v>
      </c>
      <c r="I22" s="20">
        <v>3.6127888089755169</v>
      </c>
      <c r="J22" s="20">
        <v>38.705993554214693</v>
      </c>
      <c r="K22" s="20">
        <v>9.790163695502315</v>
      </c>
      <c r="L22" s="20">
        <v>3.3923388604801517</v>
      </c>
      <c r="M22" s="20">
        <v>8.5892662243693145</v>
      </c>
      <c r="N22" s="20">
        <v>98.350981486416202</v>
      </c>
      <c r="O22" s="20">
        <v>13.275670815635131</v>
      </c>
      <c r="P22" s="20">
        <v>563.72059684006149</v>
      </c>
      <c r="Q22" s="20">
        <v>135.09918490827144</v>
      </c>
      <c r="R22" s="20">
        <f t="shared" si="0"/>
        <v>2738.5991434018792</v>
      </c>
      <c r="S22" s="139">
        <f t="shared" si="1"/>
        <v>5.6433061856747289E-4</v>
      </c>
      <c r="T22" s="15">
        <f>+'MWh by month-WgtbyCDH&amp;DayLtHrs'!AB286</f>
        <v>4852827.4973874111</v>
      </c>
      <c r="V22" s="263"/>
    </row>
    <row r="23" spans="1:22">
      <c r="A23" s="12">
        <v>2017</v>
      </c>
      <c r="B23" s="13">
        <v>1152.568260413841</v>
      </c>
      <c r="C23" s="13">
        <v>477.8786226117918</v>
      </c>
      <c r="D23" s="13">
        <v>1.7606280335846236</v>
      </c>
      <c r="E23" s="13">
        <v>164.97992969423512</v>
      </c>
      <c r="F23" s="13">
        <v>242.58672074509877</v>
      </c>
      <c r="G23" s="13">
        <v>8.0439253634135639</v>
      </c>
      <c r="H23" s="13">
        <v>40.907458398309089</v>
      </c>
      <c r="I23" s="20">
        <v>3.9071605652382999</v>
      </c>
      <c r="J23" s="20">
        <v>44.458235709783786</v>
      </c>
      <c r="K23" s="20">
        <v>14.626666207280266</v>
      </c>
      <c r="L23" s="20">
        <v>4.9900935386306786</v>
      </c>
      <c r="M23" s="20">
        <v>12.832505557290427</v>
      </c>
      <c r="N23" s="20">
        <v>121.82596824660564</v>
      </c>
      <c r="O23" s="20">
        <v>29.79606464448073</v>
      </c>
      <c r="P23" s="20">
        <v>584.81309483621123</v>
      </c>
      <c r="Q23" s="20">
        <v>155.02765308925501</v>
      </c>
      <c r="R23" s="20">
        <f t="shared" si="0"/>
        <v>3061.0029876550507</v>
      </c>
      <c r="S23" s="139">
        <f t="shared" si="1"/>
        <v>6.2178635272510643E-4</v>
      </c>
      <c r="T23" s="15">
        <f>+'MWh by month-WgtbyCDH&amp;DayLtHrs'!AB287</f>
        <v>4922917.6134850439</v>
      </c>
      <c r="V23" s="263"/>
    </row>
    <row r="24" spans="1:22">
      <c r="A24" s="12">
        <v>2018</v>
      </c>
      <c r="B24" s="13">
        <v>1282.0895588166168</v>
      </c>
      <c r="C24" s="13">
        <v>520.45340874293879</v>
      </c>
      <c r="D24" s="13">
        <v>1.986540451168338</v>
      </c>
      <c r="E24" s="13">
        <v>178.39606196644058</v>
      </c>
      <c r="F24" s="13">
        <v>268.25786651746353</v>
      </c>
      <c r="G24" s="13">
        <v>13.23595736434504</v>
      </c>
      <c r="H24" s="13">
        <v>48.662515459022856</v>
      </c>
      <c r="I24" s="20">
        <v>4.201532321501082</v>
      </c>
      <c r="J24" s="20">
        <v>50.777796840327539</v>
      </c>
      <c r="K24" s="20">
        <v>19.452679957351279</v>
      </c>
      <c r="L24" s="20">
        <v>6.7724022170988682</v>
      </c>
      <c r="M24" s="20">
        <v>17.995487975154369</v>
      </c>
      <c r="N24" s="20">
        <v>151.1778928255423</v>
      </c>
      <c r="O24" s="20">
        <v>50.481738149141435</v>
      </c>
      <c r="P24" s="20">
        <v>599.35708814943382</v>
      </c>
      <c r="Q24" s="20">
        <v>156.4566732096078</v>
      </c>
      <c r="R24" s="20">
        <f t="shared" si="0"/>
        <v>3369.7552009631545</v>
      </c>
      <c r="S24" s="139">
        <f t="shared" si="1"/>
        <v>6.7507720731406734E-4</v>
      </c>
      <c r="T24" s="15">
        <f>+'MWh by month-WgtbyCDH&amp;DayLtHrs'!AB288</f>
        <v>4991658.9753791485</v>
      </c>
      <c r="V24" s="263"/>
    </row>
    <row r="25" spans="1:22">
      <c r="A25" s="12">
        <v>2019</v>
      </c>
      <c r="B25" s="13">
        <v>1411.0988482989733</v>
      </c>
      <c r="C25" s="13">
        <v>562.81517563845091</v>
      </c>
      <c r="D25" s="13">
        <v>2.2113667740811138</v>
      </c>
      <c r="E25" s="13">
        <v>191.74506778889759</v>
      </c>
      <c r="F25" s="13">
        <v>293.74007513173115</v>
      </c>
      <c r="G25" s="13">
        <v>19.867444936736774</v>
      </c>
      <c r="H25" s="13">
        <v>56.390891334217038</v>
      </c>
      <c r="I25" s="20">
        <v>4.495904077763865</v>
      </c>
      <c r="J25" s="20">
        <v>57.07190977305585</v>
      </c>
      <c r="K25" s="20">
        <v>25.320550577855158</v>
      </c>
      <c r="L25" s="20">
        <v>8.5476815609237811</v>
      </c>
      <c r="M25" s="20">
        <v>23.111268725388747</v>
      </c>
      <c r="N25" s="20">
        <v>178.71860666896211</v>
      </c>
      <c r="O25" s="20">
        <v>77.668031157474303</v>
      </c>
      <c r="P25" s="20">
        <v>612.10705110438744</v>
      </c>
      <c r="Q25" s="20">
        <v>157.5472934775448</v>
      </c>
      <c r="R25" s="20">
        <f t="shared" si="0"/>
        <v>3682.4571670264436</v>
      </c>
      <c r="S25" s="139">
        <f t="shared" si="1"/>
        <v>7.2791005551500385E-4</v>
      </c>
      <c r="T25" s="15">
        <f>+'MWh by month-WgtbyCDH&amp;DayLtHrs'!AB289</f>
        <v>5058945.3176616272</v>
      </c>
      <c r="V25" s="263"/>
    </row>
    <row r="26" spans="1:22">
      <c r="A26" s="12">
        <v>2020</v>
      </c>
      <c r="B26" s="13">
        <v>1539.2290359803847</v>
      </c>
      <c r="C26" s="13">
        <v>590.91479049511463</v>
      </c>
      <c r="D26" s="13">
        <v>2.4352407578243174</v>
      </c>
      <c r="E26" s="13">
        <v>194.29689846097972</v>
      </c>
      <c r="F26" s="13">
        <v>319.05833913515448</v>
      </c>
      <c r="G26" s="13">
        <v>27.924429146058401</v>
      </c>
      <c r="H26" s="13">
        <v>59.912465379780031</v>
      </c>
      <c r="I26" s="20">
        <v>4.7902758340266463</v>
      </c>
      <c r="J26" s="20">
        <v>63.343940787491363</v>
      </c>
      <c r="K26" s="20">
        <v>31.122454827918659</v>
      </c>
      <c r="L26" s="20">
        <v>10.316861408258946</v>
      </c>
      <c r="M26" s="20">
        <v>27.433737633840217</v>
      </c>
      <c r="N26" s="20">
        <v>203.03713208413888</v>
      </c>
      <c r="O26" s="20">
        <v>109.72940672947719</v>
      </c>
      <c r="P26" s="20">
        <v>623.19135729016523</v>
      </c>
      <c r="Q26" s="20">
        <v>158.3642857614015</v>
      </c>
      <c r="R26" s="20">
        <f t="shared" si="0"/>
        <v>3965.1006517120136</v>
      </c>
      <c r="S26" s="139">
        <f t="shared" si="1"/>
        <v>7.7384297560124926E-4</v>
      </c>
      <c r="T26" s="15">
        <f>+'MWh by month-WgtbyCDH&amp;DayLtHrs'!AB290</f>
        <v>5123908.5663745506</v>
      </c>
      <c r="V26" s="263"/>
    </row>
    <row r="27" spans="1:22">
      <c r="A27" s="12">
        <v>2021</v>
      </c>
      <c r="B27" s="13">
        <v>1645.1527943470865</v>
      </c>
      <c r="C27" s="13">
        <v>605.78174593244148</v>
      </c>
      <c r="D27" s="13">
        <v>2.6585797195621126</v>
      </c>
      <c r="E27" s="13">
        <v>196.81581840913418</v>
      </c>
      <c r="F27" s="13">
        <v>344.28397111836898</v>
      </c>
      <c r="G27" s="13">
        <v>36.87955816568001</v>
      </c>
      <c r="H27" s="13">
        <v>63.629221897894048</v>
      </c>
      <c r="I27" s="20">
        <v>5.0846475902894293</v>
      </c>
      <c r="J27" s="20">
        <v>65.359806518872844</v>
      </c>
      <c r="K27" s="20">
        <v>36.002558314483963</v>
      </c>
      <c r="L27" s="20">
        <v>12.082594916741076</v>
      </c>
      <c r="M27" s="20">
        <v>31.493721488465155</v>
      </c>
      <c r="N27" s="20">
        <v>234.35211375116529</v>
      </c>
      <c r="O27" s="20">
        <v>146.95434204667066</v>
      </c>
      <c r="P27" s="20">
        <v>631.65126256279996</v>
      </c>
      <c r="Q27" s="20">
        <v>158.3642857614015</v>
      </c>
      <c r="R27" s="20">
        <f t="shared" si="0"/>
        <v>4216.5470225410572</v>
      </c>
      <c r="S27" s="139">
        <f t="shared" si="1"/>
        <v>8.1316808102115394E-4</v>
      </c>
      <c r="T27" s="15">
        <f>+'MWh by month-WgtbyCDH&amp;DayLtHrs'!AB291</f>
        <v>5185332.6771582505</v>
      </c>
      <c r="V27" s="263"/>
    </row>
    <row r="28" spans="1:22">
      <c r="A28" s="12">
        <v>2022</v>
      </c>
      <c r="B28" s="13">
        <v>1746.577112201112</v>
      </c>
      <c r="C28" s="13">
        <v>620.72417034329374</v>
      </c>
      <c r="D28" s="13">
        <v>2.8823092473638638</v>
      </c>
      <c r="E28" s="13">
        <v>199.35852007936592</v>
      </c>
      <c r="F28" s="13">
        <v>369.5765402180366</v>
      </c>
      <c r="G28" s="13">
        <v>46.788534347300356</v>
      </c>
      <c r="H28" s="13">
        <v>67.339651684133784</v>
      </c>
      <c r="I28" s="20">
        <v>5.3790193465522114</v>
      </c>
      <c r="J28" s="20">
        <v>67.417084174061358</v>
      </c>
      <c r="K28" s="20">
        <v>40.633269535132058</v>
      </c>
      <c r="L28" s="20">
        <v>13.850818795017823</v>
      </c>
      <c r="M28" s="20">
        <v>35.886084034732654</v>
      </c>
      <c r="N28" s="20">
        <v>262.08369429536725</v>
      </c>
      <c r="O28" s="20">
        <v>214.00185148325266</v>
      </c>
      <c r="P28" s="20">
        <v>638.00125817459582</v>
      </c>
      <c r="Q28" s="20">
        <v>158.3642857614015</v>
      </c>
      <c r="R28" s="20">
        <f t="shared" si="0"/>
        <v>4488.8642037207201</v>
      </c>
      <c r="S28" s="139">
        <f t="shared" si="1"/>
        <v>8.5550179800411737E-4</v>
      </c>
      <c r="T28" s="15">
        <f>+'MWh by month-WgtbyCDH&amp;DayLtHrs'!AB292</f>
        <v>5247054.0847409368</v>
      </c>
      <c r="V28" s="263"/>
    </row>
    <row r="29" spans="1:22">
      <c r="A29" s="12">
        <v>2023</v>
      </c>
      <c r="B29" s="13">
        <v>1739.1786113405087</v>
      </c>
      <c r="C29" s="13">
        <v>635.56251430848533</v>
      </c>
      <c r="D29" s="13">
        <v>3.1054984029401282</v>
      </c>
      <c r="E29" s="13">
        <v>201.86842400349383</v>
      </c>
      <c r="F29" s="13">
        <v>394.77679529001512</v>
      </c>
      <c r="G29" s="13">
        <v>57.588034014414688</v>
      </c>
      <c r="H29" s="13">
        <v>71.109312376220643</v>
      </c>
      <c r="I29" s="20">
        <v>5.6733911028149944</v>
      </c>
      <c r="J29" s="20">
        <v>69.535549710618696</v>
      </c>
      <c r="K29" s="20">
        <v>45.649288027338855</v>
      </c>
      <c r="L29" s="20">
        <v>15.615608165231492</v>
      </c>
      <c r="M29" s="20">
        <v>40.316843773607147</v>
      </c>
      <c r="N29" s="20">
        <v>287.17635173196152</v>
      </c>
      <c r="O29" s="20">
        <v>270.27918265938234</v>
      </c>
      <c r="P29" s="20">
        <v>642.50910812490417</v>
      </c>
      <c r="Q29" s="20">
        <v>158.3642857614015</v>
      </c>
      <c r="R29" s="20">
        <f t="shared" si="0"/>
        <v>4638.3087987933395</v>
      </c>
      <c r="S29" s="139">
        <f t="shared" si="1"/>
        <v>8.7360713795819574E-4</v>
      </c>
      <c r="T29" s="15">
        <f>+'MWh by month-WgtbyCDH&amp;DayLtHrs'!AB293</f>
        <v>5309376.0310086822</v>
      </c>
      <c r="V29" s="263"/>
    </row>
    <row r="30" spans="1:22">
      <c r="A30" s="12">
        <v>2024</v>
      </c>
      <c r="B30" s="13">
        <v>1700.6199255184492</v>
      </c>
      <c r="C30" s="13">
        <v>648.44602014278507</v>
      </c>
      <c r="D30" s="13">
        <v>3.3280294814497751</v>
      </c>
      <c r="E30" s="13">
        <v>204.33778694325383</v>
      </c>
      <c r="F30" s="13">
        <v>419.86294186375312</v>
      </c>
      <c r="G30" s="13">
        <v>69.261126425123166</v>
      </c>
      <c r="H30" s="13">
        <v>75.070993084386004</v>
      </c>
      <c r="I30" s="20">
        <v>5.9677628590777756</v>
      </c>
      <c r="J30" s="20">
        <v>71.63061322220355</v>
      </c>
      <c r="K30" s="20">
        <v>50.710131181666384</v>
      </c>
      <c r="L30" s="20">
        <v>17.376152172447995</v>
      </c>
      <c r="M30" s="20">
        <v>44.792927564328579</v>
      </c>
      <c r="N30" s="20">
        <v>318.09914663782439</v>
      </c>
      <c r="O30" s="20">
        <v>318.18502615876162</v>
      </c>
      <c r="P30" s="20">
        <v>645.37913899358796</v>
      </c>
      <c r="Q30" s="20">
        <v>158.3642857614015</v>
      </c>
      <c r="R30" s="20">
        <f t="shared" si="0"/>
        <v>4751.4320080105008</v>
      </c>
      <c r="S30" s="139">
        <f t="shared" si="1"/>
        <v>8.8442296404524494E-4</v>
      </c>
      <c r="T30" s="15">
        <f>+'MWh by month-WgtbyCDH&amp;DayLtHrs'!AB294</f>
        <v>5372352.5973116057</v>
      </c>
    </row>
    <row r="31" spans="1:22">
      <c r="A31" s="12">
        <v>2025</v>
      </c>
      <c r="B31" s="13">
        <v>1708.1532281372547</v>
      </c>
      <c r="C31" s="13">
        <v>656.48791683613672</v>
      </c>
      <c r="D31" s="13">
        <v>3.3693010789455968</v>
      </c>
      <c r="E31" s="13">
        <v>206.87194294406299</v>
      </c>
      <c r="F31" s="13">
        <v>445.13145793364265</v>
      </c>
      <c r="G31" s="13">
        <v>81.948278962542645</v>
      </c>
      <c r="H31" s="13">
        <v>79.268412903926887</v>
      </c>
      <c r="I31" s="20">
        <v>6.2621346153405586</v>
      </c>
      <c r="J31" s="20">
        <v>73.787028383220004</v>
      </c>
      <c r="K31" s="20">
        <v>55.786847959817806</v>
      </c>
      <c r="L31" s="20">
        <v>19.143481166959162</v>
      </c>
      <c r="M31" s="20">
        <v>49.480468982327785</v>
      </c>
      <c r="N31" s="20">
        <v>346.39830891544688</v>
      </c>
      <c r="O31" s="20">
        <v>359.69110468176893</v>
      </c>
      <c r="P31" s="20">
        <v>646.76827272724017</v>
      </c>
      <c r="Q31" s="20">
        <v>158.3642857614015</v>
      </c>
      <c r="R31" s="20">
        <f t="shared" si="0"/>
        <v>4896.9124719900346</v>
      </c>
      <c r="S31" s="139">
        <f t="shared" si="1"/>
        <v>9.0121608676121685E-4</v>
      </c>
      <c r="T31" s="15">
        <f>+'MWh by month-WgtbyCDH&amp;DayLtHrs'!AB295</f>
        <v>5433671.8395568365</v>
      </c>
    </row>
    <row r="32" spans="1:22">
      <c r="A32" s="12">
        <v>2026</v>
      </c>
      <c r="B32" s="13">
        <v>1717.4273620890872</v>
      </c>
      <c r="C32" s="13">
        <v>664.70824704111874</v>
      </c>
      <c r="D32" s="13">
        <v>3.4114982645107403</v>
      </c>
      <c r="E32" s="13">
        <v>209.46232676916429</v>
      </c>
      <c r="F32" s="13">
        <v>470.55823539479275</v>
      </c>
      <c r="G32" s="13">
        <v>95.649913138714965</v>
      </c>
      <c r="H32" s="13">
        <v>83.25635007995848</v>
      </c>
      <c r="I32" s="20">
        <v>6.5565063716033398</v>
      </c>
      <c r="J32" s="20">
        <v>76.070711859924998</v>
      </c>
      <c r="K32" s="20">
        <v>61.046056262865648</v>
      </c>
      <c r="L32" s="20">
        <v>20.916698215950952</v>
      </c>
      <c r="M32" s="20">
        <v>54.287258130796694</v>
      </c>
      <c r="N32" s="20">
        <v>371.33628247029441</v>
      </c>
      <c r="O32" s="20">
        <v>396.28267923121001</v>
      </c>
      <c r="P32" s="20">
        <v>647.79360343087365</v>
      </c>
      <c r="Q32" s="20">
        <v>158.3642857614015</v>
      </c>
      <c r="R32" s="20">
        <f t="shared" si="0"/>
        <v>5037.1280145122673</v>
      </c>
      <c r="S32" s="139">
        <f t="shared" si="1"/>
        <v>9.1767648608496219E-4</v>
      </c>
      <c r="T32" s="15">
        <f>+'MWh by month-WgtbyCDH&amp;DayLtHrs'!AB296</f>
        <v>5489001.9422878725</v>
      </c>
    </row>
    <row r="34" spans="1:20">
      <c r="A34" s="5" t="s">
        <v>103</v>
      </c>
    </row>
    <row r="35" spans="1:20">
      <c r="A35" s="5" t="s">
        <v>355</v>
      </c>
    </row>
    <row r="38" spans="1:20">
      <c r="A38" s="136" t="s">
        <v>358</v>
      </c>
      <c r="F38" s="265"/>
    </row>
    <row r="39" spans="1:20">
      <c r="F39" s="265"/>
    </row>
    <row r="40" spans="1:20">
      <c r="A40" s="12">
        <v>2005</v>
      </c>
      <c r="B40" s="115">
        <v>0</v>
      </c>
      <c r="C40" s="115">
        <v>0</v>
      </c>
      <c r="D40" s="115">
        <v>0</v>
      </c>
      <c r="E40" s="115">
        <v>0</v>
      </c>
      <c r="F40" s="115">
        <v>0</v>
      </c>
      <c r="G40" s="115">
        <f>G11</f>
        <v>0</v>
      </c>
      <c r="H40" s="115">
        <v>0</v>
      </c>
      <c r="I40" s="115">
        <v>0</v>
      </c>
      <c r="J40" s="115">
        <v>0</v>
      </c>
      <c r="K40" s="115">
        <f>+K11</f>
        <v>0</v>
      </c>
      <c r="L40" s="115">
        <v>0</v>
      </c>
      <c r="M40" s="115">
        <v>0</v>
      </c>
      <c r="N40" s="115">
        <v>0</v>
      </c>
      <c r="O40" s="115">
        <f>+O11</f>
        <v>0</v>
      </c>
      <c r="P40" s="115">
        <v>0</v>
      </c>
      <c r="Q40" s="115">
        <v>0</v>
      </c>
      <c r="R40" s="268">
        <v>0</v>
      </c>
      <c r="S40" s="266">
        <v>0</v>
      </c>
      <c r="T40" s="266">
        <v>0</v>
      </c>
    </row>
    <row r="41" spans="1:20">
      <c r="A41" s="12">
        <v>2006</v>
      </c>
      <c r="B41" s="115">
        <v>0</v>
      </c>
      <c r="C41" s="115">
        <v>0</v>
      </c>
      <c r="D41" s="115">
        <v>0</v>
      </c>
      <c r="E41" s="115">
        <v>0</v>
      </c>
      <c r="F41" s="115">
        <v>0</v>
      </c>
      <c r="G41" s="115">
        <f t="shared" ref="G41:G57" si="2">G12</f>
        <v>0</v>
      </c>
      <c r="H41" s="115">
        <v>0</v>
      </c>
      <c r="I41" s="115">
        <v>0</v>
      </c>
      <c r="J41" s="115">
        <v>0</v>
      </c>
      <c r="K41" s="115">
        <f t="shared" ref="K41:K57" si="3">+K12</f>
        <v>0</v>
      </c>
      <c r="L41" s="115">
        <v>0</v>
      </c>
      <c r="M41" s="115">
        <v>0</v>
      </c>
      <c r="N41" s="115">
        <v>0</v>
      </c>
      <c r="O41" s="115">
        <f t="shared" ref="O41:O57" si="4">+O12</f>
        <v>0</v>
      </c>
      <c r="P41" s="115">
        <v>0</v>
      </c>
      <c r="Q41" s="115">
        <v>0</v>
      </c>
      <c r="R41" s="268">
        <v>0</v>
      </c>
      <c r="S41" s="266">
        <v>0</v>
      </c>
      <c r="T41" s="266">
        <v>0</v>
      </c>
    </row>
    <row r="42" spans="1:20">
      <c r="A42" s="12">
        <v>2007</v>
      </c>
      <c r="B42" s="115">
        <v>0</v>
      </c>
      <c r="C42" s="115">
        <v>0</v>
      </c>
      <c r="D42" s="115">
        <v>0</v>
      </c>
      <c r="E42" s="115">
        <v>0</v>
      </c>
      <c r="F42" s="115">
        <v>0</v>
      </c>
      <c r="G42" s="115">
        <f t="shared" si="2"/>
        <v>0</v>
      </c>
      <c r="H42" s="115">
        <v>0</v>
      </c>
      <c r="I42" s="115">
        <v>0</v>
      </c>
      <c r="J42" s="115">
        <v>0</v>
      </c>
      <c r="K42" s="115">
        <f t="shared" si="3"/>
        <v>0</v>
      </c>
      <c r="L42" s="115">
        <v>0</v>
      </c>
      <c r="M42" s="115">
        <v>0</v>
      </c>
      <c r="N42" s="115">
        <v>0</v>
      </c>
      <c r="O42" s="115">
        <f t="shared" si="4"/>
        <v>0</v>
      </c>
      <c r="P42" s="115">
        <v>0</v>
      </c>
      <c r="Q42" s="115">
        <v>0</v>
      </c>
      <c r="R42" s="268">
        <v>0</v>
      </c>
      <c r="S42" s="266">
        <v>0</v>
      </c>
      <c r="T42" s="266">
        <v>0</v>
      </c>
    </row>
    <row r="43" spans="1:20">
      <c r="A43" s="12">
        <v>2008</v>
      </c>
      <c r="B43" s="115">
        <v>0</v>
      </c>
      <c r="C43" s="115">
        <v>0</v>
      </c>
      <c r="D43" s="115">
        <v>0</v>
      </c>
      <c r="E43" s="115">
        <v>0</v>
      </c>
      <c r="F43" s="115">
        <v>-4.5474735088646412E-13</v>
      </c>
      <c r="G43" s="115">
        <f t="shared" si="2"/>
        <v>0</v>
      </c>
      <c r="H43" s="115">
        <v>0</v>
      </c>
      <c r="I43" s="115">
        <v>0</v>
      </c>
      <c r="J43" s="115">
        <v>0</v>
      </c>
      <c r="K43" s="115">
        <f t="shared" si="3"/>
        <v>0</v>
      </c>
      <c r="L43" s="115">
        <v>0</v>
      </c>
      <c r="M43" s="115">
        <v>0</v>
      </c>
      <c r="N43" s="115">
        <v>0</v>
      </c>
      <c r="O43" s="115">
        <f t="shared" si="4"/>
        <v>0</v>
      </c>
      <c r="P43" s="115">
        <v>-3.0660483080445715</v>
      </c>
      <c r="Q43" s="115">
        <v>0</v>
      </c>
      <c r="R43" s="268">
        <v>-3.0660483080449694</v>
      </c>
      <c r="S43" s="266">
        <v>-4.0018128224368343E-3</v>
      </c>
      <c r="T43" s="266">
        <v>0</v>
      </c>
    </row>
    <row r="44" spans="1:20">
      <c r="A44" s="12">
        <v>2009</v>
      </c>
      <c r="B44" s="115">
        <v>0</v>
      </c>
      <c r="C44" s="115">
        <v>0</v>
      </c>
      <c r="D44" s="115">
        <v>0</v>
      </c>
      <c r="E44" s="115">
        <v>0</v>
      </c>
      <c r="F44" s="115">
        <v>0</v>
      </c>
      <c r="G44" s="115">
        <f t="shared" si="2"/>
        <v>0</v>
      </c>
      <c r="H44" s="115">
        <v>0</v>
      </c>
      <c r="I44" s="115">
        <v>0</v>
      </c>
      <c r="J44" s="115">
        <v>0.29756732433453603</v>
      </c>
      <c r="K44" s="115">
        <f t="shared" si="3"/>
        <v>0</v>
      </c>
      <c r="L44" s="115">
        <v>0</v>
      </c>
      <c r="M44" s="115">
        <v>0</v>
      </c>
      <c r="N44" s="115">
        <v>1.2437580263286456</v>
      </c>
      <c r="O44" s="115">
        <f t="shared" si="4"/>
        <v>0</v>
      </c>
      <c r="P44" s="115">
        <v>-17.396238712699983</v>
      </c>
      <c r="Q44" s="115">
        <v>0</v>
      </c>
      <c r="R44" s="268">
        <v>-15.854913362036996</v>
      </c>
      <c r="S44" s="266">
        <v>-1.6547764336932058E-2</v>
      </c>
      <c r="T44" s="266">
        <v>0</v>
      </c>
    </row>
    <row r="45" spans="1:20">
      <c r="A45" s="12">
        <v>2010</v>
      </c>
      <c r="B45" s="115">
        <v>0</v>
      </c>
      <c r="C45" s="115">
        <v>0</v>
      </c>
      <c r="D45" s="115">
        <v>-4.6347767388965622E-4</v>
      </c>
      <c r="E45" s="115">
        <v>0</v>
      </c>
      <c r="F45" s="115">
        <v>0</v>
      </c>
      <c r="G45" s="115">
        <f t="shared" si="2"/>
        <v>0</v>
      </c>
      <c r="H45" s="115">
        <v>1.4210854715202004E-14</v>
      </c>
      <c r="I45" s="115">
        <v>0</v>
      </c>
      <c r="J45" s="115">
        <v>0.29756732433453692</v>
      </c>
      <c r="K45" s="115">
        <f t="shared" si="3"/>
        <v>0</v>
      </c>
      <c r="L45" s="115">
        <v>0</v>
      </c>
      <c r="M45" s="115">
        <v>0</v>
      </c>
      <c r="N45" s="115">
        <v>1.7265609041867922</v>
      </c>
      <c r="O45" s="115">
        <f t="shared" si="4"/>
        <v>0</v>
      </c>
      <c r="P45" s="115">
        <v>-21.145564439970997</v>
      </c>
      <c r="Q45" s="115">
        <v>0</v>
      </c>
      <c r="R45" s="268">
        <v>-19.121899689123438</v>
      </c>
      <c r="S45" s="266">
        <v>-1.655085778804255E-2</v>
      </c>
      <c r="T45" s="266">
        <v>0</v>
      </c>
    </row>
    <row r="46" spans="1:20">
      <c r="A46" s="12">
        <v>2011</v>
      </c>
      <c r="B46" s="115">
        <v>0</v>
      </c>
      <c r="C46" s="115">
        <v>0</v>
      </c>
      <c r="D46" s="115">
        <v>-9.2472608940852297E-4</v>
      </c>
      <c r="E46" s="115">
        <v>0</v>
      </c>
      <c r="F46" s="115">
        <v>0</v>
      </c>
      <c r="G46" s="115">
        <f t="shared" si="2"/>
        <v>0</v>
      </c>
      <c r="H46" s="115">
        <v>0</v>
      </c>
      <c r="I46" s="115">
        <v>0</v>
      </c>
      <c r="J46" s="115">
        <v>0.29756732433453337</v>
      </c>
      <c r="K46" s="115">
        <f t="shared" si="3"/>
        <v>0</v>
      </c>
      <c r="L46" s="115">
        <v>0</v>
      </c>
      <c r="M46" s="115">
        <v>0</v>
      </c>
      <c r="N46" s="115">
        <v>1.7087514373298376</v>
      </c>
      <c r="O46" s="115">
        <f t="shared" si="4"/>
        <v>0</v>
      </c>
      <c r="P46" s="115">
        <v>-24.064110475452253</v>
      </c>
      <c r="Q46" s="115">
        <v>0</v>
      </c>
      <c r="R46" s="268">
        <v>-22.058716439877344</v>
      </c>
      <c r="S46" s="266">
        <v>-1.6150226680366031E-2</v>
      </c>
      <c r="T46" s="266">
        <v>0</v>
      </c>
    </row>
    <row r="47" spans="1:20">
      <c r="A47" s="12">
        <v>2012</v>
      </c>
      <c r="B47" s="115">
        <v>0.13973632360466581</v>
      </c>
      <c r="C47" s="115">
        <v>-1.4573248493970823</v>
      </c>
      <c r="D47" s="115">
        <v>-8.8681027378569866E-3</v>
      </c>
      <c r="E47" s="115">
        <v>-0.45923103131690368</v>
      </c>
      <c r="F47" s="115">
        <v>-1.1865049165503478</v>
      </c>
      <c r="G47" s="115">
        <f t="shared" si="2"/>
        <v>0</v>
      </c>
      <c r="H47" s="115">
        <v>-0.11413305506988536</v>
      </c>
      <c r="I47" s="115">
        <v>0</v>
      </c>
      <c r="J47" s="115">
        <v>0.1582886683445075</v>
      </c>
      <c r="K47" s="115">
        <f t="shared" si="3"/>
        <v>0</v>
      </c>
      <c r="L47" s="115">
        <v>0</v>
      </c>
      <c r="M47" s="115">
        <v>0</v>
      </c>
      <c r="N47" s="115">
        <v>1.0053150705927543</v>
      </c>
      <c r="O47" s="115">
        <f t="shared" si="4"/>
        <v>6.9579944281659908E-2</v>
      </c>
      <c r="P47" s="115">
        <v>-27.02062826624001</v>
      </c>
      <c r="Q47" s="115">
        <v>0</v>
      </c>
      <c r="R47" s="268">
        <v>-28.873770214488559</v>
      </c>
      <c r="S47" s="266">
        <v>-1.8296845570454967E-2</v>
      </c>
      <c r="T47" s="266">
        <v>0</v>
      </c>
    </row>
    <row r="48" spans="1:20">
      <c r="A48" s="12">
        <v>2013</v>
      </c>
      <c r="B48" s="115">
        <v>3.5248312016283307</v>
      </c>
      <c r="C48" s="115">
        <v>-10.811471299572077</v>
      </c>
      <c r="D48" s="115">
        <v>-5.7340471262655512E-2</v>
      </c>
      <c r="E48" s="115">
        <v>-3.4069021172629164</v>
      </c>
      <c r="F48" s="115">
        <v>-8.8023365946087324</v>
      </c>
      <c r="G48" s="115">
        <f t="shared" si="2"/>
        <v>0.18261910909927792</v>
      </c>
      <c r="H48" s="115">
        <v>-0.84672010480733206</v>
      </c>
      <c r="I48" s="115">
        <v>0</v>
      </c>
      <c r="J48" s="115">
        <v>-0.7357007164192666</v>
      </c>
      <c r="K48" s="115">
        <f t="shared" si="3"/>
        <v>0</v>
      </c>
      <c r="L48" s="115">
        <v>0</v>
      </c>
      <c r="M48" s="115">
        <v>0</v>
      </c>
      <c r="N48" s="115">
        <v>4.5773703609814902</v>
      </c>
      <c r="O48" s="115">
        <f t="shared" si="4"/>
        <v>0.75480834564573807</v>
      </c>
      <c r="P48" s="115">
        <v>-27.41544985756525</v>
      </c>
      <c r="Q48" s="115">
        <v>-0.3373828041810043</v>
      </c>
      <c r="R48" s="268">
        <v>-43.373674948324378</v>
      </c>
      <c r="S48" s="266">
        <v>-2.5282983782427326E-2</v>
      </c>
      <c r="T48" s="266">
        <v>1.7992128800450313E-3</v>
      </c>
    </row>
    <row r="49" spans="1:20">
      <c r="A49" s="12">
        <v>2014</v>
      </c>
      <c r="B49" s="115">
        <v>6.1800331715385255</v>
      </c>
      <c r="C49" s="115">
        <v>-11.333182108386154</v>
      </c>
      <c r="D49" s="115">
        <v>-6.0486533521270758E-2</v>
      </c>
      <c r="E49" s="115">
        <v>-3.5713032066146297</v>
      </c>
      <c r="F49" s="115">
        <v>-9.2270960021842257</v>
      </c>
      <c r="G49" s="115">
        <f t="shared" si="2"/>
        <v>0.71677090618300099</v>
      </c>
      <c r="H49" s="115">
        <v>-0.88757883887579681</v>
      </c>
      <c r="I49" s="115">
        <v>0</v>
      </c>
      <c r="J49" s="115">
        <v>-0.78556137740854837</v>
      </c>
      <c r="K49" s="115">
        <f t="shared" si="3"/>
        <v>0</v>
      </c>
      <c r="L49" s="115">
        <v>0</v>
      </c>
      <c r="M49" s="115">
        <v>0</v>
      </c>
      <c r="N49" s="115">
        <v>11.864667946534169</v>
      </c>
      <c r="O49" s="115">
        <f t="shared" si="4"/>
        <v>2.6369812532907098</v>
      </c>
      <c r="P49" s="115">
        <v>-29.355174515331839</v>
      </c>
      <c r="Q49" s="115">
        <v>-7.5033312621115442</v>
      </c>
      <c r="R49" s="268">
        <v>-41.325260566887664</v>
      </c>
      <c r="S49" s="266">
        <v>-2.7147521342198444E-2</v>
      </c>
      <c r="T49" s="266">
        <v>7.7706976959222018E-3</v>
      </c>
    </row>
    <row r="50" spans="1:20">
      <c r="A50" s="12">
        <v>2015</v>
      </c>
      <c r="B50" s="115">
        <v>9.231787058858572</v>
      </c>
      <c r="C50" s="115">
        <v>-7.944102327847304</v>
      </c>
      <c r="D50" s="115">
        <v>-4.355950823341459E-2</v>
      </c>
      <c r="E50" s="115">
        <v>-2.5033391192157524</v>
      </c>
      <c r="F50" s="115">
        <v>-6.4678211405409911</v>
      </c>
      <c r="G50" s="115">
        <f t="shared" si="2"/>
        <v>1.6966846427285418</v>
      </c>
      <c r="H50" s="115">
        <v>-0.62215687109127771</v>
      </c>
      <c r="I50" s="115">
        <v>0</v>
      </c>
      <c r="J50" s="115">
        <v>-0.46166209230994326</v>
      </c>
      <c r="K50" s="115">
        <f t="shared" si="3"/>
        <v>4.9567720441099254</v>
      </c>
      <c r="L50" s="115">
        <v>-1.6219886964411243</v>
      </c>
      <c r="M50" s="115">
        <v>-4.3451786996856159</v>
      </c>
      <c r="N50" s="115">
        <v>26.944202207498037</v>
      </c>
      <c r="O50" s="115">
        <f t="shared" si="4"/>
        <v>6.4178779156972077</v>
      </c>
      <c r="P50" s="115">
        <v>-25.037804651547503</v>
      </c>
      <c r="Q50" s="115">
        <v>-22.517955721971589</v>
      </c>
      <c r="R50" s="268">
        <v>-22.318244959992626</v>
      </c>
      <c r="S50" s="266">
        <v>-1.8138548161657497E-2</v>
      </c>
      <c r="T50" s="266">
        <v>9.1423109781927359E-3</v>
      </c>
    </row>
    <row r="51" spans="1:20">
      <c r="A51" s="12">
        <v>2016</v>
      </c>
      <c r="B51" s="115">
        <v>7.1174762494983952</v>
      </c>
      <c r="C51" s="115">
        <v>-9.2196094246896791</v>
      </c>
      <c r="D51" s="115">
        <v>-5.0566270999979679E-2</v>
      </c>
      <c r="E51" s="115">
        <v>-2.9052758869697755</v>
      </c>
      <c r="F51" s="115">
        <v>-7.5062961532496502</v>
      </c>
      <c r="G51" s="115">
        <f t="shared" si="2"/>
        <v>4.2635949248706311</v>
      </c>
      <c r="H51" s="115">
        <v>-0.72205053706842648</v>
      </c>
      <c r="I51" s="115">
        <v>0</v>
      </c>
      <c r="J51" s="115">
        <v>-0.58356416117763388</v>
      </c>
      <c r="K51" s="115">
        <f t="shared" si="3"/>
        <v>9.790163695502315</v>
      </c>
      <c r="L51" s="115">
        <v>-3.3884650983529667</v>
      </c>
      <c r="M51" s="115">
        <v>-8.8842247514275776</v>
      </c>
      <c r="N51" s="115">
        <v>46.257096713293734</v>
      </c>
      <c r="O51" s="115">
        <f t="shared" si="4"/>
        <v>13.275670815635131</v>
      </c>
      <c r="P51" s="115">
        <v>-24.222388871815497</v>
      </c>
      <c r="Q51" s="115">
        <v>-50.500584918806652</v>
      </c>
      <c r="R51" s="268">
        <v>-27.279023675757344</v>
      </c>
      <c r="S51" s="266">
        <v>-1.9161384707494511E-2</v>
      </c>
      <c r="T51" s="266">
        <v>9.4803422491809286E-3</v>
      </c>
    </row>
    <row r="52" spans="1:20">
      <c r="A52" s="12">
        <v>2017</v>
      </c>
      <c r="B52" s="115">
        <v>6.6334085104881524</v>
      </c>
      <c r="C52" s="115">
        <v>-10.340159721480632</v>
      </c>
      <c r="D52" s="115">
        <v>-5.6778642055220985E-2</v>
      </c>
      <c r="E52" s="115">
        <v>-3.258382792852899</v>
      </c>
      <c r="F52" s="115">
        <v>-6.26829868060031</v>
      </c>
      <c r="G52" s="115">
        <f t="shared" si="2"/>
        <v>8.0439253634135639</v>
      </c>
      <c r="H52" s="115">
        <v>2.1244474526018706</v>
      </c>
      <c r="I52" s="115">
        <v>0</v>
      </c>
      <c r="J52" s="115">
        <v>-5.1518765945971268E-2</v>
      </c>
      <c r="K52" s="115">
        <f t="shared" si="3"/>
        <v>14.626666207280266</v>
      </c>
      <c r="L52" s="115">
        <v>-5.1268966633648771</v>
      </c>
      <c r="M52" s="115">
        <v>-13.329379986734926</v>
      </c>
      <c r="N52" s="115">
        <v>68.400376841091457</v>
      </c>
      <c r="O52" s="115">
        <f t="shared" si="4"/>
        <v>29.79606464448073</v>
      </c>
      <c r="P52" s="115">
        <v>-26.99747060151617</v>
      </c>
      <c r="Q52" s="115">
        <v>-89.041675513808627</v>
      </c>
      <c r="R52" s="268">
        <v>-24.845672349003053</v>
      </c>
      <c r="S52" s="266">
        <v>-1.6923848759456739E-2</v>
      </c>
      <c r="T52" s="266">
        <v>9.0251005549690788E-3</v>
      </c>
    </row>
    <row r="53" spans="1:20">
      <c r="A53" s="12">
        <v>2018</v>
      </c>
      <c r="B53" s="115">
        <v>6.8688876608966893</v>
      </c>
      <c r="C53" s="115">
        <v>-11.656317986104568</v>
      </c>
      <c r="D53" s="115">
        <v>-6.4001938257348456E-2</v>
      </c>
      <c r="E53" s="115">
        <v>-3.6731295238159873</v>
      </c>
      <c r="F53" s="115">
        <v>-5.2333136616261982</v>
      </c>
      <c r="G53" s="115">
        <f t="shared" si="2"/>
        <v>13.23595736434504</v>
      </c>
      <c r="H53" s="115">
        <v>4.9274094789114429</v>
      </c>
      <c r="I53" s="115">
        <v>0</v>
      </c>
      <c r="J53" s="115">
        <v>1.086606300050299</v>
      </c>
      <c r="K53" s="115">
        <f t="shared" si="3"/>
        <v>19.452679957351279</v>
      </c>
      <c r="L53" s="115">
        <v>-6.7059197117754898</v>
      </c>
      <c r="M53" s="115">
        <v>-16.939148713447075</v>
      </c>
      <c r="N53" s="115">
        <v>93.302597428892767</v>
      </c>
      <c r="O53" s="115">
        <f t="shared" si="4"/>
        <v>50.481738149141435</v>
      </c>
      <c r="P53" s="115">
        <v>-32.813740484351229</v>
      </c>
      <c r="Q53" s="115">
        <v>-126.74201815114708</v>
      </c>
      <c r="R53" s="268">
        <v>-14.471713830935641</v>
      </c>
      <c r="S53" s="266">
        <v>-1.2559605040911581E-2</v>
      </c>
      <c r="T53" s="266">
        <v>8.3887398641226962E-3</v>
      </c>
    </row>
    <row r="54" spans="1:20">
      <c r="A54" s="12">
        <v>2019</v>
      </c>
      <c r="B54" s="115">
        <v>6.6929286344866341</v>
      </c>
      <c r="C54" s="115">
        <v>-13.341238406604134</v>
      </c>
      <c r="D54" s="115">
        <v>-7.3110651170139818E-2</v>
      </c>
      <c r="E54" s="115">
        <v>-4.2040802879589592</v>
      </c>
      <c r="F54" s="115">
        <v>-4.5140664524074054</v>
      </c>
      <c r="G54" s="115">
        <f t="shared" si="2"/>
        <v>19.867444936736774</v>
      </c>
      <c r="H54" s="115">
        <v>7.6914930286856915</v>
      </c>
      <c r="I54" s="115">
        <v>0</v>
      </c>
      <c r="J54" s="115">
        <v>2.1843985907671808</v>
      </c>
      <c r="K54" s="115">
        <f t="shared" si="3"/>
        <v>25.320550577855158</v>
      </c>
      <c r="L54" s="115">
        <v>-8.3660952413641603</v>
      </c>
      <c r="M54" s="115">
        <v>-20.730909917097939</v>
      </c>
      <c r="N54" s="115">
        <v>120.44422218454822</v>
      </c>
      <c r="O54" s="115">
        <f t="shared" si="4"/>
        <v>77.668031157474303</v>
      </c>
      <c r="P54" s="115">
        <v>-37.288342272705222</v>
      </c>
      <c r="Q54" s="115">
        <v>-166.22414360460144</v>
      </c>
      <c r="R54" s="268">
        <v>5.1270822766441597</v>
      </c>
      <c r="S54" s="266">
        <v>-6.2767603792712734E-3</v>
      </c>
      <c r="T54" s="266">
        <v>7.7194539715741417E-3</v>
      </c>
    </row>
    <row r="55" spans="1:20">
      <c r="A55" s="12">
        <v>2020</v>
      </c>
      <c r="B55" s="115">
        <v>5.8266990925130813</v>
      </c>
      <c r="C55" s="115">
        <v>-15.937053676027517</v>
      </c>
      <c r="D55" s="115">
        <v>-8.3732855122278238E-2</v>
      </c>
      <c r="E55" s="115">
        <v>-4.8277322067335717</v>
      </c>
      <c r="F55" s="115">
        <v>-4.0477823212247586</v>
      </c>
      <c r="G55" s="115">
        <f t="shared" si="2"/>
        <v>27.924429146058401</v>
      </c>
      <c r="H55" s="115">
        <v>10.423861849208606</v>
      </c>
      <c r="I55" s="115">
        <v>0</v>
      </c>
      <c r="J55" s="115">
        <v>3.2496594721729366</v>
      </c>
      <c r="K55" s="115">
        <f t="shared" si="3"/>
        <v>31.122454827918659</v>
      </c>
      <c r="L55" s="115">
        <v>-10.051952434937048</v>
      </c>
      <c r="M55" s="115">
        <v>-25.325010492581306</v>
      </c>
      <c r="N55" s="115">
        <v>148.65759985159553</v>
      </c>
      <c r="O55" s="115">
        <f t="shared" si="4"/>
        <v>109.72940672947719</v>
      </c>
      <c r="P55" s="115">
        <v>-40.863560928333868</v>
      </c>
      <c r="Q55" s="115">
        <v>-207.53524826853959</v>
      </c>
      <c r="R55" s="268">
        <v>28.262037785443681</v>
      </c>
      <c r="S55" s="266">
        <v>1.9176805402154606E-4</v>
      </c>
      <c r="T55" s="266">
        <v>6.9857585324282212E-3</v>
      </c>
    </row>
    <row r="56" spans="1:20">
      <c r="A56" s="12">
        <v>2021</v>
      </c>
      <c r="B56" s="115">
        <v>47.521936712179013</v>
      </c>
      <c r="C56" s="115">
        <v>-18.954243253056575</v>
      </c>
      <c r="D56" s="115">
        <v>-9.4640463417476894E-2</v>
      </c>
      <c r="E56" s="115">
        <v>-5.4689685716148233</v>
      </c>
      <c r="F56" s="115">
        <v>-3.6345320499628997</v>
      </c>
      <c r="G56" s="115">
        <f t="shared" si="2"/>
        <v>36.87955816568001</v>
      </c>
      <c r="H56" s="115">
        <v>13.355222194352812</v>
      </c>
      <c r="I56" s="115">
        <v>0</v>
      </c>
      <c r="J56" s="115">
        <v>4.307091879186018</v>
      </c>
      <c r="K56" s="115">
        <f t="shared" si="3"/>
        <v>36.002558314483963</v>
      </c>
      <c r="L56" s="115">
        <v>-11.721851384716611</v>
      </c>
      <c r="M56" s="115">
        <v>-30.142938824661059</v>
      </c>
      <c r="N56" s="115">
        <v>180.71857692471278</v>
      </c>
      <c r="O56" s="115">
        <f t="shared" si="4"/>
        <v>146.95434204667066</v>
      </c>
      <c r="P56" s="115">
        <v>-44.507525533117587</v>
      </c>
      <c r="Q56" s="115">
        <v>-243.05540050210016</v>
      </c>
      <c r="R56" s="268">
        <v>108.15918565461743</v>
      </c>
      <c r="S56" s="266">
        <v>2.0008891545111096E-2</v>
      </c>
      <c r="T56" s="266">
        <v>6.1936113646818836E-3</v>
      </c>
    </row>
    <row r="57" spans="1:20">
      <c r="A57" s="12">
        <v>2022</v>
      </c>
      <c r="B57" s="115">
        <v>84.804563936878367</v>
      </c>
      <c r="C57" s="115">
        <v>-20.224680064610766</v>
      </c>
      <c r="D57" s="115">
        <v>-0.10521109022418784</v>
      </c>
      <c r="E57" s="115">
        <v>-6.0897132544050692</v>
      </c>
      <c r="F57" s="115">
        <v>-3.1628450647772297</v>
      </c>
      <c r="G57" s="115">
        <f t="shared" si="2"/>
        <v>46.788534347300356</v>
      </c>
      <c r="H57" s="115">
        <v>16.279438131356571</v>
      </c>
      <c r="I57" s="115">
        <v>0</v>
      </c>
      <c r="J57" s="115">
        <v>5.4049383846932386</v>
      </c>
      <c r="K57" s="115">
        <f t="shared" si="3"/>
        <v>40.633269535132058</v>
      </c>
      <c r="L57" s="115">
        <v>-13.396987008055724</v>
      </c>
      <c r="M57" s="115">
        <v>-34.680012834122373</v>
      </c>
      <c r="N57" s="115">
        <v>212.24664004176694</v>
      </c>
      <c r="O57" s="115">
        <f t="shared" si="4"/>
        <v>214.00185148325266</v>
      </c>
      <c r="P57" s="115">
        <v>-47.566407592366659</v>
      </c>
      <c r="Q57" s="115">
        <v>-271.61771842323475</v>
      </c>
      <c r="R57" s="268">
        <v>223.31566052858398</v>
      </c>
      <c r="S57" s="266">
        <v>4.6679229533181932E-2</v>
      </c>
      <c r="T57" s="266">
        <v>5.4210477919722777E-3</v>
      </c>
    </row>
  </sheetData>
  <phoneticPr fontId="0" type="noConversion"/>
  <pageMargins left="0.5" right="0.5" top="1" bottom="1" header="0.5" footer="0.5"/>
  <pageSetup scale="3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Status xmlns="c85253b9-0a55-49a1-98ad-b5b6252d7079">Draft</Document_x0020_Status>
    <Comments xmlns="c85253b9-0a55-49a1-98ad-b5b6252d7079" xsi:nil="true"/>
    <Document_x0020_Type xmlns="c85253b9-0a55-49a1-98ad-b5b6252d7079">Question</Document_x0020_Typ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85FF32044CD140A13D653C61F268D5" ma:contentTypeVersion="" ma:contentTypeDescription="Create a new document." ma:contentTypeScope="" ma:versionID="ab069afa4dc2a1b3f123f87c3cc67968">
  <xsd:schema xmlns:xsd="http://www.w3.org/2001/XMLSchema" xmlns:xs="http://www.w3.org/2001/XMLSchema" xmlns:p="http://schemas.microsoft.com/office/2006/metadata/properties" xmlns:ns2="c85253b9-0a55-49a1-98ad-b5b6252d7079" targetNamespace="http://schemas.microsoft.com/office/2006/metadata/properties" ma:root="true" ma:fieldsID="ce7e9296015639994c0241091a34abd8" ns2:_="">
    <xsd:import namespace="c85253b9-0a55-49a1-98ad-b5b6252d7079"/>
    <xsd:element name="properties">
      <xsd:complexType>
        <xsd:sequence>
          <xsd:element name="documentManagement">
            <xsd:complexType>
              <xsd:all>
                <xsd:element ref="ns2:Comments" minOccurs="0"/>
                <xsd:element ref="ns2:Document_x0020_Status" minOccurs="0"/>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5253b9-0a55-49a1-98ad-b5b6252d7079"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element name="Document_x0020_Status" ma:index="9" nillable="true" ma:displayName="Document Status" ma:default="Draft" ma:format="Dropdown" ma:internalName="Document_x0020_Status">
      <xsd:simpleType>
        <xsd:restriction base="dms:Choice">
          <xsd:enumeration value="Draft"/>
          <xsd:enumeration value="Final"/>
        </xsd:restriction>
      </xsd:simpleType>
    </xsd:element>
    <xsd:element name="Document_x0020_Type" ma:index="10" nillable="true" ma:displayName="Document Type" ma:default="Question" ma:format="Dropdown" ma:internalName="Document_x0020_Type">
      <xsd:simpleType>
        <xsd:restriction base="dms:Choice">
          <xsd:enumeration value="Answer"/>
          <xsd:enumeration value="Quest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FD2A4A-76BB-447A-9938-56D49DD53314}">
  <ds:schemaRefs>
    <ds:schemaRef ds:uri="http://schemas.microsoft.com/office/2006/metadata/properties"/>
    <ds:schemaRef ds:uri="http://schemas.microsoft.com/office/infopath/2007/PartnerControls"/>
    <ds:schemaRef ds:uri="c85253b9-0a55-49a1-98ad-b5b6252d7079"/>
  </ds:schemaRefs>
</ds:datastoreItem>
</file>

<file path=customXml/itemProps2.xml><?xml version="1.0" encoding="utf-8"?>
<ds:datastoreItem xmlns:ds="http://schemas.openxmlformats.org/officeDocument/2006/customXml" ds:itemID="{89376C4F-D459-4794-B441-5B1979BD52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5253b9-0a55-49a1-98ad-b5b6252d7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D5EFDE-203C-4552-BAC3-0C3848777B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Documentation</vt:lpstr>
      <vt:lpstr>MWh by month</vt:lpstr>
      <vt:lpstr>MWh by month- AllWgtbyCDH</vt:lpstr>
      <vt:lpstr>MWhbymo-WgtbyActulCDH&amp;Dylthrs</vt:lpstr>
      <vt:lpstr>MWh by mo-WgtbyActulCDH&amp;Days</vt:lpstr>
      <vt:lpstr>MWhbymo-WgtbyActCDH&amp;DaysNoWinAC</vt:lpstr>
      <vt:lpstr>MWh by month- WgtbyCDH&amp;Days</vt:lpstr>
      <vt:lpstr>MWh by month-WgtbyCDH&amp;DayLtHrs</vt:lpstr>
      <vt:lpstr>MW Summer Impact Summary</vt:lpstr>
      <vt:lpstr>MW Winter Impact Summary</vt:lpstr>
      <vt:lpstr>MWh Impact Summary</vt:lpstr>
      <vt:lpstr>LED Impact Forecast</vt:lpstr>
      <vt:lpstr>CFL Impact Forecast</vt:lpstr>
      <vt:lpstr>EISA Incand Impact Forecast</vt:lpstr>
      <vt:lpstr>CI SPVU Ld Frcst</vt:lpstr>
      <vt:lpstr>RNC Code Impact Forecast</vt:lpstr>
      <vt:lpstr>Res WH Forecast (over 55 gal)</vt:lpstr>
      <vt:lpstr>CI - WH Forecast (over 55)</vt:lpstr>
      <vt:lpstr>Res AC</vt:lpstr>
      <vt:lpstr>CI DX</vt:lpstr>
      <vt:lpstr>CI Chiller</vt:lpstr>
      <vt:lpstr>CI Lighting</vt:lpstr>
      <vt:lpstr>CI Stand Alone Refrig</vt:lpstr>
      <vt:lpstr>Fed Sect 104</vt:lpstr>
      <vt:lpstr>CI Walk-in Refrig</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2016-04-11T18:16:28Z</dcterms:created>
  <dcterms:modified xsi:type="dcterms:W3CDTF">2016-04-13T17:54:55Z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0x0101001985FF32044CD140A13D653C61F268D5</vt:lpwstr>
  </property>
</Properties>
</file>